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14.xml" ContentType="application/vnd.ms-excel.threadedcomments+xml"/>
  <Override PartName="/xl/threadedComments/threadedComment9.xml" ContentType="application/vnd.ms-excel.threadedcomments+xml"/>
  <Override PartName="/xl/threadedComments/threadedComment7.xml" ContentType="application/vnd.ms-excel.threadedcomments+xml"/>
  <Override PartName="/xl/threadedComments/threadedComment12.xml" ContentType="application/vnd.ms-excel.threadedcomments+xml"/>
  <Override PartName="/xl/threadedComments/threadedComment11.xml" ContentType="application/vnd.ms-excel.threadedcomments+xml"/>
  <Override PartName="/xl/threadedComments/threadedComment13.xml" ContentType="application/vnd.ms-excel.threadedcomments+xml"/>
  <Override PartName="/xl/threadedComments/threadedComment8.xml" ContentType="application/vnd.ms-excel.threadedcomments+xml"/>
  <Override PartName="/xl/threadedComments/threadedComment10.xml" ContentType="application/vnd.ms-excel.threadedcomments+xml"/>
  <Override PartName="/xl/threadedComments/threadedComment15.xml" ContentType="application/vnd.ms-excel.threadedcomments+xml"/>
  <Override PartName="/xl/persons/person.xml" ContentType="application/vnd.ms-excel.person+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28680" yWindow="-120" windowWidth="29040" windowHeight="15720" firstSheet="0" activeTab="2"/>
  </bookViews>
  <sheets>
    <sheet name="Guide to the FIM Spreadsheet" sheetId="54" state="visible" r:id="rId1"/>
    <sheet name="Checklist (New Quarter Release)" sheetId="53" state="visible" r:id="rId2"/>
    <sheet name="Checklist (Monthly Revision)" sheetId="51" state="visible" r:id="rId3"/>
    <sheet name="Revisions" sheetId="46" state="visible" r:id="rId4"/>
    <sheet name="Checklist (CBO Budget Release)" sheetId="19" state="visible" r:id="rId5"/>
    <sheet name="Haver Pivoted" sheetId="24" state="visible" r:id="rId6"/>
    <sheet name="forecast comparison" sheetId="55" state="visible" r:id="rId7"/>
    <sheet name="forecast" sheetId="35" state="visible" r:id="rId8"/>
    <sheet name="July - MPI" sheetId="80" state="visible" r:id="rId9"/>
    <sheet name="historical overrides" sheetId="50" state="visible" r:id="rId10"/>
    <sheet name="deflators_override" sheetId="71" state="visible" r:id="rId11"/>
    <sheet name="mpc" sheetId="56" state="visible" r:id="rId12"/>
    <sheet name="Unemployment Insurance" sheetId="25" state="visible" r:id="rId13"/>
    <sheet name="Unemployment Insurance - lorae" sheetId="74" state="hidden"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Student loans" sheetId="67" state="visible" r:id="rId20"/>
    <sheet name="Social Benefits" sheetId="59" state="visible" r:id="rId21"/>
    <sheet name="Social Benefits (BETA VERSION)" sheetId="75" state="visible" r:id="rId22"/>
    <sheet name="Social Benefits (EXPLANATION)" sheetId="77" state="visible" r:id="rId23"/>
    <sheet name="Supply Side IRA" sheetId="78" state="visible" r:id="rId24"/>
    <sheet name="Taxes" sheetId="48" state="visible" r:id="rId25"/>
    <sheet name="Deflators" sheetId="70" state="visible" r:id="rId26"/>
    <sheet name="PPP (expired)" sheetId="38" state="visible" r:id="rId27"/>
    <sheet name="Provider Relief (expired)" sheetId="40" state="visible" r:id="rId28"/>
    <sheet name="Rebate Checks (expired)" sheetId="29" state="visible" r:id="rId29"/>
    <sheet name="Cares Act Scores" sheetId="36" state="visible" r:id="rId30"/>
    <sheet name="IRA and CHIPS" sheetId="65" state="visible" r:id="rId31"/>
    <sheet name="Response and Relief Act Score" sheetId="27" state="visible" r:id="rId32"/>
    <sheet name="ARP Score" sheetId="5" state="visible" r:id="rId33"/>
    <sheet name="ARP Timing" sheetId="6" state="visible" r:id="rId34"/>
    <sheet name="ARP Quarterly" sheetId="21" state="visible" r:id="rId35"/>
    <sheet name="Deflators_original" sheetId="63" state="hidden" r:id="rId36"/>
  </sheets>
  <calcPr calcId="191029"/>
  <pivotCaches>
    <pivotCache cacheId="0" r:id="rId20001"/>
  </pivotCaches>
</workbook>
</file>

<file path=xl/comments1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
Reply:
    This is now June 2024 CBO Economic Projections, Quarterly table row 68 from 2021 Q1 onward</t>
      </text>
    </comment>
    <comment ref="AG22" authorId="2" shapeId="0">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5" authorId="2"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3" authorId="3"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4" authorId="4"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5" authorId="5"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79" authorId="6"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1" authorId="7"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1" authorId="8"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83" authorId="9"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94" authorId="10"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94" authorId="11"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 ref="B95" authorId="12" shapeId="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tc={E7D459C7-D63C-4E4A-AE4E-B08D7B79CF4D}</author>
    <author>tc={C146291D-B06B-4D46-A30C-B289BA81D51C}</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
Reply:
    This is now June 2024 CBO Economic Projections Quarterly table row 129 from 2021 Q1 onward</t>
      </text>
    </comment>
    <comment ref="B10"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
Reply:
    This is now June 2024 CBO Economic Projections Quarterly table row 130 from 2021 Q1 onward.</t>
      </text>
    </comment>
    <comment ref="AG11" authorId="2" shapeId="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
Reply:
    This is now June 2024 CBO Economic Projections Quarterly table row 131 from 2021 Q1 onward.</t>
      </text>
    </comment>
    <comment ref="B25" authorId="4" shapeId="0">
      <text>
        <t>[Threaded comment]
Your version of Excel allows you to read this threaded comment; however, any edits to it will get removed if the file is opened in a newer version of Excel. Learn more: https://go.microsoft.com/fwlink/?linkid=870924
Comment:
    These data are from June 2024 CBO Economic Projections Quarterly table, row 132 from 2021 Q1 onward.</t>
      </text>
    </comment>
    <comment ref="B32" authorId="5" shapeId="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tc={5E572FF7-E343-4136-B9B8-D659D5E1B294}</author>
    <author>tc={09188FF2-A127-4014-A01D-03DD2BF0FA2E}</author>
    <author>tc={5E6012FC-E5EC-49B2-9F3E-FF9BACB20939}</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
Reply:
    This is now June 2024 CBO Budget Projections table table 1-4 Mandatory Outlays Adjusted to Exclude the Effect of Timing Shifts, row 15, starting from 2023</t>
      </text>
    </comment>
    <comment ref="H20" authorId="3" shapeId="0">
      <text>
        <t>[Threaded comment]
Your version of Excel allows you to read this threaded comment; however, any edits to it will get removed if the file is opened in a newer version of Excel. Learn more: https://go.microsoft.com/fwlink/?linkid=870924
Comment:
    We are adding 0.01 because we don't know what CBO is thinking.</t>
      </text>
    </comment>
    <comment ref="W27" authorId="4" shapeId="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5" shapeId="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
Reply:
    This is now June 2024 CBO 10-year budget projections table 1-4 Mandatory Outlays Adjusted to Exclude the Effect of Timing Shifts, row 14, from 2023</t>
      </text>
    </comment>
    <comment ref="H26" authorId="1" shapeId="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50" authorId="9"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66" authorId="10"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66" authorId="11"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66" authorId="12"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66" authorId="13"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66" authorId="14"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72" authorId="15" shapeId="0">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79"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79"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79"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91" authorId="19"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
Reply:
    This is now June 2024 CBO budget projections Table 1-4 Adjusted for the Effects of Timing Shifts, row 12 social security subtotal from 2023 onward</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tc={49FFCEA4-DB95-4205-AFF6-7460DD4E5BD6}</author>
    <author>tc={532E12BD-0998-418E-B570-F87A746D9747}</author>
    <author>tc={D06702F8-F5F4-41FB-BA11-B2023B5B68A7}</author>
    <author>tc={9443444D-0A20-425F-9300-C411DBC65A0D}</author>
    <author>tc={8773E616-7533-4D96-8216-0F45303BCB01}</author>
    <author>tc={F4C081DF-9BF8-4221-BECE-CB42A30EB5BC}</author>
    <author>tc={FA85206C-2107-4C24-ACB7-B7A58E6685DD}</author>
    <author>tc={F748C468-F3C4-4E41-BF45-75E421D4EB9E}</author>
    <author>tc={1065F4CB-52AB-4B92-B793-654578199E67}</author>
    <author>tc={6EA59173-A6A4-4520-BC55-CD373EBDD6E4}</author>
    <author>tc={B7BB92B9-56AF-428A-90BE-8769E0F9A367}</author>
    <author>tc={F12C7BC9-1DAF-45BE-BFCA-781CDA4BC7CD}</author>
    <author>tc={54F6D9F3-8868-417E-999A-B95E2C1FC589}</author>
    <author>tc={8DA4ABCB-3EED-4DB4-A96F-296CD1D3D3EE}</author>
    <author>tc={1FB99C5A-E921-4C2B-94A6-469F8368DE8C}</author>
    <author>tc={71B63C0C-A14A-4CAA-AD37-D99BE7060ACF}</author>
    <author>tc={CE0F5DCB-3CCE-4E3D-A6E4-2AC8A4A5F19D}</author>
    <author>tc={B0E96582-484F-445D-8FF5-3592B5A172FA}</author>
    <author>tc={E6B5A35A-07FA-4F2B-9A9E-866D21A47917}</author>
    <author>tc={4A8F6F92-75ED-4D7D-9EAC-6799BA8D11ED}</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tc={C31DCF28-75B2-4DBC-B036-BE5C96FD6331}</author>
    <author>tc={50A49FB6-37DC-43B3-965C-43A7195061F6}</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Y16" authorId="4" shapeId="0">
      <text>
        <t>[Threaded comment]
Your version of Excel allows you to read this threaded comment; however, any edits to it will get removed if the file is opened in a newer version of Excel. Learn more: https://go.microsoft.com/fwlink/?linkid=870924
Comment:
    Drag this forward in August 2024 because we get corporate taxes a month late. </t>
      </text>
    </comment>
    <comment ref="Z16" authorId="5" shapeId="0">
      <text>
        <t>[Threaded comment]
Your version of Excel allows you to read this threaded comment; however, any edits to it will get removed if the file is opened in a newer version of Excel. Learn more: https://go.microsoft.com/fwlink/?linkid=870924
Comment:
    Drag this forward in November because we get taxes a month late. </t>
      </text>
    </comment>
    <comment ref="AC21" authorId="6" shapeId="0">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7"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8"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9"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Y25" authorId="10" shapeId="0">
      <text>
        <t>[Threaded comment]
Your version of Excel allows you to read this threaded comment; however, any edits to it will get removed if the file is opened in a newer version of Excel. Learn more: https://go.microsoft.com/fwlink/?linkid=870924
Comment:
    Drag this forward in August because we get corporate taxes a month late.</t>
      </text>
    </comment>
    <comment ref="Z25" authorId="11" shapeId="0">
      <text>
        <t>[Threaded comment]
Your version of Excel allows you to read this threaded comment; however, any edits to it will get removed if the file is opened in a newer version of Excel. Learn more: https://go.microsoft.com/fwlink/?linkid=870924
Comment:
    Drag this forward in November because we get taxes a month late.</t>
      </text>
    </comment>
    <comment ref="K39" authorId="12" shapeId="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43" authorId="13" shapeId="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43" authorId="14" shapeId="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M43" authorId="15" shapeId="0">
      <text>
        <t>[Threaded comment]
Your version of Excel allows you to read this threaded comment; however, any edits to it will get removed if the file is opened in a newer version of Excel. Learn more: https://go.microsoft.com/fwlink/?linkid=870924
Comment:
    Another additional add factor, similar to comment to the left</t>
      </text>
    </comment>
    <comment ref="D59" authorId="16"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
Reply:
    June 2024 CBO Budget Projections Table 1-1 Row 10</t>
      </text>
    </comment>
    <comment ref="M59" authorId="17" shapeId="0">
      <text>
        <t>[Threaded comment]
Your version of Excel allows you to read this threaded comment; however, any edits to it will get removed if the file is opened in a newer version of Excel. Learn more: https://go.microsoft.com/fwlink/?linkid=870924
Comment:
    Added CBO estimate to counterfactual from TCJA NOT expiring in https://www.cbo.gov/publication/60271
We also subtracted an addition 30, which is roughly half of the 48+11 from investment.</t>
      </text>
    </comment>
    <comment ref="D60" authorId="18" shapeId="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
Reply:
    June 2024 CBO Budget Projections Table 1-1 Row 11</t>
      </text>
    </comment>
    <comment ref="D61" authorId="19" shapeId="0">
      <text>
        <t>[Threaded comment]
Your version of Excel allows you to read this threaded comment; however, any edits to it will get removed if the file is opened in a newer version of Excel. Learn more: https://go.microsoft.com/fwlink/?linkid=870924
Comment:
    Not updated June 2024. I could not find in the budget projections.</t>
      </text>
    </comment>
    <comment ref="D62" authorId="20"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
Reply:
    June 2024 CBO Revenue Projections by Category, Revenue Projections, Row 14</t>
      </text>
    </comment>
    <comment ref="D63" authorId="21"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
Reply:
    June 2024 CBO Revenue Projections, Revenue Projections Sheet, Row 16</t>
      </text>
    </comment>
    <comment ref="D64" authorId="22"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
Reply:
    June 2024 CBO Budget projections table 1-1 row 12</t>
      </text>
    </comment>
    <comment ref="M64" authorId="23" shapeId="0">
      <text>
        <t>[Threaded comment]
Your version of Excel allows you to read this threaded comment; however, any edits to it will get removed if the file is opened in a newer version of Excel. Learn more: https://go.microsoft.com/fwlink/?linkid=870924
Comment:
    See comment in M56 on using CBO estimate of TCJA not expiring
</t>
      </text>
    </comment>
    <comment ref="D82" authorId="24"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
Reply:
    June 2024 Econ projections Fiscal Year sheet row 94. Pasted for 2021 onward</t>
      </text>
    </comment>
    <comment ref="D83" authorId="25"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
Reply:
    June 2024 Econ projections Fiscal Year sheet row 98. Pasted for 2021 onward</t>
      </text>
    </comment>
    <comment ref="D84" authorId="26"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
Reply:
    June 2024 CBO Economic Projections, Fiscal Year Table, row 118 pasted from 2021 onward</t>
      </text>
    </comment>
    <comment ref="D85" authorId="27"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
Reply:
    June 2024 CBO Economic Projections Fiscal Year Table, row 112 from 2021 onward</t>
      </text>
    </comment>
    <comment ref="D106" authorId="28"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
Reply:
    Ju 2024 economic projections quarterly table row 98 pasted from 2021 Q1 onward</t>
      </text>
    </comment>
    <comment ref="D107" authorId="29"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
Reply:
    June 2024 CBO Economic Projections Quarterly table row 100 from 2021 Q1 onward</t>
      </text>
    </comment>
    <comment ref="D108" authorId="30"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
Reply:
    June 2024 CBO Economic Projections Quarterly Table, row 118 from 2021 Q1 onward
</t>
      </text>
    </comment>
    <comment ref="D109" authorId="31"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
Reply:
    June 2024 CBO Economic Projections quarterly table row 114 corporate profits domestic with IVA and CCAdj, from 2021 Q1 onward
</t>
      </text>
    </comment>
    <comment ref="U132" authorId="32" shapeId="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5" authorId="33"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5" authorId="34" shapeId="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35" authorId="35" shapeId="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Y135" authorId="36" shapeId="0">
      <text>
        <t>[Threaded comment]
Your version of Excel allows you to read this threaded comment; however, any edits to it will get removed if the file is opened in a newer version of Excel. Learn more: https://go.microsoft.com/fwlink/?linkid=870924
Comment:
    Drag forward in August because we get the data a month late. </t>
      </text>
    </comment>
    <comment ref="Z135" authorId="37" shapeId="0">
      <text>
        <t>[Threaded comment]
Your version of Excel allows you to read this threaded comment; however, any edits to it will get removed if the file is opened in a newer version of Excel. Learn more: https://go.microsoft.com/fwlink/?linkid=870924
Comment:
    Drag this forward in November because we get taxes a month late. </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
Reply:
    June 2024 CBO Economic Projections, Quarterly Table, Line 118 pasted from 2021 Q1 onward</t>
      </text>
    </comment>
    <comment ref="B65" authorId="2"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
Reply:
    June 2024 CBO Economic Projections, Quarterly Table Line 129 from 2021 Q1 onward</t>
      </text>
    </comment>
    <comment ref="B66" authorId="3"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
Reply:
    June  2024 Economic Projections, Quarterly Table line 131 from 2021 Q1 onward
</t>
      </text>
    </comment>
    <comment ref="B67" authorId="4"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
Reply:
    June 2024 CBO Economic Projections, Quarterly Table, row 141 from 2021 Q1 onward</t>
      </text>
    </comment>
    <comment ref="B68" authorId="5"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
Reply:
    June 2024 CBO Economic Projections, Quarterly Table, Line 152 from 2021 Q1 onward</t>
      </text>
    </comment>
    <comment ref="B69" authorId="6"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<sst xmlns="http://schemas.openxmlformats.org/spreadsheetml/2006/main" count="2598" uniqueCount="2598">
  <si>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</si>
  <si>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</si>
  <si>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</si>
  <si>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</si>
  <si>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</si>
  <si>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</si>
  <si>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</si>
  <si>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</si>
  <si>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</si>
  <si>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</si>
  <si>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</si>
  <si>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</si>
  <si>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</si>
  <si>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</si>
  <si>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</si>
  <si>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</si>
  <si>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</si>
  <si>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</si>
  <si>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</si>
  <si>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</si>
  <si>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</si>
  <si>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</si>
  <si>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</si>
  <si>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</si>
  <si>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</si>
  <si>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</si>
  <si>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</si>
  <si>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</si>
  <si>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</si>
  <si>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</si>
  <si>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</si>
  <si>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</si>
  <si>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</si>
  <si>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</si>
  <si>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</si>
  <si>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</si>
  <si>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</si>
  <si>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</si>
  <si>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</si>
  <si>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</si>
  <si>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</si>
  <si>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</si>
  <si>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</si>
  <si>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</si>
  <si>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</si>
  <si>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</si>
  <si>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</si>
  <si>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</si>
  <si>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</si>
  <si>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</si>
  <si>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</si>
  <si>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</si>
  <si>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</si>
  <si>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</si>
  <si>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</si>
  <si>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</si>
  <si>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</si>
  <si>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</si>
  <si>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</si>
  <si>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</si>
  <si>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</si>
  <si>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</si>
  <si>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</si>
  <si>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</si>
  <si>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</si>
  <si>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</si>
  <si>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</si>
  <si>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</si>
  <si>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</si>
  <si>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</si>
  <si>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</si>
  <si>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</si>
  <si>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</si>
  <si>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</si>
  <si>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</si>
  <si>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</si>
  <si>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</si>
  <si>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</si>
  <si>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</si>
  <si>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</si>
  <si>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</si>
  <si>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</si>
  <si>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</si>
  <si>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</si>
  <si>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</si>
  <si>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</si>
  <si>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</si>
  <si>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</si>
  <si>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</si>
  <si>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</si>
  <si>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</si>
  <si>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</si>
  <si>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</si>
  <si>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</si>
  <si>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</si>
  <si>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</si>
  <si>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</si>
  <si>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</si>
  <si>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</si>
  <si>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</si>
  <si>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</si>
  <si>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</si>
  <si>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</si>
  <si>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</si>
  <si>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</si>
  <si>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</si>
  <si>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</si>
  <si>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</si>
  <si>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</si>
  <si>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</si>
  <si>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</si>
  <si>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</si>
  <si>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</si>
  <si>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</si>
  <si>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</si>
  <si>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</si>
  <si>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</si>
  <si>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</si>
  <si>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</si>
  <si>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</si>
  <si>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</si>
  <si>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</si>
  <si>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</si>
  <si>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</si>
  <si>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</si>
  <si>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</si>
  <si>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</si>
  <si>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</si>
  <si>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</si>
  <si>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</si>
  <si>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</si>
  <si>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</si>
  <si>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</si>
  <si>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</si>
  <si>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</si>
  <si>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</si>
  <si>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</si>
  <si>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</si>
  <si>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</si>
  <si>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</si>
  <si>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</si>
  <si>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</si>
  <si>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</si>
  <si>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</si>
  <si>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</si>
  <si>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</si>
  <si>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</si>
  <si>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</si>
  <si>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</si>
  <si>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</si>
  <si>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</si>
  <si>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</si>
  <si>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</si>
  <si>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</si>
  <si>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</si>
  <si>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</si>
  <si>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</si>
  <si>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</si>
  <si>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</si>
  <si>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</si>
  <si>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</si>
  <si>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</si>
  <si>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</si>
  <si>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</si>
  <si>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</si>
  <si>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</si>
  <si>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</si>
  <si>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</si>
  <si>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</si>
  <si>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</si>
  <si>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</si>
  <si>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</si>
  <si>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</si>
  <si>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</si>
  <si>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</si>
  <si>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</si>
  <si>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</si>
  <si>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</si>
  <si>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</si>
  <si>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</si>
  <si>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</si>
  <si>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</si>
  <si>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</si>
  <si>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</si>
  <si>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</si>
  <si>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</si>
  <si>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</si>
  <si>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</si>
  <si>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</si>
  <si>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</si>
  <si>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</si>
  <si>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</si>
  <si>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</si>
  <si>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</si>
  <si>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</si>
  <si>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</si>
  <si>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</si>
  <si>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</si>
  <si>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</si>
  <si>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</si>
  <si>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</si>
  <si>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</si>
  <si>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</si>
  <si>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</si>
  <si>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</si>
  <si>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</si>
  <si>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</si>
  <si>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</si>
  <si>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</si>
  <si>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</si>
  <si>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</si>
  <si>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</si>
  <si>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</si>
  <si>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</si>
  <si>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</si>
  <si>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</si>
  <si>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</si>
  <si>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</si>
  <si>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</si>
  <si>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</si>
  <si>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</si>
  <si>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</si>
  <si>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</si>
  <si>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</si>
  <si>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</si>
  <si>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</si>
  <si>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</si>
  <si>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</si>
  <si>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</si>
  <si>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</si>
  <si>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</si>
  <si>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</si>
  <si>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</si>
  <si>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</si>
  <si>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</si>
  <si>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</si>
  <si>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</si>
  <si>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</si>
  <si>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</si>
  <si>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</si>
  <si>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</si>
  <si>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</si>
  <si>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</si>
  <si>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</si>
  <si>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</si>
  <si>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</si>
  <si>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</si>
  <si>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</si>
  <si>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</si>
  <si>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</si>
  <si>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</si>
  <si>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</si>
  <si>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</si>
  <si>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</si>
  <si>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</si>
  <si>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</si>
  <si>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</si>
  <si>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</si>
  <si>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</si>
  <si>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</si>
  <si>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</si>
  <si>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</si>
  <si>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</si>
  <si>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</si>
  <si>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</si>
  <si>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</si>
  <si>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</si>
  <si>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</si>
  <si>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</si>
  <si>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</si>
  <si>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</si>
  <si>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</si>
  <si>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</si>
  <si>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</si>
  <si>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</si>
  <si>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</si>
  <si>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</si>
  <si>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</si>
  <si>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</si>
  <si>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</si>
  <si>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</si>
  <si>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</si>
  <si>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</si>
  <si>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</si>
  <si>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</si>
  <si>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</si>
  <si>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</si>
  <si>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</si>
  <si>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</si>
  <si>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</si>
  <si>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</si>
  <si>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</si>
  <si>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</si>
  <si>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</si>
  <si>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</si>
  <si>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</si>
  <si>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</si>
  <si>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</si>
  <si>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</si>
  <si>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</si>
  <si>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</si>
  <si>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</si>
  <si>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</si>
  <si>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</si>
  <si>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</si>
  <si>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</si>
  <si>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</si>
  <si>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</si>
  <si>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</si>
  <si>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</si>
  <si>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</si>
  <si>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</si>
  <si>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</si>
  <si>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</si>
  <si>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</si>
  <si>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</si>
  <si>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</si>
  <si>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</si>
  <si>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</si>
  <si>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</si>
  <si>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</si>
  <si>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</si>
  <si>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</si>
  <si>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</si>
  <si>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</si>
  <si>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</si>
  <si>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</si>
  <si>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</si>
  <si>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</si>
  <si>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</si>
  <si>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</si>
  <si>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</si>
  <si>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</si>
  <si>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</si>
  <si>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</si>
  <si>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</si>
  <si>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</si>
  <si>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</si>
  <si>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</si>
  <si>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</si>
  <si>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</si>
  <si>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</si>
  <si>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</si>
  <si>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</si>
  <si>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</si>
  <si>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</si>
  <si>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</si>
  <si>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</si>
  <si>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</si>
  <si>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</si>
  <si>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</si>
  <si>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</si>
  <si>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</si>
  <si>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</si>
  <si>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</si>
  <si>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</si>
  <si>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</si>
  <si>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</si>
  <si>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</si>
  <si>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</si>
  <si>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</si>
  <si>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</si>
  <si>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</si>
  <si>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</si>
  <si>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</si>
  <si>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</si>
  <si>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</si>
  <si>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</si>
  <si>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</si>
  <si>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</si>
  <si>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</si>
  <si>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</si>
  <si>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</si>
  <si>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</si>
  <si>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</si>
  <si>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</si>
  <si>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</si>
  <si>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</si>
  <si>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</si>
  <si>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</si>
  <si>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</si>
  <si>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</si>
  <si>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</si>
  <si>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</si>
  <si>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</si>
  <si>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</si>
  <si>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</si>
  <si>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</si>
  <si>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</si>
  <si>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</si>
  <si>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</si>
  <si>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</si>
  <si>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</si>
  <si>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</si>
  <si>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</si>
  <si>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</si>
  <si>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</si>
  <si>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</si>
  <si>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</si>
  <si>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</si>
  <si>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</si>
  <si>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</si>
  <si>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</si>
  <si>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</si>
  <si>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</si>
  <si>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</si>
  <si>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</si>
  <si>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</si>
  <si>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</si>
  <si>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</si>
  <si>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</si>
  <si>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</si>
  <si>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</si>
  <si>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</si>
  <si>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</si>
  <si>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</si>
  <si>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</si>
  <si>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</si>
  <si>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</si>
  <si>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</si>
  <si>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</si>
  <si>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</si>
  <si>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</si>
  <si>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</si>
  <si>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</si>
  <si>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</si>
  <si>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</si>
  <si>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</si>
  <si>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</si>
  <si>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</si>
  <si>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</si>
  <si>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</si>
  <si>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</si>
  <si>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</si>
  <si>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</si>
  <si>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</si>
  <si>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</si>
  <si>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</si>
  <si>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</si>
  <si>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</si>
  <si>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</si>
  <si>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</si>
  <si>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</si>
  <si>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</si>
  <si>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</si>
  <si>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</si>
  <si>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</si>
  <si>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</si>
  <si>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</si>
  <si>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</si>
  <si>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</si>
  <si>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</si>
  <si>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</si>
  <si>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</si>
  <si>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</si>
  <si>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</si>
  <si>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</si>
  <si>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</si>
  <si>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</si>
  <si>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</si>
  <si>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</si>
  <si>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</si>
  <si>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</si>
  <si>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</si>
  <si>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</si>
  <si>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</si>
  <si>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</si>
  <si>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</si>
  <si>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</si>
  <si>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</si>
  <si>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</si>
  <si>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</si>
  <si>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</si>
  <si>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</si>
  <si>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</si>
  <si>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</si>
  <si>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</si>
  <si>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</si>
  <si>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</si>
  <si>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</si>
  <si>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</si>
  <si>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</si>
  <si>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</si>
  <si>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</si>
  <si>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</si>
  <si>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</si>
  <si>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</si>
  <si>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</si>
  <si>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</si>
  <si>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</si>
  <si>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</si>
  <si>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</si>
  <si>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</si>
  <si>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</si>
  <si>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</si>
  <si>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</si>
  <si>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</si>
  <si>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</si>
  <si>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</si>
  <si>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</si>
  <si>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</si>
  <si>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</si>
  <si>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</si>
  <si>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</si>
  <si>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</si>
  <si>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</si>
  <si>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</si>
  <si>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</si>
  <si>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</si>
  <si>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</si>
  <si>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</si>
  <si>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</si>
  <si>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</si>
  <si>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</si>
  <si>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</si>
  <si>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</si>
  <si>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</si>
  <si>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</si>
  <si>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</si>
  <si>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</si>
  <si>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</si>
  <si>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</si>
  <si>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</si>
  <si>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</si>
  <si>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</si>
  <si>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</si>
  <si>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</si>
  <si>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</si>
  <si>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</si>
  <si>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</si>
  <si>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</si>
  <si>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</si>
  <si>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</si>
  <si>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</si>
  <si>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</si>
  <si>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</si>
  <si>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</si>
  <si>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</si>
  <si>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</si>
  <si>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</si>
  <si>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</si>
  <si>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</si>
  <si>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</si>
  <si>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</si>
  <si>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</si>
  <si>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</si>
  <si>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</si>
  <si>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</si>
  <si>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</si>
  <si>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</si>
  <si>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</si>
  <si>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</si>
  <si>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</si>
  <si>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</si>
  <si>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</si>
  <si>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</si>
  <si>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</si>
  <si>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</si>
  <si>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</si>
  <si>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</si>
  <si>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</si>
  <si>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</si>
  <si>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</si>
  <si>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</si>
  <si>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</si>
  <si>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</si>
  <si>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</si>
  <si>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</si>
  <si>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</si>
  <si>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</si>
  <si>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</si>
  <si>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</si>
  <si>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</si>
  <si>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</si>
  <si>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</si>
  <si>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</si>
  <si>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</si>
  <si>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</si>
  <si>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</si>
  <si>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</si>
  <si>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</si>
  <si>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</si>
  <si>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</si>
  <si>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</si>
  <si>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</si>
  <si>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</si>
  <si>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</si>
  <si>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</si>
  <si>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</si>
  <si>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</si>
  <si>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</si>
  <si>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</si>
  <si>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</si>
  <si>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</si>
  <si>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</si>
  <si>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</si>
  <si>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</si>
  <si>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</si>
  <si>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</si>
  <si>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</si>
  <si>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</si>
  <si>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</si>
  <si>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</si>
  <si>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</si>
  <si>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</si>
  <si>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</si>
  <si>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</si>
  <si>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</si>
  <si>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</si>
  <si>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</si>
  <si>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</si>
  <si>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</si>
  <si>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</si>
  <si>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</si>
  <si>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</si>
  <si>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</si>
  <si>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</si>
  <si>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</si>
  <si>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</si>
  <si>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</si>
  <si>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</si>
  <si>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</si>
  <si>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</si>
  <si>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</si>
  <si>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</si>
  <si>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</si>
  <si>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</si>
  <si>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</si>
  <si>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</si>
  <si>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</si>
  <si>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</si>
  <si>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</si>
  <si>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</si>
  <si>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</si>
  <si>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</si>
  <si>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</si>
  <si>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</si>
  <si>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</si>
  <si>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</si>
  <si>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</si>
  <si>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</si>
  <si>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</si>
  <si>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</si>
  <si>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</si>
  <si>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</si>
  <si>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</si>
  <si>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</si>
  <si>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</si>
  <si>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</si>
  <si>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</si>
  <si>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</si>
  <si>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</si>
  <si>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</si>
  <si>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</si>
  <si>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</si>
  <si>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</si>
  <si>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</si>
  <si>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</si>
  <si>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</si>
  <si>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</si>
  <si>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</si>
  <si>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</si>
  <si>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</si>
  <si>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</si>
  <si>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</si>
  <si>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</si>
  <si>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</si>
  <si>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</si>
  <si>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</si>
  <si>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</si>
  <si>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</si>
  <si>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</si>
  <si>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</si>
  <si>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</si>
  <si>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</si>
  <si>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</si>
  <si>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</si>
  <si>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</si>
  <si>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</si>
  <si>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</si>
  <si>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</si>
  <si>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</si>
  <si>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</si>
  <si>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</si>
  <si>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</si>
  <si>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</si>
  <si>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</si>
  <si>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</si>
  <si>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</si>
  <si>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</si>
  <si>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</si>
  <si>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</si>
  <si>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</si>
  <si>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</si>
  <si>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</si>
  <si>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</si>
  <si>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</si>
  <si>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</si>
  <si>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</si>
  <si>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</si>
  <si>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</si>
  <si>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</si>
  <si>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</si>
  <si>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</si>
  <si>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</si>
  <si>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</si>
  <si>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</si>
  <si>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</si>
  <si>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</si>
  <si>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</si>
  <si>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</si>
  <si>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</si>
  <si>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</si>
  <si>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</si>
  <si>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</si>
  <si>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</si>
  <si>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</si>
  <si>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</si>
  <si>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</si>
  <si>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</si>
  <si>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</si>
  <si>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</si>
  <si>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</si>
  <si>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</si>
  <si>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</si>
  <si>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</si>
  <si>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</si>
  <si>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</si>
  <si>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</si>
  <si>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</si>
  <si>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</si>
  <si>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</si>
  <si>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</si>
  <si>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</si>
  <si>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</si>
  <si>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</si>
  <si>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</si>
  <si>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</si>
  <si>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</si>
  <si>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</si>
  <si>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</si>
  <si>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</si>
  <si>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</si>
  <si>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</si>
  <si>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</si>
  <si>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</si>
  <si>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</si>
  <si>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</si>
  <si>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</si>
  <si>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</si>
  <si>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</si>
  <si>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</si>
  <si>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</si>
  <si>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</si>
  <si>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</si>
  <si>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</si>
  <si>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</si>
  <si>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</si>
  <si>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</si>
  <si>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</si>
  <si>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</si>
  <si>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</si>
  <si>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</si>
  <si>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</si>
  <si>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</si>
  <si>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</si>
  <si>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</si>
  <si>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</si>
  <si>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</si>
  <si>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</si>
  <si>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</si>
  <si>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</si>
  <si>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</si>
  <si>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</si>
  <si>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</si>
  <si>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</si>
  <si>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</si>
  <si>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</si>
  <si>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</si>
  <si>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</si>
  <si>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</si>
  <si>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</si>
  <si>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</si>
  <si>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</si>
  <si>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</si>
  <si>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</si>
  <si>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</si>
  <si>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</si>
  <si>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</si>
  <si>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</si>
  <si>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</si>
  <si>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</si>
  <si>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</si>
  <si>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</si>
  <si>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</si>
  <si>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</si>
  <si>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</si>
  <si>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</si>
  <si>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</si>
  <si>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</si>
  <si>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</si>
  <si>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</si>
  <si>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</si>
  <si>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</si>
  <si>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</si>
  <si>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</si>
  <si>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</si>
  <si>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</si>
  <si>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</si>
  <si>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</si>
  <si>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</si>
  <si>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</si>
  <si>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</si>
  <si>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</si>
  <si>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</si>
  <si>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</si>
  <si>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</si>
  <si>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</si>
  <si>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</si>
  <si>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</si>
  <si>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</si>
  <si>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</si>
  <si>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</si>
  <si>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</si>
  <si>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</si>
  <si>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</si>
  <si>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</si>
  <si>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</si>
  <si>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</si>
  <si>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</si>
  <si>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</si>
  <si>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</si>
  <si>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</si>
  <si>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</si>
  <si>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</si>
  <si>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</si>
  <si>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</si>
  <si>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</si>
  <si>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</si>
  <si>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</si>
  <si>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</si>
  <si>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</si>
  <si>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</si>
  <si>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</si>
  <si>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</si>
  <si>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</si>
  <si>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</si>
  <si>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</si>
  <si>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</si>
  <si>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</si>
  <si>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</si>
  <si>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</si>
  <si>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</si>
  <si>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</si>
  <si>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</si>
  <si>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</si>
  <si>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</si>
  <si>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</si>
  <si>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</si>
  <si>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</si>
  <si>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</si>
  <si>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</si>
  <si>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</si>
  <si>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</si>
  <si>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</si>
  <si>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</si>
  <si>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</si>
  <si>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</si>
  <si>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</si>
  <si>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</si>
  <si>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</si>
  <si>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</si>
  <si>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</si>
  <si>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</si>
  <si>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</si>
  <si>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</si>
  <si>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</si>
  <si>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</si>
  <si>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</si>
  <si>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</si>
  <si>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</si>
  <si>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</si>
  <si>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</si>
  <si>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</si>
  <si>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</si>
  <si>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</si>
  <si>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</si>
  <si>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</si>
  <si>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</si>
  <si>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</si>
  <si>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</si>
  <si>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</si>
  <si>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</si>
  <si>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</si>
  <si>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</si>
  <si>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</si>
  <si>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</si>
  <si>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</si>
  <si>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</si>
  <si>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</si>
  <si>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</si>
  <si>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</si>
  <si>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</si>
  <si>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</si>
  <si>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</si>
  <si>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</si>
  <si>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</si>
  <si>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</si>
  <si>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</si>
  <si>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</si>
  <si>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</si>
  <si>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</si>
  <si>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</si>
  <si>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</si>
  <si>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</si>
  <si>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</si>
  <si>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</si>
  <si>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</si>
  <si>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</si>
  <si>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</si>
  <si>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</si>
  <si>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</si>
  <si>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</si>
  <si>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</si>
  <si>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</si>
  <si>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</si>
  <si>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</si>
  <si>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</si>
  <si>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</si>
  <si>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</si>
  <si>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</si>
  <si>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</si>
  <si>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</si>
  <si>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</si>
  <si>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</si>
  <si>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</si>
  <si>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</si>
  <si>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</si>
  <si>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</si>
  <si>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</si>
  <si>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</si>
  <si>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</si>
  <si>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</si>
  <si>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</si>
  <si>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</si>
  <si>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</si>
  <si>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</si>
  <si>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</si>
  <si>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</si>
  <si>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</si>
  <si>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</si>
  <si>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</si>
  <si>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</si>
  <si>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</si>
  <si>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</si>
  <si>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</si>
  <si>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</si>
  <si>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</si>
  <si>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</si>
  <si>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</si>
  <si>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</si>
  <si>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</si>
  <si>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</si>
  <si>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</si>
  <si>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</si>
  <si>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</si>
  <si>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</si>
  <si>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</si>
  <si>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</si>
  <si>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</si>
  <si>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</si>
  <si>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</si>
  <si>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</si>
  <si>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</si>
  <si>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</si>
  <si>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</si>
  <si>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</si>
  <si>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</si>
  <si>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</si>
  <si>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</si>
  <si>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</si>
  <si>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</si>
  <si>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</si>
  <si>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</si>
  <si>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</si>
  <si>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</si>
  <si>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</si>
  <si>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</si>
  <si>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</si>
  <si>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</si>
  <si>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</si>
  <si>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</si>
  <si>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</si>
  <si>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</si>
  <si>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</si>
  <si>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</si>
  <si>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</si>
  <si>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</si>
  <si>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</si>
  <si>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</si>
  <si>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</si>
  <si>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</si>
  <si>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</si>
  <si>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</si>
  <si>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</si>
  <si>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</si>
  <si>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</si>
  <si>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</si>
  <si>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</si>
  <si>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</si>
  <si>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</si>
  <si>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</si>
  <si>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</si>
  <si>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</si>
  <si>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</si>
  <si>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</si>
  <si>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</si>
  <si>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</si>
  <si>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</si>
  <si>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</si>
  <si>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</si>
  <si>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</si>
  <si>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</si>
  <si>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</si>
  <si>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</si>
  <si>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</si>
  <si>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</si>
  <si>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</si>
  <si>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</si>
  <si>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</si>
  <si>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</si>
  <si>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</si>
  <si>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</si>
  <si>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</si>
  <si>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</si>
  <si>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</si>
  <si>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</si>
  <si>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</si>
  <si>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</si>
  <si>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</si>
  <si>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</si>
  <si>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</si>
  <si>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</si>
  <si>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</si>
  <si>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</si>
  <si>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</si>
  <si>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</si>
  <si>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</si>
  <si>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</si>
  <si>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</si>
  <si>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</si>
  <si>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</si>
  <si>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</si>
  <si>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</si>
  <si>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</si>
  <si>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</si>
  <si>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</si>
  <si>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</si>
  <si>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</si>
  <si>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</si>
  <si>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</si>
  <si>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</si>
  <si>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</si>
  <si>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</si>
  <si>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</si>
  <si>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</si>
  <si>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</si>
  <si>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</si>
  <si>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</si>
  <si>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</si>
  <si>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</si>
  <si>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</si>
  <si>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</si>
  <si>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</si>
  <si>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</si>
  <si>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</si>
  <si>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</si>
  <si>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</si>
  <si>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</si>
  <si>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</si>
  <si>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</si>
  <si>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</si>
  <si>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</si>
  <si>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</si>
  <si>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</si>
  <si>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</si>
  <si>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</si>
  <si>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</si>
  <si>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</si>
  <si>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</si>
  <si>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</si>
  <si>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</si>
  <si>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</si>
  <si>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</si>
  <si>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</si>
  <si>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</si>
  <si>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</si>
  <si>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</si>
  <si>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</si>
  <si>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</si>
  <si>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</si>
  <si>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</si>
  <si>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</si>
  <si>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</si>
  <si>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</si>
  <si>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</si>
  <si>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</si>
  <si>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</si>
  <si>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</si>
  <si>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</si>
  <si>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</si>
  <si>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</si>
  <si>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</si>
  <si>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</si>
  <si>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</si>
  <si>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</si>
  <si>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</si>
  <si>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</si>
  <si>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</si>
  <si>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</si>
  <si>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</si>
  <si>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</si>
  <si>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</si>
  <si>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</si>
  <si>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</si>
  <si>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</si>
  <si>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</si>
  <si>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</si>
  <si>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</si>
  <si>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</si>
  <si>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</si>
  <si>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</si>
  <si>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</si>
  <si>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</si>
  <si>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</si>
  <si>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</si>
  <si>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</si>
  <si>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</si>
  <si>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</si>
  <si>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</si>
  <si>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</si>
  <si>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</si>
  <si>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</si>
  <si>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</si>
  <si>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</si>
  <si>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</si>
  <si>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</si>
  <si>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</si>
  <si>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</si>
  <si>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</si>
  <si>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</si>
  <si>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</si>
  <si>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</si>
  <si>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</si>
  <si>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</si>
  <si>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</si>
  <si>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</si>
  <si>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</si>
  <si>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</si>
  <si>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</si>
  <si>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</si>
  <si>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</si>
  <si>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</si>
  <si>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</si>
  <si>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</si>
  <si>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</si>
  <si>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</si>
  <si>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</si>
  <si>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</si>
  <si>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</si>
  <si>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</si>
  <si>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</si>
  <si>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</si>
  <si>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</si>
  <si>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</si>
  <si>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</si>
  <si>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</si>
  <si>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</si>
  <si>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</si>
  <si>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</si>
  <si>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</si>
  <si>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</si>
  <si>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</si>
  <si>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</si>
  <si>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</si>
  <si>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</si>
  <si>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</si>
  <si>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</si>
  <si>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</si>
  <si>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</si>
  <si>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</si>
  <si>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</si>
  <si>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</si>
  <si>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</si>
  <si>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</si>
  <si>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</si>
  <si>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</si>
  <si>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</si>
  <si>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</si>
  <si>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</si>
  <si>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</si>
  <si>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</si>
  <si>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</si>
  <si>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</si>
  <si>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</si>
  <si>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</si>
  <si>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</si>
  <si>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</si>
  <si>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</si>
  <si>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</si>
  <si>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</si>
  <si>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</si>
  <si>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</si>
  <si>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</si>
  <si>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</si>
  <si>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</si>
  <si>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</si>
  <si>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</si>
  <si>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</si>
  <si>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</si>
  <si>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</si>
  <si>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</si>
  <si>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</si>
  <si>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</si>
  <si>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</si>
  <si>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</si>
  <si>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</si>
  <si>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</si>
  <si>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</si>
  <si>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</si>
  <si>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</si>
  <si>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</si>
  <si>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</si>
  <si>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</si>
  <si>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</si>
  <si>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</si>
  <si>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</si>
  <si>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</si>
  <si>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</si>
  <si>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</si>
  <si>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</si>
  <si>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</si>
  <si>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</si>
  <si>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</si>
  <si>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</si>
  <si>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</si>
  <si>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</si>
  <si>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</si>
  <si>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</si>
  <si>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</si>
  <si>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</si>
  <si>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</si>
  <si>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</si>
  <si>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</si>
  <si>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</si>
  <si>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</si>
  <si>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</si>
  <si>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</si>
  <si>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</si>
  <si>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</si>
  <si>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</si>
  <si>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</si>
  <si>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</si>
  <si>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</si>
  <si>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</si>
  <si>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</si>
  <si>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</si>
  <si>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</si>
  <si>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</si>
  <si>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</si>
  <si>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</si>
  <si>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</si>
  <si>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</si>
  <si>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</si>
  <si>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</si>
  <si>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</si>
  <si>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</si>
  <si>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</si>
  <si>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</si>
  <si>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</si>
  <si>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</si>
  <si>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</si>
  <si>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</si>
  <si>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</si>
  <si>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</si>
  <si>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</si>
  <si>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</si>
  <si>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</si>
  <si>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</si>
  <si>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</si>
  <si>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</si>
  <si>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</si>
  <si>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</si>
  <si>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</si>
  <si>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</si>
  <si>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</si>
  <si>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</si>
  <si>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</si>
  <si>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</si>
  <si>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</si>
  <si>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</si>
  <si>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</si>
  <si>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</si>
  <si>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</si>
  <si>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</si>
  <si>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</si>
  <si>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</si>
  <si>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</si>
  <si>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</si>
  <si>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</si>
  <si>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</si>
  <si>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</si>
  <si>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</si>
  <si>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</si>
  <si>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</si>
  <si>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</si>
  <si>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</si>
  <si>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</si>
  <si>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</si>
  <si>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</si>
  <si>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</si>
  <si>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</si>
  <si>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</si>
  <si>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</si>
  <si>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</si>
  <si>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</si>
  <si>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</si>
  <si>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</si>
  <si>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</si>
  <si>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</si>
  <si>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</si>
  <si>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</si>
  <si>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</si>
  <si>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</si>
  <si>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</si>
  <si>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</si>
  <si>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</si>
  <si>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</si>
  <si>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</si>
  <si>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</si>
  <si>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</si>
  <si>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</si>
  <si>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</si>
  <si>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</si>
  <si>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</si>
  <si>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</si>
  <si>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</si>
  <si>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</si>
  <si>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</si>
  <si>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</si>
  <si>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</si>
  <si>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</si>
  <si>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</si>
  <si>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</si>
  <si>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</si>
  <si>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</si>
  <si>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</si>
  <si>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</si>
  <si>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</si>
  <si>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</si>
  <si>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</si>
  <si>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</si>
  <si>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</si>
  <si>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</si>
  <si>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</si>
  <si>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</si>
  <si>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</si>
  <si>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</si>
  <si>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</si>
  <si>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</si>
  <si>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</si>
  <si>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</si>
  <si>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</si>
  <si>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</si>
  <si>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</si>
  <si>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</si>
  <si>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</si>
  <si>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</si>
  <si>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</si>
  <si>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</si>
  <si>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</si>
  <si>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</si>
  <si>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</si>
  <si>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</si>
  <si>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</si>
  <si>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</si>
  <si>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</si>
  <si>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</si>
  <si>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</si>
  <si>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</si>
  <si>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</si>
  <si>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</si>
  <si>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</si>
  <si>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</si>
  <si>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</si>
  <si>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</si>
  <si>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</si>
  <si>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</si>
  <si>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</si>
  <si>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</si>
  <si>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</si>
  <si>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</si>
  <si>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</si>
  <si>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</si>
  <si>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</si>
  <si>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</si>
  <si>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</si>
  <si>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</si>
  <si>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</si>
  <si>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</si>
  <si>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</si>
  <si>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</si>
  <si>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</si>
  <si>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</si>
  <si>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</si>
  <si>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</si>
  <si>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</si>
  <si>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</si>
  <si>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</si>
  <si>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</si>
  <si>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</si>
  <si>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</si>
  <si>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</si>
  <si>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</si>
  <si>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</si>
  <si>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</si>
  <si>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</si>
  <si>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</si>
  <si>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</si>
  <si>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</si>
  <si>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</si>
  <si>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</si>
  <si>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</si>
  <si>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</si>
  <si>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</si>
  <si>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</si>
  <si>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</si>
  <si>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</si>
  <si>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</si>
  <si>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</si>
  <si>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</si>
  <si>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</si>
  <si>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</si>
  <si>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</si>
  <si>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</si>
  <si>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</si>
  <si>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</si>
  <si>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</si>
  <si>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</si>
  <si>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</si>
  <si>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</si>
  <si>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</si>
  <si>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</si>
  <si>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</si>
  <si>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</si>
  <si>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</si>
  <si>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</si>
  <si>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</si>
  <si>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</si>
  <si>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</si>
  <si>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</si>
  <si>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</si>
  <si>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</si>
  <si>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</si>
  <si>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</si>
  <si>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</si>
  <si>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</si>
  <si>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</si>
  <si>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</si>
  <si>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</si>
  <si>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</si>
  <si>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</si>
  <si>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</si>
  <si>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</si>
  <si>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</si>
  <si>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</si>
  <si>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</si>
  <si>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</si>
  <si>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</si>
  <si>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</si>
  <si>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</si>
  <si>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</si>
  <si>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</si>
  <si>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</si>
  <si>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</si>
  <si>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</si>
  <si>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</si>
  <si>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</si>
  <si>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</si>
  <si>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</si>
  <si>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</si>
  <si>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</si>
  <si>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</si>
  <si>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</si>
  <si>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</si>
  <si>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</si>
  <si>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</si>
  <si>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</si>
  <si>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</si>
  <si>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</si>
  <si>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</si>
  <si>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</si>
  <si>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</si>
  <si>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</si>
  <si>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</si>
  <si>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</si>
  <si>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</si>
  <si>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</si>
  <si>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</si>
  <si>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</si>
  <si>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</si>
  <si>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</si>
  <si>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</si>
  <si>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</si>
  <si>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</si>
  <si>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</si>
  <si>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</si>
  <si>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</si>
  <si>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</si>
  <si>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</si>
  <si>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</si>
  <si>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</si>
  <si>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</si>
  <si>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</si>
  <si>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</si>
  <si>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</si>
  <si>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</si>
  <si>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</si>
  <si>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</si>
  <si>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</si>
  <si>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</si>
  <si>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</si>
  <si>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</si>
  <si>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</si>
  <si>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</si>
  <si>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</si>
  <si>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</si>
  <si>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</si>
  <si>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</si>
  <si>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</si>
  <si>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</si>
  <si>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</si>
  <si>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</si>
  <si>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</si>
  <si>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</si>
  <si>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</si>
  <si>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</si>
  <si>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</si>
  <si>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</si>
  <si>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</si>
  <si>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</si>
  <si>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</si>
  <si>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</si>
  <si>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</si>
  <si>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</si>
  <si>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</si>
  <si>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</si>
  <si>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</si>
  <si>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</si>
  <si>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</si>
  <si>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</si>
  <si>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</si>
  <si>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</si>
  <si>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</si>
  <si>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</si>
  <si>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</si>
  <si>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</si>
  <si>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</si>
  <si>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</si>
  <si>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</si>
  <si>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</si>
  <si>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</si>
  <si>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</si>
  <si>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</si>
  <si>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</si>
  <si>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</si>
  <si>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</si>
  <si>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</si>
  <si>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</si>
  <si>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</si>
  <si>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</si>
  <si>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</si>
  <si>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</si>
  <si>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</si>
  <si>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</si>
  <si>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</si>
  <si>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</si>
  <si>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</si>
  <si>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</si>
  <si>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</si>
  <si>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</si>
  <si>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</si>
  <si>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</si>
  <si>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</si>
  <si>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</si>
  <si>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</si>
  <si>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</si>
  <si>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</si>
  <si>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</si>
  <si>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</si>
  <si>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</si>
  <si>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</si>
  <si>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</si>
  <si>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</si>
  <si>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</si>
  <si>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</si>
  <si>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</si>
  <si>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</si>
  <si>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</si>
  <si>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</si>
  <si>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</si>
  <si>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</si>
  <si>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</si>
  <si>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</si>
  <si>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</si>
  <si>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</si>
  <si>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</si>
  <si>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</si>
  <si>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</si>
  <si>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</si>
  <si>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</si>
  <si>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</si>
  <si>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</si>
  <si>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</si>
  <si>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</si>
  <si>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</si>
  <si>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</si>
  <si>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</si>
  <si>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</si>
  <si>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</si>
  <si>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</si>
  <si>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</si>
  <si>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</si>
  <si>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</si>
  <si>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</si>
  <si>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</si>
  <si>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</si>
  <si>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</si>
  <si>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</si>
  <si>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</si>
  <si>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</si>
  <si>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</si>
  <si>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</si>
  <si>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</si>
  <si>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</si>
  <si>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</si>
  <si>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</si>
  <si>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</si>
  <si>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</si>
  <si>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</si>
  <si>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</si>
  <si>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</si>
  <si>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</si>
  <si>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</si>
  <si>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</si>
  <si>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</si>
  <si>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</si>
  <si>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</si>
  <si>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</si>
  <si>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</si>
  <si>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</si>
  <si>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</si>
  <si>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</si>
  <si>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</si>
  <si>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</si>
  <si>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</si>
  <si>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</si>
  <si>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</si>
  <si>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</si>
  <si>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</si>
  <si>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</si>
  <si>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</si>
  <si>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</si>
  <si>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</si>
  <si>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</si>
  <si>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</si>
  <si>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</si>
  <si>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</si>
  <si>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</si>
  <si>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</si>
  <si>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</si>
  <si>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</si>
  <si>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</si>
  <si>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</si>
  <si>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</si>
  <si>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</si>
  <si>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</si>
  <si>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</si>
  <si>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</si>
  <si>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</si>
  <si>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</si>
  <si>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</si>
  <si>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</si>
  <si>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</si>
  <si>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</si>
  <si>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</si>
  <si>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</si>
  <si>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</si>
  <si>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</si>
  <si>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</si>
  <si>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</si>
  <si>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</si>
  <si>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</si>
  <si>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</si>
  <si>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</si>
  <si>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</si>
  <si>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</si>
  <si>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</si>
  <si>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</si>
  <si>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</si>
  <si>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</si>
  <si>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</si>
  <si>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</si>
  <si>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</si>
  <si>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</si>
  <si>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</si>
  <si>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</si>
  <si>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</si>
  <si>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</si>
  <si>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</si>
  <si>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</si>
  <si>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</si>
  <si>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</si>
  <si>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</si>
  <si>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</si>
  <si>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</si>
  <si>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</si>
  <si>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</si>
  <si>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</si>
  <si>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</si>
  <si>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</si>
  <si>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</si>
  <si>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</si>
  <si>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</si>
  <si>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</si>
  <si>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</si>
  <si>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</si>
  <si>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</si>
  <si>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</si>
  <si>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</si>
  <si>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</si>
  <si>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</si>
  <si>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</si>
  <si>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</si>
  <si>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</si>
  <si>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</si>
  <si>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</si>
  <si>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</si>
  <si>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</si>
  <si>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</si>
  <si>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</si>
  <si>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</si>
  <si>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</si>
  <si>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</si>
  <si>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</si>
  <si>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</si>
  <si>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</si>
  <si>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</si>
  <si>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</si>
  <si>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</si>
  <si>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</si>
  <si>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</si>
  <si>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</si>
  <si>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</si>
  <si>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</si>
  <si>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</si>
  <si>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</si>
  <si>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</si>
  <si>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</si>
  <si>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</si>
  <si>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</si>
  <si>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</si>
  <si>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</si>
  <si>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</si>
  <si>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</si>
  <si>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</si>
  <si>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</si>
  <si>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</si>
  <si>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</si>
  <si>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</si>
  <si>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</si>
  <si>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</si>
  <si>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</si>
  <si>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</si>
  <si>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</si>
  <si>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</si>
  <si>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</si>
  <si>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</si>
  <si>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</si>
  <si>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</si>
  <si>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</si>
  <si>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</si>
  <si>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</si>
  <si>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</si>
  <si>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</si>
  <si>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</si>
  <si>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</si>
  <si>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</si>
  <si>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</si>
  <si>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</si>
  <si>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</si>
  <si>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</si>
  <si>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</si>
  <si>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</si>
  <si>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</si>
  <si>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</si>
  <si>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</si>
  <si>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</si>
  <si>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</si>
  <si>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</si>
  <si>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</si>
  <si>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</si>
  <si>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</si>
  <si>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</si>
  <si>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</si>
  <si>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</si>
  <si>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</si>
  <si>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</si>
  <si>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</si>
  <si>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</si>
  <si>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</si>
  <si>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</si>
  <si>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</si>
  <si>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</si>
  <si>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</si>
  <si>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</si>
  <si>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</si>
  <si>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</si>
  <si>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</si>
  <si>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</si>
  <si>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</si>
  <si>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</si>
  <si>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</si>
  <si>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</si>
  <si>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</si>
  <si>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</si>
  <si>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</si>
  <si>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</si>
  <si>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</si>
  <si>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</si>
  <si>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</si>
  <si>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</si>
  <si>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</si>
  <si>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</si>
  <si>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</si>
  <si>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</si>
  <si>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</si>
  <si>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</si>
  <si>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</si>
  <si>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</si>
  <si>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</si>
  <si>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</si>
  <si>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</si>
  <si>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</si>
  <si>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</si>
  <si>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</si>
  <si>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Quarterly Real Tax Change</t>
  </si>
  <si>
    <t>PCE Deflator</t>
  </si>
  <si>
    <t>Nominal Corporate Tax Change</t>
  </si>
  <si>
    <t>Federal Reserve Bank of St. Louis</t>
  </si>
  <si>
    <t>observation_date</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</si>
  <si>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</si>
  <si>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</si>
  <si>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</si>
  <si>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</si>
  <si>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</si>
  <si>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</si>
  <si>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</si>
  <si>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</si>
  <si>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</si>
  <si>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</si>
  <si>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</si>
  <si>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</si>
  <si>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</si>
  <si>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</si>
  <si>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</si>
  <si>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</si>
  <si>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</si>
  <si>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</si>
  <si>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</si>
  <si>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</si>
  <si>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</si>
  <si>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</si>
  <si>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</si>
  <si>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</si>
  <si>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</si>
  <si>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</si>
  <si>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March</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</si>
  <si>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</si>
  <si>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</si>
  <si>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</si>
  <si>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</si>
  <si>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</si>
  <si>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</si>
  <si>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</si>
  <si>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</si>
  <si>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</si>
  <si>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</si>
  <si>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</si>
  <si>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</si>
  <si>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state + local</t>
  </si>
  <si>
    <t>June</t>
  </si>
  <si>
    <t>July</t>
  </si>
  <si>
    <t>Consumption (CBO)</t>
  </si>
  <si>
    <t>FIM consumption deflator forecast</t>
  </si>
  <si>
    <t>consumption deflator add factor</t>
  </si>
  <si>
    <t xml:space="preserve">2024 Q1 </t>
  </si>
  <si>
    <t xml:space="preserve">2026 Q1 </t>
  </si>
  <si>
    <t>lasgova@usecon</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</si>
  <si>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</si>
  <si>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</si>
  <si>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</si>
  <si>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</si>
  <si>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</si>
  <si>
    <t>2024 Q1 initial update</t>
  </si>
  <si>
    <t>2024 Q1 first revision</t>
  </si>
  <si>
    <t>We haven't put in the CBO rate because the CBO assumes the TCJA expires</t>
  </si>
  <si>
    <t>Customs</t>
  </si>
  <si>
    <t>Excise</t>
  </si>
  <si>
    <t>Corporate Profits with IVA and CCAdj</t>
  </si>
  <si>
    <t>Taxable Personal Income</t>
  </si>
  <si>
    <t>June 2024 CBO Unemployment Rate Projection</t>
  </si>
  <si>
    <t>June 2024 CBO Projection of Federal Purchases</t>
  </si>
  <si>
    <t>June 2024 CBO Federal Purchases Growth</t>
  </si>
  <si>
    <t>June 2024 CBO Projection of State and Local purchases</t>
  </si>
  <si>
    <t>June 2024 CBO State and Local Purchases Growth</t>
  </si>
  <si>
    <t>Judgmental Growth Rate</t>
  </si>
  <si>
    <t>June 2024 CBO Projection of Federal Medicaid Outlays</t>
  </si>
  <si>
    <t>Note from Lorae in June 2024: These are almost the same as the former estimate</t>
  </si>
  <si>
    <t>June 2024 CBO Annual Medicare Spending</t>
  </si>
  <si>
    <t>Note from Lorae June 2024: 2024 and 2025 projections are up by about 50 B!</t>
  </si>
  <si>
    <t>*Note from Lorae June 2024: income taxes are up by 200ish</t>
  </si>
  <si>
    <t>June 2024 CBO Projections of Federal Taxes (Fiscal Years)</t>
  </si>
  <si>
    <t>June 2024 CBO projection of the annual tax base</t>
  </si>
  <si>
    <t>June 2024 CBO Tax Base Quarterly Projections</t>
  </si>
  <si>
    <t xml:space="preserve"> Corporate Profits</t>
  </si>
  <si>
    <t>Personal Consumption Expenditures</t>
  </si>
  <si>
    <t>June 2024 CBO economic release</t>
  </si>
  <si>
    <t>Federal government consumption expenditures</t>
  </si>
  <si>
    <t>State and local government consumption expenditures</t>
  </si>
  <si>
    <t>Real Personal consumption expenditures, chained 2017 dollars</t>
  </si>
  <si>
    <t>Real Federal government consumption expenditures, chained 2017 dollars</t>
  </si>
  <si>
    <t>Real State and local government consumption expenditures, chained 2017</t>
  </si>
  <si>
    <t>Dec.</t>
  </si>
  <si>
    <t>Percentage point</t>
  </si>
  <si>
    <t>percent</t>
  </si>
  <si>
    <t xml:space="preserve">June 2024 CBO projection of social security </t>
  </si>
  <si>
    <t xml:space="preserve">2021 Q1 </t>
  </si>
  <si>
    <t xml:space="preserve">2022 Q1 </t>
  </si>
  <si>
    <t xml:space="preserve">2023 Q1 </t>
  </si>
  <si>
    <r>
      <t>Nov.</t>
    </r>
    <r>
      <rPr>
        <vertAlign val="superscript"/>
        <sz val="11"/>
        <rFont val="Calibri"/>
        <family val="2"/>
      </rPr>
      <t xml:space="preserve"> </t>
    </r>
  </si>
  <si>
    <t>Yes</t>
  </si>
  <si>
    <t>2024 Q2 Initial release (July)</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</si>
  <si>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</si>
  <si>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</si>
  <si>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</si>
  <si>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</si>
  <si>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</si>
  <si>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</si>
  <si>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</si>
  <si>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</si>
  <si>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</si>
  <si>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</si>
  <si>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</si>
  <si>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</si>
  <si>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</si>
  <si>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</si>
  <si>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</si>
  <si>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</si>
  <si>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</si>
  <si>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</si>
  <si>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</si>
  <si>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</si>
  <si>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</si>
  <si>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</si>
  <si>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</si>
  <si>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</si>
  <si>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</si>
  <si>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</si>
  <si>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</si>
  <si>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</si>
  <si>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</si>
  <si>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</si>
  <si>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</si>
  <si>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</si>
  <si>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</si>
  <si>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</si>
  <si>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</si>
  <si>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</si>
  <si>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</si>
  <si>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</si>
  <si>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</si>
  <si>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</si>
  <si>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</si>
  <si>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</si>
  <si>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</si>
  <si>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</si>
  <si>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</si>
  <si>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</si>
  <si>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</si>
  <si>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</si>
  <si>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</si>
  <si>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</si>
  <si>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</si>
  <si>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</si>
  <si>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</si>
  <si>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</si>
  <si>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</si>
  <si>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</si>
  <si>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</si>
  <si>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</si>
  <si>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</si>
  <si>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</si>
  <si>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</si>
  <si>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</si>
  <si>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</si>
  <si>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</si>
  <si>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</si>
  <si>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</si>
  <si>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</si>
  <si>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</si>
  <si>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</si>
  <si>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</si>
  <si>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</si>
  <si>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</si>
  <si>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</si>
  <si>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</si>
  <si>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</si>
  <si>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</si>
  <si>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</si>
  <si>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</si>
  <si>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</si>
  <si>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</si>
  <si>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</si>
  <si>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</si>
  <si>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</si>
  <si>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</si>
  <si>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</si>
  <si>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</si>
  <si>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</si>
  <si>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</si>
  <si>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</si>
  <si>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</si>
  <si>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</si>
  <si>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</si>
  <si>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</si>
  <si>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</si>
  <si>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</si>
  <si>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</si>
  <si>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</si>
  <si>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</si>
  <si>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</si>
  <si>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</si>
  <si>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</si>
  <si>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</si>
  <si>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</si>
  <si>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</si>
  <si>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</si>
  <si>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</si>
  <si>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</si>
  <si>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</si>
  <si>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</si>
  <si>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</si>
  <si>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</si>
  <si>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</si>
  <si>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</si>
  <si>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</si>
  <si>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</si>
  <si>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</si>
  <si>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</si>
  <si>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</si>
  <si>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</si>
  <si>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</si>
  <si>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</si>
  <si>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</si>
  <si>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</si>
  <si>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</si>
  <si>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</si>
  <si>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</si>
  <si>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</si>
  <si>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</si>
  <si>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</si>
  <si>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</si>
  <si>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</si>
  <si>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</si>
  <si>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</si>
  <si>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</si>
  <si>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</si>
  <si>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</si>
  <si>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</si>
  <si>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</si>
  <si>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</si>
  <si>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</si>
  <si>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</si>
  <si>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</si>
  <si>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</si>
  <si>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</si>
  <si>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</si>
  <si>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</si>
  <si>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</si>
  <si>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</si>
  <si>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</si>
  <si>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</si>
  <si>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</si>
  <si>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</si>
  <si>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</si>
  <si>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</si>
  <si>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</si>
  <si>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</si>
  <si>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</si>
  <si>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</si>
  <si>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</si>
  <si>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</si>
  <si>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</si>
  <si>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</si>
  <si>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</si>
  <si>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</si>
  <si>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</si>
  <si>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</si>
  <si>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</si>
  <si>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</si>
  <si>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</si>
  <si>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</si>
  <si>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</si>
  <si>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</si>
  <si>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</si>
  <si>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</si>
  <si>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</si>
  <si>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</si>
  <si>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</si>
  <si>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</si>
  <si>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</si>
  <si>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</si>
  <si>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</si>
  <si>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</si>
  <si>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</si>
  <si>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</si>
  <si>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</si>
  <si>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</si>
  <si>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</si>
  <si>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</si>
  <si>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</si>
  <si>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</si>
  <si>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</si>
  <si>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</si>
  <si>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</si>
  <si>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</si>
  <si>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</si>
  <si>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</si>
  <si>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</si>
  <si>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</si>
  <si>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</si>
  <si>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</si>
  <si>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</si>
  <si>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</si>
  <si>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</si>
  <si>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</si>
  <si>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</si>
  <si>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</si>
  <si>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</si>
  <si>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</si>
  <si>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</si>
  <si>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</si>
  <si>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</si>
  <si>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</si>
  <si>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</si>
  <si>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</si>
  <si>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</si>
  <si>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</si>
  <si>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</si>
  <si>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</si>
  <si>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</si>
  <si>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</si>
  <si>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</si>
  <si>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</si>
  <si>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</si>
  <si>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</si>
  <si>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</si>
  <si>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</si>
  <si>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</si>
  <si>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</si>
  <si>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</si>
  <si>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</si>
  <si>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</si>
  <si>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</si>
  <si>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</si>
  <si>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</si>
  <si>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</si>
  <si>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</si>
  <si>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</si>
  <si>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</si>
  <si>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</si>
  <si>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</si>
  <si>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</si>
  <si>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</si>
  <si>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</si>
  <si>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</si>
  <si>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</si>
  <si>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</si>
  <si>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</si>
  <si>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</si>
  <si>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</si>
  <si>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</si>
  <si>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</si>
  <si>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</si>
  <si>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</si>
  <si>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</si>
  <si>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</si>
  <si>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</si>
  <si>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</si>
  <si>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</si>
  <si>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</si>
  <si>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</si>
  <si>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</si>
  <si>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</si>
  <si>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</si>
  <si>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</si>
  <si>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</si>
  <si>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</si>
  <si>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</si>
  <si>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</si>
  <si>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</si>
  <si>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</si>
  <si>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</si>
  <si>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</si>
  <si>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</si>
  <si>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</si>
  <si>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</si>
  <si>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</si>
  <si>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</si>
  <si>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</si>
  <si>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</si>
  <si>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</si>
  <si>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</si>
  <si>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</si>
  <si>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</si>
  <si>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</si>
  <si>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</si>
  <si>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</si>
  <si>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</si>
  <si>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</si>
  <si>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</si>
  <si>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</si>
  <si>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</si>
  <si>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</si>
  <si>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</si>
  <si>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</si>
  <si>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</si>
  <si>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</si>
  <si>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</si>
  <si>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</si>
  <si>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</si>
  <si>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</si>
  <si>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</si>
  <si>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</si>
  <si>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</si>
  <si>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</si>
  <si>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</si>
  <si>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</si>
  <si>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</si>
  <si>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June</t>
    </r>
    <r>
      <rPr>
        <vertAlign val="superscript"/>
        <sz val="11"/>
        <rFont val="Calibri"/>
        <family val="2"/>
      </rPr>
      <t xml:space="preserve"> r</t>
    </r>
    <r>
      <rPr>
        <sz val="11"/>
        <rFont val="Calibri"/>
        <family val="2"/>
      </rPr>
      <t/>
    </r>
  </si>
  <si>
    <r>
      <t>July</t>
    </r>
    <r>
      <rPr>
        <vertAlign val="superscript"/>
        <sz val="11"/>
        <rFont val="Calibri"/>
        <family val="2"/>
      </rPr>
      <t xml:space="preserve"> p</t>
    </r>
    <r>
      <rPr>
        <sz val="11"/>
        <rFont val="Calibri"/>
        <family val="2"/>
      </rPr>
      <t/>
    </r>
  </si>
  <si>
    <t>https://apps.bea.gov/iTable/?reqid=19&amp;step=3&amp;isuri=1&amp;1921=survey&amp;1903=11&amp;_gl=1*1m1fzad*_ga*MjA3ODA2MTA4MS4xNzE3MDcwOTIy*_ga_J4698JNNFT*MTcyMTk5OTU0Mi4xMy4xLjE3MjIwMDEzMTMuMzEuMC4w#eyJhcHBpZCI6MTksInN0ZXBzIjpbMSwyLDNdLCJkYXRhIjpbWyJOSVBBX1RhYmxlX0xpc3QiLCI4MSJdLFsiQ2F0ZWdvcmllcyIsIlN1cnZleSJdXX0=</t>
  </si>
  <si>
    <t xml:space="preserve">PCE deflator (2.8.4 top line) </t>
  </si>
  <si>
    <t>make 946</t>
  </si>
  <si>
    <t>make 1900</t>
  </si>
  <si>
    <t>make 3050</t>
  </si>
  <si>
    <t>Supply side Ira</t>
  </si>
  <si>
    <t>Goldman used to say 3x but I am shaving it down some until we see some evidence.</t>
  </si>
  <si>
    <t>Real 2022 Dollars</t>
  </si>
  <si>
    <t>equipment spending starts 2 years later, is equal to 2 times investment, and takes 4 quarters</t>
  </si>
  <si>
    <t>Read of GS Graph</t>
  </si>
  <si>
    <t>Average by quarter</t>
  </si>
  <si>
    <t xml:space="preserve">structures </t>
  </si>
  <si>
    <t>equipment</t>
  </si>
  <si>
    <t>adjust to match goldman timing a bit better</t>
  </si>
  <si>
    <t>Total spending $2022</t>
  </si>
  <si>
    <t>Convert to $2017 $</t>
  </si>
  <si>
    <t>FRED Graph Observations</t>
  </si>
  <si>
    <t>Federal Reserve Economic Data</t>
  </si>
  <si>
    <t>Link: https://fred.stlouisfed.org</t>
  </si>
  <si>
    <t>Help: https://fredhelp.stlouisfed.org</t>
  </si>
  <si>
    <t xml:space="preserve">This is the deflator Treausry suggest. I don't know what GS used. </t>
  </si>
  <si>
    <t>Economic Research Division</t>
  </si>
  <si>
    <t>https://home.treasury.gov/news/featured-stories/unpacking-the-boom-in-us-construction-of-manufacturing-facilities</t>
  </si>
  <si>
    <t>WPUID612</t>
  </si>
  <si>
    <t>Producer Price Index by Commodity: Intermediate Demand by Commodity Type: Materials and Components for Construction, Index 1982=100, Annual, Not Seasonally Adjusted</t>
  </si>
  <si>
    <t>Frequency: Annual</t>
  </si>
  <si>
    <t xml:space="preserve">This graph can be found in the FIM folder in a pdf called US Economics Analyst_mid-Year Capex OUtlook </t>
  </si>
  <si>
    <t>Old quarterly real tax change</t>
  </si>
  <si>
    <t>2024 Q2 second revisions (September)</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</si>
  <si>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</si>
  <si>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</si>
  <si>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</si>
  <si>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</si>
  <si>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</si>
  <si>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</si>
  <si>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</si>
  <si>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</si>
  <si>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</si>
  <si>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</si>
  <si>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</si>
  <si>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</si>
  <si>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</si>
  <si>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</si>
  <si>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</si>
  <si>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</si>
  <si>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</si>
  <si>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</si>
  <si>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</si>
  <si>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</si>
  <si>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</si>
  <si>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</si>
  <si>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</si>
  <si>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</si>
  <si>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</si>
  <si>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</si>
  <si>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</si>
  <si>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</si>
  <si>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</si>
  <si>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</si>
  <si>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</si>
  <si>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</si>
  <si>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</si>
  <si>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</si>
  <si>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</si>
  <si>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</si>
  <si>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</si>
  <si>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</si>
  <si>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</si>
  <si>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</si>
  <si>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</si>
  <si>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</si>
  <si>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</si>
  <si>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</si>
  <si>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</si>
  <si>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</si>
  <si>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</si>
  <si>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</si>
  <si>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</si>
  <si>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</si>
  <si>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</si>
  <si>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</si>
  <si>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</si>
  <si>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</si>
  <si>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</si>
  <si>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</si>
  <si>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</si>
  <si>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</si>
  <si>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</si>
  <si>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</si>
  <si>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</si>
  <si>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</si>
  <si>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</si>
  <si>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</si>
  <si>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</si>
  <si>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</si>
  <si>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</si>
  <si>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</si>
  <si>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</si>
  <si>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</si>
  <si>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</si>
  <si>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</si>
  <si>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</si>
  <si>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</si>
  <si>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</si>
  <si>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</si>
  <si>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</si>
  <si>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</si>
  <si>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</si>
  <si>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</si>
  <si>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</si>
  <si>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</si>
  <si>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</si>
  <si>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</si>
  <si>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</si>
  <si>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</si>
  <si>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</si>
  <si>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</si>
  <si>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</si>
  <si>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</si>
  <si>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</si>
  <si>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</si>
  <si>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</si>
  <si>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</si>
  <si>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</si>
  <si>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</si>
  <si>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</si>
  <si>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</si>
  <si>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</si>
  <si>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</si>
  <si>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</si>
  <si>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</si>
  <si>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</si>
  <si>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</si>
  <si>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</si>
  <si>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</si>
  <si>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</si>
  <si>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</si>
  <si>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</si>
  <si>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</si>
  <si>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</si>
  <si>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</si>
  <si>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</si>
  <si>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</si>
  <si>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</si>
  <si>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</si>
  <si>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</si>
  <si>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</si>
  <si>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</si>
  <si>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</si>
  <si>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</si>
  <si>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</si>
  <si>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</si>
  <si>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</si>
  <si>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</si>
  <si>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</si>
  <si>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</si>
  <si>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</si>
  <si>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</si>
  <si>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</si>
  <si>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</si>
  <si>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</si>
  <si>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</si>
  <si>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</si>
  <si>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</si>
  <si>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</si>
  <si>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</si>
  <si>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</si>
  <si>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</si>
  <si>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</si>
  <si>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</si>
  <si>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</si>
  <si>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</si>
  <si>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</si>
  <si>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</si>
  <si>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</si>
  <si>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</si>
  <si>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</si>
  <si>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</si>
  <si>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</si>
  <si>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</si>
  <si>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</si>
  <si>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</si>
  <si>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</si>
  <si>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</si>
  <si>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</si>
  <si>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</si>
  <si>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</si>
  <si>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</si>
  <si>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</si>
  <si>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</si>
  <si>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</si>
  <si>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</si>
  <si>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</si>
  <si>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</si>
  <si>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</si>
  <si>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</si>
  <si>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</si>
  <si>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</si>
  <si>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</si>
  <si>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</si>
  <si>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</si>
  <si>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</si>
  <si>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</si>
  <si>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</si>
  <si>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</si>
  <si>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</si>
  <si>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</si>
  <si>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</si>
  <si>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</si>
  <si>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</si>
  <si>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</si>
  <si>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</si>
  <si>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</si>
  <si>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</si>
  <si>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</si>
  <si>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</si>
  <si>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</si>
  <si>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</si>
  <si>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</si>
  <si>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</si>
  <si>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</si>
  <si>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</si>
  <si>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</si>
  <si>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</si>
  <si>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</si>
  <si>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</si>
  <si>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</si>
  <si>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</si>
  <si>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</si>
  <si>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</si>
  <si>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</si>
  <si>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</si>
  <si>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</si>
  <si>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</si>
  <si>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</si>
  <si>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</si>
  <si>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</si>
  <si>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</si>
  <si>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</si>
  <si>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</si>
  <si>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</si>
  <si>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</si>
  <si>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2023 Q1</t>
  </si>
  <si>
    <t xml:space="preserve">2023 Q2</t>
  </si>
  <si>
    <t xml:space="preserve">2023 Q3</t>
  </si>
  <si>
    <t xml:space="preserve">2023 Q4</t>
  </si>
  <si>
    <t xml:space="preserve">2024 Q1</t>
  </si>
  <si>
    <t xml:space="preserve">2024 Q2</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</si>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</sst>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
    <numFmt numFmtId="165" formatCode="#,##0.0"/>
    <numFmt numFmtId="166" formatCode="yyyy\-mm\-dd"/>
    <numFmt numFmtId="167" formatCode="0.0%"/>
    <numFmt numFmtId="168" formatCode="0.0"/>
    <numFmt numFmtId="169" formatCode="0.000"/>
    <numFmt numFmtId="170" formatCode="#,##0.0000"/>
    <numFmt numFmtId="171" formatCode="#,##0.000"/>
    <numFmt numFmtId="172" formatCode="0.00000000000000"/>
    <numFmt numFmtId="173" formatCode="0.0000000000000"/>
    <numFmt numFmtId="179" formatCode="[$-409]mmm\-yy;@"/>
    <numFmt numFmtId="174" formatCode="_(* #,##0_);_(* \(#,##0\);_(* &quot;-&quot;??_);_(@_)"/>
    <numFmt numFmtId="175" formatCode="0_);\(0\)"/>
    <numFmt numFmtId="176" formatCode="0.0000"/>
    <numFmt numFmtId="177" formatCode="0.00_);\(0.00\)"/>
    <numFmt numFmtId="178" formatCode="0.0000%"/>
  </numFmts>
  <fonts count="59">
    <font>
      <sz val="11"/>
      <color theme="1"/>
      <name val="Calibri"/>
      <family val="2"/>
      <scheme val="minor"/>
    </font>
    <font>
      <sz val="11"/>
      <color theme="1"/>
      <name val="Calibri"/>
      <family val="2"/>
    </font>
    <font>
      <sz val="11"/>
      <color theme="1"/>
      <name val="Calibri"/>
      <family val="2"/>
      <b/>
    </font>
    <font>
      <sz val="11"/>
      <color theme="1"/>
      <name val="Calibri"/>
      <family val="2"/>
      <i/>
    </font>
    <font>
      <sz val="11"/>
      <color theme="1"/>
      <name val="Arial"/>
      <family val="2"/>
    </font>
    <font>
      <sz val="11"/>
      <color theme="1"/>
      <name val="Calibri"/>
      <family val="2"/>
      <b/>
      <i/>
    </font>
    <font>
      <sz val="11"/>
      <color rgb="FF000000"/>
      <name val="Calibri"/>
      <family val="2"/>
      <b/>
      <i/>
    </font>
    <font>
      <sz val="11"/>
      <color rgb="FF000000"/>
      <name val="Calibri"/>
      <family val="2"/>
    </font>
    <font>
      <sz val="11"/>
      <color rgb="FF000000"/>
      <name val="Calibri"/>
      <family val="2"/>
      <b/>
    </font>
    <font>
      <sz val="11"/>
      <color rgb="FF44546A"/>
      <name val="Arial"/>
      <family val="2"/>
    </font>
    <font>
      <sz val="7"/>
      <color theme="1"/>
      <name val="Segoe UI"/>
      <family val="2"/>
    </font>
    <font>
      <sz val="11"/>
      <color theme="3"/>
      <name val="Arial"/>
      <family val="2"/>
    </font>
    <font>
      <sz val="11"/>
      <color theme="1"/>
      <name val="Calibri"/>
    </font>
    <font>
      <sz val="11"/>
      <color theme="1"/>
      <name val="Arial"/>
      <family val="2"/>
      <b/>
    </font>
    <font>
      <sz val="16"/>
      <color theme="1"/>
      <name val="Calibri"/>
      <family val="2"/>
      <b/>
    </font>
    <font>
      <sz val="11"/>
      <color theme="10"/>
      <name val="Calibri"/>
      <family val="2"/>
      <scheme val="minor"/>
      <u val="single"/>
    </font>
    <font>
      <sz val="11"/>
      <color theme="10"/>
      <name val="Calibri"/>
      <family val="2"/>
      <u val="single"/>
    </font>
    <font>
      <sz val="11"/>
      <color theme="1"/>
      <name val="Calibri"/>
      <family val="2"/>
      <scheme val="minor"/>
      <b/>
    </font>
    <font>
      <sz val="12"/>
      <color theme="1"/>
      <name val="Calibri"/>
      <family val="2"/>
    </font>
    <font>
      <sz val="12"/>
      <color theme="1"/>
      <name val="Calibri"/>
      <family val="2"/>
      <b/>
    </font>
    <font>
      <sz val="11"/>
      <color theme="1"/>
      <name val="Arial"/>
      <family val="2"/>
      <i/>
    </font>
    <font>
      <sz val="11"/>
      <color rgb="FFFF0000"/>
      <name val="Arial"/>
      <family val="2"/>
    </font>
    <font>
      <sz val="11"/>
      <color rgb="FF393B3E"/>
      <name val="Arial"/>
      <family val="2"/>
    </font>
    <font>
      <sz val="11"/>
      <color theme="1"/>
      <name val="Arial"/>
      <family val="2"/>
      <b/>
      <i/>
    </font>
    <font>
      <sz val="11"/>
      <color rgb="FF000000"/>
      <name val="Arial"/>
      <family val="2"/>
    </font>
    <font>
      <sz val="7"/>
      <color rgb="FF242424"/>
      <name val="Segoe UI"/>
      <family val="2"/>
    </font>
    <font>
      <sz val="10"/>
      <color theme="1"/>
      <name val="Arial"/>
      <family val="2"/>
      <b/>
    </font>
    <font>
      <sz val="10"/>
      <color theme="1"/>
      <name val="Arial"/>
      <family val="2"/>
      <b/>
      <i/>
    </font>
    <font>
      <sz val="9"/>
      <color theme="1"/>
      <name val="Arial"/>
      <family val="2"/>
      <b/>
    </font>
    <font>
      <sz val="11"/>
      <color indexed="8"/>
      <name val="Arial"/>
      <family val="2"/>
    </font>
    <font>
      <sz val="11"/>
      <color rgb="FF0070C0"/>
      <name val="Arial"/>
      <family val="2"/>
    </font>
    <font>
      <sz val="11"/>
      <color theme="8" tint="-0.249977111117893"/>
      <name val="Arial"/>
      <family val="2"/>
    </font>
    <font>
      <sz val="10"/>
      <color theme="1"/>
      <name val="Arial"/>
      <family val="2"/>
    </font>
    <font>
      <sz val="11"/>
      <color rgb="FF000000"/>
      <name val="Calibri"/>
      <family val="2"/>
      <scheme val="minor"/>
    </font>
    <font>
      <sz val="11"/>
      <color theme="1"/>
      <name val="Calibri"/>
      <family val="2"/>
      <scheme val="minor"/>
    </font>
    <font>
      <sz val="11"/>
      <color rgb="FF000000"/>
      <name val="Arial"/>
      <family val="2"/>
      <b/>
    </font>
    <font>
      <sz val="11"/>
      <color rgb="FF242424"/>
      <name val="Arial"/>
      <family val="2"/>
    </font>
    <font>
      <sz val="11"/>
      <color theme="0"/>
      <name val="Arial"/>
      <family val="2"/>
      <b/>
    </font>
    <font>
      <sz val="11"/>
      <color rgb="FF000000"/>
      <name val="Arial"/>
      <family val="2"/>
      <i/>
    </font>
    <font>
      <sz val="10"/>
      <color theme="1"/>
      <name val="Calibri"/>
      <family val="2"/>
    </font>
    <font>
      <sz val="10"/>
      <color theme="1"/>
      <name val="Arial"/>
      <family val="2"/>
      <i/>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sz val="9"/>
      <color theme="10"/>
      <name val="Arial"/>
      <family val="2"/>
      <u val="single"/>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sz val="8"/>
      <color rgb="FF980000"/>
      <name val="Arial"/>
      <family val="2"/>
      <b/>
      <i/>
    </font>
    <font>
      <sz val="10"/>
      <color rgb="FF000000"/>
      <name val="Arial"/>
      <family val="2"/>
    </font>
    <font>
      <sz val="10"/>
      <color rgb="FF980000"/>
      <name val="Arial"/>
      <family val="2"/>
    </font>
    <font>
      <sz val="8"/>
      <color rgb="FF000000"/>
      <name val="Arial"/>
      <family val="2"/>
      <b/>
      <i/>
    </font>
    <font>
      <sz val="11"/>
      <color rgb="FF980000"/>
      <name val="Calibri"/>
      <family val="2"/>
    </font>
    <font>
      <sz val="11"/>
      <color theme="1"/>
      <name val="Calibri"/>
      <b/>
    </font>
  </fonts>
  <fills count="43">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C6E0B4"/>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theme="8" tint="0.5999938962981048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border>
    <border>
      <left style="thin">
        <color indexed="64"/>
      </left>
      <top style="thin">
        <color indexed="64"/>
      </top>
    </border>
    <border>
      <bottom style="thin">
        <color indexed="64"/>
      </bottom>
    </border>
    <border>
      <right style="thin">
        <color indexed="64"/>
      </right>
    </border>
    <border>
      <top style="thin">
        <color auto="1"/>
      </top>
    </border>
    <border>
      <right style="thin">
        <color indexed="64"/>
      </right>
      <top style="thin">
        <color indexed="64"/>
      </top>
    </border>
    <border>
      <left style="thin">
        <color indexed="64"/>
      </left>
      <bottom style="thin">
        <color indexed="64"/>
      </bottom>
    </border>
    <border>
      <right style="thin">
        <color indexed="64"/>
      </right>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border>
    <border>
      <left style="thin">
        <color indexed="64"/>
      </left>
      <right style="thin">
        <color indexed="64"/>
      </right>
      <top style="thin">
        <color indexed="64"/>
      </top>
    </border>
    <border>
      <right style="thin">
        <color indexed="64"/>
      </right>
      <top style="thin">
        <color auto="1"/>
      </top>
      <bottom style="thin">
        <color indexed="64"/>
      </bottom>
    </border>
    <border>
      <left style="hair">
        <color auto="1"/>
      </left>
      <right style="hair">
        <color auto="1"/>
      </right>
      <top style="hair">
        <color auto="1"/>
      </top>
      <bottom style="hair">
        <color auto="1"/>
      </bottom>
    </border>
    <border>
      <top style="hair">
        <color indexed="64"/>
      </top>
    </border>
    <border>
      <bottom style="hair">
        <color indexed="64"/>
      </bottom>
    </border>
    <border>
      <right style="hair">
        <color auto="1"/>
      </right>
      <top style="hair">
        <color auto="1"/>
      </top>
    </border>
    <border>
      <right style="hair">
        <color auto="1"/>
      </right>
    </border>
    <border>
      <right style="hair">
        <color auto="1"/>
      </right>
      <bottom style="hair">
        <color auto="1"/>
      </bottom>
    </border>
    <border>
      <bottom style="medium">
        <color theme="0" tint="-0.499984740745262"/>
      </bottom>
    </border>
    <border>
      <left style="hair">
        <color auto="1"/>
      </left>
      <right style="hair">
        <color auto="1"/>
      </right>
      <top style="hair">
        <color auto="1"/>
      </top>
    </border>
    <border>
      <left style="hair">
        <color auto="1"/>
      </left>
      <right style="hair">
        <color auto="1"/>
      </right>
    </border>
    <border>
      <left style="hair">
        <color auto="1"/>
      </left>
      <right style="hair">
        <color auto="1"/>
      </right>
      <bottom style="hair">
        <color auto="1"/>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left style="hair">
        <color auto="1"/>
      </left>
      <top style="hair">
        <color auto="1"/>
      </top>
    </border>
    <border>
      <left style="hair">
        <color auto="1"/>
      </left>
    </border>
    <border>
      <left style="hair">
        <color auto="1"/>
      </left>
      <bottom style="hair">
        <color auto="1"/>
      </bottom>
    </border>
    <border>
      <right style="thin">
        <color indexed="64"/>
      </right>
      <top style="thin">
        <color theme="0" tint="-0.14999847407452621"/>
      </top>
      <bottom style="thin">
        <color theme="0" tint="-0.14999847407452621"/>
      </bottom>
    </border>
    <border>
      <top style="thin">
        <color indexed="64"/>
      </top>
    </border>
    <border>
      <top style="thin">
        <color auto="1"/>
      </top>
      <bottom style="thin">
        <color indexed="64"/>
      </bottom>
    </border>
    <border>
      <bottom style="thin">
        <color rgb="FFFFFF00"/>
      </bottom>
    </border>
    <border>
      <left style="thin">
        <color indexed="64"/>
      </left>
      <bottom style="thin">
        <color rgb="FFFFFF00"/>
      </bottom>
    </border>
    <border>
      <right style="thin">
        <color rgb="FFFFFF00"/>
      </right>
      <bottom style="thin">
        <color rgb="FFFFFF00"/>
      </bottom>
    </border>
    <border>
      <left style="thin">
        <color indexed="64"/>
      </left>
      <top style="thin">
        <color auto="1"/>
      </top>
      <bottom style="thin">
        <color indexed="64"/>
      </bottom>
    </border>
    <border>
      <left style="thin">
        <color auto="1"/>
      </left>
      <right style="thin">
        <color auto="1"/>
      </right>
      <top style="thin">
        <color auto="1"/>
      </top>
      <bottom style="thin">
        <color auto="1"/>
      </bottom>
    </border>
    <border>
      <right style="thin">
        <color auto="1"/>
      </right>
    </border>
    <border>
      <left style="thin">
        <color indexed="64"/>
      </left>
      <top style="hair">
        <color indexed="64"/>
      </top>
    </border>
    <border>
      <left style="thin">
        <color indexed="64"/>
      </left>
      <bottom style="hair">
        <color indexed="64"/>
      </bottom>
    </border>
    <border>
      <left style="thick">
        <color theme="9"/>
      </left>
      <right style="thick">
        <color theme="9"/>
      </right>
      <top style="thick">
        <color theme="9"/>
      </top>
      <bottom style="thick">
        <color theme="9"/>
      </bottom>
    </border>
    <border>
      <right style="thin">
        <color indexed="9"/>
      </right>
    </border>
    <border>
      <left style="thin">
        <color indexed="64"/>
      </left>
      <bottom style="dashed">
        <color indexed="64"/>
      </bottom>
    </border>
    <border>
      <bottom style="dashed">
        <color indexed="64"/>
      </bottom>
    </border>
    <border>
      <right style="thin">
        <color indexed="64"/>
      </right>
      <bottom style="dashed">
        <color indexed="64"/>
      </bottom>
    </border>
    <border>
      <bottom style="thin">
        <color rgb="FF000000"/>
      </bottom>
    </border>
    <border>
      <top style="thin">
        <color rgb="FF000000"/>
      </top>
    </border>
  </borders>
  <cellStyleXfs count="1">
    <xf numFmtId="0" fontId="0" fillId="0" borderId="0"/>
  </cellStyleXfs>
  <cellXfs count="1389">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2" fillId="0" borderId="3" xfId="0" applyFont="1" applyBorder="1"/>
    <xf numFmtId="3" fontId="4" fillId="0" borderId="0" xfId="0" applyFont="1" applyNumberFormat="1" applyAlignment="1">
      <alignment horizontal="center" vertical="top" wrapText="1"/>
    </xf>
    <xf numFmtId="3" fontId="4" fillId="0" borderId="0" xfId="0" applyFont="1" applyNumberFormat="1" applyAlignment="1">
      <alignment horizontal="center" wrapText="1"/>
    </xf>
    <xf numFmtId="164" fontId="1" fillId="0" borderId="0" xfId="0" applyFont="1" applyNumberFormat="1" applyAlignment="1">
      <alignment horizontal="left"/>
    </xf>
    <xf numFmtId="165" fontId="4"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5" xfId="0" applyFont="1" applyBorder="1" applyAlignment="1">
      <alignment horizontal="left"/>
    </xf>
    <xf numFmtId="165" fontId="1" fillId="0" borderId="0" xfId="0" applyFont="1" applyNumberFormat="1" applyAlignment="1">
      <alignment horizontal="left"/>
    </xf>
    <xf numFmtId="1" fontId="4" fillId="0" borderId="0" xfId="0" applyFont="1" applyNumberFormat="1" applyAlignment="1">
      <alignment horizontal="center" wrapText="1"/>
    </xf>
    <xf numFmtId="0" fontId="13" fillId="0" borderId="0" xfId="0" applyFont="1" applyAlignment="1">
      <alignment horizontal="center" vertical="top"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0" fontId="2" fillId="3" borderId="0" xfId="0" applyFont="1" applyFill="1" applyAlignment="1">
      <alignment horizontal="center"/>
    </xf>
    <xf numFmtId="1" fontId="1" fillId="0" borderId="0" xfId="0" applyFont="1" applyNumberFormat="1" applyAlignment="1">
      <alignment horizontal="center"/>
    </xf>
    <xf numFmtId="164" fontId="1" fillId="0" borderId="0" xfId="0" applyFont="1" applyNumberFormat="1"/>
    <xf numFmtId="167" fontId="1" fillId="0" borderId="0" xfId="0" applyFont="1" applyNumberFormat="1" applyAlignment="1">
      <alignment horizontal="center"/>
    </xf>
    <xf numFmtId="1" fontId="1" fillId="0" borderId="0" xfId="0" applyFont="1" applyNumberFormat="1"/>
    <xf numFmtId="167" fontId="1" fillId="0" borderId="0" xfId="0" applyFont="1" applyNumberFormat="1"/>
    <xf numFmtId="0" fontId="2" fillId="0" borderId="0" xfId="0" applyFont="1"/>
    <xf numFmtId="164" fontId="1" fillId="0" borderId="0" xfId="0" applyFont="1" applyNumberFormat="1" applyAlignment="1">
      <alignment horizontal="center"/>
    </xf>
    <xf numFmtId="10" fontId="1" fillId="0" borderId="1" xfId="0" applyFont="1" applyNumberFormat="1" applyBorder="1"/>
    <xf numFmtId="0" fontId="2" fillId="7" borderId="0" xfId="0" applyFont="1" applyFill="1" applyAlignment="1">
      <alignment horizontal="center"/>
    </xf>
    <xf numFmtId="168" fontId="1" fillId="8" borderId="0" xfId="0" applyFont="1" applyNumberFormat="1" applyFill="1" applyAlignment="1">
      <alignment horizontal="left" indent="1"/>
    </xf>
    <xf numFmtId="49" fontId="1" fillId="8" borderId="0" xfId="0" applyFont="1" applyNumberFormat="1" applyFill="1" applyAlignment="1">
      <alignment horizontal="left" indent="1" wrapText="1"/>
    </xf>
    <xf numFmtId="168" fontId="1" fillId="8" borderId="0" xfId="0" applyFont="1" applyNumberFormat="1" applyFill="1" applyAlignment="1">
      <alignment horizontal="left" indent="1" wrapText="1"/>
    </xf>
    <xf numFmtId="0" fontId="1" fillId="8" borderId="0" xfId="0" applyFont="1" applyFill="1" applyAlignment="1">
      <alignment horizontal="left" indent="1"/>
    </xf>
    <xf numFmtId="0" fontId="1" fillId="8" borderId="0" xfId="0" applyFont="1" applyFill="1"/>
    <xf numFmtId="17" fontId="13" fillId="8" borderId="15" xfId="0" applyFont="1" applyNumberFormat="1" applyFill="1" applyBorder="1" applyAlignment="1">
      <alignment horizontal="left" wrapText="1"/>
    </xf>
    <xf numFmtId="0" fontId="1" fillId="0" borderId="0" xfId="0" applyFont="1" applyAlignment="1">
      <alignment horizontal="left" indent="5"/>
    </xf>
    <xf numFmtId="168" fontId="14" fillId="9" borderId="0" xfId="0" applyFont="1" applyNumberFormat="1" applyFill="1" applyAlignment="1">
      <alignment horizontal="center"/>
    </xf>
    <xf numFmtId="0" fontId="2" fillId="9" borderId="0" xfId="0" applyFont="1" applyFill="1"/>
    <xf numFmtId="0" fontId="2" fillId="9" borderId="0" xfId="0" applyFont="1" applyFill="1" applyAlignment="1">
      <alignment horizontal="center"/>
    </xf>
    <xf numFmtId="168" fontId="1" fillId="9" borderId="0" xfId="0" applyFont="1" applyNumberFormat="1" applyFill="1" applyAlignment="1">
      <alignment horizontal="center"/>
    </xf>
    <xf numFmtId="1" fontId="1" fillId="9" borderId="0" xfId="0" applyFont="1" applyNumberFormat="1" applyFill="1" applyAlignment="1">
      <alignment horizontal="center"/>
    </xf>
    <xf numFmtId="0" fontId="1" fillId="0" borderId="0" xfId="0" applyFont="1" applyAlignment="1">
      <alignment horizontal="left" indent="5" wrapText="1"/>
    </xf>
    <xf numFmtId="168" fontId="1" fillId="9" borderId="0" xfId="0" applyFont="1" applyNumberFormat="1" applyFill="1" applyAlignment="1">
      <alignment horizontal="left" indent="1"/>
    </xf>
    <xf numFmtId="49" fontId="1" fillId="9" borderId="0" xfId="0" applyFont="1" applyNumberFormat="1" applyFill="1" applyAlignment="1">
      <alignment horizontal="left" indent="1" wrapText="1"/>
    </xf>
    <xf numFmtId="168" fontId="1" fillId="9" borderId="0" xfId="0" applyFont="1" applyNumberFormat="1" applyFill="1" applyAlignment="1">
      <alignment horizontal="left" indent="1" wrapText="1"/>
    </xf>
    <xf numFmtId="0" fontId="1" fillId="9" borderId="0" xfId="0" applyFont="1" applyFill="1" applyAlignment="1">
      <alignment horizontal="left" indent="1"/>
    </xf>
    <xf numFmtId="0" fontId="1" fillId="9" borderId="0" xfId="0" applyFont="1" applyFill="1"/>
    <xf numFmtId="17" fontId="13" fillId="9" borderId="15" xfId="0" applyFont="1" applyNumberFormat="1" applyFill="1" applyBorder="1" applyAlignment="1">
      <alignment horizontal="left" wrapText="1"/>
    </xf>
    <xf numFmtId="168" fontId="14" fillId="10" borderId="0" xfId="0" applyFont="1" applyNumberFormat="1" applyFill="1" applyAlignment="1">
      <alignment horizontal="center"/>
    </xf>
    <xf numFmtId="168" fontId="1" fillId="9" borderId="16" xfId="0" applyFont="1" applyNumberFormat="1" applyFill="1" applyBorder="1" applyAlignment="1">
      <alignment horizontal="center"/>
    </xf>
    <xf numFmtId="165" fontId="2" fillId="9" borderId="17" xfId="0" applyFont="1" applyNumberFormat="1" applyFill="1" applyBorder="1" applyAlignment="1">
      <alignment horizontal="right"/>
    </xf>
    <xf numFmtId="165" fontId="2" fillId="9" borderId="0" xfId="0" applyFont="1" applyNumberFormat="1" applyFill="1" applyAlignment="1">
      <alignment horizontal="right"/>
    </xf>
    <xf numFmtId="165" fontId="1" fillId="9" borderId="0" xfId="0" applyFont="1" applyNumberFormat="1" applyFill="1" applyAlignment="1">
      <alignment horizontal="right"/>
    </xf>
    <xf numFmtId="3" fontId="1" fillId="9" borderId="0" xfId="0" applyFont="1" applyNumberFormat="1" applyFill="1" applyAlignment="1">
      <alignment horizontal="right"/>
    </xf>
    <xf numFmtId="0" fontId="2" fillId="10" borderId="0" xfId="0" applyFont="1" applyFill="1"/>
    <xf numFmtId="3" fontId="1" fillId="9" borderId="18" xfId="0" applyFont="1" applyNumberFormat="1" applyFill="1" applyBorder="1" applyAlignment="1">
      <alignment horizontal="right"/>
    </xf>
    <xf numFmtId="168" fontId="1" fillId="10" borderId="16" xfId="0" applyFont="1" applyNumberFormat="1" applyFill="1" applyBorder="1" applyAlignment="1">
      <alignment horizontal="center"/>
    </xf>
    <xf numFmtId="165" fontId="2" fillId="10" borderId="17" xfId="0" applyFont="1" applyNumberFormat="1" applyFill="1" applyBorder="1" applyAlignment="1">
      <alignment horizontal="right"/>
    </xf>
    <xf numFmtId="165" fontId="2" fillId="10" borderId="0" xfId="0" applyFont="1" applyNumberFormat="1" applyFill="1" applyAlignment="1">
      <alignment horizontal="right"/>
    </xf>
    <xf numFmtId="165" fontId="1" fillId="10" borderId="0" xfId="0" applyFont="1" applyNumberFormat="1" applyFill="1" applyAlignment="1">
      <alignment horizontal="right"/>
    </xf>
    <xf numFmtId="3" fontId="1" fillId="10" borderId="0" xfId="0" applyFont="1" applyNumberFormat="1" applyFill="1" applyAlignment="1">
      <alignment horizontal="right"/>
    </xf>
    <xf numFmtId="3" fontId="1" fillId="10" borderId="18" xfId="0" applyFont="1" applyNumberFormat="1" applyFill="1" applyBorder="1" applyAlignment="1">
      <alignment horizontal="right"/>
    </xf>
    <xf numFmtId="168" fontId="1" fillId="8" borderId="16" xfId="0" applyFont="1" applyNumberFormat="1" applyFill="1" applyBorder="1" applyAlignment="1">
      <alignment horizontal="center"/>
    </xf>
    <xf numFmtId="165" fontId="2" fillId="8" borderId="17" xfId="0" applyFont="1" applyNumberFormat="1" applyFill="1" applyBorder="1" applyAlignment="1">
      <alignment horizontal="right"/>
    </xf>
    <xf numFmtId="165" fontId="2" fillId="8" borderId="0" xfId="0" applyFont="1" applyNumberFormat="1" applyFill="1" applyAlignment="1">
      <alignment horizontal="right"/>
    </xf>
    <xf numFmtId="0" fontId="2" fillId="10" borderId="0" xfId="0" applyFont="1" applyFill="1" applyAlignment="1">
      <alignment horizontal="center"/>
    </xf>
    <xf numFmtId="165" fontId="1" fillId="8" borderId="0" xfId="0" applyFont="1" applyNumberFormat="1" applyFill="1" applyAlignment="1">
      <alignment horizontal="right"/>
    </xf>
    <xf numFmtId="3" fontId="1" fillId="8" borderId="0" xfId="0" applyFont="1" applyNumberFormat="1" applyFill="1" applyAlignment="1">
      <alignment horizontal="right"/>
    </xf>
    <xf numFmtId="3" fontId="1" fillId="8" borderId="18" xfId="0" applyFont="1" applyNumberFormat="1" applyFill="1" applyBorder="1" applyAlignment="1">
      <alignment horizontal="right"/>
    </xf>
    <xf numFmtId="165" fontId="2" fillId="9" borderId="19" xfId="0" applyFont="1" applyNumberFormat="1" applyFill="1" applyBorder="1" applyAlignment="1">
      <alignment horizontal="right"/>
    </xf>
    <xf numFmtId="165" fontId="2" fillId="9" borderId="20" xfId="0" applyFont="1" applyNumberFormat="1" applyFill="1" applyBorder="1" applyAlignment="1">
      <alignment horizontal="right"/>
    </xf>
    <xf numFmtId="165" fontId="1" fillId="9" borderId="20" xfId="0" applyFont="1" applyNumberFormat="1" applyFill="1" applyBorder="1" applyAlignment="1">
      <alignment horizontal="right"/>
    </xf>
    <xf numFmtId="3" fontId="1" fillId="9" borderId="20" xfId="0" applyFont="1" applyNumberFormat="1" applyFill="1" applyBorder="1" applyAlignment="1">
      <alignment horizontal="right"/>
    </xf>
    <xf numFmtId="3" fontId="1" fillId="9" borderId="21" xfId="0" applyFont="1" applyNumberFormat="1" applyFill="1" applyBorder="1" applyAlignment="1">
      <alignment horizontal="right"/>
    </xf>
    <xf numFmtId="0" fontId="15" fillId="0" borderId="0" xfId="0" applyFont="1" applyAlignment="1">
      <alignment wrapText="1"/>
    </xf>
    <xf numFmtId="0" fontId="12" fillId="0" borderId="0" xfId="0" applyFont="1" applyAlignment="1">
      <alignment horizontal="right" vertical="center"/>
    </xf>
    <xf numFmtId="0" fontId="2" fillId="0" borderId="0" xfId="0" applyFont="1" applyAlignment="1">
      <alignment horizontal="left" indent="1" wrapText="1"/>
    </xf>
    <xf numFmtId="0" fontId="12" fillId="0" borderId="0" xfId="0" applyFont="1"/>
    <xf numFmtId="1" fontId="12" fillId="0" borderId="0" xfId="0" applyFont="1" applyNumberFormat="1"/>
    <xf numFmtId="168" fontId="1" fillId="10" borderId="0" xfId="0" applyFont="1" applyNumberFormat="1" applyFill="1" applyAlignment="1">
      <alignment horizontal="center"/>
    </xf>
    <xf numFmtId="1" fontId="1" fillId="10" borderId="0" xfId="0" applyFont="1" applyNumberFormat="1" applyFill="1" applyAlignment="1">
      <alignment horizontal="center"/>
    </xf>
    <xf numFmtId="168" fontId="1" fillId="10" borderId="0" xfId="0" applyFont="1" applyNumberFormat="1" applyFill="1" applyAlignment="1">
      <alignment horizontal="left" indent="1"/>
    </xf>
    <xf numFmtId="49" fontId="1" fillId="10" borderId="0" xfId="0" applyFont="1" applyNumberFormat="1" applyFill="1" applyAlignment="1">
      <alignment horizontal="left" indent="1" wrapText="1"/>
    </xf>
    <xf numFmtId="49" fontId="1" fillId="0" borderId="0" xfId="0" applyFont="1" applyNumberFormat="1" applyAlignment="1">
      <alignment horizontal="left" indent="1" wrapText="1"/>
    </xf>
    <xf numFmtId="168" fontId="14" fillId="0" borderId="0" xfId="0" applyFont="1" applyNumberFormat="1" applyAlignment="1">
      <alignment horizontal="center"/>
    </xf>
    <xf numFmtId="0" fontId="1" fillId="0" borderId="0" xfId="0" applyFont="1" applyAlignment="1">
      <alignment horizontal="left" indent="3" wrapText="1"/>
    </xf>
    <xf numFmtId="0" fontId="2" fillId="0" borderId="22" xfId="0" applyFont="1" applyBorder="1" applyAlignment="1">
      <alignment horizontal="center"/>
    </xf>
    <xf numFmtId="168" fontId="1" fillId="0" borderId="19" xfId="0" applyFont="1" applyNumberFormat="1" applyBorder="1" applyAlignment="1">
      <alignment horizontal="center" vertical="center"/>
    </xf>
    <xf numFmtId="168" fontId="1" fillId="0" borderId="20" xfId="0" applyFont="1" applyNumberFormat="1" applyBorder="1" applyAlignment="1">
      <alignment horizontal="center" vertical="center"/>
    </xf>
    <xf numFmtId="168" fontId="1" fillId="0" borderId="21" xfId="0" applyFont="1" applyNumberFormat="1" applyBorder="1" applyAlignment="1">
      <alignment horizontal="center" vertical="center"/>
    </xf>
    <xf numFmtId="168" fontId="1" fillId="0" borderId="23" xfId="0" applyFont="1" applyNumberFormat="1" applyBorder="1" applyAlignment="1">
      <alignment horizontal="center"/>
    </xf>
    <xf numFmtId="168" fontId="1" fillId="0" borderId="24" xfId="0" applyFont="1" applyNumberFormat="1" applyBorder="1" applyAlignment="1">
      <alignment horizontal="center"/>
    </xf>
    <xf numFmtId="168" fontId="1" fillId="0" borderId="25" xfId="0" applyFont="1" applyNumberFormat="1" applyBorder="1" applyAlignment="1">
      <alignment horizontal="center"/>
    </xf>
    <xf numFmtId="168" fontId="1" fillId="0" borderId="26" xfId="0" applyFont="1" applyNumberFormat="1" applyBorder="1" applyAlignment="1">
      <alignment horizontal="center"/>
    </xf>
    <xf numFmtId="168" fontId="1" fillId="0" borderId="27" xfId="0" applyFont="1" applyNumberFormat="1" applyBorder="1" applyAlignment="1">
      <alignment horizontal="center"/>
    </xf>
    <xf numFmtId="1" fontId="1" fillId="0" borderId="28" xfId="0" applyFont="1" applyNumberFormat="1" applyBorder="1" applyAlignment="1">
      <alignment horizontal="center"/>
    </xf>
    <xf numFmtId="168" fontId="1" fillId="10" borderId="0" xfId="0" applyFont="1" applyNumberFormat="1" applyFill="1" applyAlignment="1">
      <alignment horizontal="left" indent="1" wrapText="1"/>
    </xf>
    <xf numFmtId="1" fontId="1" fillId="0" borderId="26" xfId="0" applyFont="1" applyNumberFormat="1" applyBorder="1" applyAlignment="1">
      <alignment horizontal="center"/>
    </xf>
    <xf numFmtId="1" fontId="1" fillId="0" borderId="27" xfId="0" applyFont="1" applyNumberFormat="1" applyBorder="1" applyAlignment="1">
      <alignment horizontal="center"/>
    </xf>
    <xf numFmtId="168" fontId="1" fillId="0" borderId="17" xfId="0" applyFont="1" applyNumberFormat="1" applyBorder="1" applyAlignment="1">
      <alignment horizontal="left" indent="1"/>
    </xf>
    <xf numFmtId="0" fontId="1"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left" wrapText="1"/>
    </xf>
    <xf numFmtId="168" fontId="1" fillId="0" borderId="0" xfId="0" applyFont="1" applyNumberFormat="1" applyAlignment="1">
      <alignment horizontal="left" indent="1" wrapText="1"/>
    </xf>
    <xf numFmtId="0" fontId="1" fillId="0" borderId="0" xfId="0" applyFont="1" applyAlignment="1">
      <alignment horizontal="left" indent="1"/>
    </xf>
    <xf numFmtId="0" fontId="1" fillId="10" borderId="0" xfId="0" applyFont="1" applyFill="1" applyAlignment="1">
      <alignment horizontal="left" indent="1"/>
    </xf>
    <xf numFmtId="0" fontId="1" fillId="10" borderId="0" xfId="0" applyFont="1" applyFill="1"/>
    <xf numFmtId="17" fontId="13" fillId="10" borderId="15" xfId="0" applyFont="1" applyNumberFormat="1" applyFill="1" applyBorder="1" applyAlignment="1">
      <alignment horizontal="left" wrapText="1"/>
    </xf>
    <xf numFmtId="1" fontId="1" fillId="0" borderId="19" xfId="0" applyFont="1" applyNumberFormat="1" applyBorder="1" applyAlignment="1">
      <alignment horizontal="center"/>
    </xf>
    <xf numFmtId="1" fontId="1" fillId="0" borderId="20" xfId="0" applyFont="1" applyNumberFormat="1" applyBorder="1" applyAlignment="1">
      <alignment horizontal="center"/>
    </xf>
    <xf numFmtId="1" fontId="1" fillId="0" borderId="20" xfId="0" applyFont="1" applyNumberFormat="1" applyBorder="1" applyAlignment="1">
      <alignment horizontal="center" vertical="top"/>
    </xf>
    <xf numFmtId="1" fontId="1" fillId="0" borderId="21" xfId="0" applyFont="1" applyNumberFormat="1" applyBorder="1" applyAlignment="1">
      <alignment horizontal="center"/>
    </xf>
    <xf numFmtId="165" fontId="2" fillId="9" borderId="29" xfId="0" applyFont="1" applyNumberFormat="1" applyFill="1" applyBorder="1" applyAlignment="1">
      <alignment horizontal="right"/>
    </xf>
    <xf numFmtId="165" fontId="2" fillId="9" borderId="30" xfId="0" applyFont="1" applyNumberFormat="1" applyFill="1" applyBorder="1" applyAlignment="1">
      <alignment horizontal="right"/>
    </xf>
    <xf numFmtId="165" fontId="1" fillId="9" borderId="30" xfId="0" applyFont="1" applyNumberFormat="1" applyFill="1" applyBorder="1" applyAlignment="1">
      <alignment horizontal="right"/>
    </xf>
    <xf numFmtId="3" fontId="1" fillId="9" borderId="30" xfId="0" applyFont="1" applyNumberFormat="1" applyFill="1" applyBorder="1" applyAlignment="1">
      <alignment horizontal="right"/>
    </xf>
    <xf numFmtId="3" fontId="1" fillId="9" borderId="31" xfId="0" applyFont="1" applyNumberFormat="1" applyFill="1" applyBorder="1" applyAlignment="1">
      <alignment horizontal="right"/>
    </xf>
    <xf numFmtId="2" fontId="1" fillId="0" borderId="0" xfId="0" applyFont="1" applyNumberFormat="1"/>
    <xf numFmtId="168" fontId="1" fillId="0" borderId="0" xfId="0" applyFont="1" applyNumberFormat="1" applyAlignment="1">
      <alignment horizontal="center"/>
    </xf>
    <xf numFmtId="17" fontId="13" fillId="3" borderId="15" xfId="0" applyFont="1" applyNumberFormat="1" applyFill="1" applyBorder="1" applyAlignment="1">
      <alignment horizontal="left" wrapText="1"/>
    </xf>
    <xf numFmtId="168" fontId="1" fillId="0" borderId="0" xfId="0" applyFont="1" applyNumberFormat="1" applyAlignment="1">
      <alignment horizontal="left" indent="1"/>
    </xf>
    <xf numFmtId="168" fontId="1" fillId="0" borderId="16" xfId="0" applyFont="1" applyNumberFormat="1" applyBorder="1" applyAlignment="1">
      <alignment horizontal="center"/>
    </xf>
    <xf numFmtId="165" fontId="2" fillId="0" borderId="29" xfId="0" applyFont="1" applyNumberFormat="1" applyBorder="1" applyAlignment="1">
      <alignment horizontal="right"/>
    </xf>
    <xf numFmtId="165" fontId="2" fillId="0" borderId="17" xfId="0" applyFont="1" applyNumberFormat="1" applyBorder="1" applyAlignment="1">
      <alignment horizontal="right"/>
    </xf>
    <xf numFmtId="165" fontId="2" fillId="0" borderId="30" xfId="0" applyFont="1" applyNumberFormat="1" applyBorder="1" applyAlignment="1">
      <alignment horizontal="right"/>
    </xf>
    <xf numFmtId="165" fontId="2" fillId="0" borderId="0" xfId="0" applyFont="1" applyNumberFormat="1" applyAlignment="1">
      <alignment horizontal="right"/>
    </xf>
    <xf numFmtId="165" fontId="1" fillId="0" borderId="30" xfId="0" applyFont="1" applyNumberFormat="1" applyBorder="1" applyAlignment="1">
      <alignment horizontal="right"/>
    </xf>
    <xf numFmtId="165" fontId="1" fillId="0" borderId="0" xfId="0" applyFont="1" applyNumberFormat="1" applyAlignment="1">
      <alignment horizontal="right"/>
    </xf>
    <xf numFmtId="3" fontId="1" fillId="0" borderId="30" xfId="0" applyFont="1" applyNumberFormat="1" applyBorder="1" applyAlignment="1">
      <alignment horizontal="right"/>
    </xf>
    <xf numFmtId="3" fontId="1" fillId="0" borderId="0" xfId="0" applyFont="1" applyNumberFormat="1" applyAlignment="1">
      <alignment horizontal="right"/>
    </xf>
    <xf numFmtId="3" fontId="1" fillId="0" borderId="31" xfId="0" applyFont="1" applyNumberFormat="1" applyBorder="1" applyAlignment="1">
      <alignment horizontal="right"/>
    </xf>
    <xf numFmtId="3" fontId="1" fillId="0" borderId="18" xfId="0" applyFont="1" applyNumberFormat="1" applyBorder="1" applyAlignment="1">
      <alignment horizontal="right"/>
    </xf>
    <xf numFmtId="0" fontId="2" fillId="0" borderId="0" xfId="0" applyFont="1" applyAlignment="1">
      <alignment horizontal="center"/>
    </xf>
    <xf numFmtId="1" fontId="1" fillId="11" borderId="20" xfId="0" applyFont="1" applyNumberFormat="1" applyFill="1" applyBorder="1" applyAlignment="1">
      <alignment horizontal="center"/>
    </xf>
    <xf numFmtId="0" fontId="15" fillId="0" borderId="0" xfId="0" applyFont="1"/>
    <xf numFmtId="0" fontId="1" fillId="11" borderId="0" xfId="0" applyFont="1" applyFill="1" applyAlignment="1">
      <alignment horizontal="left" indent="3"/>
    </xf>
    <xf numFmtId="165" fontId="1" fillId="11" borderId="30" xfId="0" applyFont="1" applyNumberFormat="1" applyFill="1" applyBorder="1" applyAlignment="1">
      <alignment horizontal="right"/>
    </xf>
    <xf numFmtId="165" fontId="1" fillId="11" borderId="0" xfId="0" applyFont="1" applyNumberFormat="1" applyFill="1" applyAlignment="1">
      <alignment horizontal="right"/>
    </xf>
    <xf numFmtId="2" fontId="1" fillId="11" borderId="4" xfId="0" applyFont="1" applyNumberFormat="1" applyFill="1" applyBorder="1"/>
    <xf numFmtId="165" fontId="2" fillId="8" borderId="29" xfId="0" applyFont="1" applyNumberFormat="1" applyFill="1" applyBorder="1" applyAlignment="1">
      <alignment horizontal="right"/>
    </xf>
    <xf numFmtId="2" fontId="1" fillId="11" borderId="32" xfId="0" applyFont="1" applyNumberFormat="1" applyFill="1" applyBorder="1"/>
    <xf numFmtId="165" fontId="2" fillId="8" borderId="30" xfId="0" applyFont="1" applyNumberFormat="1" applyFill="1" applyBorder="1" applyAlignment="1">
      <alignment horizontal="right"/>
    </xf>
    <xf numFmtId="165" fontId="1" fillId="8" borderId="30" xfId="0" applyFont="1" applyNumberFormat="1" applyFill="1" applyBorder="1" applyAlignment="1">
      <alignment horizontal="right"/>
    </xf>
    <xf numFmtId="3" fontId="1" fillId="8" borderId="30" xfId="0" applyFont="1" applyNumberFormat="1" applyFill="1" applyBorder="1" applyAlignment="1">
      <alignment horizontal="right"/>
    </xf>
    <xf numFmtId="3" fontId="1" fillId="8" borderId="31" xfId="0" applyFont="1" applyNumberFormat="1" applyFill="1" applyBorder="1" applyAlignment="1">
      <alignment horizontal="right"/>
    </xf>
    <xf numFmtId="0" fontId="2" fillId="11" borderId="0" xfId="0" applyFont="1" applyFill="1" applyAlignment="1">
      <alignment horizontal="left" indent="1" wrapText="1"/>
    </xf>
    <xf numFmtId="165" fontId="2" fillId="11" borderId="30" xfId="0" applyFont="1" applyNumberFormat="1" applyFill="1" applyBorder="1" applyAlignment="1">
      <alignment horizontal="right"/>
    </xf>
    <xf numFmtId="165" fontId="2" fillId="11" borderId="0" xfId="0" applyFont="1" applyNumberFormat="1" applyFill="1" applyAlignment="1">
      <alignment horizontal="right"/>
    </xf>
    <xf numFmtId="0" fontId="2" fillId="11" borderId="0" xfId="0" applyFont="1" applyFill="1" applyAlignment="1">
      <alignment horizontal="left"/>
    </xf>
    <xf numFmtId="0" fontId="1" fillId="0" borderId="0" xfId="0" applyFont="1" applyAlignment="1">
      <alignment horizontal="left" vertical="center" indent="2"/>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indent="2" wrapText="1"/>
    </xf>
    <xf numFmtId="168" fontId="14" fillId="8" borderId="0" xfId="0" applyFont="1" applyNumberFormat="1" applyFill="1" applyAlignment="1">
      <alignment horizontal="center"/>
    </xf>
    <xf numFmtId="0" fontId="2" fillId="8" borderId="0" xfId="0" applyFont="1" applyFill="1"/>
    <xf numFmtId="0" fontId="1" fillId="0" borderId="0" xfId="0" applyFont="1" applyAlignment="1">
      <alignment horizontal="left" indent="3"/>
    </xf>
    <xf numFmtId="0" fontId="2" fillId="8" borderId="0" xfId="0" applyFont="1" applyFill="1" applyAlignment="1">
      <alignment horizontal="center"/>
    </xf>
    <xf numFmtId="168" fontId="1" fillId="8" borderId="0" xfId="0" applyFont="1" applyNumberFormat="1" applyFill="1" applyAlignment="1">
      <alignment horizontal="center"/>
    </xf>
    <xf numFmtId="1" fontId="1" fillId="8" borderId="0" xfId="0" applyFont="1" applyNumberFormat="1" applyFill="1" applyAlignment="1">
      <alignment horizontal="center"/>
    </xf>
    <xf numFmtId="0" fontId="1" fillId="12" borderId="0" xfId="0" applyFont="1" applyFill="1"/>
    <xf numFmtId="3" fontId="1" fillId="12" borderId="0" xfId="0" applyFont="1" applyNumberFormat="1" applyFill="1"/>
    <xf numFmtId="1" fontId="1" fillId="12" borderId="0" xfId="0" applyFont="1" applyNumberFormat="1" applyFill="1"/>
    <xf numFmtId="3" fontId="1" fillId="0" borderId="0" xfId="0" applyFont="1" applyNumberFormat="1"/>
    <xf numFmtId="0" fontId="17" fillId="7" borderId="0" xfId="0" applyFont="1" applyFill="1" applyAlignment="1">
      <alignment horizontal="center"/>
    </xf>
    <xf numFmtId="167" fontId="1" fillId="12" borderId="0" xfId="0" applyFont="1" applyNumberFormat="1" applyFill="1" applyAlignment="1">
      <alignment horizontal="center"/>
    </xf>
    <xf numFmtId="0" fontId="18" fillId="0" borderId="0" xfId="0" applyFont="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indent="1" wrapText="1"/>
    </xf>
    <xf numFmtId="0" fontId="18" fillId="0" borderId="0" xfId="0" applyFont="1" applyAlignment="1">
      <alignment horizontal="left" indent="2"/>
    </xf>
    <xf numFmtId="0" fontId="18" fillId="0" borderId="0" xfId="0" applyFont="1" applyAlignment="1">
      <alignment horizontal="center" wrapText="1"/>
    </xf>
    <xf numFmtId="9" fontId="18" fillId="0" borderId="0" xfId="0" applyFont="1" applyNumberFormat="1" applyAlignment="1">
      <alignment horizontal="center"/>
    </xf>
    <xf numFmtId="0" fontId="19" fillId="0" borderId="0" xfId="0" applyFont="1" applyAlignment="1">
      <alignment horizontal="center"/>
    </xf>
    <xf numFmtId="167" fontId="18" fillId="0" borderId="0" xfId="0" applyFont="1" applyNumberFormat="1" applyAlignment="1">
      <alignment horizontal="center"/>
    </xf>
    <xf numFmtId="0" fontId="4" fillId="7" borderId="2" xfId="0" applyFont="1" applyFill="1" applyBorder="1" applyAlignment="1">
      <alignment horizontal="center"/>
    </xf>
    <xf numFmtId="0" fontId="4" fillId="7" borderId="6" xfId="0" applyFont="1" applyFill="1" applyBorder="1" applyAlignment="1">
      <alignment horizontal="center"/>
    </xf>
    <xf numFmtId="0" fontId="13" fillId="3" borderId="0" xfId="0" applyFont="1" applyFill="1" applyAlignment="1">
      <alignment horizontal="center"/>
    </xf>
    <xf numFmtId="0" fontId="13" fillId="0" borderId="0" xfId="0" applyFont="1" applyAlignment="1">
      <alignment horizontal="left" vertical="top" wrapText="1"/>
    </xf>
    <xf numFmtId="0" fontId="4" fillId="12" borderId="1" xfId="0" applyFont="1" applyFill="1" applyBorder="1" applyAlignment="1">
      <alignment horizontal="center"/>
    </xf>
    <xf numFmtId="0" fontId="4" fillId="12" borderId="0" xfId="0" applyFont="1" applyFill="1" applyAlignment="1">
      <alignment horizontal="center"/>
    </xf>
    <xf numFmtId="0" fontId="4" fillId="12" borderId="4" xfId="0" applyFont="1" applyFill="1" applyBorder="1" applyAlignment="1">
      <alignment horizontal="center"/>
    </xf>
    <xf numFmtId="0" fontId="13" fillId="12" borderId="2" xfId="0" applyFont="1" applyFill="1" applyBorder="1" applyAlignment="1">
      <alignment horizontal="center"/>
    </xf>
    <xf numFmtId="0" fontId="13" fillId="12" borderId="6" xfId="0" applyFont="1" applyFill="1" applyBorder="1" applyAlignment="1">
      <alignment horizontal="center"/>
    </xf>
    <xf numFmtId="0" fontId="13" fillId="12" borderId="1" xfId="0" applyFont="1" applyFill="1" applyBorder="1" applyAlignment="1">
      <alignment horizontal="center"/>
    </xf>
    <xf numFmtId="0" fontId="13" fillId="12" borderId="4" xfId="0" applyFont="1" applyFill="1" applyBorder="1" applyAlignment="1">
      <alignment horizontal="center"/>
    </xf>
    <xf numFmtId="0" fontId="13" fillId="12" borderId="7" xfId="0" applyFont="1" applyFill="1" applyBorder="1" applyAlignment="1">
      <alignment horizontal="center"/>
    </xf>
    <xf numFmtId="0" fontId="13" fillId="12" borderId="8" xfId="0" applyFont="1" applyFill="1" applyBorder="1" applyAlignment="1">
      <alignment horizontal="center"/>
    </xf>
    <xf numFmtId="0" fontId="4" fillId="7" borderId="33" xfId="0" applyFont="1" applyFill="1" applyBorder="1" applyAlignment="1">
      <alignment horizontal="center"/>
    </xf>
    <xf numFmtId="0" fontId="4" fillId="12" borderId="2" xfId="0" applyFont="1" applyFill="1" applyBorder="1" applyAlignment="1">
      <alignment horizontal="center"/>
    </xf>
    <xf numFmtId="0" fontId="4" fillId="12" borderId="5" xfId="0" applyFont="1" applyFill="1" applyBorder="1" applyAlignment="1">
      <alignment horizontal="center"/>
    </xf>
    <xf numFmtId="0" fontId="4" fillId="12" borderId="6" xfId="0" applyFont="1" applyFill="1" applyBorder="1" applyAlignment="1">
      <alignment horizontal="center"/>
    </xf>
    <xf numFmtId="0" fontId="4" fillId="12" borderId="0" xfId="0" applyFont="1" applyFill="1" applyAlignment="1">
      <alignment horizontal="right"/>
    </xf>
    <xf numFmtId="0" fontId="13" fillId="7" borderId="2" xfId="0" applyFont="1" applyFill="1" applyBorder="1" applyAlignment="1">
      <alignment horizontal="center"/>
    </xf>
    <xf numFmtId="0" fontId="13" fillId="7" borderId="33" xfId="0" applyFont="1" applyFill="1" applyBorder="1" applyAlignment="1">
      <alignment horizontal="center"/>
    </xf>
    <xf numFmtId="0" fontId="13" fillId="7" borderId="34" xfId="0" applyFont="1" applyFill="1" applyBorder="1" applyAlignment="1">
      <alignment horizontal="center"/>
    </xf>
    <xf numFmtId="0" fontId="13" fillId="7" borderId="6" xfId="0" applyFont="1" applyFill="1" applyBorder="1" applyAlignment="1">
      <alignment horizontal="center"/>
    </xf>
    <xf numFmtId="0" fontId="13" fillId="12" borderId="3" xfId="0" applyFont="1" applyFill="1" applyBorder="1" applyAlignment="1">
      <alignment horizontal="center"/>
    </xf>
    <xf numFmtId="0" fontId="13" fillId="12" borderId="0" xfId="0" applyFont="1" applyFill="1" applyAlignment="1">
      <alignment horizontal="center"/>
    </xf>
    <xf numFmtId="168" fontId="4" fillId="7" borderId="0" xfId="0" applyFont="1" applyNumberFormat="1" applyFill="1"/>
    <xf numFmtId="168" fontId="4" fillId="0" borderId="0" xfId="0" applyFont="1" applyNumberFormat="1"/>
    <xf numFmtId="0" fontId="1" fillId="0" borderId="4" xfId="0" applyFont="1" applyBorder="1"/>
    <xf numFmtId="0" fontId="1" fillId="0" borderId="8" xfId="0" applyFont="1" applyBorder="1"/>
    <xf numFmtId="165" fontId="4" fillId="0" borderId="0" xfId="0" applyFont="1" applyNumberFormat="1" applyAlignment="1">
      <alignment horizontal="center"/>
    </xf>
    <xf numFmtId="165" fontId="4" fillId="0" borderId="4" xfId="0" applyFont="1" applyNumberFormat="1" applyBorder="1" applyAlignment="1">
      <alignment horizontal="center"/>
    </xf>
    <xf numFmtId="165" fontId="20" fillId="0" borderId="0" xfId="0" applyFont="1" applyNumberFormat="1" applyAlignment="1">
      <alignment horizontal="center"/>
    </xf>
    <xf numFmtId="3" fontId="20" fillId="0" borderId="0" xfId="0" applyFont="1" applyNumberFormat="1" applyAlignment="1">
      <alignment horizontal="center"/>
    </xf>
    <xf numFmtId="0" fontId="4" fillId="0" borderId="0" xfId="0" applyFont="1" applyAlignment="1">
      <alignment horizontal="center" wrapText="1"/>
    </xf>
    <xf numFmtId="3" fontId="4" fillId="0" borderId="0" xfId="0" applyFont="1" applyNumberFormat="1" applyAlignment="1">
      <alignment horizontal="center"/>
    </xf>
    <xf numFmtId="165" fontId="4" fillId="13" borderId="0" xfId="0" applyFont="1" applyNumberFormat="1" applyFill="1" applyAlignment="1">
      <alignment horizontal="center"/>
    </xf>
    <xf numFmtId="168" fontId="4" fillId="13" borderId="0" xfId="0" applyFont="1" applyNumberFormat="1" applyFill="1"/>
    <xf numFmtId="0" fontId="4" fillId="0" borderId="0" xfId="0" applyFont="1" applyAlignment="1">
      <alignment horizontal="center"/>
    </xf>
    <xf numFmtId="0" fontId="4" fillId="12" borderId="0" xfId="0" applyFont="1" applyFill="1" applyAlignment="1">
      <alignment horizontal="center" wrapText="1"/>
    </xf>
    <xf numFmtId="165" fontId="4" fillId="7" borderId="0" xfId="0" applyFont="1" applyNumberFormat="1" applyFill="1" applyAlignment="1">
      <alignment horizontal="center"/>
    </xf>
    <xf numFmtId="165" fontId="20" fillId="7" borderId="0" xfId="0" applyFont="1" applyNumberFormat="1" applyFill="1" applyAlignment="1">
      <alignment horizontal="center"/>
    </xf>
    <xf numFmtId="0" fontId="13" fillId="7" borderId="0" xfId="0" applyFont="1" applyFill="1" applyAlignment="1">
      <alignment horizontal="center"/>
    </xf>
    <xf numFmtId="0" fontId="4" fillId="12" borderId="2" xfId="0" applyFont="1" applyFill="1" applyBorder="1"/>
    <xf numFmtId="0" fontId="4" fillId="0" borderId="0" xfId="0" applyFont="1"/>
    <xf numFmtId="168" fontId="4" fillId="11" borderId="0" xfId="0" applyFont="1" applyNumberFormat="1" applyFill="1"/>
    <xf numFmtId="2" fontId="1" fillId="3" borderId="2" xfId="0" applyFont="1" applyNumberForma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xf>
    <xf numFmtId="4" fontId="4" fillId="0" borderId="0" xfId="0" applyFont="1" applyNumberFormat="1" applyAlignment="1">
      <alignment horizontal="center"/>
    </xf>
    <xf numFmtId="0" fontId="4" fillId="0" borderId="2"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7" xfId="0" applyFont="1" applyFill="1" applyBorder="1"/>
    <xf numFmtId="0" fontId="4" fillId="3" borderId="3" xfId="0" applyFont="1" applyFill="1" applyBorder="1"/>
    <xf numFmtId="0" fontId="4" fillId="3" borderId="3" xfId="0" applyFont="1" applyFill="1" applyBorder="1" applyAlignment="1">
      <alignment horizontal="center"/>
    </xf>
    <xf numFmtId="0" fontId="4" fillId="3" borderId="8" xfId="0" applyFont="1" applyFill="1" applyBorder="1" applyAlignment="1">
      <alignment horizontal="center"/>
    </xf>
    <xf numFmtId="0" fontId="4" fillId="7" borderId="6" xfId="0" applyFont="1" applyFill="1" applyBorder="1"/>
    <xf numFmtId="0" fontId="4" fillId="12" borderId="0" xfId="0" applyFont="1" applyFill="1"/>
    <xf numFmtId="165" fontId="20" fillId="0" borderId="1" xfId="0" applyFont="1" applyNumberForma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Font="1" applyNumberFormat="1" applyAlignment="1">
      <alignment horizontal="right"/>
    </xf>
    <xf numFmtId="3" fontId="4" fillId="7" borderId="3" xfId="0" applyFont="1" applyNumberFormat="1" applyFill="1" applyBorder="1" applyAlignment="1">
      <alignment horizontal="center"/>
    </xf>
    <xf numFmtId="0" fontId="20" fillId="0" borderId="1" xfId="0" applyFont="1" applyBorder="1" applyAlignment="1">
      <alignment horizontal="left" wrapText="1"/>
    </xf>
    <xf numFmtId="0" fontId="4" fillId="7" borderId="7" xfId="0" applyFont="1" applyFill="1" applyBorder="1" applyAlignment="1">
      <alignment horizontal="center"/>
    </xf>
    <xf numFmtId="0" fontId="4" fillId="7" borderId="3" xfId="0" applyFont="1" applyFill="1" applyBorder="1" applyAlignment="1">
      <alignment horizontal="center"/>
    </xf>
    <xf numFmtId="0" fontId="4" fillId="7" borderId="8" xfId="0" applyFont="1" applyFill="1" applyBorder="1" applyAlignment="1">
      <alignment horizontal="center"/>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Font="1" applyNumberFormat="1" applyBorder="1"/>
    <xf numFmtId="14" fontId="1" fillId="0" borderId="7" xfId="0" applyFont="1" applyNumberFormat="1" applyBorder="1"/>
    <xf numFmtId="165" fontId="4" fillId="7" borderId="5" xfId="0" applyFont="1" applyNumberFormat="1" applyFill="1" applyBorder="1" applyAlignment="1">
      <alignment horizontal="center"/>
    </xf>
    <xf numFmtId="0" fontId="2" fillId="0" borderId="0" xfId="0" applyFont="1" applyAlignment="1">
      <alignment horizontal="center" wrapText="1"/>
    </xf>
    <xf numFmtId="169" fontId="1" fillId="0" borderId="0" xfId="0" applyFont="1" applyNumberFormat="1"/>
    <xf numFmtId="0" fontId="2" fillId="3" borderId="2"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2" borderId="8" xfId="0" applyFont="1" applyFill="1" applyBorder="1" applyAlignment="1">
      <alignment horizontal="center"/>
    </xf>
    <xf numFmtId="0" fontId="4" fillId="12" borderId="7" xfId="0" applyFont="1" applyFill="1" applyBorder="1" applyAlignment="1">
      <alignment horizontal="center"/>
    </xf>
    <xf numFmtId="0" fontId="4" fillId="12" borderId="3" xfId="0" applyFont="1" applyFill="1" applyBorder="1" applyAlignment="1">
      <alignment horizontal="center"/>
    </xf>
    <xf numFmtId="0" fontId="4" fillId="0" borderId="5" xfId="0" applyFont="1" applyBorder="1" applyAlignment="1">
      <alignment horizontal="center"/>
    </xf>
    <xf numFmtId="0" fontId="4" fillId="12" borderId="33" xfId="0" applyFont="1" applyFill="1" applyBorder="1"/>
    <xf numFmtId="0" fontId="4" fillId="7" borderId="33" xfId="0" applyFont="1" applyFill="1" applyBorder="1"/>
    <xf numFmtId="0" fontId="13" fillId="0" borderId="1" xfId="0" applyFont="1" applyBorder="1"/>
    <xf numFmtId="0" fontId="4" fillId="3" borderId="0" xfId="0" applyFont="1" applyFill="1" applyAlignment="1">
      <alignment horizontal="center"/>
    </xf>
    <xf numFmtId="0" fontId="4" fillId="7" borderId="5" xfId="0" applyFont="1" applyFill="1" applyBorder="1" applyAlignment="1">
      <alignment horizontal="center"/>
    </xf>
    <xf numFmtId="0" fontId="13" fillId="12" borderId="9" xfId="0" applyFont="1" applyFill="1" applyBorder="1" applyAlignment="1">
      <alignment horizontal="center"/>
    </xf>
    <xf numFmtId="0" fontId="13" fillId="12" borderId="10" xfId="0" applyFont="1" applyFill="1" applyBorder="1" applyAlignment="1">
      <alignment horizontal="center"/>
    </xf>
    <xf numFmtId="0" fontId="13" fillId="12" borderId="11" xfId="0" applyFont="1" applyFill="1" applyBorder="1" applyAlignment="1">
      <alignment horizontal="center"/>
    </xf>
    <xf numFmtId="0" fontId="13" fillId="7" borderId="9" xfId="0" applyFont="1" applyFill="1" applyBorder="1" applyAlignment="1">
      <alignment horizontal="center"/>
    </xf>
    <xf numFmtId="0" fontId="13" fillId="7" borderId="10" xfId="0" applyFont="1" applyFill="1" applyBorder="1" applyAlignment="1">
      <alignment horizontal="center"/>
    </xf>
    <xf numFmtId="0" fontId="13" fillId="7" borderId="11" xfId="0" applyFont="1" applyFill="1" applyBorder="1" applyAlignment="1">
      <alignment horizontal="center"/>
    </xf>
    <xf numFmtId="0" fontId="4" fillId="12" borderId="2" xfId="0" applyFont="1" applyFill="1" applyBorder="1" applyAlignment="1">
      <alignment horizontal="right"/>
    </xf>
    <xf numFmtId="0" fontId="4" fillId="12" borderId="33" xfId="0" applyFont="1" applyFill="1" applyBorder="1" applyAlignment="1">
      <alignment horizontal="right"/>
    </xf>
    <xf numFmtId="0" fontId="4" fillId="7" borderId="14" xfId="0" applyFont="1" applyFill="1" applyBorder="1" applyAlignment="1">
      <alignment horizontal="center"/>
    </xf>
    <xf numFmtId="0" fontId="4" fillId="7" borderId="12" xfId="0" applyFont="1" applyFill="1" applyBorder="1" applyAlignment="1">
      <alignment horizontal="center"/>
    </xf>
    <xf numFmtId="0" fontId="4" fillId="12" borderId="33" xfId="0" applyFont="1" applyFill="1" applyBorder="1" applyAlignment="1">
      <alignment horizontal="center"/>
    </xf>
    <xf numFmtId="3" fontId="4" fillId="12" borderId="0" xfId="0" applyFont="1" applyNumberFormat="1" applyFill="1" applyAlignment="1">
      <alignment horizontal="center"/>
    </xf>
    <xf numFmtId="3" fontId="20" fillId="12" borderId="0" xfId="0" applyFont="1" applyNumberFormat="1" applyFill="1" applyAlignment="1">
      <alignment horizontal="center"/>
    </xf>
    <xf numFmtId="165" fontId="4" fillId="7" borderId="6" xfId="0" applyFont="1" applyNumberFormat="1" applyFill="1" applyBorder="1" applyAlignment="1">
      <alignment horizontal="center"/>
    </xf>
    <xf numFmtId="0" fontId="4" fillId="12" borderId="6" xfId="0" applyFont="1" applyFill="1" applyBorder="1"/>
    <xf numFmtId="0" fontId="4" fillId="3" borderId="0" xfId="0" applyFont="1" applyFill="1"/>
    <xf numFmtId="165" fontId="20" fillId="7" borderId="4" xfId="0" applyFont="1" applyNumberFormat="1" applyFill="1" applyBorder="1" applyAlignment="1">
      <alignment horizontal="center"/>
    </xf>
    <xf numFmtId="3" fontId="20" fillId="12" borderId="4" xfId="0" applyFont="1" applyNumberFormat="1" applyFill="1" applyBorder="1" applyAlignment="1">
      <alignment horizontal="center"/>
    </xf>
    <xf numFmtId="0" fontId="4" fillId="12" borderId="4" xfId="0" applyFont="1" applyFill="1" applyBorder="1" applyAlignment="1">
      <alignment horizontal="center" wrapText="1"/>
    </xf>
    <xf numFmtId="165" fontId="4" fillId="7" borderId="4" xfId="0" applyFont="1" applyNumberFormat="1" applyFill="1" applyBorder="1" applyAlignment="1">
      <alignment horizontal="center"/>
    </xf>
    <xf numFmtId="3" fontId="4" fillId="12" borderId="4" xfId="0" applyFont="1" applyNumberForma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Font="1" applyNumberFormat="1" applyBorder="1" applyAlignment="1">
      <alignment horizontal="center"/>
    </xf>
    <xf numFmtId="0" fontId="4" fillId="0" borderId="33" xfId="0" applyFont="1" applyBorder="1" applyAlignment="1">
      <alignment horizontal="center"/>
    </xf>
    <xf numFmtId="2" fontId="1" fillId="3" borderId="0" xfId="0" applyFont="1" applyNumberFormat="1" applyFill="1"/>
    <xf numFmtId="0" fontId="1" fillId="3" borderId="0" xfId="0" applyFont="1" applyFill="1"/>
    <xf numFmtId="4" fontId="4" fillId="0" borderId="4" xfId="0" applyFont="1" applyNumberFormat="1" applyBorder="1" applyAlignment="1">
      <alignment horizontal="center"/>
    </xf>
    <xf numFmtId="168" fontId="4" fillId="7" borderId="35" xfId="0" applyFont="1" applyNumberFormat="1" applyFill="1" applyBorder="1"/>
    <xf numFmtId="168" fontId="4" fillId="7" borderId="37" xfId="0" applyFont="1" applyNumberFormat="1" applyFill="1" applyBorder="1"/>
    <xf numFmtId="0" fontId="13" fillId="7" borderId="1" xfId="0" applyFont="1" applyFill="1" applyBorder="1" applyAlignment="1">
      <alignment horizontal="center"/>
    </xf>
    <xf numFmtId="0" fontId="13" fillId="7" borderId="3" xfId="0" applyFont="1" applyFill="1" applyBorder="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3" fillId="7" borderId="38" xfId="0" applyFont="1" applyFill="1" applyBorder="1" applyAlignment="1">
      <alignment horizontal="center"/>
    </xf>
    <xf numFmtId="0" fontId="13" fillId="8" borderId="38" xfId="0" applyFont="1" applyFill="1" applyBorder="1" applyAlignment="1">
      <alignment horizontal="center" vertical="center" wrapText="1"/>
    </xf>
    <xf numFmtId="0" fontId="13" fillId="8" borderId="34"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3" fillId="8" borderId="33" xfId="0" applyFont="1" applyFill="1" applyBorder="1" applyAlignment="1">
      <alignment horizontal="center" vertical="center" wrapText="1"/>
    </xf>
    <xf numFmtId="0" fontId="13" fillId="0" borderId="0" xfId="0" applyFont="1" applyAlignment="1">
      <alignment horizontal="center"/>
    </xf>
    <xf numFmtId="0" fontId="4" fillId="0" borderId="4" xfId="0" applyFont="1" applyBorder="1" applyAlignment="1">
      <alignment horizontal="center" wrapText="1"/>
    </xf>
    <xf numFmtId="0" fontId="13" fillId="7" borderId="7" xfId="0" applyFont="1" applyFill="1" applyBorder="1" applyAlignment="1">
      <alignment horizontal="center"/>
    </xf>
    <xf numFmtId="165" fontId="1" fillId="0" borderId="0" xfId="0" applyFont="1" applyNumberFormat="1"/>
    <xf numFmtId="3" fontId="4" fillId="0" borderId="3" xfId="0" applyFont="1" applyNumberFormat="1" applyBorder="1" applyAlignment="1">
      <alignment horizontal="center" vertical="top"/>
    </xf>
    <xf numFmtId="165" fontId="4" fillId="0" borderId="6" xfId="0" applyFont="1" applyNumberFormat="1" applyBorder="1" applyAlignment="1">
      <alignment horizontal="center"/>
    </xf>
    <xf numFmtId="168" fontId="4" fillId="0" borderId="4" xfId="0" applyFont="1" applyNumberFormat="1" applyBorder="1" applyAlignment="1">
      <alignment horizontal="center"/>
    </xf>
    <xf numFmtId="165" fontId="4" fillId="0" borderId="8" xfId="0" applyFont="1" applyNumberFormat="1" applyBorder="1" applyAlignment="1">
      <alignment horizontal="center"/>
    </xf>
    <xf numFmtId="165" fontId="4" fillId="0" borderId="0" xfId="0" applyFont="1" applyNumberFormat="1" applyAlignment="1">
      <alignment horizontal="center" vertical="top"/>
    </xf>
    <xf numFmtId="0" fontId="1" fillId="0" borderId="7" xfId="0" applyFont="1" applyBorder="1"/>
    <xf numFmtId="165" fontId="4" fillId="0" borderId="0" xfId="0" applyFont="1" applyNumberFormat="1" applyAlignment="1">
      <alignment horizontal="center" wrapText="1"/>
    </xf>
    <xf numFmtId="165" fontId="4" fillId="0" borderId="3" xfId="0" applyFont="1" applyNumberFormat="1" applyBorder="1" applyAlignment="1">
      <alignment horizontal="center" wrapText="1"/>
    </xf>
    <xf numFmtId="165" fontId="13" fillId="0" borderId="0" xfId="0" applyFont="1" applyNumberFormat="1" applyAlignment="1">
      <alignment horizontal="center" vertical="top" wrapText="1"/>
    </xf>
    <xf numFmtId="165" fontId="20" fillId="0" borderId="33" xfId="0" applyFont="1" applyNumberFormat="1" applyBorder="1" applyAlignment="1">
      <alignment horizontal="center"/>
    </xf>
    <xf numFmtId="2" fontId="4" fillId="0" borderId="3" xfId="0" applyFont="1" applyNumberFormat="1" applyBorder="1"/>
    <xf numFmtId="165" fontId="4" fillId="13" borderId="0" xfId="0" applyFont="1" applyNumberFormat="1" applyFill="1" applyAlignment="1">
      <alignment horizontal="center" wrapText="1"/>
    </xf>
    <xf numFmtId="0" fontId="4" fillId="7" borderId="0" xfId="0" applyFont="1" applyFill="1" applyAlignment="1">
      <alignment horizontal="center"/>
    </xf>
    <xf numFmtId="165" fontId="4" fillId="7" borderId="0" xfId="0" applyFont="1" applyNumberFormat="1" applyFill="1" applyAlignment="1">
      <alignment horizontal="center" wrapText="1"/>
    </xf>
    <xf numFmtId="165" fontId="4" fillId="14" borderId="0" xfId="0" applyFont="1" applyNumberFormat="1" applyFill="1" applyAlignment="1">
      <alignment horizontal="center" wrapText="1"/>
    </xf>
    <xf numFmtId="165" fontId="4" fillId="14" borderId="0" xfId="0" applyFont="1" applyNumberFormat="1" applyFill="1" applyAlignment="1">
      <alignment horizontal="center" vertical="top" wrapText="1"/>
    </xf>
    <xf numFmtId="1" fontId="4" fillId="12" borderId="0" xfId="0" applyFont="1" applyNumberFormat="1" applyFill="1" applyAlignment="1">
      <alignment horizontal="center" wrapText="1"/>
    </xf>
    <xf numFmtId="1" fontId="4" fillId="12" borderId="0" xfId="0" applyFont="1" applyNumberFormat="1" applyFill="1" applyAlignment="1">
      <alignment horizontal="center"/>
    </xf>
    <xf numFmtId="3" fontId="4" fillId="11" borderId="0" xfId="0" applyFont="1" applyNumberFormat="1" applyFill="1" applyAlignment="1">
      <alignment horizontal="center" wrapText="1"/>
    </xf>
    <xf numFmtId="3" fontId="4" fillId="7" borderId="0" xfId="0" applyFont="1" applyNumberFormat="1" applyFill="1" applyAlignment="1">
      <alignment horizontal="center"/>
    </xf>
    <xf numFmtId="3" fontId="4" fillId="7" borderId="0" xfId="0" applyFont="1" applyNumberFormat="1" applyFill="1" applyAlignment="1">
      <alignment horizontal="center" wrapText="1"/>
    </xf>
    <xf numFmtId="0" fontId="4" fillId="12" borderId="2" xfId="0" applyFont="1" applyFill="1" applyBorder="1" applyAlignment="1">
      <alignment wrapText="1"/>
    </xf>
    <xf numFmtId="0" fontId="4" fillId="12" borderId="33" xfId="0" applyFont="1" applyFill="1" applyBorder="1" applyAlignment="1">
      <alignment wrapText="1"/>
    </xf>
    <xf numFmtId="0" fontId="4" fillId="7" borderId="33" xfId="0" applyFont="1" applyFill="1" applyBorder="1" applyAlignment="1">
      <alignment wrapText="1"/>
    </xf>
    <xf numFmtId="0" fontId="4" fillId="7" borderId="6" xfId="0" applyFont="1" applyFill="1" applyBorder="1" applyAlignment="1">
      <alignment wrapText="1"/>
    </xf>
    <xf numFmtId="165" fontId="20" fillId="0" borderId="0" xfId="0" applyFont="1" applyNumberFormat="1" applyAlignment="1">
      <alignment horizontal="center" wrapText="1"/>
    </xf>
    <xf numFmtId="0" fontId="4" fillId="7" borderId="14" xfId="0" applyFont="1" applyFill="1" applyBorder="1"/>
    <xf numFmtId="3" fontId="4" fillId="7" borderId="12" xfId="0" applyFont="1" applyNumberFormat="1" applyFill="1" applyBorder="1" applyAlignment="1">
      <alignment horizontal="center"/>
    </xf>
    <xf numFmtId="0" fontId="4" fillId="0" borderId="0" xfId="0" applyFont="1" applyAlignment="1">
      <alignment horizontal="left" vertical="top" indent="2" wrapText="1"/>
    </xf>
    <xf numFmtId="3" fontId="4" fillId="7" borderId="13" xfId="0" applyFont="1" applyNumberFormat="1" applyFill="1" applyBorder="1" applyAlignment="1">
      <alignment horizontal="center"/>
    </xf>
    <xf numFmtId="165" fontId="13" fillId="7" borderId="0" xfId="0" applyFont="1" applyNumberFormat="1" applyFill="1" applyAlignment="1">
      <alignment horizontal="center" vertical="top" wrapText="1"/>
    </xf>
    <xf numFmtId="165" fontId="4" fillId="7" borderId="33" xfId="0" applyFont="1" applyNumberFormat="1" applyFill="1" applyBorder="1" applyAlignment="1">
      <alignment horizontal="center" wrapText="1"/>
    </xf>
    <xf numFmtId="168" fontId="4" fillId="7" borderId="0" xfId="0" applyFont="1" applyNumberFormat="1" applyFill="1" applyAlignment="1">
      <alignment horizontal="center" wrapText="1"/>
    </xf>
    <xf numFmtId="0" fontId="4" fillId="3" borderId="15" xfId="0" applyFont="1" applyFill="1" applyBorder="1" applyAlignment="1">
      <alignment horizontal="center" vertical="center" wrapText="1"/>
    </xf>
    <xf numFmtId="0" fontId="13" fillId="8" borderId="0" xfId="0" applyFont="1" applyFill="1" applyAlignment="1">
      <alignment horizontal="center" vertical="center" wrapText="1"/>
    </xf>
    <xf numFmtId="165" fontId="4" fillId="11" borderId="0" xfId="0" applyFont="1" applyNumberFormat="1" applyFill="1" applyAlignment="1">
      <alignment horizontal="center" vertical="top" wrapText="1"/>
    </xf>
    <xf numFmtId="165" fontId="4" fillId="2" borderId="0" xfId="0" applyFont="1" applyNumberFormat="1" applyFill="1" applyAlignment="1">
      <alignment horizontal="center" wrapText="1"/>
    </xf>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33" xfId="0" applyFont="1" applyBorder="1" applyAlignment="1">
      <alignment horizontal="center" wrapText="1"/>
    </xf>
    <xf numFmtId="165" fontId="4" fillId="0" borderId="33" xfId="0" applyFont="1" applyNumberFormat="1" applyBorder="1" applyAlignment="1">
      <alignment horizontal="center" wrapText="1"/>
    </xf>
    <xf numFmtId="3" fontId="4" fillId="0" borderId="4" xfId="0" applyFont="1" applyNumberFormat="1" applyBorder="1" applyAlignment="1">
      <alignment horizontal="center" wrapText="1"/>
    </xf>
    <xf numFmtId="0" fontId="4" fillId="0" borderId="7" xfId="0" applyFont="1" applyBorder="1"/>
    <xf numFmtId="0" fontId="4" fillId="0" borderId="3" xfId="0" applyFont="1" applyBorder="1"/>
    <xf numFmtId="3" fontId="4" fillId="0" borderId="1" xfId="0" applyFont="1" applyNumberFormat="1" applyBorder="1" applyAlignment="1">
      <alignment horizontal="center" vertical="top" wrapText="1"/>
    </xf>
    <xf numFmtId="2" fontId="4" fillId="7" borderId="3" xfId="0" applyFont="1" applyNumberFormat="1" applyFill="1" applyBorder="1"/>
    <xf numFmtId="165" fontId="20" fillId="7" borderId="33" xfId="0" applyFont="1" applyNumberFormat="1" applyFill="1" applyBorder="1" applyAlignment="1">
      <alignment horizontal="center"/>
    </xf>
    <xf numFmtId="2" fontId="4" fillId="7" borderId="8" xfId="0" applyFont="1" applyNumberFormat="1" applyFill="1" applyBorder="1"/>
    <xf numFmtId="0" fontId="4" fillId="0" borderId="1" xfId="0" applyFont="1" applyBorder="1" applyAlignment="1">
      <alignment horizontal="left" vertical="top" indent="2" wrapText="1"/>
    </xf>
    <xf numFmtId="3" fontId="4" fillId="0" borderId="4" xfId="0" applyFont="1" applyNumberFormat="1" applyBorder="1" applyAlignment="1">
      <alignment horizontal="center"/>
    </xf>
    <xf numFmtId="3" fontId="4" fillId="12" borderId="3" xfId="0" applyFont="1" applyNumberFormat="1" applyFill="1" applyBorder="1" applyAlignment="1">
      <alignment horizontal="center" vertical="top" wrapText="1"/>
    </xf>
    <xf numFmtId="1" fontId="4" fillId="0" borderId="2" xfId="0" applyFont="1" applyNumberFormat="1" applyBorder="1" applyAlignment="1">
      <alignment horizontal="center"/>
    </xf>
    <xf numFmtId="1" fontId="4" fillId="0" borderId="33" xfId="0" applyFont="1" applyNumberFormat="1" applyBorder="1" applyAlignment="1">
      <alignment horizontal="center"/>
    </xf>
    <xf numFmtId="1" fontId="4" fillId="12" borderId="33" xfId="0" applyFont="1" applyNumberFormat="1" applyFill="1" applyBorder="1" applyAlignment="1">
      <alignment horizontal="center"/>
    </xf>
    <xf numFmtId="0" fontId="20" fillId="0" borderId="0" xfId="0" applyFont="1" applyAlignment="1">
      <alignment horizontal="left"/>
    </xf>
    <xf numFmtId="0" fontId="20" fillId="0" borderId="2" xfId="0" applyFont="1" applyBorder="1" applyAlignment="1">
      <alignment horizontal="left"/>
    </xf>
    <xf numFmtId="0" fontId="20" fillId="0" borderId="33" xfId="0" applyFont="1" applyBorder="1" applyAlignment="1">
      <alignment horizontal="left"/>
    </xf>
    <xf numFmtId="1" fontId="4" fillId="0" borderId="1" xfId="0" applyFont="1" applyNumberFormat="1" applyBorder="1" applyAlignment="1">
      <alignment horizontal="center" wrapText="1"/>
    </xf>
    <xf numFmtId="165" fontId="4" fillId="0" borderId="5" xfId="0" applyFont="1" applyNumberFormat="1" applyBorder="1" applyAlignment="1">
      <alignment horizontal="center" wrapText="1"/>
    </xf>
    <xf numFmtId="165" fontId="4" fillId="15" borderId="0" xfId="0" applyFont="1" applyNumberFormat="1" applyFill="1" applyAlignment="1">
      <alignment horizontal="center" wrapText="1"/>
    </xf>
    <xf numFmtId="165" fontId="4" fillId="0" borderId="0" xfId="0" applyFont="1" applyNumberFormat="1" applyAlignment="1">
      <alignment vertical="top" wrapText="1"/>
    </xf>
    <xf numFmtId="0" fontId="4" fillId="0" borderId="7" xfId="0" applyFont="1" applyBorder="1" applyAlignment="1">
      <alignment horizontal="left" vertical="top" indent="2" wrapText="1"/>
    </xf>
    <xf numFmtId="0" fontId="4" fillId="0" borderId="4" xfId="0" applyFont="1" applyBorder="1" applyAlignment="1">
      <alignment vertical="top" wrapText="1"/>
    </xf>
    <xf numFmtId="0" fontId="4" fillId="0" borderId="1" xfId="0" applyFont="1" applyBorder="1" applyAlignment="1">
      <alignment horizontal="left" indent="4" wrapText="1"/>
    </xf>
    <xf numFmtId="0" fontId="13" fillId="0" borderId="0" xfId="0" applyFont="1" applyAlignment="1">
      <alignment horizontal="left" wrapText="1"/>
    </xf>
    <xf numFmtId="3" fontId="4" fillId="0" borderId="0" xfId="0" applyFont="1" applyNumberFormat="1" applyAlignment="1">
      <alignment horizontal="center" vertical="top"/>
    </xf>
    <xf numFmtId="3" fontId="4" fillId="0" borderId="8" xfId="0" applyFont="1" applyNumberForma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Font="1" applyNumberFormat="1" applyAlignment="1">
      <alignment vertical="top" wrapText="1"/>
    </xf>
    <xf numFmtId="3" fontId="4" fillId="0" borderId="6" xfId="0" applyFont="1" applyNumberFormat="1" applyBorder="1" applyAlignment="1">
      <alignment horizontal="center"/>
    </xf>
    <xf numFmtId="3" fontId="4" fillId="0" borderId="7" xfId="0" applyFont="1" applyNumberFormat="1" applyBorder="1" applyAlignment="1">
      <alignment horizontal="center" vertical="top" wrapText="1"/>
    </xf>
    <xf numFmtId="0" fontId="4" fillId="0" borderId="0" xfId="0" applyFont="1" applyAlignment="1">
      <alignment horizontal="left" indent="2" wrapText="1"/>
    </xf>
    <xf numFmtId="3" fontId="4" fillId="0" borderId="3" xfId="0" applyFont="1" applyNumberFormat="1" applyBorder="1" applyAlignment="1">
      <alignment horizontal="center" vertical="top" wrapText="1"/>
    </xf>
    <xf numFmtId="0" fontId="4" fillId="0" borderId="0" xfId="0" applyFont="1" applyAlignment="1">
      <alignment horizontal="left" indent="4" wrapText="1"/>
    </xf>
    <xf numFmtId="0" fontId="4" fillId="0" borderId="4" xfId="0" applyFont="1" applyBorder="1" applyAlignment="1">
      <alignment wrapText="1"/>
    </xf>
    <xf numFmtId="0" fontId="4" fillId="0" borderId="7" xfId="0" applyFont="1" applyBorder="1" applyAlignment="1">
      <alignment horizontal="left" indent="4" wrapText="1"/>
    </xf>
    <xf numFmtId="3" fontId="21" fillId="0" borderId="0" xfId="0" applyFont="1" applyNumberFormat="1" applyAlignment="1">
      <alignment horizontal="center" wrapText="1"/>
    </xf>
    <xf numFmtId="3" fontId="4" fillId="0" borderId="3" xfId="0" applyFont="1" applyNumberFormat="1" applyBorder="1" applyAlignment="1">
      <alignment horizontal="center" wrapText="1"/>
    </xf>
    <xf numFmtId="168" fontId="4" fillId="0" borderId="1" xfId="0" applyFont="1" applyNumberFormat="1" applyBorder="1" applyAlignment="1">
      <alignment horizontal="center" wrapText="1"/>
    </xf>
    <xf numFmtId="168" fontId="4" fillId="0" borderId="7" xfId="0" applyFont="1" applyNumberFormat="1" applyBorder="1" applyAlignment="1">
      <alignment horizontal="center" wrapText="1"/>
    </xf>
    <xf numFmtId="0" fontId="22" fillId="0" borderId="0" xfId="0" applyFont="1"/>
    <xf numFmtId="165" fontId="4" fillId="7" borderId="3" xfId="0" applyFont="1" applyNumberFormat="1" applyFill="1" applyBorder="1" applyAlignment="1">
      <alignment horizontal="center" wrapText="1"/>
    </xf>
    <xf numFmtId="0" fontId="13" fillId="0" borderId="0" xfId="0" applyFont="1" applyAlignment="1">
      <alignment wrapText="1"/>
    </xf>
    <xf numFmtId="3" fontId="4" fillId="0" borderId="0" xfId="0" applyFont="1" applyNumberFormat="1" applyAlignment="1">
      <alignment horizontal="left" vertical="top" wrapText="1"/>
    </xf>
    <xf numFmtId="168" fontId="4" fillId="0" borderId="0" xfId="0" applyFont="1" applyNumberFormat="1" applyAlignment="1">
      <alignment horizontal="center" wrapText="1"/>
    </xf>
    <xf numFmtId="165" fontId="4" fillId="0" borderId="0" xfId="0" applyFont="1" applyNumberFormat="1" applyAlignment="1">
      <alignment wrapText="1"/>
    </xf>
    <xf numFmtId="0" fontId="13" fillId="0" borderId="1" xfId="0" applyFont="1" applyBorder="1" applyAlignment="1">
      <alignment horizontal="left" vertical="top" wrapText="1"/>
    </xf>
    <xf numFmtId="3" fontId="13" fillId="0" borderId="15" xfId="0" applyFont="1" applyNumberFormat="1" applyBorder="1" applyAlignment="1">
      <alignment horizontal="left" wrapText="1"/>
    </xf>
    <xf numFmtId="165" fontId="4" fillId="0" borderId="13" xfId="0" applyFont="1" applyNumberFormat="1" applyBorder="1" applyAlignment="1">
      <alignment horizontal="center" wrapText="1"/>
    </xf>
    <xf numFmtId="168" fontId="4" fillId="0" borderId="13" xfId="0" applyFont="1" applyNumberFormat="1" applyBorder="1" applyAlignment="1">
      <alignment horizontal="center" wrapText="1"/>
    </xf>
    <xf numFmtId="3" fontId="4" fillId="0" borderId="12" xfId="0" applyFont="1" applyNumberFormat="1" applyBorder="1" applyAlignment="1">
      <alignment horizontal="center" vertical="top"/>
    </xf>
    <xf numFmtId="0" fontId="13" fillId="0" borderId="0" xfId="0" applyFont="1" applyAlignment="1">
      <alignment horizontal="center" vertical="center" wrapText="1"/>
    </xf>
    <xf numFmtId="165" fontId="4" fillId="0" borderId="8" xfId="0" applyFont="1" applyNumberFormat="1" applyBorder="1" applyAlignment="1">
      <alignment horizontal="center" wrapText="1"/>
    </xf>
    <xf numFmtId="3" fontId="4" fillId="0" borderId="8" xfId="0" applyFont="1" applyNumberFormat="1" applyBorder="1" applyAlignment="1">
      <alignment horizontal="center"/>
    </xf>
    <xf numFmtId="165" fontId="4" fillId="7" borderId="5" xfId="0" applyFont="1" applyNumberFormat="1" applyFill="1" applyBorder="1" applyAlignment="1">
      <alignment horizontal="center" wrapText="1"/>
    </xf>
    <xf numFmtId="0" fontId="13" fillId="0" borderId="1" xfId="0" applyFont="1" applyBorder="1" applyAlignment="1">
      <alignment horizontal="left" vertical="top" indent="2" wrapText="1"/>
    </xf>
    <xf numFmtId="3" fontId="4" fillId="0" borderId="5" xfId="0" applyFont="1" applyNumberFormat="1" applyBorder="1" applyAlignment="1">
      <alignment horizontal="center" wrapText="1"/>
    </xf>
    <xf numFmtId="165" fontId="4" fillId="14" borderId="3" xfId="0" applyFont="1" applyNumberFormat="1" applyFill="1" applyBorder="1" applyAlignment="1">
      <alignment horizontal="center" wrapText="1"/>
    </xf>
    <xf numFmtId="0" fontId="4" fillId="0" borderId="1" xfId="0" applyFont="1" applyBorder="1" applyAlignment="1">
      <alignment horizontal="left" indent="2" wrapText="1"/>
    </xf>
    <xf numFmtId="3" fontId="4" fillId="0" borderId="5" xfId="0" applyFont="1" applyNumberFormat="1" applyBorder="1" applyAlignment="1">
      <alignment horizontal="center" vertical="top" wrapText="1"/>
    </xf>
    <xf numFmtId="0" fontId="4" fillId="0" borderId="5" xfId="0" applyFont="1" applyBorder="1" applyAlignment="1">
      <alignment horizontal="center" wrapText="1"/>
    </xf>
    <xf numFmtId="0" fontId="4" fillId="0" borderId="14" xfId="0" applyFont="1" applyBorder="1" applyAlignment="1">
      <alignment horizontal="center"/>
    </xf>
    <xf numFmtId="0" fontId="13" fillId="0" borderId="38" xfId="0" applyFont="1" applyBorder="1" applyAlignment="1">
      <alignment horizontal="center" wrapText="1"/>
    </xf>
    <xf numFmtId="0" fontId="13" fillId="0" borderId="38" xfId="0" applyFont="1" applyBorder="1" applyAlignment="1">
      <alignment wrapText="1"/>
    </xf>
    <xf numFmtId="3" fontId="13" fillId="0" borderId="34" xfId="0" applyFont="1" applyNumberForma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indent="1" wrapText="1"/>
    </xf>
    <xf numFmtId="0" fontId="4" fillId="0" borderId="1" xfId="0" applyFont="1" applyBorder="1" applyAlignment="1">
      <alignment horizontal="left" indent="1" wrapText="1"/>
    </xf>
    <xf numFmtId="0" fontId="13" fillId="0" borderId="1" xfId="0" applyFont="1" applyBorder="1" applyAlignment="1">
      <alignment horizontal="left" wrapText="1"/>
    </xf>
    <xf numFmtId="3" fontId="4" fillId="0" borderId="2" xfId="0" applyFont="1" applyNumberFormat="1" applyBorder="1" applyAlignment="1">
      <alignment horizontal="center" vertical="top" wrapText="1"/>
    </xf>
    <xf numFmtId="3" fontId="4" fillId="0" borderId="1" xfId="0" applyFont="1" applyNumberFormat="1" applyBorder="1" applyAlignment="1">
      <alignment horizontal="center" wrapText="1"/>
    </xf>
    <xf numFmtId="0" fontId="20" fillId="0" borderId="1" xfId="0" applyFont="1" applyBorder="1" applyAlignment="1">
      <alignment wrapText="1"/>
    </xf>
    <xf numFmtId="165" fontId="4" fillId="0" borderId="1" xfId="0" applyFont="1" applyNumberFormat="1" applyBorder="1" applyAlignment="1">
      <alignment horizontal="center" vertical="top" wrapText="1"/>
    </xf>
    <xf numFmtId="0" fontId="4" fillId="0" borderId="8" xfId="0" applyFont="1" applyBorder="1"/>
    <xf numFmtId="0" fontId="4" fillId="7" borderId="4" xfId="0" applyFont="1" applyFill="1" applyBorder="1" applyAlignment="1">
      <alignment horizontal="center"/>
    </xf>
    <xf numFmtId="0" fontId="4" fillId="7" borderId="1" xfId="0" applyFont="1" applyFill="1" applyBorder="1" applyAlignment="1">
      <alignment horizontal="center"/>
    </xf>
    <xf numFmtId="165" fontId="4" fillId="0" borderId="33" xfId="0" applyFont="1" applyNumberFormat="1" applyBorder="1" applyAlignment="1">
      <alignment horizontal="center"/>
    </xf>
    <xf numFmtId="3" fontId="4" fillId="0" borderId="0" xfId="0" applyFont="1" applyNumberFormat="1" applyAlignment="1">
      <alignment vertical="top"/>
    </xf>
    <xf numFmtId="1" fontId="4" fillId="0" borderId="0" xfId="0" applyFont="1" applyNumberFormat="1" applyAlignment="1">
      <alignment horizontal="center"/>
    </xf>
    <xf numFmtId="0" fontId="4" fillId="7" borderId="0" xfId="0" applyFont="1" applyFill="1"/>
    <xf numFmtId="0" fontId="13" fillId="12" borderId="2" xfId="0" applyFont="1" applyFill="1" applyBorder="1" applyAlignment="1">
      <alignment horizontal="center" vertical="center"/>
    </xf>
    <xf numFmtId="0" fontId="13" fillId="12" borderId="6" xfId="0" applyFont="1" applyFill="1" applyBorder="1" applyAlignment="1">
      <alignment horizontal="center" vertical="center"/>
    </xf>
    <xf numFmtId="0" fontId="13" fillId="12" borderId="1" xfId="0" applyFont="1" applyFill="1" applyBorder="1" applyAlignment="1">
      <alignment horizontal="center" vertical="center"/>
    </xf>
    <xf numFmtId="0" fontId="13" fillId="12" borderId="4" xfId="0" applyFont="1" applyFill="1" applyBorder="1" applyAlignment="1">
      <alignment horizontal="center" vertical="center"/>
    </xf>
    <xf numFmtId="0" fontId="4" fillId="12" borderId="2" xfId="0" applyFont="1" applyFill="1" applyBorder="1" applyAlignment="1">
      <alignment horizontal="center" vertical="center"/>
    </xf>
    <xf numFmtId="0" fontId="4" fillId="12" borderId="5" xfId="0" applyFont="1" applyFill="1" applyBorder="1" applyAlignment="1">
      <alignment horizontal="center" vertical="center"/>
    </xf>
    <xf numFmtId="0" fontId="4" fillId="12" borderId="6" xfId="0" applyFont="1" applyFill="1" applyBorder="1" applyAlignment="1">
      <alignment horizontal="center" vertical="center"/>
    </xf>
    <xf numFmtId="0" fontId="4" fillId="12" borderId="33" xfId="0" applyFont="1" applyFill="1" applyBorder="1" applyAlignment="1">
      <alignment horizontal="center" vertical="center"/>
    </xf>
    <xf numFmtId="0" fontId="13" fillId="12" borderId="7" xfId="0" applyFont="1" applyFill="1" applyBorder="1" applyAlignment="1">
      <alignment horizontal="center" vertical="center"/>
    </xf>
    <xf numFmtId="0" fontId="13" fillId="12" borderId="3" xfId="0" applyFont="1" applyFill="1" applyBorder="1" applyAlignment="1">
      <alignment horizontal="center" vertical="center"/>
    </xf>
    <xf numFmtId="0" fontId="13" fillId="12" borderId="0" xfId="0" applyFont="1" applyFill="1" applyAlignment="1">
      <alignment horizontal="center" vertical="center"/>
    </xf>
    <xf numFmtId="0" fontId="13" fillId="13" borderId="0" xfId="0" applyFont="1" applyFill="1" applyAlignment="1">
      <alignment horizontal="center"/>
    </xf>
    <xf numFmtId="0" fontId="13" fillId="12" borderId="5" xfId="0" applyFont="1" applyFill="1" applyBorder="1" applyAlignment="1">
      <alignment horizontal="center"/>
    </xf>
    <xf numFmtId="3" fontId="4" fillId="7" borderId="8" xfId="0" applyFont="1" applyNumberFormat="1" applyFill="1" applyBorder="1" applyAlignment="1">
      <alignment horizontal="center"/>
    </xf>
    <xf numFmtId="168" fontId="4" fillId="16" borderId="0" xfId="0" applyFont="1" applyNumberFormat="1" applyFill="1"/>
    <xf numFmtId="1" fontId="4" fillId="0" borderId="0" xfId="0" applyFont="1" applyNumberFormat="1"/>
    <xf numFmtId="1" fontId="4" fillId="16" borderId="0" xfId="0" applyFont="1" applyNumberFormat="1" applyFill="1"/>
    <xf numFmtId="0" fontId="4" fillId="12" borderId="7" xfId="0" applyFont="1" applyFill="1" applyBorder="1" applyAlignment="1">
      <alignment horizontal="center" vertical="center"/>
    </xf>
    <xf numFmtId="0" fontId="4" fillId="12" borderId="3" xfId="0" applyFont="1" applyFill="1" applyBorder="1" applyAlignment="1">
      <alignment horizontal="center" vertical="center"/>
    </xf>
    <xf numFmtId="0" fontId="4" fillId="12" borderId="8" xfId="0" applyFont="1" applyFill="1" applyBorder="1" applyAlignment="1">
      <alignment horizontal="center" vertical="center"/>
    </xf>
    <xf numFmtId="165" fontId="4" fillId="12" borderId="0" xfId="0" applyFont="1" applyNumberFormat="1" applyFill="1" applyAlignment="1">
      <alignment horizontal="center"/>
    </xf>
    <xf numFmtId="0" fontId="4" fillId="0" borderId="5" xfId="0" applyFont="1" applyBorder="1"/>
    <xf numFmtId="17" fontId="13" fillId="3" borderId="39" xfId="0" applyFont="1" applyNumberFormat="1" applyFill="1" applyBorder="1" applyAlignment="1">
      <alignment horizontal="left" wrapText="1"/>
    </xf>
    <xf numFmtId="0" fontId="13" fillId="3" borderId="2" xfId="0" applyFont="1" applyFill="1" applyBorder="1" applyAlignment="1">
      <alignment horizontal="left" wrapText="1"/>
    </xf>
    <xf numFmtId="17" fontId="13" fillId="3" borderId="38" xfId="0" applyFont="1" applyNumberFormat="1" applyFill="1" applyBorder="1" applyAlignment="1">
      <alignment horizontal="left" wrapText="1"/>
    </xf>
    <xf numFmtId="17" fontId="13" fillId="3" borderId="34" xfId="0" applyFont="1" applyNumberFormat="1" applyFill="1" applyBorder="1" applyAlignment="1">
      <alignment horizontal="left" wrapText="1"/>
    </xf>
    <xf numFmtId="17" fontId="13" fillId="3" borderId="5" xfId="0" applyFont="1" applyNumberFormat="1" applyFill="1" applyBorder="1" applyAlignment="1">
      <alignment horizontal="left" vertical="top" wrapText="1"/>
    </xf>
    <xf numFmtId="0" fontId="1" fillId="0" borderId="6" xfId="0" applyFont="1" applyBorder="1"/>
    <xf numFmtId="0" fontId="1" fillId="0" borderId="5" xfId="0" applyFont="1" applyBorder="1"/>
    <xf numFmtId="3" fontId="4" fillId="0" borderId="5" xfId="0" applyFont="1" applyNumberFormat="1" applyBorder="1" applyAlignment="1">
      <alignment horizontal="center"/>
    </xf>
    <xf numFmtId="0" fontId="7" fillId="0" borderId="0" xfId="0" applyFont="1" applyAlignment="1">
      <alignment horizontal="right" vertical="center" wrapText="1"/>
    </xf>
    <xf numFmtId="3" fontId="4" fillId="0" borderId="3" xfId="0" applyFont="1" applyNumberFormat="1" applyBorder="1" applyAlignment="1">
      <alignment horizontal="center" vertical="center"/>
    </xf>
    <xf numFmtId="3" fontId="4" fillId="0" borderId="0" xfId="0" applyFont="1" applyNumberFormat="1" applyAlignment="1">
      <alignment horizontal="center" vertical="center"/>
    </xf>
    <xf numFmtId="168" fontId="4" fillId="0" borderId="0" xfId="0" applyFont="1" applyNumberFormat="1" applyAlignment="1">
      <alignment horizontal="center" vertical="center"/>
    </xf>
    <xf numFmtId="3" fontId="4" fillId="7" borderId="0" xfId="0" applyFont="1" applyNumberFormat="1" applyFill="1" applyAlignment="1">
      <alignment horizontal="center" vertical="center"/>
    </xf>
    <xf numFmtId="1" fontId="20" fillId="7" borderId="0" xfId="0" applyFont="1" applyNumberFormat="1" applyFill="1" applyAlignment="1">
      <alignment horizontal="center" vertical="center"/>
    </xf>
    <xf numFmtId="165" fontId="4" fillId="11" borderId="0" xfId="0" applyFont="1" applyNumberFormat="1" applyFill="1" applyAlignment="1">
      <alignment horizontal="center"/>
    </xf>
    <xf numFmtId="0" fontId="4" fillId="12" borderId="0" xfId="0" applyFont="1" applyFill="1" applyAlignment="1">
      <alignment horizontal="center" vertical="center"/>
    </xf>
    <xf numFmtId="3" fontId="20" fillId="7" borderId="0" xfId="0" applyFont="1" applyNumberFormat="1" applyFill="1" applyAlignment="1">
      <alignment horizontal="center"/>
    </xf>
    <xf numFmtId="0" fontId="4" fillId="0" borderId="1" xfId="0" applyFont="1" applyBorder="1" applyAlignment="1">
      <alignment horizontal="left"/>
    </xf>
    <xf numFmtId="3" fontId="4" fillId="0" borderId="33" xfId="0" applyFont="1" applyNumberFormat="1" applyBorder="1" applyAlignment="1">
      <alignment horizontal="center"/>
    </xf>
    <xf numFmtId="165" fontId="4" fillId="0" borderId="5" xfId="0" applyFont="1" applyNumberFormat="1" applyBorder="1" applyAlignment="1">
      <alignment horizontal="center"/>
    </xf>
    <xf numFmtId="165" fontId="4" fillId="0" borderId="3" xfId="0" applyFont="1" applyNumberFormat="1" applyBorder="1" applyAlignment="1">
      <alignment horizontal="center"/>
    </xf>
    <xf numFmtId="0" fontId="4" fillId="0" borderId="0" xfId="0" applyFont="1" applyAlignment="1">
      <alignment horizontal="center" vertical="center" wrapText="1"/>
    </xf>
    <xf numFmtId="165" fontId="4" fillId="0" borderId="0" xfId="0" applyFont="1" applyNumberFormat="1" applyAlignment="1">
      <alignment horizontal="center" vertical="center"/>
    </xf>
    <xf numFmtId="168" fontId="4" fillId="12" borderId="0" xfId="0" applyFont="1" applyNumberFormat="1" applyFill="1" applyAlignment="1">
      <alignment horizontal="center" vertical="center"/>
    </xf>
    <xf numFmtId="0" fontId="23" fillId="0" borderId="2"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Font="1" applyNumberFormat="1" applyBorder="1" applyAlignment="1">
      <alignment horizontal="center" vertical="center"/>
    </xf>
    <xf numFmtId="0" fontId="4" fillId="0" borderId="0" xfId="0" applyFont="1" applyAlignment="1">
      <alignment horizontal="left"/>
    </xf>
    <xf numFmtId="3" fontId="4" fillId="12" borderId="33" xfId="0" applyFont="1" applyNumberFormat="1" applyFill="1" applyBorder="1" applyAlignment="1">
      <alignment horizontal="center"/>
    </xf>
    <xf numFmtId="0" fontId="23" fillId="0" borderId="1" xfId="0" applyFont="1" applyBorder="1" applyAlignment="1">
      <alignment horizontal="center" vertical="center" wrapText="1"/>
    </xf>
    <xf numFmtId="0" fontId="4" fillId="12" borderId="1" xfId="0" applyFont="1" applyFill="1" applyBorder="1" applyAlignment="1">
      <alignment horizontal="center" vertical="center"/>
    </xf>
    <xf numFmtId="0" fontId="4" fillId="12"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3" fontId="4" fillId="7" borderId="3" xfId="0" applyFont="1" applyNumberForma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33" xfId="0" applyFont="1" applyBorder="1" applyAlignment="1">
      <alignment horizontal="left"/>
    </xf>
    <xf numFmtId="165" fontId="4" fillId="2" borderId="33" xfId="0" applyFont="1" applyNumberFormat="1" applyFill="1" applyBorder="1" applyAlignment="1">
      <alignment horizontal="center"/>
    </xf>
    <xf numFmtId="168" fontId="13" fillId="0" borderId="0" xfId="0" applyFont="1" applyNumberFormat="1"/>
    <xf numFmtId="170" fontId="4" fillId="0" borderId="0" xfId="0" applyFont="1" applyNumberFormat="1" applyAlignment="1">
      <alignment horizontal="center"/>
    </xf>
    <xf numFmtId="3" fontId="4" fillId="0" borderId="3" xfId="0" applyFont="1" applyNumberFormat="1" applyBorder="1" applyAlignment="1">
      <alignment horizontal="center"/>
    </xf>
    <xf numFmtId="165" fontId="4" fillId="0" borderId="0" xfId="0" applyFont="1" applyNumberFormat="1"/>
    <xf numFmtId="0" fontId="4" fillId="0" borderId="2" xfId="0" applyFont="1" applyBorder="1" applyAlignment="1">
      <alignment wrapText="1"/>
    </xf>
    <xf numFmtId="0" fontId="4" fillId="0" borderId="7"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10" fontId="1" fillId="0" borderId="0" xfId="0" applyFont="1" applyNumberFormat="1"/>
    <xf numFmtId="0" fontId="13" fillId="0" borderId="2" xfId="0" applyFont="1" applyBorder="1" applyAlignment="1">
      <alignment horizontal="center" vertical="top" wrapText="1"/>
    </xf>
    <xf numFmtId="0" fontId="13" fillId="0" borderId="5" xfId="0" applyFont="1" applyBorder="1" applyAlignment="1">
      <alignment horizontal="center" vertical="top" wrapText="1"/>
    </xf>
    <xf numFmtId="0" fontId="13" fillId="0" borderId="2" xfId="0" applyFont="1" applyBorder="1" applyAlignment="1">
      <alignment horizontal="center" wrapText="1"/>
    </xf>
    <xf numFmtId="0" fontId="13" fillId="0" borderId="0" xfId="0" applyFont="1" applyAlignment="1">
      <alignment horizontal="center" wrapText="1"/>
    </xf>
    <xf numFmtId="0" fontId="13" fillId="12" borderId="38" xfId="0" applyFont="1" applyFill="1" applyBorder="1" applyAlignment="1">
      <alignment horizontal="center"/>
    </xf>
    <xf numFmtId="0" fontId="13" fillId="12" borderId="34" xfId="0" applyFont="1" applyFill="1" applyBorder="1" applyAlignment="1">
      <alignment horizontal="center"/>
    </xf>
    <xf numFmtId="0" fontId="13" fillId="12" borderId="33" xfId="0" applyFont="1" applyFill="1" applyBorder="1" applyAlignment="1">
      <alignment horizontal="center"/>
    </xf>
    <xf numFmtId="168" fontId="13" fillId="0" borderId="0" xfId="0" applyFont="1" applyNumberFormat="1" applyAlignment="1">
      <alignment horizontal="center" wrapText="1"/>
    </xf>
    <xf numFmtId="168" fontId="13" fillId="0" borderId="3" xfId="0" applyFont="1" applyNumberFormat="1" applyBorder="1" applyAlignment="1">
      <alignment horizontal="center" wrapText="1"/>
    </xf>
    <xf numFmtId="0" fontId="3" fillId="0" borderId="0" xfId="0" applyFont="1"/>
    <xf numFmtId="0" fontId="1" fillId="0" borderId="33" xfId="0" applyFont="1" applyBorder="1"/>
    <xf numFmtId="3" fontId="13" fillId="0" borderId="0" xfId="0" applyFont="1" applyNumberFormat="1" applyAlignment="1">
      <alignment horizontal="center" wrapText="1"/>
    </xf>
    <xf numFmtId="3" fontId="13" fillId="0" borderId="3" xfId="0" applyFont="1" applyNumberFormat="1" applyBorder="1" applyAlignment="1">
      <alignment horizontal="center" wrapText="1"/>
    </xf>
    <xf numFmtId="0" fontId="1" fillId="13" borderId="0" xfId="0" applyFont="1" applyFill="1"/>
    <xf numFmtId="0" fontId="1" fillId="7" borderId="33" xfId="0" applyFont="1" applyFill="1" applyBorder="1"/>
    <xf numFmtId="0" fontId="1" fillId="7" borderId="0" xfId="0" applyFont="1" applyFill="1"/>
    <xf numFmtId="3" fontId="20" fillId="7" borderId="0" xfId="0" applyFont="1" applyNumberFormat="1" applyFill="1" applyAlignment="1">
      <alignment horizontal="center" wrapText="1"/>
    </xf>
    <xf numFmtId="3" fontId="4" fillId="0" borderId="33" xfId="0" applyFont="1" applyNumberFormat="1" applyBorder="1" applyAlignment="1">
      <alignment horizontal="center" wrapText="1"/>
    </xf>
    <xf numFmtId="3" fontId="20" fillId="0" borderId="0" xfId="0" applyFont="1" applyNumberFormat="1" applyAlignment="1">
      <alignment horizontal="center" wrapText="1"/>
    </xf>
    <xf numFmtId="1" fontId="20" fillId="0" borderId="3" xfId="0" applyFont="1" applyNumberFormat="1" applyBorder="1" applyAlignment="1">
      <alignment horizontal="center"/>
    </xf>
    <xf numFmtId="3" fontId="4" fillId="7" borderId="33" xfId="0" applyFont="1" applyNumberFormat="1" applyFill="1" applyBorder="1" applyAlignment="1">
      <alignment horizontal="center" wrapText="1"/>
    </xf>
    <xf numFmtId="1" fontId="4" fillId="7" borderId="0" xfId="0" applyFont="1" applyNumberFormat="1" applyFill="1" applyAlignment="1">
      <alignment horizontal="center" wrapText="1"/>
    </xf>
    <xf numFmtId="3" fontId="13" fillId="7" borderId="0" xfId="0" applyFont="1" applyNumberFormat="1" applyFill="1" applyAlignment="1">
      <alignment horizontal="center" wrapText="1"/>
    </xf>
    <xf numFmtId="1" fontId="1" fillId="7" borderId="0" xfId="0" applyFont="1" applyNumberFormat="1" applyFill="1"/>
    <xf numFmtId="0" fontId="13" fillId="0" borderId="0" xfId="0" applyFont="1"/>
    <xf numFmtId="1" fontId="13" fillId="0" borderId="0" xfId="0" applyFont="1" applyNumberFormat="1"/>
    <xf numFmtId="3" fontId="13" fillId="0" borderId="0" xfId="0" applyFont="1" applyNumberFormat="1"/>
    <xf numFmtId="168" fontId="1" fillId="0" borderId="0" xfId="0" applyFont="1" applyNumberFormat="1"/>
    <xf numFmtId="1" fontId="1" fillId="11" borderId="0" xfId="0" applyFont="1" applyNumberFormat="1" applyFill="1"/>
    <xf numFmtId="3" fontId="20" fillId="11" borderId="0" xfId="0" applyFont="1" applyNumberForma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3" xfId="0" applyFont="1" applyBorder="1" applyAlignment="1">
      <alignment horizontal="center" wrapText="1"/>
    </xf>
    <xf numFmtId="3" fontId="13" fillId="7" borderId="3" xfId="0" applyFont="1" applyNumberFormat="1" applyFill="1" applyBorder="1" applyAlignment="1">
      <alignment horizontal="center" wrapText="1"/>
    </xf>
    <xf numFmtId="0" fontId="13" fillId="0" borderId="1" xfId="0" applyFont="1" applyBorder="1" applyAlignment="1">
      <alignment horizontal="center" wrapText="1"/>
    </xf>
    <xf numFmtId="0" fontId="13" fillId="0" borderId="1" xfId="0" applyFont="1" applyBorder="1" applyAlignment="1">
      <alignment horizontal="center" vertical="top" wrapText="1"/>
    </xf>
    <xf numFmtId="0" fontId="4" fillId="0" borderId="7" xfId="0" applyFont="1" applyBorder="1" applyAlignment="1">
      <alignment wrapText="1"/>
    </xf>
    <xf numFmtId="0" fontId="4" fillId="0" borderId="3" xfId="0" applyFont="1" applyBorder="1" applyAlignment="1">
      <alignment wrapText="1"/>
    </xf>
    <xf numFmtId="171" fontId="4" fillId="0" borderId="0" xfId="0" applyFont="1" applyNumberFormat="1" applyAlignment="1">
      <alignment horizontal="center" wrapText="1"/>
    </xf>
    <xf numFmtId="0" fontId="20" fillId="0" borderId="0" xfId="0" applyFont="1" applyAlignment="1">
      <alignment wrapText="1"/>
    </xf>
    <xf numFmtId="171" fontId="20" fillId="0" borderId="0" xfId="0" applyFont="1" applyNumberFormat="1" applyAlignment="1">
      <alignment wrapText="1"/>
    </xf>
    <xf numFmtId="0" fontId="13" fillId="0" borderId="33" xfId="0" applyFont="1" applyBorder="1" applyAlignment="1">
      <alignment horizontal="center" vertical="top" wrapText="1"/>
    </xf>
    <xf numFmtId="171" fontId="4" fillId="0" borderId="3" xfId="0" applyFont="1" applyNumberFormat="1" applyBorder="1" applyAlignment="1">
      <alignment horizontal="center" wrapText="1"/>
    </xf>
    <xf numFmtId="1" fontId="13" fillId="0" borderId="0" xfId="0" applyFont="1" applyNumberFormat="1" applyAlignment="1">
      <alignment horizontal="center" wrapText="1"/>
    </xf>
    <xf numFmtId="0" fontId="25" fillId="0" borderId="0" xfId="0" applyFont="1"/>
    <xf numFmtId="1" fontId="4" fillId="0" borderId="33" xfId="0" applyFont="1" applyNumberFormat="1" applyBorder="1" applyAlignment="1">
      <alignment horizontal="center" wrapText="1"/>
    </xf>
    <xf numFmtId="1" fontId="4" fillId="12" borderId="33" xfId="0" applyFont="1" applyNumberFormat="1" applyFill="1" applyBorder="1" applyAlignment="1">
      <alignment horizontal="center" wrapText="1"/>
    </xf>
    <xf numFmtId="0" fontId="20" fillId="0" borderId="7" xfId="0" applyFont="1" applyBorder="1"/>
    <xf numFmtId="0" fontId="20" fillId="0" borderId="3" xfId="0" applyFont="1" applyBorder="1"/>
    <xf numFmtId="1" fontId="20" fillId="0" borderId="0" xfId="0" applyFont="1" applyNumberFormat="1" applyAlignment="1">
      <alignment horizontal="center"/>
    </xf>
    <xf numFmtId="1" fontId="20" fillId="7" borderId="3" xfId="0" applyFont="1" applyNumberForma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indent="5" wrapText="1"/>
    </xf>
    <xf numFmtId="3" fontId="4" fillId="7" borderId="5" xfId="0" applyFont="1" applyNumberFormat="1" applyFill="1" applyBorder="1" applyAlignment="1">
      <alignment horizontal="center" wrapText="1"/>
    </xf>
    <xf numFmtId="168" fontId="4" fillId="12" borderId="0" xfId="0" applyFont="1" applyNumberFormat="1" applyFill="1" applyAlignment="1">
      <alignment horizontal="center" wrapText="1"/>
    </xf>
    <xf numFmtId="0" fontId="26" fillId="0" borderId="0" xfId="0" applyFont="1" applyAlignment="1">
      <alignment horizontal="left" vertical="top" wrapText="1"/>
    </xf>
    <xf numFmtId="0" fontId="4" fillId="8" borderId="1" xfId="0" applyFont="1" applyFill="1" applyBorder="1" applyAlignment="1">
      <alignment horizontal="left" vertical="top" indent="3" wrapText="1"/>
    </xf>
    <xf numFmtId="0" fontId="4" fillId="8" borderId="0" xfId="0" applyFont="1" applyFill="1" applyAlignment="1">
      <alignment horizontal="left" vertical="top" indent="3" wrapText="1"/>
    </xf>
    <xf numFmtId="0" fontId="4" fillId="8" borderId="4" xfId="0" applyFont="1" applyFill="1" applyBorder="1" applyAlignment="1">
      <alignment horizontal="left" vertical="top" indent="3" wrapText="1"/>
    </xf>
    <xf numFmtId="0" fontId="4" fillId="0" borderId="1" xfId="0" applyFont="1" applyBorder="1" applyAlignment="1">
      <alignment horizontal="left" indent="3" wrapText="1"/>
    </xf>
    <xf numFmtId="0" fontId="4" fillId="0" borderId="0" xfId="0" applyFont="1" applyAlignment="1">
      <alignment horizontal="left" indent="3" wrapText="1"/>
    </xf>
    <xf numFmtId="0" fontId="4" fillId="0" borderId="4" xfId="0" applyFont="1" applyBorder="1" applyAlignment="1">
      <alignment horizontal="left" indent="3" wrapText="1"/>
    </xf>
    <xf numFmtId="0" fontId="4" fillId="0" borderId="2" xfId="0" applyFont="1" applyBorder="1" applyAlignment="1">
      <alignment horizontal="left" indent="3" wrapText="1"/>
    </xf>
    <xf numFmtId="0" fontId="4" fillId="0" borderId="5" xfId="0" applyFont="1" applyBorder="1" applyAlignment="1">
      <alignment horizontal="left" indent="3" wrapText="1"/>
    </xf>
    <xf numFmtId="0" fontId="4" fillId="0" borderId="6" xfId="0" applyFont="1" applyBorder="1" applyAlignment="1">
      <alignment horizontal="left" indent="3" wrapText="1"/>
    </xf>
    <xf numFmtId="0" fontId="4" fillId="0" borderId="8" xfId="0" applyFont="1" applyBorder="1" applyAlignment="1">
      <alignment horizontal="left" wrapText="1"/>
    </xf>
    <xf numFmtId="0" fontId="4" fillId="8" borderId="1" xfId="0" applyFont="1" applyFill="1" applyBorder="1" applyAlignment="1">
      <alignment horizontal="left" indent="3" wrapText="1"/>
    </xf>
    <xf numFmtId="0" fontId="4" fillId="8" borderId="0" xfId="0" applyFont="1" applyFill="1" applyAlignment="1">
      <alignment horizontal="left" indent="3" wrapText="1"/>
    </xf>
    <xf numFmtId="0" fontId="4" fillId="8" borderId="4" xfId="0" applyFont="1" applyFill="1" applyBorder="1" applyAlignment="1">
      <alignment horizontal="left" indent="3" wrapText="1"/>
    </xf>
    <xf numFmtId="0" fontId="4" fillId="0" borderId="4" xfId="0" applyFont="1" applyBorder="1" applyAlignment="1">
      <alignment horizontal="left" wrapText="1"/>
    </xf>
    <xf numFmtId="0" fontId="4" fillId="0" borderId="1" xfId="0" applyFont="1" applyBorder="1"/>
    <xf numFmtId="168" fontId="20" fillId="0" borderId="0" xfId="0" applyFont="1" applyNumberFormat="1" applyAlignment="1">
      <alignment horizontal="center"/>
    </xf>
    <xf numFmtId="168" fontId="20" fillId="15" borderId="33" xfId="0" applyFont="1" applyNumberFormat="1" applyFill="1" applyBorder="1" applyAlignment="1">
      <alignment horizontal="center"/>
    </xf>
    <xf numFmtId="168" fontId="4" fillId="0" borderId="3" xfId="0" applyFont="1" applyNumberFormat="1" applyBorder="1" applyAlignment="1">
      <alignment horizontal="center"/>
    </xf>
    <xf numFmtId="168" fontId="4" fillId="0" borderId="0" xfId="0" applyFont="1" applyNumberFormat="1" applyAlignment="1">
      <alignment horizontal="center"/>
    </xf>
    <xf numFmtId="0" fontId="4" fillId="7" borderId="5" xfId="0" applyFont="1" applyFill="1" applyBorder="1"/>
    <xf numFmtId="168" fontId="20" fillId="7" borderId="0" xfId="0" applyFont="1" applyNumberFormat="1" applyFill="1" applyAlignment="1">
      <alignment horizontal="center"/>
    </xf>
    <xf numFmtId="168" fontId="4" fillId="12" borderId="0" xfId="0" applyFont="1" applyNumberFormat="1" applyFill="1" applyAlignment="1">
      <alignment horizontal="center"/>
    </xf>
    <xf numFmtId="169" fontId="4" fillId="0" borderId="0" xfId="0" applyFont="1" applyNumberFormat="1" applyAlignment="1">
      <alignment horizontal="center"/>
    </xf>
    <xf numFmtId="0" fontId="4" fillId="12" borderId="5" xfId="0" applyFont="1" applyFill="1" applyBorder="1"/>
    <xf numFmtId="3" fontId="4" fillId="12" borderId="3" xfId="0" applyFont="1" applyNumberFormat="1" applyFill="1" applyBorder="1" applyAlignment="1">
      <alignment horizontal="center"/>
    </xf>
    <xf numFmtId="168" fontId="4" fillId="12" borderId="5" xfId="0" applyFont="1" applyNumberFormat="1" applyFill="1" applyBorder="1" applyAlignment="1">
      <alignment horizontal="center"/>
    </xf>
    <xf numFmtId="168" fontId="20" fillId="12" borderId="5" xfId="0" applyFont="1" applyNumberFormat="1" applyFill="1" applyBorder="1" applyAlignment="1">
      <alignment horizontal="center"/>
    </xf>
    <xf numFmtId="0" fontId="4" fillId="0" borderId="2" xfId="0" applyFont="1" applyBorder="1"/>
    <xf numFmtId="0" fontId="4" fillId="0" borderId="3" xfId="0" applyFont="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13" fillId="8" borderId="2" xfId="0" applyFont="1" applyFill="1" applyBorder="1"/>
    <xf numFmtId="168" fontId="20" fillId="15" borderId="5" xfId="0" applyFont="1" applyNumberForma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2" xfId="0" applyFont="1" applyNumberFormat="1" applyBorder="1" applyAlignment="1">
      <alignment horizontal="center"/>
    </xf>
    <xf numFmtId="168" fontId="4" fillId="0" borderId="33" xfId="0" applyFont="1" applyNumberFormat="1" applyBorder="1" applyAlignment="1">
      <alignment horizontal="center"/>
    </xf>
    <xf numFmtId="168" fontId="4" fillId="12" borderId="33" xfId="0" applyFont="1" applyNumberFormat="1" applyFill="1" applyBorder="1" applyAlignment="1">
      <alignment horizontal="center"/>
    </xf>
    <xf numFmtId="169" fontId="4" fillId="12" borderId="3" xfId="0" applyFont="1" applyNumberFormat="1" applyFill="1" applyBorder="1" applyAlignment="1">
      <alignment horizontal="center"/>
    </xf>
    <xf numFmtId="168" fontId="20" fillId="0" borderId="2" xfId="0" applyFont="1" applyNumberFormat="1" applyBorder="1" applyAlignment="1">
      <alignment horizontal="center"/>
    </xf>
    <xf numFmtId="168" fontId="20" fillId="0" borderId="33" xfId="0" applyFont="1" applyNumberFormat="1" applyBorder="1" applyAlignment="1">
      <alignment horizontal="center"/>
    </xf>
    <xf numFmtId="168" fontId="20" fillId="12" borderId="33" xfId="0" applyFont="1" applyNumberFormat="1" applyFill="1" applyBorder="1" applyAlignment="1">
      <alignment horizontal="center"/>
    </xf>
    <xf numFmtId="169" fontId="4" fillId="0" borderId="4" xfId="0" applyFont="1" applyNumberFormat="1" applyBorder="1" applyAlignment="1">
      <alignment horizontal="center"/>
    </xf>
    <xf numFmtId="169" fontId="4" fillId="0" borderId="3" xfId="0" applyFont="1" applyNumberFormat="1" applyBorder="1" applyAlignment="1">
      <alignment horizontal="center"/>
    </xf>
    <xf numFmtId="0" fontId="20" fillId="0" borderId="1" xfId="0" applyFont="1" applyBorder="1"/>
    <xf numFmtId="172" fontId="4" fillId="0" borderId="0" xfId="0" applyFont="1" applyNumberFormat="1"/>
    <xf numFmtId="0" fontId="13" fillId="3" borderId="38" xfId="0" applyFont="1" applyFill="1" applyBorder="1"/>
    <xf numFmtId="0" fontId="13" fillId="3" borderId="34" xfId="0" applyFont="1" applyFill="1" applyBorder="1"/>
    <xf numFmtId="0" fontId="13" fillId="3" borderId="15" xfId="0" applyFont="1" applyFill="1" applyBorder="1"/>
    <xf numFmtId="0" fontId="13" fillId="3" borderId="34" xfId="0" applyFont="1" applyFill="1" applyBorder="1" applyAlignment="1">
      <alignment horizontal="center"/>
    </xf>
    <xf numFmtId="0" fontId="13" fillId="3" borderId="15" xfId="0" applyFont="1" applyFill="1" applyBorder="1" applyAlignment="1">
      <alignment horizontal="center"/>
    </xf>
    <xf numFmtId="168" fontId="4" fillId="7" borderId="3" xfId="0" applyFont="1" applyNumberFormat="1" applyFill="1" applyBorder="1" applyAlignment="1">
      <alignment horizontal="center"/>
    </xf>
    <xf numFmtId="168" fontId="20" fillId="7" borderId="5" xfId="0" applyFont="1" applyNumberFormat="1" applyFill="1" applyBorder="1" applyAlignment="1">
      <alignment horizontal="center"/>
    </xf>
    <xf numFmtId="0" fontId="20" fillId="0" borderId="2" xfId="0" applyFont="1" applyBorder="1"/>
    <xf numFmtId="0" fontId="20" fillId="0" borderId="5" xfId="0" applyFont="1" applyBorder="1"/>
    <xf numFmtId="168" fontId="20" fillId="0" borderId="1" xfId="0" applyFont="1" applyNumberFormat="1" applyBorder="1" applyAlignment="1">
      <alignment horizontal="center"/>
    </xf>
    <xf numFmtId="168" fontId="4" fillId="0" borderId="1" xfId="0" applyFont="1" applyNumberFormat="1" applyBorder="1" applyAlignment="1">
      <alignment horizontal="center"/>
    </xf>
    <xf numFmtId="168" fontId="4" fillId="0" borderId="7" xfId="0" applyFont="1" applyNumberFormat="1" applyBorder="1" applyAlignment="1">
      <alignment horizontal="center"/>
    </xf>
    <xf numFmtId="0" fontId="27" fillId="0" borderId="1" xfId="0" applyFont="1" applyBorder="1" applyAlignment="1">
      <alignment horizontal="left" wrapText="1"/>
    </xf>
    <xf numFmtId="169" fontId="4" fillId="0" borderId="7" xfId="0" applyFont="1" applyNumberFormat="1" applyBorder="1" applyAlignment="1">
      <alignment horizontal="center"/>
    </xf>
    <xf numFmtId="0" fontId="13" fillId="0" borderId="0" xfId="0" applyFont="1" applyAlignment="1">
      <alignment vertical="top" wrapText="1"/>
    </xf>
    <xf numFmtId="169" fontId="4" fillId="7" borderId="3" xfId="0" applyFont="1" applyNumberFormat="1" applyFill="1" applyBorder="1" applyAlignment="1">
      <alignment horizontal="center"/>
    </xf>
    <xf numFmtId="168" fontId="12" fillId="0" borderId="0" xfId="0" applyFont="1" applyNumberFormat="1"/>
    <xf numFmtId="0" fontId="28" fillId="0" borderId="0" xfId="0" applyFont="1" applyAlignment="1">
      <alignment horizontal="left" vertical="top" wrapText="1"/>
    </xf>
    <xf numFmtId="168" fontId="1" fillId="0" borderId="4" xfId="0" applyFont="1" applyNumberFormat="1" applyBorder="1"/>
    <xf numFmtId="168" fontId="20" fillId="12" borderId="0" xfId="0" applyFont="1" applyNumberFormat="1" applyFill="1" applyAlignment="1">
      <alignment horizontal="center"/>
    </xf>
    <xf numFmtId="3" fontId="4" fillId="0" borderId="40" xfId="0" applyFont="1" applyNumberFormat="1" applyBorder="1" applyAlignment="1">
      <alignment horizontal="right"/>
    </xf>
    <xf numFmtId="0" fontId="20" fillId="0" borderId="1" xfId="0" applyFont="1" applyBorder="1" applyAlignment="1">
      <alignment horizontal="left"/>
    </xf>
    <xf numFmtId="169" fontId="4" fillId="0" borderId="0" xfId="0" applyFont="1" applyNumberFormat="1"/>
    <xf numFmtId="168" fontId="4" fillId="17" borderId="0" xfId="0" applyFont="1" applyNumberFormat="1" applyFill="1" applyAlignment="1">
      <alignment horizontal="center" wrapText="1"/>
    </xf>
    <xf numFmtId="169" fontId="4" fillId="15" borderId="3" xfId="0" applyFont="1" applyNumberFormat="1" applyFill="1" applyBorder="1" applyAlignment="1">
      <alignment horizontal="center"/>
    </xf>
    <xf numFmtId="2" fontId="4" fillId="0" borderId="0" xfId="0" applyFont="1" applyNumberFormat="1"/>
    <xf numFmtId="2" fontId="4" fillId="0" borderId="0" xfId="0" applyFont="1" applyNumberFormat="1" applyAlignment="1">
      <alignment horizontal="right"/>
    </xf>
    <xf numFmtId="2" fontId="4" fillId="0" borderId="5" xfId="0" applyFont="1" applyNumberFormat="1" applyBorder="1"/>
    <xf numFmtId="2" fontId="4" fillId="0" borderId="5" xfId="0" applyFont="1" applyNumberFormat="1" applyBorder="1" applyAlignment="1">
      <alignment horizontal="right"/>
    </xf>
    <xf numFmtId="0" fontId="13" fillId="0" borderId="14" xfId="0" applyFont="1" applyBorder="1"/>
    <xf numFmtId="0" fontId="13"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Font="1" applyNumberFormat="1" applyFill="1" applyAlignment="1">
      <alignment horizontal="center"/>
    </xf>
    <xf numFmtId="168" fontId="4" fillId="18" borderId="0" xfId="0" applyFont="1" applyNumberFormat="1" applyFill="1" applyAlignment="1">
      <alignment horizontal="center" wrapText="1"/>
    </xf>
    <xf numFmtId="169" fontId="4" fillId="9" borderId="3" xfId="0" applyFont="1" applyNumberForma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3" xfId="0" applyFont="1" applyNumberFormat="1" applyBorder="1"/>
    <xf numFmtId="0" fontId="4" fillId="0" borderId="7" xfId="0" applyFont="1" applyBorder="1" applyAlignment="1">
      <alignment horizontal="left" indent="4"/>
    </xf>
    <xf numFmtId="3" fontId="29" fillId="0" borderId="0" xfId="0" applyFont="1" applyNumberFormat="1"/>
    <xf numFmtId="0" fontId="4" fillId="0" borderId="4" xfId="0" applyFont="1" applyBorder="1"/>
    <xf numFmtId="173" fontId="4" fillId="0" borderId="0" xfId="0" applyFont="1" applyNumberFormat="1"/>
    <xf numFmtId="0" fontId="4" fillId="10" borderId="2" xfId="0" applyFont="1" applyFill="1" applyBorder="1"/>
    <xf numFmtId="0" fontId="4" fillId="10" borderId="5" xfId="0" applyFont="1" applyFill="1" applyBorder="1"/>
    <xf numFmtId="0" fontId="4" fillId="10" borderId="6" xfId="0" applyFont="1" applyFill="1" applyBorder="1"/>
    <xf numFmtId="0" fontId="4" fillId="18" borderId="1" xfId="0" applyFont="1" applyFill="1" applyBorder="1" applyAlignment="1">
      <alignment horizontal="left" vertical="top" indent="3" wrapText="1"/>
    </xf>
    <xf numFmtId="168" fontId="4" fillId="18" borderId="1" xfId="0" applyFont="1" applyNumberFormat="1" applyFill="1" applyBorder="1" applyAlignment="1">
      <alignment horizontal="center"/>
    </xf>
    <xf numFmtId="0" fontId="4" fillId="0" borderId="13" xfId="0" applyFont="1" applyBorder="1"/>
    <xf numFmtId="3" fontId="4" fillId="0" borderId="5" xfId="0" applyFont="1" applyNumberFormat="1" applyBorder="1" applyAlignment="1">
      <alignment horizontal="right"/>
    </xf>
    <xf numFmtId="0" fontId="4" fillId="12" borderId="5" xfId="0" applyFont="1" applyFill="1" applyBorder="1" applyAlignment="1">
      <alignment horizontal="right"/>
    </xf>
    <xf numFmtId="0" fontId="16"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Font="1" applyNumberFormat="1" applyAlignment="1">
      <alignment horizontal="center"/>
    </xf>
    <xf numFmtId="10" fontId="1" fillId="0" borderId="0" xfId="0" applyFont="1" applyNumberFormat="1" applyAlignment="1">
      <alignment horizontal="center"/>
    </xf>
    <xf numFmtId="10" fontId="1" fillId="0" borderId="33" xfId="0" applyFont="1" applyNumberFormat="1" applyBorder="1" applyAlignment="1">
      <alignment horizontal="center"/>
    </xf>
    <xf numFmtId="10" fontId="1" fillId="18" borderId="33" xfId="0" applyFont="1" applyNumberFormat="1" applyFill="1" applyBorder="1" applyAlignment="1">
      <alignment horizontal="center"/>
    </xf>
    <xf numFmtId="0" fontId="1" fillId="18" borderId="0" xfId="0" applyFont="1" applyFill="1" applyAlignment="1">
      <alignment horizontal="center"/>
    </xf>
    <xf numFmtId="10" fontId="1" fillId="18" borderId="0" xfId="0" applyFont="1" applyNumberFormat="1" applyFill="1" applyAlignment="1">
      <alignment horizontal="center"/>
    </xf>
    <xf numFmtId="10" fontId="4" fillId="18" borderId="5" xfId="0" applyFont="1" applyNumberFormat="1" applyFill="1" applyBorder="1"/>
    <xf numFmtId="10" fontId="4" fillId="18" borderId="2" xfId="0" applyFont="1" applyNumberFormat="1" applyFill="1" applyBorder="1"/>
    <xf numFmtId="10" fontId="4" fillId="18" borderId="5" xfId="0" applyFont="1" applyNumberFormat="1" applyFill="1" applyBorder="1" applyAlignment="1">
      <alignment horizontal="center"/>
    </xf>
    <xf numFmtId="10" fontId="1" fillId="18" borderId="5" xfId="0" applyFont="1" applyNumberForma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3" xfId="0" applyFont="1" applyFill="1" applyBorder="1"/>
    <xf numFmtId="0" fontId="20" fillId="18" borderId="7" xfId="0" applyFont="1" applyFill="1" applyBorder="1"/>
    <xf numFmtId="0" fontId="20" fillId="18" borderId="3" xfId="0" applyFont="1" applyFill="1" applyBorder="1" applyAlignment="1">
      <alignment horizontal="center"/>
    </xf>
    <xf numFmtId="0" fontId="1" fillId="18" borderId="3" xfId="0" applyFont="1" applyFill="1" applyBorder="1" applyAlignment="1">
      <alignment horizontal="center"/>
    </xf>
    <xf numFmtId="1" fontId="1" fillId="18" borderId="3" xfId="0" applyFont="1" applyNumberFormat="1" applyFill="1" applyBorder="1" applyAlignment="1">
      <alignment horizontal="center"/>
    </xf>
    <xf numFmtId="0" fontId="1" fillId="0" borderId="3" xfId="0" applyFont="1" applyBorder="1" applyAlignment="1">
      <alignment horizontal="center"/>
    </xf>
    <xf numFmtId="0" fontId="20" fillId="0" borderId="3" xfId="0" applyFont="1" applyBorder="1" applyAlignment="1">
      <alignment horizontal="center"/>
    </xf>
    <xf numFmtId="10" fontId="4" fillId="0" borderId="5" xfId="0" applyFont="1" applyNumberFormat="1" applyBorder="1"/>
    <xf numFmtId="10" fontId="4" fillId="0" borderId="2" xfId="0" applyFont="1" applyNumberFormat="1" applyBorder="1"/>
    <xf numFmtId="10" fontId="4" fillId="0" borderId="5" xfId="0" applyFont="1" applyNumberFormat="1" applyBorder="1" applyAlignment="1">
      <alignment horizontal="center"/>
    </xf>
    <xf numFmtId="1" fontId="1" fillId="0" borderId="3" xfId="0" applyFont="1" applyNumberFormat="1" applyBorder="1" applyAlignment="1">
      <alignment horizontal="center"/>
    </xf>
    <xf numFmtId="0" fontId="13" fillId="12" borderId="15" xfId="0" applyFont="1" applyFill="1" applyBorder="1" applyAlignment="1">
      <alignment horizontal="center"/>
    </xf>
    <xf numFmtId="0" fontId="13" fillId="8" borderId="0" xfId="0" applyFont="1" applyFill="1" applyAlignment="1">
      <alignment horizontal="center"/>
    </xf>
    <xf numFmtId="0" fontId="13" fillId="0" borderId="2" xfId="0" applyFont="1" applyBorder="1" applyAlignment="1">
      <alignment horizontal="center"/>
    </xf>
    <xf numFmtId="0" fontId="13" fillId="0" borderId="5" xfId="0" applyFont="1" applyBorder="1" applyAlignment="1">
      <alignment horizontal="center"/>
    </xf>
    <xf numFmtId="0" fontId="4" fillId="0" borderId="3" xfId="0" applyFont="1" applyBorder="1" applyAlignment="1">
      <alignment horizontal="left" vertical="top" wrapText="1"/>
    </xf>
    <xf numFmtId="0" fontId="13" fillId="12" borderId="2" xfId="0" applyFont="1" applyFill="1" applyBorder="1" applyAlignment="1">
      <alignment horizontal="center" wrapText="1"/>
    </xf>
    <xf numFmtId="0" fontId="13" fillId="12" borderId="6" xfId="0" applyFont="1" applyFill="1" applyBorder="1" applyAlignment="1">
      <alignment horizontal="center" wrapText="1"/>
    </xf>
    <xf numFmtId="0" fontId="13" fillId="12" borderId="1" xfId="0" applyFont="1" applyFill="1" applyBorder="1" applyAlignment="1">
      <alignment horizontal="center" wrapText="1"/>
    </xf>
    <xf numFmtId="0" fontId="13" fillId="12" borderId="0" xfId="0" applyFont="1" applyFill="1" applyAlignment="1">
      <alignment horizontal="center" wrapText="1"/>
    </xf>
    <xf numFmtId="1" fontId="4" fillId="7" borderId="0" xfId="0" applyFont="1" applyNumberFormat="1" applyFill="1"/>
    <xf numFmtId="0" fontId="4" fillId="0" borderId="38" xfId="0" applyFont="1" applyBorder="1"/>
    <xf numFmtId="0" fontId="13" fillId="0" borderId="7" xfId="0" applyFont="1" applyBorder="1" applyAlignment="1">
      <alignment wrapText="1"/>
    </xf>
    <xf numFmtId="0" fontId="1" fillId="12" borderId="0" xfId="0" applyFont="1" applyFill="1" applyAlignment="1">
      <alignment horizontal="center"/>
    </xf>
    <xf numFmtId="168" fontId="13" fillId="0" borderId="0" xfId="0" applyFont="1" applyNumberFormat="1" applyAlignment="1">
      <alignment horizontal="center"/>
    </xf>
    <xf numFmtId="1" fontId="4" fillId="0" borderId="17" xfId="0" applyFont="1" applyNumberFormat="1" applyBorder="1"/>
    <xf numFmtId="1" fontId="4" fillId="0" borderId="18" xfId="0" applyFont="1" applyNumberFormat="1" applyBorder="1"/>
    <xf numFmtId="167" fontId="4" fillId="0" borderId="18" xfId="0" applyFont="1" applyNumberFormat="1" applyBorder="1"/>
    <xf numFmtId="0" fontId="30" fillId="0" borderId="1" xfId="0" applyFont="1" applyBorder="1" applyAlignment="1">
      <alignment horizontal="left" indent="1" wrapTex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2" xfId="0" applyFont="1" applyFill="1" applyBorder="1"/>
    <xf numFmtId="168" fontId="4" fillId="7" borderId="0" xfId="0" applyFont="1" applyNumberFormat="1" applyFill="1" applyAlignment="1">
      <alignment horizontal="center"/>
    </xf>
    <xf numFmtId="0" fontId="4" fillId="13" borderId="0" xfId="0" applyFont="1" applyFill="1" applyAlignment="1">
      <alignment horizontal="left" indent="1" wrapText="1"/>
    </xf>
    <xf numFmtId="168" fontId="13" fillId="7" borderId="0" xfId="0" applyFont="1" applyNumberFormat="1" applyFill="1" applyAlignment="1">
      <alignment horizontal="center"/>
    </xf>
    <xf numFmtId="0" fontId="4" fillId="0" borderId="0" xfId="0" applyFont="1" applyAlignment="1">
      <alignment horizontal="left" indent="1" wrapText="1"/>
    </xf>
    <xf numFmtId="1" fontId="4" fillId="12" borderId="0" xfId="0" applyFont="1" applyNumberFormat="1" applyFill="1"/>
    <xf numFmtId="1" fontId="4" fillId="3" borderId="0" xfId="0" applyFont="1" applyNumberFormat="1" applyFill="1"/>
    <xf numFmtId="167" fontId="4" fillId="12" borderId="18" xfId="0" applyFont="1" applyNumberFormat="1" applyFill="1" applyBorder="1"/>
    <xf numFmtId="167" fontId="4" fillId="0" borderId="0" xfId="0" applyFont="1" applyNumberFormat="1"/>
    <xf numFmtId="168" fontId="4" fillId="7" borderId="33" xfId="0" applyFont="1" applyNumberFormat="1" applyFill="1" applyBorder="1" applyAlignment="1">
      <alignment horizontal="center"/>
    </xf>
    <xf numFmtId="1" fontId="4" fillId="12" borderId="5" xfId="0" applyFont="1" applyNumberFormat="1" applyFill="1" applyBorder="1" applyAlignment="1">
      <alignment horizontal="center"/>
    </xf>
    <xf numFmtId="168" fontId="4" fillId="7" borderId="8" xfId="0" applyFont="1" applyNumberFormat="1" applyFill="1" applyBorder="1" applyAlignment="1">
      <alignment horizontal="center"/>
    </xf>
    <xf numFmtId="168" fontId="20" fillId="7" borderId="4" xfId="0" applyFont="1" applyNumberFormat="1" applyFill="1" applyBorder="1" applyAlignment="1">
      <alignment horizontal="center"/>
    </xf>
    <xf numFmtId="0" fontId="13" fillId="12" borderId="2" xfId="0" applyFont="1" applyFill="1" applyBorder="1" applyAlignment="1">
      <alignment horizontal="centerContinuous" vertical="center"/>
    </xf>
    <xf numFmtId="0" fontId="13" fillId="12" borderId="6" xfId="0" applyFont="1" applyFill="1" applyBorder="1" applyAlignment="1">
      <alignment horizontal="centerContinuous" vertical="center"/>
    </xf>
    <xf numFmtId="0" fontId="13" fillId="12" borderId="1" xfId="0" applyFont="1" applyFill="1" applyBorder="1" applyAlignment="1">
      <alignment horizontal="centerContinuous" vertical="center"/>
    </xf>
    <xf numFmtId="0" fontId="13" fillId="12" borderId="0" xfId="0" applyFont="1" applyFill="1" applyAlignment="1">
      <alignment horizontal="centerContinuous" vertical="center"/>
    </xf>
    <xf numFmtId="0" fontId="13" fillId="12" borderId="9" xfId="0" applyFont="1" applyFill="1" applyBorder="1" applyAlignment="1">
      <alignment horizontal="centerContinuous"/>
    </xf>
    <xf numFmtId="0" fontId="13" fillId="12" borderId="10" xfId="0" applyFont="1" applyFill="1" applyBorder="1" applyAlignment="1">
      <alignment horizontal="centerContinuous"/>
    </xf>
    <xf numFmtId="168" fontId="20" fillId="0" borderId="3" xfId="0" applyFont="1" applyNumberFormat="1" applyBorder="1" applyAlignment="1">
      <alignment horizontal="center"/>
    </xf>
    <xf numFmtId="1" fontId="4" fillId="7" borderId="5" xfId="0" applyFont="1" applyNumberFormat="1" applyFill="1" applyBorder="1"/>
    <xf numFmtId="0" fontId="4" fillId="0" borderId="29" xfId="0" applyFont="1" applyBorder="1"/>
    <xf numFmtId="0" fontId="4" fillId="0" borderId="17" xfId="0" applyFont="1" applyBorder="1"/>
    <xf numFmtId="1" fontId="4" fillId="7" borderId="17" xfId="0" applyFont="1" applyNumberFormat="1" applyFill="1" applyBorder="1"/>
    <xf numFmtId="0" fontId="4" fillId="0" borderId="30" xfId="0" applyFont="1" applyBorder="1" applyAlignment="1">
      <alignment horizontal="left" indent="1" wrapText="1"/>
    </xf>
    <xf numFmtId="0" fontId="4" fillId="0" borderId="30" xfId="0" applyFont="1" applyBorder="1" applyAlignment="1">
      <alignment horizontal="left" indent="2" wrapText="1"/>
    </xf>
    <xf numFmtId="0" fontId="4" fillId="0" borderId="31" xfId="0" applyFont="1" applyBorder="1" applyAlignment="1">
      <alignment horizontal="left" indent="2" wrapText="1"/>
    </xf>
    <xf numFmtId="0" fontId="4" fillId="0" borderId="18" xfId="0" applyFont="1" applyBorder="1"/>
    <xf numFmtId="1" fontId="4" fillId="0" borderId="41" xfId="0" applyFont="1" applyNumberFormat="1" applyBorder="1"/>
    <xf numFmtId="1" fontId="4" fillId="3" borderId="17" xfId="0" applyFont="1" applyNumberFormat="1" applyFill="1" applyBorder="1"/>
    <xf numFmtId="1" fontId="4" fillId="20" borderId="17" xfId="0" applyFont="1" applyNumberFormat="1" applyFill="1" applyBorder="1"/>
    <xf numFmtId="1" fontId="4" fillId="20" borderId="0" xfId="0" applyFont="1" applyNumberFormat="1" applyFill="1"/>
    <xf numFmtId="1" fontId="4" fillId="0" borderId="42" xfId="0" applyFont="1" applyNumberFormat="1" applyBorder="1"/>
    <xf numFmtId="1" fontId="4" fillId="3" borderId="18" xfId="0" applyFont="1" applyNumberFormat="1" applyFill="1" applyBorder="1"/>
    <xf numFmtId="1" fontId="4" fillId="20" borderId="18" xfId="0" applyFont="1" applyNumberFormat="1" applyFill="1" applyBorder="1"/>
    <xf numFmtId="1" fontId="4" fillId="7" borderId="18" xfId="0" applyFont="1" applyNumberFormat="1" applyFill="1" applyBorder="1"/>
    <xf numFmtId="1" fontId="4" fillId="12" borderId="18" xfId="0" applyFont="1" applyNumberFormat="1" applyFill="1" applyBorder="1"/>
    <xf numFmtId="167" fontId="4" fillId="7" borderId="18" xfId="0" applyFont="1" applyNumberFormat="1" applyFill="1" applyBorder="1"/>
    <xf numFmtId="1" fontId="4" fillId="0" borderId="1" xfId="0" applyFont="1" applyNumberFormat="1" applyBorder="1"/>
    <xf numFmtId="0" fontId="4" fillId="0" borderId="7" xfId="0" applyFont="1" applyBorder="1" applyAlignment="1">
      <alignment horizontal="right"/>
    </xf>
    <xf numFmtId="0" fontId="4" fillId="0" borderId="33" xfId="0" applyFont="1" applyBorder="1"/>
    <xf numFmtId="1" fontId="4" fillId="0" borderId="33" xfId="0" applyFont="1" applyNumberFormat="1" applyBorder="1"/>
    <xf numFmtId="168" fontId="4" fillId="0" borderId="6" xfId="0" applyFont="1" applyNumberFormat="1" applyBorder="1"/>
    <xf numFmtId="0" fontId="4" fillId="0" borderId="7" xfId="0" applyFont="1" applyBorder="1" applyAlignment="1">
      <alignment horizontal="center"/>
    </xf>
    <xf numFmtId="3" fontId="4" fillId="0" borderId="0" xfId="0" applyFont="1" applyNumberFormat="1"/>
    <xf numFmtId="168" fontId="4" fillId="7" borderId="4" xfId="0" applyFont="1" applyNumberFormat="1" applyFill="1" applyBorder="1" applyAlignment="1">
      <alignment horizontal="center"/>
    </xf>
    <xf numFmtId="0" fontId="13" fillId="0" borderId="33" xfId="0" applyFont="1" applyBorder="1" applyAlignment="1">
      <alignment horizontal="center"/>
    </xf>
    <xf numFmtId="0" fontId="20" fillId="0" borderId="1" xfId="0" applyFont="1" applyBorder="1" applyAlignment="1">
      <alignment horizontal="center"/>
    </xf>
    <xf numFmtId="168" fontId="4" fillId="7" borderId="5" xfId="0" applyFont="1" applyNumberFormat="1" applyFill="1" applyBorder="1" applyAlignment="1">
      <alignment horizontal="center"/>
    </xf>
    <xf numFmtId="3" fontId="4" fillId="0" borderId="5" xfId="0" applyFont="1" applyNumberFormat="1" applyBorder="1"/>
    <xf numFmtId="3" fontId="4" fillId="0" borderId="6" xfId="0" applyFont="1" applyNumberFormat="1" applyBorder="1"/>
    <xf numFmtId="3" fontId="4" fillId="0" borderId="1" xfId="0" applyFont="1" applyNumberFormat="1" applyBorder="1"/>
    <xf numFmtId="0" fontId="4" fillId="0" borderId="12" xfId="0" applyFont="1" applyBorder="1" applyAlignment="1">
      <alignment horizontal="left" indent="8" wrapText="1"/>
    </xf>
    <xf numFmtId="0" fontId="13" fillId="0" borderId="0" xfId="0" applyFont="1" applyAlignment="1">
      <alignment horizontal="left" indent="1"/>
    </xf>
    <xf numFmtId="0" fontId="13" fillId="0" borderId="34" xfId="0" applyFont="1" applyBorder="1"/>
    <xf numFmtId="0" fontId="13" fillId="0" borderId="15" xfId="0" applyFont="1" applyBorder="1"/>
    <xf numFmtId="169" fontId="4" fillId="11" borderId="3" xfId="0" applyFont="1" applyNumberFormat="1" applyFill="1" applyBorder="1"/>
    <xf numFmtId="4" fontId="4" fillId="0" borderId="0" xfId="0" applyFont="1" applyNumberFormat="1"/>
    <xf numFmtId="0" fontId="4" fillId="7" borderId="4" xfId="0" applyFont="1" applyFill="1" applyBorder="1"/>
    <xf numFmtId="3" fontId="4" fillId="0" borderId="4" xfId="0" applyFont="1" applyNumberFormat="1" applyBorder="1"/>
    <xf numFmtId="169" fontId="4" fillId="11" borderId="8" xfId="0" applyFont="1" applyNumberFormat="1" applyFill="1" applyBorder="1"/>
    <xf numFmtId="3" fontId="4" fillId="0" borderId="2" xfId="0" applyFont="1" applyNumberFormat="1" applyBorder="1"/>
    <xf numFmtId="1" fontId="4" fillId="7" borderId="33" xfId="0" applyFont="1" applyNumberFormat="1" applyFill="1" applyBorder="1"/>
    <xf numFmtId="0" fontId="13" fillId="7" borderId="15" xfId="0" applyFont="1" applyFill="1" applyBorder="1" applyAlignment="1">
      <alignment horizontal="center"/>
    </xf>
    <xf numFmtId="0" fontId="1" fillId="0" borderId="0" xfId="0" applyFont="1" applyAlignment="1">
      <alignment horizontal="center" wrapText="1"/>
    </xf>
    <xf numFmtId="0" fontId="4" fillId="7" borderId="2" xfId="0" applyFont="1" applyFill="1" applyBorder="1"/>
    <xf numFmtId="0" fontId="4" fillId="0" borderId="0" xfId="0" applyFont="1" applyAlignment="1">
      <alignment horizontal="right"/>
    </xf>
    <xf numFmtId="168" fontId="4" fillId="11" borderId="0" xfId="0" applyFont="1" applyNumberFormat="1" applyFill="1" applyAlignment="1">
      <alignment horizontal="center"/>
    </xf>
    <xf numFmtId="168" fontId="4" fillId="21" borderId="0" xfId="0" applyFont="1" applyNumberFormat="1" applyFill="1" applyAlignment="1">
      <alignment horizontal="center"/>
    </xf>
    <xf numFmtId="168" fontId="20" fillId="22" borderId="0" xfId="0" applyFont="1" applyNumberForma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3" fillId="0" borderId="43" xfId="0" applyFont="1" applyBorder="1" applyAlignment="1">
      <alignment horizontal="left"/>
    </xf>
    <xf numFmtId="168" fontId="13" fillId="7" borderId="4" xfId="0" applyFont="1" applyNumberFormat="1" applyFill="1" applyBorder="1" applyAlignment="1">
      <alignment horizontal="center"/>
    </xf>
    <xf numFmtId="0" fontId="1" fillId="0" borderId="2"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7" xfId="0" applyFont="1" applyBorder="1" applyAlignment="1">
      <alignment horizontal="left"/>
    </xf>
    <xf numFmtId="0" fontId="1" fillId="0" borderId="2" xfId="0" applyFont="1" applyBorder="1" applyAlignment="1">
      <alignment horizontal="left"/>
    </xf>
    <xf numFmtId="0" fontId="32" fillId="0" borderId="0" xfId="0" applyFont="1" applyAlignment="1">
      <alignment horizontal="center"/>
    </xf>
    <xf numFmtId="0" fontId="12" fillId="0" borderId="0" xfId="0" applyFont="1" applyAlignment="1">
      <alignment horizontal="center"/>
    </xf>
    <xf numFmtId="0" fontId="12" fillId="0" borderId="0" xfId="0" applyFont="1" applyAlignment="1">
      <alignment horizontal="center" wrapText="1"/>
    </xf>
    <xf numFmtId="179" fontId="1" fillId="0" borderId="0" xfId="0" applyFont="1" applyNumberFormat="1" applyAlignment="1">
      <alignment horizontal="center"/>
    </xf>
    <xf numFmtId="0" fontId="12" fillId="0" borderId="0" xfId="0" applyFont="1" applyAlignment="1">
      <alignment wrapText="1"/>
    </xf>
    <xf numFmtId="168" fontId="12" fillId="0" borderId="0" xfId="0" applyFont="1" applyNumberFormat="1" applyAlignment="1">
      <alignment horizontal="center"/>
    </xf>
    <xf numFmtId="0" fontId="12" fillId="23" borderId="0" xfId="0" applyFont="1" applyFill="1" applyAlignment="1">
      <alignment horizontal="center"/>
    </xf>
    <xf numFmtId="0" fontId="32" fillId="0" borderId="0" xfId="0" applyFont="1" applyAlignment="1">
      <alignment horizontal="center" wrapText="1"/>
    </xf>
    <xf numFmtId="166" fontId="1" fillId="0" borderId="0" xfId="0" applyFont="1" applyNumberFormat="1" applyAlignment="1">
      <alignment horizontal="center"/>
    </xf>
    <xf numFmtId="169" fontId="1" fillId="0" borderId="0" xfId="0" applyFont="1" applyNumberFormat="1" applyAlignment="1">
      <alignment horizontal="center"/>
    </xf>
    <xf numFmtId="169" fontId="32" fillId="0" borderId="0" xfId="0" applyFont="1" applyNumberFormat="1" applyAlignment="1">
      <alignment horizontal="center"/>
    </xf>
    <xf numFmtId="166" fontId="32" fillId="0" borderId="0" xfId="0" applyFont="1" applyNumberFormat="1" applyAlignment="1">
      <alignment horizontal="center"/>
    </xf>
    <xf numFmtId="0" fontId="4" fillId="7" borderId="8" xfId="0" applyFont="1" applyFill="1" applyBorder="1"/>
    <xf numFmtId="0" fontId="33" fillId="0" borderId="0" xfId="0" applyFont="1"/>
    <xf numFmtId="0" fontId="34" fillId="13" borderId="0" xfId="0" applyFont="1" applyFill="1"/>
    <xf numFmtId="2" fontId="34" fillId="13" borderId="0" xfId="0" applyFont="1" applyNumberFormat="1" applyFill="1"/>
    <xf numFmtId="0" fontId="7" fillId="0" borderId="0" xfId="0" applyFont="1"/>
    <xf numFmtId="0" fontId="7" fillId="24" borderId="0" xfId="0" applyFont="1" applyFill="1" applyAlignment="1">
      <alignment horizontal="center"/>
    </xf>
    <xf numFmtId="0" fontId="5" fillId="0" borderId="3" xfId="0" applyFont="1" applyBorder="1" applyAlignment="1">
      <alignment horizontal="center"/>
    </xf>
    <xf numFmtId="0" fontId="13" fillId="0" borderId="2"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center"/>
    </xf>
    <xf numFmtId="0" fontId="13" fillId="0" borderId="1" xfId="0" applyFont="1" applyBorder="1" applyAlignment="1">
      <alignment horizontal="center"/>
    </xf>
    <xf numFmtId="0" fontId="13" fillId="0" borderId="4" xfId="0" applyFont="1" applyBorder="1" applyAlignment="1">
      <alignment horizontal="center"/>
    </xf>
    <xf numFmtId="0" fontId="13" fillId="0" borderId="38" xfId="0" applyFont="1" applyBorder="1" applyAlignment="1">
      <alignment horizontal="center"/>
    </xf>
    <xf numFmtId="0" fontId="13" fillId="0" borderId="34" xfId="0" applyFont="1" applyBorder="1" applyAlignment="1">
      <alignment horizontal="center"/>
    </xf>
    <xf numFmtId="0" fontId="13" fillId="0" borderId="15" xfId="0" applyFont="1" applyBorder="1" applyAlignment="1">
      <alignment horizontal="center"/>
    </xf>
    <xf numFmtId="0" fontId="13" fillId="12" borderId="7" xfId="0" applyFont="1" applyFill="1" applyBorder="1" applyAlignment="1">
      <alignment horizontal="center" wrapText="1"/>
    </xf>
    <xf numFmtId="0" fontId="13" fillId="12" borderId="3" xfId="0" applyFont="1" applyFill="1" applyBorder="1" applyAlignment="1">
      <alignment horizontal="center" wrapText="1"/>
    </xf>
    <xf numFmtId="0" fontId="13" fillId="12" borderId="8" xfId="0" applyFont="1" applyFill="1" applyBorder="1" applyAlignment="1">
      <alignment horizontal="center" wrapText="1"/>
    </xf>
    <xf numFmtId="0" fontId="13" fillId="12" borderId="38" xfId="0" applyFont="1" applyFill="1" applyBorder="1" applyAlignment="1">
      <alignment horizontal="center" wrapText="1"/>
    </xf>
    <xf numFmtId="0" fontId="13" fillId="12" borderId="34" xfId="0" applyFont="1" applyFill="1" applyBorder="1" applyAlignment="1">
      <alignment horizontal="center" wrapText="1"/>
    </xf>
    <xf numFmtId="0" fontId="13" fillId="12" borderId="15" xfId="0" applyFont="1" applyFill="1" applyBorder="1" applyAlignment="1">
      <alignment horizontal="center" wrapText="1"/>
    </xf>
    <xf numFmtId="0" fontId="23" fillId="0" borderId="0" xfId="0" applyFont="1" applyAlignment="1">
      <alignment horizontal="left" vertical="top" wrapText="1"/>
    </xf>
    <xf numFmtId="168" fontId="4" fillId="7" borderId="0" xfId="0" applyFont="1" applyNumberFormat="1" applyFill="1" applyAlignment="1">
      <alignment horizontal="right" vertical="top" wrapText="1"/>
    </xf>
    <xf numFmtId="174" fontId="4" fillId="0" borderId="0" xfId="0" applyFont="1" applyNumberFormat="1"/>
    <xf numFmtId="175" fontId="24" fillId="0" borderId="0" xfId="0" applyFont="1" applyNumberFormat="1" applyAlignment="1">
      <alignment horizontal="center"/>
    </xf>
    <xf numFmtId="2" fontId="4" fillId="0" borderId="40" xfId="0" applyFont="1" applyNumberFormat="1" applyBorder="1" applyAlignment="1">
      <alignment horizontal="center"/>
    </xf>
    <xf numFmtId="2" fontId="4" fillId="0" borderId="6" xfId="0" applyFont="1" applyNumberFormat="1" applyBorder="1" applyAlignment="1">
      <alignment horizontal="center"/>
    </xf>
    <xf numFmtId="2" fontId="4" fillId="0" borderId="2" xfId="0" applyFont="1" applyNumberFormat="1" applyBorder="1" applyAlignment="1">
      <alignment horizontal="center"/>
    </xf>
    <xf numFmtId="2" fontId="4" fillId="0" borderId="0" xfId="0" applyFont="1" applyNumberFormat="1" applyAlignment="1">
      <alignment horizontal="center"/>
    </xf>
    <xf numFmtId="174" fontId="4" fillId="0" borderId="40" xfId="0" applyFont="1" applyNumberFormat="1" applyBorder="1"/>
    <xf numFmtId="1" fontId="4" fillId="0" borderId="40" xfId="0" applyFont="1" applyNumberFormat="1" applyBorder="1" applyAlignment="1">
      <alignment horizontal="center"/>
    </xf>
    <xf numFmtId="37" fontId="4" fillId="0" borderId="0" xfId="0" applyFont="1" applyNumberFormat="1" applyAlignment="1">
      <alignment horizontal="center" wrapText="1"/>
    </xf>
    <xf numFmtId="1" fontId="24" fillId="0" borderId="0" xfId="0" applyFont="1" applyNumberFormat="1" applyAlignment="1">
      <alignment horizontal="center"/>
    </xf>
    <xf numFmtId="176" fontId="4" fillId="0" borderId="0" xfId="0" applyFont="1" applyNumberFormat="1" applyAlignment="1">
      <alignment horizontal="center"/>
    </xf>
    <xf numFmtId="168" fontId="4" fillId="0" borderId="0" xfId="0" applyFont="1" applyNumberFormat="1" applyAlignment="1">
      <alignment horizontal="center" vertical="top" wrapText="1"/>
    </xf>
    <xf numFmtId="175" fontId="35" fillId="7" borderId="2" xfId="0" applyFont="1" applyNumberFormat="1" applyFill="1" applyBorder="1" applyAlignment="1">
      <alignment horizontal="center"/>
    </xf>
    <xf numFmtId="175" fontId="35" fillId="7" borderId="33" xfId="0" applyFont="1" applyNumberFormat="1" applyFill="1" applyBorder="1" applyAlignment="1">
      <alignment horizontal="center"/>
    </xf>
    <xf numFmtId="175" fontId="35" fillId="7" borderId="6" xfId="0" applyFont="1" applyNumberFormat="1" applyFill="1" applyBorder="1" applyAlignment="1">
      <alignment horizontal="center"/>
    </xf>
    <xf numFmtId="0" fontId="1" fillId="0" borderId="40" xfId="0" applyFont="1" applyBorder="1"/>
    <xf numFmtId="0" fontId="13" fillId="14" borderId="33" xfId="0" applyFont="1" applyFill="1" applyBorder="1" applyAlignment="1">
      <alignment horizontal="center"/>
    </xf>
    <xf numFmtId="175" fontId="24" fillId="0" borderId="33" xfId="0" applyFont="1" applyNumberFormat="1" applyBorder="1" applyAlignment="1">
      <alignment horizontal="center"/>
    </xf>
    <xf numFmtId="175" fontId="24" fillId="0" borderId="3" xfId="0" applyFont="1" applyNumberFormat="1" applyBorder="1" applyAlignment="1">
      <alignment horizontal="center"/>
    </xf>
    <xf numFmtId="0" fontId="24" fillId="0" borderId="2" xfId="0" applyFont="1" applyBorder="1" applyAlignment="1">
      <alignment horizontal="left" indent="1"/>
    </xf>
    <xf numFmtId="167" fontId="4" fillId="0" borderId="33" xfId="0" applyFont="1" applyNumberFormat="1" applyBorder="1" applyAlignment="1">
      <alignment horizontal="center"/>
    </xf>
    <xf numFmtId="167" fontId="4" fillId="0" borderId="6" xfId="0" applyFont="1" applyNumberFormat="1" applyBorder="1" applyAlignment="1">
      <alignment vertical="center" wrapText="1"/>
    </xf>
    <xf numFmtId="167" fontId="4" fillId="0" borderId="40" xfId="0" applyFont="1" applyNumberFormat="1" applyBorder="1" applyAlignment="1">
      <alignment vertical="center" wrapText="1"/>
    </xf>
    <xf numFmtId="167" fontId="4" fillId="0" borderId="8" xfId="0" applyFont="1" applyNumberFormat="1" applyBorder="1" applyAlignment="1">
      <alignment vertical="center" wrapText="1"/>
    </xf>
    <xf numFmtId="1" fontId="4" fillId="0" borderId="0" xfId="0" applyFont="1" applyNumberFormat="1" applyAlignment="1">
      <alignment horizontal="center" vertical="center"/>
    </xf>
    <xf numFmtId="0" fontId="13" fillId="0" borderId="14" xfId="0" applyFont="1" applyBorder="1" applyAlignment="1">
      <alignment horizontal="left" indent="1"/>
    </xf>
    <xf numFmtId="2" fontId="4" fillId="0" borderId="33" xfId="0" applyFont="1" applyNumberFormat="1" applyBorder="1" applyAlignment="1">
      <alignment horizontal="center"/>
    </xf>
    <xf numFmtId="9" fontId="4" fillId="0" borderId="0" xfId="0" applyFont="1" applyNumberFormat="1"/>
    <xf numFmtId="175" fontId="24" fillId="0" borderId="2" xfId="0" applyFont="1" applyNumberFormat="1" applyBorder="1" applyAlignment="1">
      <alignment horizontal="center"/>
    </xf>
    <xf numFmtId="175" fontId="24" fillId="0" borderId="1" xfId="0" applyFont="1" applyNumberFormat="1" applyBorder="1" applyAlignment="1">
      <alignment horizontal="center"/>
    </xf>
    <xf numFmtId="175" fontId="24" fillId="0" borderId="40" xfId="0" applyFont="1" applyNumberFormat="1" applyBorder="1" applyAlignment="1">
      <alignment horizontal="center"/>
    </xf>
    <xf numFmtId="175" fontId="35" fillId="14" borderId="6" xfId="0" applyFont="1" applyNumberFormat="1" applyFill="1" applyBorder="1" applyAlignment="1">
      <alignment horizontal="center"/>
    </xf>
    <xf numFmtId="175" fontId="24" fillId="0" borderId="0" xfId="0" applyFont="1" applyNumberFormat="1" applyAlignment="1">
      <alignment horizontal="left"/>
    </xf>
    <xf numFmtId="0" fontId="24" fillId="0" borderId="1" xfId="0" applyFont="1" applyBorder="1" applyAlignment="1">
      <alignment horizontal="left" indent="1"/>
    </xf>
    <xf numFmtId="0" fontId="24" fillId="0" borderId="7" xfId="0" applyFont="1" applyBorder="1" applyAlignment="1">
      <alignment horizontal="left" indent="1"/>
    </xf>
    <xf numFmtId="167" fontId="4" fillId="0" borderId="0" xfId="0" applyFont="1" applyNumberFormat="1" applyAlignment="1">
      <alignment vertical="center" wrapText="1"/>
    </xf>
    <xf numFmtId="0" fontId="4" fillId="0" borderId="1" xfId="0" applyFont="1" applyBorder="1" applyAlignment="1">
      <alignment horizontal="left" indent="4"/>
    </xf>
    <xf numFmtId="0" fontId="13" fillId="3" borderId="0" xfId="0" applyFont="1" applyFill="1" applyAlignment="1">
      <alignment horizontal="left"/>
    </xf>
    <xf numFmtId="0" fontId="13" fillId="3" borderId="0" xfId="0" applyFont="1" applyFill="1"/>
    <xf numFmtId="168" fontId="20" fillId="0" borderId="1" xfId="0" applyFont="1" applyNumberFormat="1" applyBorder="1" applyAlignment="1">
      <alignment horizontal="center" vertical="top" wrapText="1"/>
    </xf>
    <xf numFmtId="168" fontId="20" fillId="0" borderId="7" xfId="0" applyFont="1" applyNumberFormat="1" applyBorder="1" applyAlignment="1">
      <alignment horizontal="center" vertical="top" wrapText="1"/>
    </xf>
    <xf numFmtId="0" fontId="4" fillId="0" borderId="2" xfId="0" applyFont="1" applyBorder="1" applyAlignment="1">
      <alignment horizontal="left" indent="2"/>
    </xf>
    <xf numFmtId="0" fontId="4" fillId="0" borderId="0" xfId="0" applyFont="1" applyAlignment="1">
      <alignment horizontal="left" indent="2"/>
    </xf>
    <xf numFmtId="175" fontId="24" fillId="0" borderId="8" xfId="0" applyFont="1" applyNumberFormat="1" applyBorder="1" applyAlignment="1">
      <alignment horizontal="center"/>
    </xf>
    <xf numFmtId="10" fontId="20" fillId="0" borderId="0" xfId="0" applyFont="1" applyNumberFormat="1" applyAlignment="1">
      <alignment horizontal="center" vertical="top" wrapText="1"/>
    </xf>
    <xf numFmtId="0" fontId="35" fillId="0" borderId="2" xfId="0" applyFont="1" applyBorder="1" applyAlignment="1">
      <alignment horizontal="left"/>
    </xf>
    <xf numFmtId="1" fontId="4" fillId="7" borderId="18" xfId="0" applyFont="1" applyNumberFormat="1" applyFill="1" applyBorder="1" applyAlignment="1">
      <alignment horizontal="center" vertical="top" wrapText="1"/>
    </xf>
    <xf numFmtId="168" fontId="4" fillId="0" borderId="2" xfId="0" applyFont="1" applyNumberFormat="1" applyBorder="1" applyAlignment="1">
      <alignment horizontal="right" vertical="top" wrapText="1"/>
    </xf>
    <xf numFmtId="168" fontId="4" fillId="0" borderId="5" xfId="0" applyFont="1" applyNumberFormat="1" applyBorder="1" applyAlignment="1">
      <alignment horizontal="right" vertical="top" wrapText="1"/>
    </xf>
    <xf numFmtId="168" fontId="4" fillId="7" borderId="5" xfId="0" applyFont="1" applyNumberFormat="1" applyFill="1" applyBorder="1" applyAlignment="1">
      <alignment horizontal="right" vertical="top" wrapText="1"/>
    </xf>
    <xf numFmtId="168" fontId="4" fillId="0" borderId="18" xfId="0" applyFont="1" applyNumberFormat="1" applyBorder="1" applyAlignment="1">
      <alignment horizontal="center" vertical="top" wrapText="1"/>
    </xf>
    <xf numFmtId="168" fontId="4" fillId="0" borderId="42" xfId="0" applyFont="1" applyNumberFormat="1" applyBorder="1" applyAlignment="1">
      <alignment horizontal="center" vertical="top" wrapText="1"/>
    </xf>
    <xf numFmtId="0" fontId="23" fillId="0" borderId="0" xfId="0" applyFont="1" applyAlignment="1">
      <alignment horizontal="center" vertical="top" wrapText="1"/>
    </xf>
    <xf numFmtId="0" fontId="13" fillId="0" borderId="2" xfId="0" applyFont="1" applyBorder="1" applyAlignment="1">
      <alignment horizontal="left" vertical="top" wrapText="1"/>
    </xf>
    <xf numFmtId="168" fontId="20" fillId="0" borderId="3" xfId="0" applyFont="1" applyNumberFormat="1" applyBorder="1" applyAlignment="1">
      <alignment horizontal="center" vertical="top" wrapText="1"/>
    </xf>
    <xf numFmtId="168" fontId="36" fillId="7" borderId="3" xfId="0" applyFont="1" applyNumberFormat="1" applyFill="1" applyBorder="1" applyAlignment="1">
      <alignment horizontal="center"/>
    </xf>
    <xf numFmtId="168" fontId="20" fillId="25" borderId="8" xfId="0" applyFont="1" applyNumberFormat="1" applyFill="1" applyBorder="1" applyAlignment="1">
      <alignment horizontal="center" vertical="top" wrapText="1"/>
    </xf>
    <xf numFmtId="1" fontId="4" fillId="0" borderId="5" xfId="0" applyFont="1" applyNumberFormat="1" applyBorder="1" applyAlignment="1">
      <alignment horizontal="center"/>
    </xf>
    <xf numFmtId="167" fontId="4" fillId="12" borderId="8" xfId="0" applyFont="1" applyNumberForma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Font="1" applyNumberForma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7" xfId="0" applyFont="1" applyFill="1" applyBorder="1" applyAlignment="1">
      <alignment horizontal="left" indent="2"/>
    </xf>
    <xf numFmtId="0" fontId="4" fillId="18" borderId="8" xfId="0" applyFont="1" applyFill="1" applyBorder="1"/>
    <xf numFmtId="167" fontId="4" fillId="18" borderId="3" xfId="0" applyFont="1" applyNumberFormat="1" applyFill="1" applyBorder="1" applyAlignment="1">
      <alignment horizontal="center"/>
    </xf>
    <xf numFmtId="0" fontId="4" fillId="18" borderId="3" xfId="0" applyFont="1" applyFill="1" applyBorder="1" applyAlignment="1">
      <alignment horizontal="center"/>
    </xf>
    <xf numFmtId="0" fontId="13" fillId="0" borderId="2" xfId="0" applyFont="1" applyBorder="1"/>
    <xf numFmtId="0" fontId="35" fillId="0" borderId="2" xfId="0" applyFont="1" applyBorder="1" applyAlignment="1">
      <alignment wrapText="1"/>
    </xf>
    <xf numFmtId="165" fontId="2" fillId="0" borderId="20" xfId="0" applyFont="1" applyNumberFormat="1" applyBorder="1" applyAlignment="1">
      <alignment horizontal="right"/>
    </xf>
    <xf numFmtId="175" fontId="35" fillId="0" borderId="33" xfId="0" applyFont="1" applyNumberFormat="1" applyBorder="1" applyAlignment="1">
      <alignment horizontal="center"/>
    </xf>
    <xf numFmtId="175" fontId="35" fillId="0" borderId="6" xfId="0" applyFont="1" applyNumberFormat="1" applyBorder="1" applyAlignment="1">
      <alignment horizontal="center"/>
    </xf>
    <xf numFmtId="0" fontId="24" fillId="0" borderId="2" xfId="0" applyFont="1" applyBorder="1" applyAlignment="1">
      <alignment wrapText="1"/>
    </xf>
    <xf numFmtId="1" fontId="24" fillId="0" borderId="33" xfId="0" applyFont="1" applyNumberFormat="1" applyBorder="1" applyAlignment="1">
      <alignment horizontal="center"/>
    </xf>
    <xf numFmtId="0" fontId="24" fillId="0" borderId="7" xfId="0" applyFont="1" applyBorder="1"/>
    <xf numFmtId="1" fontId="24" fillId="0" borderId="3" xfId="0" applyFont="1" applyNumberFormat="1" applyBorder="1" applyAlignment="1">
      <alignment horizontal="center"/>
    </xf>
    <xf numFmtId="175" fontId="35" fillId="14" borderId="33" xfId="0" applyFont="1" applyNumberFormat="1" applyFill="1" applyBorder="1" applyAlignment="1">
      <alignment horizontal="center"/>
    </xf>
    <xf numFmtId="1" fontId="4" fillId="0" borderId="3" xfId="0" applyFont="1" applyNumberFormat="1" applyBorder="1" applyAlignment="1">
      <alignment horizontal="center" vertical="center"/>
    </xf>
    <xf numFmtId="169" fontId="4" fillId="0" borderId="33" xfId="0" applyFont="1" applyNumberFormat="1" applyBorder="1"/>
    <xf numFmtId="168" fontId="20" fillId="0" borderId="0" xfId="0" applyFont="1" applyNumberFormat="1"/>
    <xf numFmtId="1" fontId="4" fillId="7" borderId="6" xfId="0" applyFont="1" applyNumberFormat="1" applyFill="1" applyBorder="1" applyAlignment="1">
      <alignment horizontal="center"/>
    </xf>
    <xf numFmtId="1" fontId="4" fillId="7" borderId="33" xfId="0" applyFont="1" applyNumberFormat="1" applyFill="1" applyBorder="1" applyAlignment="1">
      <alignment horizontal="center"/>
    </xf>
    <xf numFmtId="168" fontId="4" fillId="0" borderId="1" xfId="0" applyFont="1" applyNumberFormat="1" applyBorder="1" applyAlignment="1">
      <alignment horizontal="center" vertical="top" wrapText="1"/>
    </xf>
    <xf numFmtId="175" fontId="35" fillId="0" borderId="2" xfId="0" applyFont="1" applyNumberFormat="1" applyBorder="1" applyAlignment="1">
      <alignment horizontal="center"/>
    </xf>
    <xf numFmtId="1" fontId="4" fillId="0" borderId="3" xfId="0" applyFont="1" applyNumberFormat="1" applyBorder="1"/>
    <xf numFmtId="1" fontId="4" fillId="7" borderId="3" xfId="0" applyFont="1" applyNumberFormat="1" applyFill="1" applyBorder="1"/>
    <xf numFmtId="1" fontId="4" fillId="7" borderId="4" xfId="0" applyFont="1" applyNumberFormat="1" applyFill="1" applyBorder="1"/>
    <xf numFmtId="1" fontId="4" fillId="7" borderId="8" xfId="0" applyFont="1" applyNumberFormat="1" applyFill="1" applyBorder="1"/>
    <xf numFmtId="168" fontId="20" fillId="25" borderId="0" xfId="0" applyFont="1" applyNumberFormat="1" applyFill="1" applyAlignment="1">
      <alignment horizontal="center" vertical="top" wrapText="1"/>
    </xf>
    <xf numFmtId="9" fontId="1" fillId="0" borderId="0" xfId="0" applyFont="1" applyNumberFormat="1"/>
    <xf numFmtId="1" fontId="4" fillId="15" borderId="0" xfId="0" applyFont="1" applyNumberFormat="1" applyFill="1" applyAlignment="1">
      <alignment horizontal="center" vertical="top" wrapText="1"/>
    </xf>
    <xf numFmtId="1" fontId="20" fillId="0" borderId="0" xfId="0" applyFont="1" applyNumberFormat="1" applyAlignment="1">
      <alignment horizontal="center" vertical="top" wrapText="1"/>
    </xf>
    <xf numFmtId="1" fontId="4" fillId="0" borderId="18" xfId="0" applyFont="1" applyNumberFormat="1" applyBorder="1" applyAlignment="1">
      <alignment horizontal="center" vertical="top" wrapText="1"/>
    </xf>
    <xf numFmtId="168" fontId="20" fillId="0" borderId="0" xfId="0" applyFont="1" applyNumberFormat="1" applyAlignment="1">
      <alignment horizontal="center" vertical="top" wrapText="1"/>
    </xf>
    <xf numFmtId="168" fontId="4" fillId="0" borderId="33" xfId="0" applyFont="1" applyNumberFormat="1" applyBorder="1" applyAlignment="1">
      <alignment horizontal="right" vertical="top" wrapText="1"/>
    </xf>
    <xf numFmtId="10" fontId="4" fillId="0" borderId="0" xfId="0" applyFont="1" applyNumberFormat="1"/>
    <xf numFmtId="0" fontId="4" fillId="0" borderId="7" xfId="0" applyFont="1" applyBorder="1" applyAlignment="1">
      <alignment horizontal="left" indent="1"/>
    </xf>
    <xf numFmtId="9" fontId="4" fillId="0" borderId="3" xfId="0" applyFont="1" applyNumberFormat="1" applyBorder="1"/>
    <xf numFmtId="2" fontId="4" fillId="0" borderId="3" xfId="0" applyFont="1" applyNumberFormat="1" applyBorder="1" applyAlignment="1">
      <alignment horizontal="center"/>
    </xf>
    <xf numFmtId="167" fontId="4" fillId="0" borderId="7" xfId="0" applyFont="1" applyNumberFormat="1" applyBorder="1" applyAlignment="1">
      <alignment horizontal="center"/>
    </xf>
    <xf numFmtId="167" fontId="4" fillId="0" borderId="3" xfId="0" applyFont="1" applyNumberFormat="1" applyBorder="1" applyAlignment="1">
      <alignment horizontal="center"/>
    </xf>
    <xf numFmtId="1" fontId="4" fillId="0" borderId="1" xfId="0" applyFont="1" applyNumberFormat="1" applyBorder="1" applyAlignment="1">
      <alignment horizontal="center"/>
    </xf>
    <xf numFmtId="167" fontId="4" fillId="7" borderId="3" xfId="0" applyFont="1" applyNumberFormat="1" applyFill="1" applyBorder="1" applyAlignment="1">
      <alignment horizontal="center"/>
    </xf>
    <xf numFmtId="167" fontId="4" fillId="12" borderId="4" xfId="0" applyFont="1" applyNumberFormat="1" applyFill="1" applyBorder="1" applyAlignment="1">
      <alignment horizontal="center"/>
    </xf>
    <xf numFmtId="167" fontId="4" fillId="12" borderId="3" xfId="0" applyFont="1" applyNumberFormat="1" applyFill="1" applyBorder="1" applyAlignment="1">
      <alignment horizontal="center"/>
    </xf>
    <xf numFmtId="1" fontId="4" fillId="0" borderId="3" xfId="0" applyFont="1" applyNumberFormat="1" applyBorder="1" applyAlignment="1">
      <alignment horizontal="center"/>
    </xf>
    <xf numFmtId="167" fontId="4" fillId="0" borderId="1" xfId="0" applyFont="1" applyNumberFormat="1" applyBorder="1" applyAlignment="1">
      <alignment horizontal="center"/>
    </xf>
    <xf numFmtId="0" fontId="20" fillId="0" borderId="0" xfId="0" applyFont="1" applyAlignment="1">
      <alignment horizontal="center" vertical="top" wrapText="1"/>
    </xf>
    <xf numFmtId="3" fontId="20" fillId="0" borderId="0" xfId="0" applyFont="1" applyNumberFormat="1" applyAlignment="1">
      <alignment horizontal="center" vertical="top" wrapText="1"/>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18" xfId="0" applyFont="1" applyNumberFormat="1" applyBorder="1" applyAlignment="1">
      <alignment horizontal="center" vertical="top" wrapText="1"/>
    </xf>
    <xf numFmtId="0" fontId="4" fillId="0" borderId="2" xfId="0" applyFont="1" applyBorder="1" applyAlignment="1">
      <alignment horizontal="left" indent="1"/>
    </xf>
    <xf numFmtId="0" fontId="35" fillId="0" borderId="1" xfId="0" applyFont="1" applyBorder="1" applyAlignment="1">
      <alignment horizontal="left" wrapText="1"/>
    </xf>
    <xf numFmtId="0" fontId="37" fillId="0" borderId="0" xfId="0" applyFont="1"/>
    <xf numFmtId="0" fontId="24" fillId="0" borderId="0" xfId="0" applyFont="1"/>
    <xf numFmtId="0" fontId="35" fillId="0" borderId="0" xfId="0" applyFont="1"/>
    <xf numFmtId="0" fontId="38" fillId="0" borderId="1" xfId="0" applyFont="1" applyBorder="1" applyAlignment="1">
      <alignment horizontal="left"/>
    </xf>
    <xf numFmtId="167" fontId="20" fillId="0" borderId="0" xfId="0" applyFont="1" applyNumberFormat="1"/>
    <xf numFmtId="0" fontId="20" fillId="0" borderId="7" xfId="0" applyFont="1" applyBorder="1" applyAlignment="1">
      <alignment horizontal="left" vertical="top" wrapText="1"/>
    </xf>
    <xf numFmtId="0" fontId="4" fillId="0" borderId="44" xfId="0" applyFont="1" applyBorder="1"/>
    <xf numFmtId="168" fontId="20" fillId="0" borderId="0" xfId="0" applyFont="1" applyNumberFormat="1" applyAlignment="1">
      <alignment horizontal="right" vertical="top" wrapText="1"/>
    </xf>
    <xf numFmtId="175" fontId="35" fillId="0" borderId="0" xfId="0" applyFont="1" applyNumberFormat="1" applyAlignment="1">
      <alignment horizontal="center"/>
    </xf>
    <xf numFmtId="1" fontId="4" fillId="0" borderId="0" xfId="0" applyFont="1" applyNumberFormat="1" applyAlignment="1">
      <alignment horizontal="center" vertical="top" wrapText="1"/>
    </xf>
    <xf numFmtId="1" fontId="4" fillId="0" borderId="33" xfId="0" applyFont="1" applyNumberFormat="1" applyBorder="1" applyAlignment="1">
      <alignment horizontal="center" vertical="center"/>
    </xf>
    <xf numFmtId="168" fontId="4" fillId="12" borderId="0" xfId="0" applyFont="1" applyNumberFormat="1" applyFill="1" applyAlignment="1">
      <alignment horizontal="center" vertical="top" wrapText="1"/>
    </xf>
    <xf numFmtId="1" fontId="20" fillId="7" borderId="0" xfId="0" applyFont="1" applyNumberFormat="1" applyFill="1" applyAlignment="1">
      <alignment horizontal="center" vertical="top" wrapText="1"/>
    </xf>
    <xf numFmtId="1" fontId="4" fillId="7" borderId="0" xfId="0" applyFont="1" applyNumberFormat="1" applyFill="1" applyAlignment="1">
      <alignment horizontal="center" vertical="top" wrapText="1"/>
    </xf>
    <xf numFmtId="168" fontId="20" fillId="25" borderId="3" xfId="0" applyFont="1" applyNumberFormat="1" applyFill="1" applyBorder="1" applyAlignment="1">
      <alignment horizontal="center" vertical="top" wrapText="1"/>
    </xf>
    <xf numFmtId="168" fontId="20" fillId="14" borderId="0" xfId="0" applyFont="1" applyNumberFormat="1" applyFill="1" applyAlignment="1">
      <alignment horizontal="center" vertical="top" wrapText="1"/>
    </xf>
    <xf numFmtId="168" fontId="4" fillId="15" borderId="0" xfId="0" applyFont="1" applyNumberFormat="1" applyFill="1" applyAlignment="1">
      <alignment horizontal="center" vertical="top" wrapText="1"/>
    </xf>
    <xf numFmtId="167" fontId="4" fillId="12" borderId="0" xfId="0" applyFont="1" applyNumberFormat="1" applyFill="1" applyAlignment="1">
      <alignment horizontal="center"/>
    </xf>
    <xf numFmtId="167" fontId="4" fillId="7" borderId="0" xfId="0" applyFont="1" applyNumberFormat="1" applyFill="1" applyAlignment="1">
      <alignment horizontal="center"/>
    </xf>
    <xf numFmtId="167" fontId="4" fillId="0" borderId="0" xfId="0" applyFont="1" applyNumberFormat="1" applyAlignment="1">
      <alignment horizontal="center"/>
    </xf>
    <xf numFmtId="167" fontId="4" fillId="25" borderId="8" xfId="0" applyFont="1" applyNumberFormat="1" applyFill="1" applyBorder="1" applyAlignment="1">
      <alignment horizontal="center"/>
    </xf>
    <xf numFmtId="168" fontId="4" fillId="7" borderId="33" xfId="0" applyFont="1" applyNumberFormat="1" applyFill="1" applyBorder="1" applyAlignment="1">
      <alignment horizontal="right" vertical="top" wrapText="1"/>
    </xf>
    <xf numFmtId="168" fontId="4" fillId="0" borderId="0" xfId="0" applyFont="1" applyNumberForma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5" fillId="0" borderId="0" xfId="0" applyFont="1" applyNumberFormat="1" applyAlignment="1">
      <alignment horizontal="center"/>
    </xf>
    <xf numFmtId="175" fontId="35" fillId="0" borderId="0" xfId="0" applyFont="1" applyNumberFormat="1"/>
    <xf numFmtId="0" fontId="35" fillId="0" borderId="0" xfId="0" applyFont="1" applyAlignment="1">
      <alignment horizontal="left" indent="2"/>
    </xf>
    <xf numFmtId="177" fontId="35" fillId="0" borderId="0" xfId="0" applyFont="1" applyNumberFormat="1" applyAlignment="1">
      <alignment horizontal="center"/>
    </xf>
    <xf numFmtId="1" fontId="13" fillId="0" borderId="0" xfId="0" applyFont="1" applyNumberFormat="1" applyAlignment="1">
      <alignment horizontal="center"/>
    </xf>
    <xf numFmtId="168" fontId="4" fillId="0" borderId="1" xfId="0" applyFont="1" applyNumberFormat="1" applyBorder="1" applyAlignment="1">
      <alignment horizontal="right" vertical="top" wrapText="1"/>
    </xf>
    <xf numFmtId="3" fontId="20" fillId="0" borderId="3" xfId="0" applyFont="1" applyNumberFormat="1" applyBorder="1" applyAlignment="1">
      <alignment horizontal="center" vertical="top" wrapText="1"/>
    </xf>
    <xf numFmtId="177" fontId="24" fillId="0" borderId="0" xfId="0" applyFont="1" applyNumberFormat="1" applyAlignment="1">
      <alignment horizontal="center"/>
    </xf>
    <xf numFmtId="0" fontId="13" fillId="14" borderId="34" xfId="0" applyFont="1" applyFill="1" applyBorder="1" applyAlignment="1">
      <alignment horizontal="center"/>
    </xf>
    <xf numFmtId="0" fontId="13" fillId="14" borderId="15" xfId="0" applyFont="1" applyFill="1" applyBorder="1" applyAlignment="1">
      <alignment horizontal="center"/>
    </xf>
    <xf numFmtId="0" fontId="13" fillId="14" borderId="6" xfId="0" applyFont="1" applyFill="1" applyBorder="1" applyAlignment="1">
      <alignment horizontal="center"/>
    </xf>
    <xf numFmtId="0" fontId="24" fillId="0" borderId="1" xfId="0" applyFont="1" applyBorder="1"/>
    <xf numFmtId="2" fontId="4" fillId="0" borderId="1" xfId="0" applyFont="1" applyNumberFormat="1" applyBorder="1" applyAlignment="1">
      <alignment horizontal="center"/>
    </xf>
    <xf numFmtId="2" fontId="4" fillId="0" borderId="7" xfId="0" applyFont="1" applyNumberFormat="1" applyBorder="1" applyAlignment="1">
      <alignment horizontal="center"/>
    </xf>
    <xf numFmtId="2" fontId="4" fillId="0" borderId="8" xfId="0" applyFont="1" applyNumberFormat="1" applyBorder="1" applyAlignment="1">
      <alignment horizontal="center"/>
    </xf>
    <xf numFmtId="0" fontId="20" fillId="0" borderId="3" xfId="0" applyFont="1" applyBorder="1" applyAlignment="1">
      <alignment horizontal="left" vertical="top" wrapText="1"/>
    </xf>
    <xf numFmtId="0" fontId="20" fillId="0" borderId="7" xfId="0" applyFont="1" applyBorder="1" applyAlignment="1">
      <alignment horizontal="center"/>
    </xf>
    <xf numFmtId="0" fontId="20" fillId="0" borderId="8" xfId="0" applyFont="1" applyBorder="1" applyAlignment="1">
      <alignment horizontal="center"/>
    </xf>
    <xf numFmtId="0" fontId="3" fillId="18" borderId="1" xfId="0" applyFont="1" applyFill="1" applyBorder="1" applyAlignment="1">
      <alignment horizontal="center"/>
    </xf>
    <xf numFmtId="0" fontId="3" fillId="18" borderId="0" xfId="0" applyFont="1" applyFill="1" applyAlignment="1">
      <alignment horizontal="center"/>
    </xf>
    <xf numFmtId="0" fontId="12" fillId="7" borderId="8" xfId="0" applyFont="1" applyFill="1" applyBorder="1"/>
    <xf numFmtId="10" fontId="32" fillId="0" borderId="0" xfId="0" applyFont="1" applyNumberFormat="1" applyAlignment="1">
      <alignment horizontal="center"/>
    </xf>
    <xf numFmtId="0" fontId="1" fillId="18" borderId="1" xfId="0" applyFont="1" applyFill="1" applyBorder="1"/>
    <xf numFmtId="0" fontId="1" fillId="18" borderId="7" xfId="0" applyFont="1" applyFill="1" applyBorder="1"/>
    <xf numFmtId="0" fontId="4" fillId="7" borderId="13" xfId="0" applyFont="1" applyFill="1" applyBorder="1" applyAlignment="1">
      <alignment horizontal="center"/>
    </xf>
    <xf numFmtId="10" fontId="32" fillId="0" borderId="7" xfId="0" applyFont="1" applyNumberFormat="1" applyBorder="1" applyAlignment="1">
      <alignment horizontal="center"/>
    </xf>
    <xf numFmtId="10" fontId="32" fillId="0" borderId="3" xfId="0" applyFont="1" applyNumberFormat="1" applyBorder="1" applyAlignment="1">
      <alignment horizontal="center"/>
    </xf>
    <xf numFmtId="10" fontId="32" fillId="0" borderId="8" xfId="0" applyFont="1" applyNumberFormat="1" applyBorder="1" applyAlignment="1">
      <alignment horizontal="center"/>
    </xf>
    <xf numFmtId="0" fontId="13" fillId="0" borderId="1" xfId="0" applyFont="1" applyBorder="1" applyAlignment="1">
      <alignment wrapText="1"/>
    </xf>
    <xf numFmtId="0" fontId="32" fillId="0" borderId="1" xfId="0" applyFont="1" applyBorder="1" applyAlignment="1">
      <alignment wrapText="1"/>
    </xf>
    <xf numFmtId="0" fontId="32" fillId="0" borderId="0" xfId="0" applyFont="1" applyAlignment="1">
      <alignment wrapText="1"/>
    </xf>
    <xf numFmtId="2" fontId="32" fillId="0" borderId="0" xfId="0" applyFont="1" applyNumberFormat="1" applyAlignment="1">
      <alignment horizontal="center"/>
    </xf>
    <xf numFmtId="2" fontId="39" fillId="0" borderId="0" xfId="0" applyFont="1" applyNumberFormat="1" applyAlignment="1">
      <alignment horizontal="center"/>
    </xf>
    <xf numFmtId="0" fontId="39" fillId="0" borderId="0" xfId="0" applyFont="1" applyAlignment="1">
      <alignment horizontal="center"/>
    </xf>
    <xf numFmtId="2" fontId="32" fillId="0" borderId="3" xfId="0" applyFont="1" applyNumberFormat="1" applyBorder="1" applyAlignment="1">
      <alignment horizontal="center"/>
    </xf>
    <xf numFmtId="2" fontId="32" fillId="0" borderId="5" xfId="0" applyFont="1" applyNumberFormat="1" applyBorder="1" applyAlignment="1">
      <alignment horizontal="center"/>
    </xf>
    <xf numFmtId="2" fontId="32" fillId="0" borderId="4" xfId="0" applyFont="1" applyNumberFormat="1" applyBorder="1" applyAlignment="1">
      <alignment horizontal="center"/>
    </xf>
    <xf numFmtId="2" fontId="32" fillId="0" borderId="8" xfId="0" applyFont="1" applyNumberFormat="1" applyBorder="1" applyAlignment="1">
      <alignment horizontal="center"/>
    </xf>
    <xf numFmtId="0" fontId="13" fillId="0" borderId="2" xfId="0" applyFont="1" applyBorder="1" applyAlignment="1">
      <alignment vertical="center" wrapText="1"/>
    </xf>
    <xf numFmtId="0" fontId="40" fillId="0" borderId="2" xfId="0" applyFont="1" applyBorder="1" applyAlignment="1">
      <alignment wrapText="1"/>
    </xf>
    <xf numFmtId="0" fontId="40" fillId="0" borderId="6" xfId="0" applyFont="1" applyBorder="1" applyAlignment="1">
      <alignment wrapText="1"/>
    </xf>
    <xf numFmtId="0" fontId="40" fillId="0" borderId="34" xfId="0" applyFont="1" applyBorder="1" applyAlignment="1">
      <alignment wrapText="1"/>
    </xf>
    <xf numFmtId="0" fontId="40" fillId="0" borderId="15" xfId="0" applyFont="1" applyBorder="1" applyAlignment="1">
      <alignment wrapText="1"/>
    </xf>
    <xf numFmtId="10" fontId="32" fillId="18" borderId="0" xfId="0" applyFont="1" applyNumberFormat="1" applyFill="1" applyAlignment="1">
      <alignment horizontal="center"/>
    </xf>
    <xf numFmtId="10" fontId="32" fillId="18" borderId="4" xfId="0" applyFont="1" applyNumberFormat="1" applyFill="1" applyBorder="1" applyAlignment="1">
      <alignment horizontal="center"/>
    </xf>
    <xf numFmtId="10" fontId="1" fillId="18" borderId="1" xfId="0" applyFont="1" applyNumberFormat="1" applyFill="1" applyBorder="1"/>
    <xf numFmtId="10" fontId="32" fillId="11" borderId="0" xfId="0" applyFont="1" applyNumberFormat="1" applyFill="1" applyAlignment="1">
      <alignment horizontal="center"/>
    </xf>
    <xf numFmtId="0" fontId="3" fillId="0" borderId="0" xfId="0" applyFont="1" applyAlignment="1">
      <alignment horizontal="left"/>
    </xf>
    <xf numFmtId="10" fontId="32" fillId="12" borderId="0" xfId="0" applyFont="1" applyNumberFormat="1" applyFill="1" applyAlignment="1">
      <alignment horizontal="center"/>
    </xf>
    <xf numFmtId="0" fontId="4" fillId="0" borderId="0" xfId="0" applyFont="1" applyAlignment="1">
      <alignment vertical="top"/>
    </xf>
    <xf numFmtId="10" fontId="32" fillId="0" borderId="6" xfId="0" applyFont="1" applyNumberFormat="1" applyBorder="1" applyAlignment="1">
      <alignment horizontal="center"/>
    </xf>
    <xf numFmtId="10" fontId="32" fillId="12" borderId="5" xfId="0" applyFont="1" applyNumberFormat="1" applyFill="1" applyBorder="1" applyAlignment="1">
      <alignment horizontal="center"/>
    </xf>
    <xf numFmtId="10" fontId="32" fillId="0" borderId="33" xfId="0" applyFont="1" applyNumberForma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2" fillId="18" borderId="3" xfId="0" applyFont="1" applyNumberFormat="1" applyFill="1" applyBorder="1" applyAlignment="1">
      <alignment horizontal="center"/>
    </xf>
    <xf numFmtId="10" fontId="32" fillId="18" borderId="8" xfId="0" applyFont="1" applyNumberFormat="1" applyFill="1" applyBorder="1" applyAlignment="1">
      <alignment horizontal="center"/>
    </xf>
    <xf numFmtId="10" fontId="1" fillId="0" borderId="2" xfId="0" applyFont="1" applyNumberFormat="1" applyBorder="1"/>
    <xf numFmtId="0" fontId="3" fillId="0" borderId="6" xfId="0" applyFont="1" applyBorder="1" applyAlignment="1">
      <alignment horizontal="left"/>
    </xf>
    <xf numFmtId="0" fontId="3" fillId="0" borderId="8" xfId="0" applyFont="1" applyBorder="1" applyAlignment="1">
      <alignment horizontal="left"/>
    </xf>
    <xf numFmtId="10" fontId="32" fillId="0" borderId="45" xfId="0" applyFont="1" applyNumberFormat="1" applyBorder="1" applyAlignment="1">
      <alignment horizontal="center"/>
    </xf>
    <xf numFmtId="10" fontId="32" fillId="0" borderId="46" xfId="0" applyFont="1" applyNumberFormat="1" applyBorder="1" applyAlignment="1">
      <alignment horizontal="center"/>
    </xf>
    <xf numFmtId="10" fontId="32" fillId="0" borderId="47" xfId="0" applyFont="1" applyNumberFormat="1" applyBorder="1" applyAlignment="1">
      <alignment horizontal="center"/>
    </xf>
    <xf numFmtId="10" fontId="1" fillId="0" borderId="7" xfId="0" applyFont="1" applyNumberFormat="1" applyBorder="1"/>
    <xf numFmtId="0" fontId="13" fillId="0" borderId="33" xfId="0" applyFont="1" applyBorder="1" applyAlignment="1">
      <alignment vertical="center" wrapText="1"/>
    </xf>
    <xf numFmtId="10" fontId="32" fillId="12" borderId="3" xfId="0" applyFont="1" applyNumberFormat="1" applyFill="1" applyBorder="1" applyAlignment="1">
      <alignment horizontal="center"/>
    </xf>
    <xf numFmtId="10" fontId="32" fillId="0" borderId="2" xfId="0" applyFont="1" applyNumberFormat="1" applyBorder="1" applyAlignment="1">
      <alignment horizontal="center"/>
    </xf>
    <xf numFmtId="10" fontId="32" fillId="12" borderId="33" xfId="0" applyFont="1" applyNumberFormat="1" applyFill="1" applyBorder="1" applyAlignment="1">
      <alignment horizontal="center"/>
    </xf>
    <xf numFmtId="0" fontId="40" fillId="0" borderId="0" xfId="0" applyFont="1" applyAlignment="1">
      <alignment wrapText="1"/>
    </xf>
    <xf numFmtId="0" fontId="40" fillId="0" borderId="3" xfId="0" applyFont="1" applyBorder="1" applyAlignment="1">
      <alignment wrapText="1"/>
    </xf>
    <xf numFmtId="2" fontId="32" fillId="0" borderId="6" xfId="0" applyFont="1" applyNumberFormat="1" applyBorder="1" applyAlignment="1">
      <alignment horizontal="center"/>
    </xf>
    <xf numFmtId="167" fontId="2" fillId="0" borderId="0" xfId="0" applyFont="1" applyNumberFormat="1" applyAlignment="1">
      <alignment wrapText="1"/>
    </xf>
    <xf numFmtId="0" fontId="3" fillId="0" borderId="5" xfId="0" applyFont="1" applyBorder="1" applyAlignment="1">
      <alignment horizontal="left"/>
    </xf>
    <xf numFmtId="0" fontId="3" fillId="0" borderId="3" xfId="0" applyFont="1" applyBorder="1" applyAlignment="1">
      <alignment horizontal="left"/>
    </xf>
    <xf numFmtId="178" fontId="1" fillId="0" borderId="0" xfId="0" applyFont="1" applyNumberFormat="1"/>
    <xf numFmtId="10" fontId="32" fillId="0" borderId="5" xfId="0" applyFont="1" applyNumberFormat="1" applyBorder="1" applyAlignment="1">
      <alignment horizontal="center"/>
    </xf>
    <xf numFmtId="10" fontId="32" fillId="0" borderId="1" xfId="0" applyFont="1" applyNumberFormat="1" applyBorder="1" applyAlignment="1">
      <alignment horizontal="center"/>
    </xf>
    <xf numFmtId="10" fontId="32" fillId="0" borderId="4" xfId="0" applyFont="1" applyNumberFormat="1" applyBorder="1" applyAlignment="1">
      <alignment horizontal="center"/>
    </xf>
    <xf numFmtId="3" fontId="4" fillId="0" borderId="1" xfId="0" applyFont="1" applyNumberFormat="1" applyBorder="1" applyAlignment="1">
      <alignment horizontal="center"/>
    </xf>
    <xf numFmtId="167" fontId="4" fillId="0" borderId="8" xfId="0" applyFont="1" applyNumberFormat="1" applyBorder="1" applyAlignment="1">
      <alignment horizontal="center"/>
    </xf>
    <xf numFmtId="0" fontId="4" fillId="7" borderId="12" xfId="0" applyFont="1" applyFill="1" applyBorder="1" applyAlignment="1">
      <alignment horizontal="center" wrapText="1"/>
    </xf>
    <xf numFmtId="0" fontId="4" fillId="12" borderId="39" xfId="0" applyFont="1" applyFill="1" applyBorder="1" applyAlignment="1">
      <alignment horizontal="center" wrapText="1"/>
    </xf>
    <xf numFmtId="0" fontId="4" fillId="12" borderId="15" xfId="0" applyFont="1" applyFill="1" applyBorder="1" applyAlignment="1">
      <alignment horizontal="center" wrapText="1"/>
    </xf>
    <xf numFmtId="14" fontId="4" fillId="12" borderId="14" xfId="0" applyFont="1" applyNumberFormat="1" applyFill="1" applyBorder="1" applyAlignment="1">
      <alignment horizontal="right"/>
    </xf>
    <xf numFmtId="3" fontId="4" fillId="0" borderId="2" xfId="0" applyFont="1" applyNumberFormat="1" applyBorder="1" applyAlignment="1">
      <alignment horizontal="center"/>
    </xf>
    <xf numFmtId="3" fontId="4" fillId="0" borderId="0" xfId="0" applyFont="1" applyNumberFormat="1" applyAlignment="1">
      <alignment wrapText="1"/>
    </xf>
    <xf numFmtId="0" fontId="11" fillId="0" borderId="0" xfId="0" applyFont="1"/>
    <xf numFmtId="167" fontId="4" fillId="0" borderId="0" xfId="0" applyFont="1" applyNumberFormat="1" applyAlignment="1">
      <alignment horizontal="left"/>
    </xf>
    <xf numFmtId="14" fontId="4" fillId="0" borderId="0" xfId="0" applyFont="1" applyNumberFormat="1" applyAlignment="1">
      <alignment horizontal="center"/>
    </xf>
    <xf numFmtId="14" fontId="4" fillId="12" borderId="13" xfId="0" applyFont="1" applyNumberFormat="1" applyFill="1" applyBorder="1" applyAlignment="1">
      <alignment horizontal="right"/>
    </xf>
    <xf numFmtId="14" fontId="4" fillId="12" borderId="12" xfId="0" applyFont="1" applyNumberFormat="1" applyFill="1" applyBorder="1" applyAlignment="1">
      <alignment horizontal="right"/>
    </xf>
    <xf numFmtId="2" fontId="4" fillId="0" borderId="4" xfId="0" applyFont="1" applyNumberFormat="1" applyBorder="1" applyAlignment="1">
      <alignment horizontal="center"/>
    </xf>
    <xf numFmtId="0" fontId="4" fillId="12" borderId="7" xfId="0" applyFont="1" applyFill="1" applyBorder="1" applyAlignment="1">
      <alignment horizontal="center" wrapText="1"/>
    </xf>
    <xf numFmtId="0" fontId="4" fillId="12" borderId="3" xfId="0" applyFont="1" applyFill="1" applyBorder="1" applyAlignment="1">
      <alignment horizontal="center" wrapText="1"/>
    </xf>
    <xf numFmtId="165" fontId="1" fillId="12" borderId="0" xfId="0" applyFont="1" applyNumberFormat="1" applyFill="1" applyAlignment="1">
      <alignment horizontal="center"/>
    </xf>
    <xf numFmtId="165" fontId="1" fillId="12" borderId="33" xfId="0" applyFont="1" applyNumberFormat="1" applyFill="1" applyBorder="1" applyAlignment="1">
      <alignment horizontal="center"/>
    </xf>
    <xf numFmtId="0" fontId="1" fillId="0" borderId="2" xfId="0" applyFont="1" applyBorder="1" applyAlignment="1">
      <alignment horizontal="left" indent="2" wrapText="1"/>
    </xf>
    <xf numFmtId="0" fontId="1" fillId="0" borderId="33" xfId="0" applyFont="1" applyBorder="1" applyAlignment="1">
      <alignment horizontal="left" indent="2" wrapText="1"/>
    </xf>
    <xf numFmtId="165" fontId="1" fillId="12" borderId="4" xfId="0" applyFont="1" applyNumberFormat="1" applyFill="1" applyBorder="1" applyAlignment="1">
      <alignment horizontal="center"/>
    </xf>
    <xf numFmtId="0" fontId="1" fillId="12" borderId="8" xfId="0" applyFont="1" applyFill="1" applyBorder="1" applyAlignment="1">
      <alignment horizontal="center"/>
    </xf>
    <xf numFmtId="0" fontId="1" fillId="0" borderId="1" xfId="0" applyFont="1" applyBorder="1" applyAlignment="1">
      <alignment horizontal="left" indent="2" wrapText="1"/>
    </xf>
    <xf numFmtId="0" fontId="2" fillId="12" borderId="2" xfId="0" applyFont="1" applyFill="1" applyBorder="1" applyAlignment="1">
      <alignment horizontal="center" wrapText="1"/>
    </xf>
    <xf numFmtId="0" fontId="2" fillId="12" borderId="5" xfId="0" applyFont="1" applyFill="1" applyBorder="1" applyAlignment="1">
      <alignment horizontal="center" wrapText="1"/>
    </xf>
    <xf numFmtId="0" fontId="2" fillId="12" borderId="1" xfId="0" applyFont="1" applyFill="1" applyBorder="1" applyAlignment="1">
      <alignment horizontal="center" wrapText="1"/>
    </xf>
    <xf numFmtId="0" fontId="2" fillId="12" borderId="0" xfId="0" applyFont="1" applyFill="1" applyAlignment="1">
      <alignment horizontal="center" wrapText="1"/>
    </xf>
    <xf numFmtId="0" fontId="1" fillId="12" borderId="2" xfId="0" applyFont="1" applyFill="1" applyBorder="1" applyAlignment="1">
      <alignment horizontal="center"/>
    </xf>
    <xf numFmtId="0" fontId="1" fillId="12" borderId="5" xfId="0" applyFont="1" applyFill="1" applyBorder="1" applyAlignment="1">
      <alignment horizontal="center"/>
    </xf>
    <xf numFmtId="0" fontId="1" fillId="12" borderId="2" xfId="0" applyFont="1" applyFill="1" applyBorder="1" applyAlignment="1">
      <alignment horizontal="center" wrapText="1"/>
    </xf>
    <xf numFmtId="0" fontId="1" fillId="12" borderId="5" xfId="0" applyFont="1" applyFill="1" applyBorder="1" applyAlignment="1">
      <alignment horizontal="center" wrapText="1"/>
    </xf>
    <xf numFmtId="0" fontId="1" fillId="12" borderId="6" xfId="0" applyFont="1" applyFill="1" applyBorder="1" applyAlignment="1">
      <alignment horizontal="center" wrapText="1"/>
    </xf>
    <xf numFmtId="0" fontId="41" fillId="12" borderId="2" xfId="0" applyFont="1" applyFill="1" applyBorder="1" applyAlignment="1">
      <alignment horizontal="center"/>
    </xf>
    <xf numFmtId="0" fontId="41" fillId="12" borderId="5" xfId="0" applyFont="1" applyFill="1" applyBorder="1" applyAlignment="1">
      <alignment horizontal="center"/>
    </xf>
    <xf numFmtId="0" fontId="41" fillId="12" borderId="6" xfId="0" applyFont="1" applyFill="1" applyBorder="1" applyAlignment="1">
      <alignment horizontal="center"/>
    </xf>
    <xf numFmtId="0" fontId="1" fillId="12" borderId="33" xfId="0" applyFont="1" applyFill="1" applyBorder="1" applyAlignment="1">
      <alignment horizontal="center"/>
    </xf>
    <xf numFmtId="0" fontId="1" fillId="12" borderId="6" xfId="0" applyFont="1" applyFill="1" applyBorder="1" applyAlignment="1">
      <alignment horizontal="center"/>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2" borderId="14" xfId="0" applyFont="1" applyFill="1" applyBorder="1" applyAlignment="1">
      <alignment horizontal="center" wrapText="1"/>
    </xf>
    <xf numFmtId="0" fontId="1" fillId="3" borderId="15" xfId="0" applyFont="1" applyFill="1" applyBorder="1" applyAlignment="1">
      <alignment wrapText="1"/>
    </xf>
    <xf numFmtId="0" fontId="1" fillId="0" borderId="3" xfId="0" applyFont="1" applyBorder="1" applyAlignment="1">
      <alignment horizontal="left" indent="2"/>
    </xf>
    <xf numFmtId="0" fontId="1" fillId="0" borderId="5" xfId="0" applyFont="1" applyBorder="1" applyAlignment="1">
      <alignment horizontal="left" indent="2" wrapText="1"/>
    </xf>
    <xf numFmtId="0" fontId="1" fillId="12" borderId="13" xfId="0" applyFont="1" applyFill="1" applyBorder="1" applyAlignment="1">
      <alignment horizontal="center" wrapText="1"/>
    </xf>
    <xf numFmtId="0" fontId="1" fillId="12" borderId="1" xfId="0" applyFont="1" applyFill="1" applyBorder="1" applyAlignment="1">
      <alignment horizontal="center" wrapText="1"/>
    </xf>
    <xf numFmtId="0" fontId="1" fillId="12" borderId="4" xfId="0" applyFont="1" applyFill="1" applyBorder="1" applyAlignment="1">
      <alignment horizontal="center"/>
    </xf>
    <xf numFmtId="165" fontId="1" fillId="11" borderId="8" xfId="0" applyFont="1" applyNumberFormat="1" applyFill="1" applyBorder="1" applyAlignment="1">
      <alignment horizontal="center"/>
    </xf>
    <xf numFmtId="0" fontId="3" fillId="0" borderId="2" xfId="0" applyFont="1" applyBorder="1" applyAlignment="1">
      <alignment horizontal="left" indent="2" wrapText="1"/>
    </xf>
    <xf numFmtId="0" fontId="1" fillId="12" borderId="3" xfId="0" applyFont="1" applyFill="1" applyBorder="1" applyAlignment="1">
      <alignment horizontal="center"/>
    </xf>
    <xf numFmtId="165" fontId="1" fillId="0" borderId="33" xfId="0" applyFont="1" applyNumberFormat="1" applyBorder="1" applyAlignment="1">
      <alignment horizontal="center"/>
    </xf>
    <xf numFmtId="165" fontId="1" fillId="12" borderId="6" xfId="0" applyFont="1" applyNumberFormat="1" applyFill="1" applyBorder="1" applyAlignment="1">
      <alignment horizontal="center"/>
    </xf>
    <xf numFmtId="165" fontId="1" fillId="0" borderId="0" xfId="0" applyFont="1" applyNumberFormat="1" applyAlignment="1">
      <alignment horizontal="center"/>
    </xf>
    <xf numFmtId="0" fontId="1" fillId="3" borderId="11" xfId="0" applyFont="1" applyFill="1" applyBorder="1" applyAlignment="1">
      <alignment wrapText="1"/>
    </xf>
    <xf numFmtId="0" fontId="1" fillId="11" borderId="8" xfId="0" applyFont="1" applyFill="1" applyBorder="1" applyAlignment="1">
      <alignment horizontal="center"/>
    </xf>
    <xf numFmtId="0" fontId="20" fillId="12" borderId="4" xfId="0" applyFont="1" applyFill="1" applyBorder="1" applyAlignment="1">
      <alignment horizontal="center"/>
    </xf>
    <xf numFmtId="0" fontId="1" fillId="0" borderId="1" xfId="0" applyFont="1" applyBorder="1" applyAlignment="1">
      <alignment horizontal="center"/>
    </xf>
    <xf numFmtId="0" fontId="20" fillId="7" borderId="3" xfId="0" applyFont="1" applyFill="1" applyBorder="1" applyAlignment="1">
      <alignment horizontal="center"/>
    </xf>
    <xf numFmtId="0" fontId="20" fillId="7" borderId="8" xfId="0" applyFont="1" applyFill="1" applyBorder="1" applyAlignment="1">
      <alignment horizontal="center"/>
    </xf>
    <xf numFmtId="0" fontId="1" fillId="0" borderId="12" xfId="0" applyFont="1" applyBorder="1" applyAlignment="1">
      <alignment horizontal="left"/>
    </xf>
    <xf numFmtId="0" fontId="1" fillId="12" borderId="7" xfId="0" applyFont="1" applyFill="1" applyBorder="1" applyAlignment="1">
      <alignment horizontal="center"/>
    </xf>
    <xf numFmtId="165" fontId="1" fillId="0" borderId="3" xfId="0" applyFont="1" applyNumberFormat="1" applyBorder="1" applyAlignment="1">
      <alignment horizontal="center"/>
    </xf>
    <xf numFmtId="165" fontId="1" fillId="0" borderId="8" xfId="0" applyFont="1" applyNumberFormat="1" applyBorder="1" applyAlignment="1">
      <alignment horizontal="center"/>
    </xf>
    <xf numFmtId="0" fontId="20" fillId="7" borderId="0" xfId="0" applyFont="1" applyFill="1" applyAlignment="1">
      <alignment horizontal="center"/>
    </xf>
    <xf numFmtId="0" fontId="20" fillId="7" borderId="4" xfId="0" applyFont="1" applyFill="1" applyBorder="1" applyAlignment="1">
      <alignment horizontal="center"/>
    </xf>
    <xf numFmtId="0" fontId="20" fillId="12" borderId="0" xfId="0" applyFont="1" applyFill="1" applyAlignment="1">
      <alignment horizontal="center"/>
    </xf>
    <xf numFmtId="0" fontId="1" fillId="12" borderId="14" xfId="0" applyFont="1" applyFill="1" applyBorder="1" applyAlignment="1">
      <alignment horizontal="center"/>
    </xf>
    <xf numFmtId="0" fontId="1" fillId="12" borderId="12" xfId="0" applyFont="1" applyFill="1" applyBorder="1" applyAlignment="1">
      <alignment horizontal="center"/>
    </xf>
    <xf numFmtId="0" fontId="4" fillId="0" borderId="3" xfId="0" applyFont="1" applyBorder="1" applyAlignment="1">
      <alignment horizontal="right" vertical="center"/>
    </xf>
    <xf numFmtId="0" fontId="42" fillId="0" borderId="0" xfId="0" applyFont="1" applyAlignment="1">
      <alignment vertical="center"/>
    </xf>
    <xf numFmtId="0" fontId="11" fillId="0" borderId="0" xfId="0" applyFont="1" applyAlignment="1">
      <alignment horizontal="left"/>
    </xf>
    <xf numFmtId="165" fontId="4" fillId="0" borderId="0" xfId="0" applyFont="1" applyNumberFormat="1" applyAlignment="1">
      <alignment horizontal="right"/>
    </xf>
    <xf numFmtId="3" fontId="4" fillId="0" borderId="3" xfId="0" applyFont="1" applyNumberFormat="1" applyBorder="1"/>
    <xf numFmtId="1" fontId="4" fillId="0" borderId="0" xfId="0" applyFont="1" applyNumberFormat="1" applyAlignment="1">
      <alignment horizontal="right"/>
    </xf>
    <xf numFmtId="0" fontId="4" fillId="0" borderId="3" xfId="0" applyFont="1" applyBorder="1" applyAlignment="1">
      <alignment horizontal="right"/>
    </xf>
    <xf numFmtId="3" fontId="4" fillId="0" borderId="3" xfId="0" applyFont="1" applyNumberFormat="1" applyBorder="1" applyAlignment="1">
      <alignment horizontal="right"/>
    </xf>
    <xf numFmtId="0" fontId="4" fillId="0" borderId="0" xfId="0" applyFont="1" applyAlignment="1">
      <alignment vertical="center"/>
    </xf>
    <xf numFmtId="0" fontId="4" fillId="0" borderId="0" xfId="0" applyFont="1" applyAlignment="1">
      <alignment horizontal="right" vertical="center"/>
    </xf>
    <xf numFmtId="0" fontId="4" fillId="0" borderId="3" xfId="0" applyFont="1" applyBorder="1" applyAlignment="1">
      <alignment vertical="center"/>
    </xf>
    <xf numFmtId="0" fontId="4" fillId="0" borderId="0" xfId="0" applyFont="1" applyAlignment="1">
      <alignment horizontal="left" vertical="center" wrapText="1"/>
    </xf>
    <xf numFmtId="3" fontId="13" fillId="0" borderId="0" xfId="0" applyFont="1" applyNumberFormat="1" applyAlignment="1">
      <alignment horizontal="left" wrapText="1"/>
    </xf>
    <xf numFmtId="3" fontId="13" fillId="0" borderId="0" xfId="0" applyFont="1" applyNumberFormat="1" applyAlignment="1">
      <alignment horizontal="left"/>
    </xf>
    <xf numFmtId="0" fontId="4" fillId="0" borderId="0" xfId="0" applyFont="1" applyAlignment="1">
      <alignment vertical="center" wrapText="1"/>
    </xf>
    <xf numFmtId="0" fontId="4" fillId="11" borderId="0" xfId="0" applyFont="1" applyFill="1" applyAlignment="1">
      <alignment horizontal="left" vertical="top" wrapText="1"/>
    </xf>
    <xf numFmtId="0" fontId="43" fillId="0" borderId="0" xfId="0" applyFont="1" applyAlignment="1">
      <alignment horizontal="left"/>
    </xf>
    <xf numFmtId="0" fontId="43" fillId="0" borderId="0" xfId="0" applyFont="1" applyAlignment="1">
      <alignment horizontal="center" wrapText="1"/>
    </xf>
    <xf numFmtId="1" fontId="44" fillId="0" borderId="48" xfId="0" applyFont="1" applyNumberFormat="1" applyBorder="1" applyAlignment="1">
      <alignment horizontal="center" vertical="top"/>
    </xf>
    <xf numFmtId="0" fontId="43" fillId="26" borderId="48" xfId="0" applyFont="1" applyFill="1" applyBorder="1" applyAlignment="1">
      <alignment horizontal="center" vertical="top"/>
    </xf>
    <xf numFmtId="0" fontId="43" fillId="0" borderId="0" xfId="0" applyFont="1" applyAlignment="1">
      <alignment horizontal="center"/>
    </xf>
    <xf numFmtId="0" fontId="43" fillId="0" borderId="0" xfId="0" applyFont="1" applyAlignment="1">
      <alignment horizontal="left" wrapText="1"/>
    </xf>
    <xf numFmtId="0" fontId="44" fillId="0" borderId="0" xfId="0" applyFont="1" applyAlignment="1">
      <alignment horizontal="left" vertical="top"/>
    </xf>
    <xf numFmtId="0" fontId="44" fillId="0" borderId="0" xfId="0" applyFont="1" applyAlignment="1">
      <alignment horizontal="center" vertical="top" wrapText="1"/>
    </xf>
    <xf numFmtId="1" fontId="44" fillId="13" borderId="0" xfId="0" applyFont="1" applyNumberFormat="1" applyFill="1" applyAlignment="1">
      <alignment horizontal="center" vertical="top"/>
    </xf>
    <xf numFmtId="0" fontId="43" fillId="13" borderId="0" xfId="0" applyFont="1" applyFill="1" applyAlignment="1">
      <alignment horizontal="center" vertical="top"/>
    </xf>
    <xf numFmtId="0" fontId="43" fillId="13" borderId="0" xfId="0" applyFont="1" applyFill="1" applyAlignment="1">
      <alignment horizontal="left" vertical="top" wrapText="1"/>
    </xf>
    <xf numFmtId="0" fontId="43" fillId="0" borderId="0" xfId="0" applyFont="1" applyAlignment="1">
      <alignment horizontal="left" vertical="top" wrapText="1"/>
    </xf>
    <xf numFmtId="0" fontId="44" fillId="0" borderId="34" xfId="0" applyFont="1" applyBorder="1" applyAlignment="1">
      <alignment horizontal="left" vertical="top"/>
    </xf>
    <xf numFmtId="0" fontId="44" fillId="0" borderId="34" xfId="0" applyFont="1" applyBorder="1" applyAlignment="1">
      <alignment horizontal="center" vertical="top" wrapText="1"/>
    </xf>
    <xf numFmtId="1" fontId="44" fillId="3" borderId="34" xfId="0" applyFont="1" applyNumberFormat="1" applyFill="1" applyBorder="1" applyAlignment="1">
      <alignment horizontal="center" vertical="top"/>
    </xf>
    <xf numFmtId="3" fontId="44" fillId="3" borderId="34" xfId="0" applyFont="1" applyNumberFormat="1" applyFill="1" applyBorder="1" applyAlignment="1">
      <alignment horizontal="center" vertical="top"/>
    </xf>
    <xf numFmtId="0" fontId="43" fillId="3" borderId="34" xfId="0" applyFont="1" applyFill="1" applyBorder="1" applyAlignment="1">
      <alignment horizontal="center" vertical="top"/>
    </xf>
    <xf numFmtId="0" fontId="43" fillId="0" borderId="34" xfId="0" applyFont="1" applyBorder="1" applyAlignment="1">
      <alignment horizontal="left" vertical="top" wrapText="1"/>
    </xf>
    <xf numFmtId="0" fontId="44" fillId="0" borderId="5" xfId="0" applyFont="1" applyBorder="1" applyAlignment="1">
      <alignment horizontal="left" vertical="top"/>
    </xf>
    <xf numFmtId="0" fontId="44" fillId="0" borderId="5" xfId="0" applyFont="1" applyBorder="1" applyAlignment="1">
      <alignment horizontal="center" vertical="top" wrapText="1"/>
    </xf>
    <xf numFmtId="3" fontId="45" fillId="0" borderId="0" xfId="0" applyFont="1" applyNumberFormat="1" applyAlignment="1">
      <alignment vertical="top"/>
    </xf>
    <xf numFmtId="0" fontId="44" fillId="13" borderId="5" xfId="0" applyFont="1" applyFill="1" applyBorder="1" applyAlignment="1">
      <alignment horizontal="center" vertical="top"/>
    </xf>
    <xf numFmtId="0" fontId="43" fillId="0" borderId="5" xfId="0" applyFont="1" applyBorder="1" applyAlignment="1">
      <alignment horizontal="left" vertical="top" wrapText="1"/>
    </xf>
    <xf numFmtId="0" fontId="43" fillId="0" borderId="0" xfId="0" applyFont="1" applyAlignment="1">
      <alignment horizontal="left" vertical="top"/>
    </xf>
    <xf numFmtId="0" fontId="43" fillId="0" borderId="0" xfId="0" applyFont="1" applyAlignment="1">
      <alignment horizontal="center" vertical="top" wrapText="1"/>
    </xf>
    <xf numFmtId="3" fontId="44" fillId="13" borderId="0" xfId="0" applyFont="1" applyNumberFormat="1" applyFill="1" applyAlignment="1">
      <alignment horizontal="center" vertical="top"/>
    </xf>
    <xf numFmtId="0" fontId="44" fillId="13" borderId="0" xfId="0" applyFont="1" applyFill="1" applyAlignment="1">
      <alignment horizontal="center" vertical="top"/>
    </xf>
    <xf numFmtId="1" fontId="43" fillId="13" borderId="0" xfId="0" applyFont="1" applyNumberFormat="1" applyFill="1" applyAlignment="1">
      <alignment horizontal="center" vertical="top"/>
    </xf>
    <xf numFmtId="0" fontId="43" fillId="0" borderId="0" xfId="0" applyFont="1" applyAlignment="1">
      <alignment horizontal="center" vertical="top"/>
    </xf>
    <xf numFmtId="1" fontId="43" fillId="13" borderId="0" xfId="0" applyFont="1" applyNumberFormat="1" applyFill="1" applyAlignment="1">
      <alignment horizontal="center"/>
    </xf>
    <xf numFmtId="1" fontId="43" fillId="13" borderId="0" xfId="0" applyFont="1" applyNumberFormat="1" applyFill="1" applyAlignment="1">
      <alignment horizontal="center" vertical="center"/>
    </xf>
    <xf numFmtId="1" fontId="44" fillId="13" borderId="0" xfId="0" applyFont="1" applyNumberFormat="1" applyFill="1" applyAlignment="1">
      <alignment horizontal="center" vertical="center"/>
    </xf>
    <xf numFmtId="0" fontId="43" fillId="0" borderId="0" xfId="0" applyFont="1" applyAlignment="1">
      <alignment horizontal="left" vertical="center"/>
    </xf>
    <xf numFmtId="0" fontId="43" fillId="0" borderId="0" xfId="0" applyFont="1" applyAlignment="1">
      <alignment horizontal="center" vertical="center" wrapText="1"/>
    </xf>
    <xf numFmtId="0" fontId="44" fillId="0" borderId="0" xfId="0" applyFont="1" applyAlignment="1">
      <alignment horizontal="left" vertical="top" wrapText="1"/>
    </xf>
    <xf numFmtId="1" fontId="44" fillId="13" borderId="5" xfId="0" applyFont="1" applyNumberFormat="1" applyFill="1" applyBorder="1" applyAlignment="1">
      <alignment horizontal="center" vertical="top"/>
    </xf>
    <xf numFmtId="3" fontId="44" fillId="13" borderId="5" xfId="0" applyFont="1" applyNumberFormat="1" applyFill="1" applyBorder="1" applyAlignment="1">
      <alignment horizontal="center" vertical="top"/>
    </xf>
    <xf numFmtId="0" fontId="43" fillId="13" borderId="5" xfId="0" applyFont="1" applyFill="1" applyBorder="1" applyAlignment="1">
      <alignment horizontal="center" vertical="top"/>
    </xf>
    <xf numFmtId="0" fontId="16" fillId="13" borderId="5" xfId="0" applyFont="1" applyFill="1" applyBorder="1" applyAlignment="1">
      <alignment horizontal="left" vertical="top" wrapText="1"/>
    </xf>
    <xf numFmtId="0" fontId="44" fillId="26" borderId="0" xfId="0" applyFont="1" applyFill="1" applyAlignment="1">
      <alignment horizontal="center"/>
    </xf>
    <xf numFmtId="0" fontId="43" fillId="26" borderId="0" xfId="0" applyFont="1" applyFill="1" applyAlignment="1">
      <alignment horizontal="left" wrapText="1"/>
    </xf>
    <xf numFmtId="1" fontId="44" fillId="27" borderId="0" xfId="0" applyFont="1" applyNumberFormat="1" applyFill="1" applyAlignment="1">
      <alignment horizontal="center" vertical="top"/>
    </xf>
    <xf numFmtId="3" fontId="44" fillId="27" borderId="0" xfId="0" applyFont="1" applyNumberFormat="1" applyFill="1" applyAlignment="1">
      <alignment horizontal="center" vertical="top"/>
    </xf>
    <xf numFmtId="0" fontId="43" fillId="27" borderId="0" xfId="0" applyFont="1" applyFill="1" applyAlignment="1">
      <alignment horizontal="center" vertical="top"/>
    </xf>
    <xf numFmtId="0" fontId="43" fillId="27" borderId="0" xfId="0" applyFont="1" applyFill="1" applyAlignment="1">
      <alignment horizontal="left" vertical="top" wrapText="1"/>
    </xf>
    <xf numFmtId="1" fontId="43" fillId="28" borderId="0" xfId="0" applyFont="1" applyNumberFormat="1" applyFill="1" applyAlignment="1">
      <alignment horizontal="center" vertical="top"/>
    </xf>
    <xf numFmtId="0" fontId="43" fillId="28" borderId="0" xfId="0" applyFont="1" applyFill="1" applyAlignment="1">
      <alignment horizontal="center" vertical="top"/>
    </xf>
    <xf numFmtId="0" fontId="43" fillId="28" borderId="0" xfId="0" applyFont="1" applyFill="1" applyAlignment="1">
      <alignment horizontal="left" vertical="top" wrapText="1"/>
    </xf>
    <xf numFmtId="1" fontId="43" fillId="28" borderId="0" xfId="0" applyFont="1" applyNumberFormat="1" applyFill="1" applyAlignment="1">
      <alignment horizontal="center"/>
    </xf>
    <xf numFmtId="1" fontId="44" fillId="28" borderId="0" xfId="0" applyFont="1" applyNumberFormat="1" applyFill="1" applyAlignment="1">
      <alignment horizontal="center" vertical="top"/>
    </xf>
    <xf numFmtId="3" fontId="44" fillId="28" borderId="0" xfId="0" applyFont="1" applyNumberFormat="1" applyFill="1" applyAlignment="1">
      <alignment horizontal="center" vertical="top"/>
    </xf>
    <xf numFmtId="1" fontId="44" fillId="29" borderId="0" xfId="0" applyFont="1" applyNumberFormat="1" applyFill="1" applyAlignment="1">
      <alignment horizontal="center" vertical="top"/>
    </xf>
    <xf numFmtId="0" fontId="43" fillId="29" borderId="0" xfId="0" applyFont="1" applyFill="1" applyAlignment="1">
      <alignment horizontal="center" vertical="top"/>
    </xf>
    <xf numFmtId="3" fontId="44" fillId="29" borderId="0" xfId="0" applyFont="1" applyNumberFormat="1" applyFill="1" applyAlignment="1">
      <alignment horizontal="center" vertical="top"/>
    </xf>
    <xf numFmtId="0" fontId="44" fillId="29" borderId="0" xfId="0" applyFont="1" applyFill="1" applyAlignment="1">
      <alignment horizontal="center" vertical="top"/>
    </xf>
    <xf numFmtId="0" fontId="44" fillId="30" borderId="0" xfId="0" applyFont="1" applyFill="1" applyAlignment="1">
      <alignment horizontal="left" vertical="top"/>
    </xf>
    <xf numFmtId="0" fontId="44" fillId="30" borderId="0" xfId="0" applyFont="1" applyFill="1" applyAlignment="1">
      <alignment horizontal="center" vertical="top" wrapText="1"/>
    </xf>
    <xf numFmtId="0" fontId="43" fillId="30" borderId="0" xfId="0" applyFont="1" applyFill="1" applyAlignment="1">
      <alignment horizontal="left" vertical="top" wrapText="1"/>
    </xf>
    <xf numFmtId="1" fontId="44" fillId="29" borderId="38" xfId="0" applyFont="1" applyNumberFormat="1" applyFill="1" applyBorder="1" applyAlignment="1">
      <alignment horizontal="center" vertical="top"/>
    </xf>
    <xf numFmtId="1" fontId="44" fillId="29" borderId="34" xfId="0" applyFont="1" applyNumberFormat="1" applyFill="1" applyBorder="1" applyAlignment="1">
      <alignment horizontal="center" vertical="top"/>
    </xf>
    <xf numFmtId="3" fontId="44" fillId="29" borderId="34" xfId="0" applyFont="1" applyNumberFormat="1" applyFill="1" applyBorder="1" applyAlignment="1">
      <alignment horizontal="center" vertical="top"/>
    </xf>
    <xf numFmtId="0" fontId="43" fillId="29" borderId="15" xfId="0" applyFont="1" applyFill="1" applyBorder="1" applyAlignment="1">
      <alignment horizontal="center" vertical="top" wrapText="1"/>
    </xf>
    <xf numFmtId="1" fontId="44" fillId="12" borderId="0" xfId="0" applyFont="1" applyNumberFormat="1" applyFill="1" applyAlignment="1">
      <alignment horizontal="center" vertical="top"/>
    </xf>
    <xf numFmtId="1" fontId="43" fillId="12" borderId="0" xfId="0" applyFont="1" applyNumberFormat="1" applyFill="1" applyAlignment="1">
      <alignment horizontal="center" vertical="top"/>
    </xf>
    <xf numFmtId="1" fontId="45" fillId="0" borderId="0" xfId="0" applyFont="1" applyNumberFormat="1" applyAlignment="1">
      <alignment horizontal="center" vertical="top"/>
    </xf>
    <xf numFmtId="0" fontId="46" fillId="26" borderId="0" xfId="0" applyFont="1" applyFill="1" applyAlignment="1">
      <alignment vertical="top"/>
    </xf>
    <xf numFmtId="0" fontId="44" fillId="13" borderId="33" xfId="0" applyFont="1" applyFill="1" applyBorder="1" applyAlignment="1">
      <alignment horizontal="center" vertical="top"/>
    </xf>
    <xf numFmtId="0" fontId="43" fillId="13" borderId="33" xfId="0" applyFont="1" applyFill="1" applyBorder="1" applyAlignment="1">
      <alignment horizontal="center" vertical="top"/>
    </xf>
    <xf numFmtId="0" fontId="43" fillId="29" borderId="0" xfId="0" applyFont="1" applyFill="1" applyAlignment="1">
      <alignment horizontal="center" vertical="top" wrapText="1"/>
    </xf>
    <xf numFmtId="0" fontId="44" fillId="12" borderId="0" xfId="0" applyFont="1" applyFill="1" applyAlignment="1">
      <alignment horizontal="center" vertical="top"/>
    </xf>
    <xf numFmtId="0" fontId="16" fillId="0" borderId="0" xfId="0" applyFont="1" applyAlignment="1">
      <alignment horizontal="left" vertical="top" wrapText="1"/>
    </xf>
    <xf numFmtId="1" fontId="44" fillId="16" borderId="0" xfId="0" applyFont="1" applyNumberFormat="1" applyFill="1" applyAlignment="1">
      <alignment horizontal="center" vertical="top"/>
    </xf>
    <xf numFmtId="3" fontId="44" fillId="16" borderId="0" xfId="0" applyFont="1" applyNumberFormat="1" applyFill="1" applyAlignment="1">
      <alignment horizontal="center" vertical="top"/>
    </xf>
    <xf numFmtId="0" fontId="44" fillId="0" borderId="0" xfId="0" applyFont="1" applyAlignment="1">
      <alignment horizontal="center" vertical="top"/>
    </xf>
    <xf numFmtId="0" fontId="43" fillId="16" borderId="0" xfId="0" applyFont="1" applyFill="1" applyAlignment="1">
      <alignment horizontal="left" vertical="top" wrapText="1"/>
    </xf>
    <xf numFmtId="0" fontId="43" fillId="16" borderId="0" xfId="0" applyFont="1" applyFill="1" applyAlignment="1">
      <alignment horizontal="center" vertical="top"/>
    </xf>
    <xf numFmtId="0" fontId="44" fillId="16" borderId="0" xfId="0" applyFont="1" applyFill="1" applyAlignment="1">
      <alignment horizontal="center" vertical="top"/>
    </xf>
    <xf numFmtId="0" fontId="47" fillId="16" borderId="0" xfId="0" applyFont="1" applyFill="1" applyAlignment="1">
      <alignment horizontal="left" vertical="top" wrapText="1"/>
    </xf>
    <xf numFmtId="1" fontId="45" fillId="0" borderId="48" xfId="0" applyFont="1" applyNumberFormat="1" applyBorder="1" applyAlignment="1">
      <alignment vertical="top"/>
    </xf>
    <xf numFmtId="1" fontId="45" fillId="0" borderId="48" xfId="0" applyFont="1" applyNumberFormat="1" applyBorder="1" applyAlignment="1">
      <alignment horizontal="right" vertical="top"/>
    </xf>
    <xf numFmtId="0" fontId="46"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Font="1" applyNumberFormat="1" applyBorder="1"/>
    <xf numFmtId="3" fontId="1" fillId="0" borderId="15" xfId="0" applyFont="1" applyNumberFormat="1" applyBorder="1"/>
    <xf numFmtId="1" fontId="45" fillId="0" borderId="0" xfId="0" applyFont="1" applyNumberFormat="1" applyAlignment="1">
      <alignment vertical="top"/>
    </xf>
    <xf numFmtId="1" fontId="45" fillId="0" borderId="0" xfId="0" applyFont="1" applyNumberFormat="1" applyAlignment="1">
      <alignment horizontal="right" vertical="top"/>
    </xf>
    <xf numFmtId="0" fontId="46" fillId="26" borderId="3" xfId="0" applyFont="1" applyFill="1" applyBorder="1" applyAlignment="1">
      <alignment vertical="top"/>
    </xf>
    <xf numFmtId="1" fontId="48" fillId="0" borderId="0" xfId="0" applyFont="1" applyNumberFormat="1"/>
    <xf numFmtId="1" fontId="43" fillId="16" borderId="0" xfId="0" applyFont="1" applyNumberFormat="1" applyFill="1" applyAlignment="1">
      <alignment horizontal="center"/>
    </xf>
    <xf numFmtId="0" fontId="44" fillId="26" borderId="0" xfId="0" applyFont="1" applyFill="1" applyAlignment="1">
      <alignment horizontal="center" vertical="center"/>
    </xf>
    <xf numFmtId="0" fontId="43" fillId="26" borderId="0" xfId="0" applyFont="1" applyFill="1" applyAlignment="1">
      <alignment horizontal="left" vertical="center" wrapText="1"/>
    </xf>
    <xf numFmtId="1" fontId="44" fillId="6" borderId="0" xfId="0" applyFont="1" applyNumberFormat="1" applyFill="1" applyAlignment="1">
      <alignment horizontal="center" vertical="top"/>
    </xf>
    <xf numFmtId="0" fontId="43" fillId="6" borderId="0" xfId="0" applyFont="1" applyFill="1" applyAlignment="1">
      <alignment horizontal="center" vertical="top"/>
    </xf>
    <xf numFmtId="0" fontId="48" fillId="0" borderId="0" xfId="0" applyFont="1"/>
    <xf numFmtId="0" fontId="2" fillId="13"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2" fillId="31"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8" fillId="0" borderId="0" xfId="0" applyFont="1" applyNumberFormat="1"/>
    <xf numFmtId="2" fontId="48" fillId="0" borderId="0" xfId="0" applyFont="1" applyNumberFormat="1"/>
    <xf numFmtId="0" fontId="49" fillId="0" borderId="0" xfId="0" applyFont="1"/>
    <xf numFmtId="1" fontId="45" fillId="0" borderId="49" xfId="0" applyFont="1" applyNumberFormat="1" applyBorder="1" applyAlignment="1">
      <alignment horizontal="center" vertical="top"/>
    </xf>
    <xf numFmtId="1" fontId="45" fillId="0" borderId="38" xfId="0" applyFont="1" applyNumberFormat="1" applyBorder="1" applyAlignment="1">
      <alignment horizontal="center" vertical="top"/>
    </xf>
    <xf numFmtId="1" fontId="45" fillId="0" borderId="34" xfId="0" applyFont="1" applyNumberFormat="1" applyBorder="1" applyAlignment="1">
      <alignment horizontal="center" vertical="top"/>
    </xf>
    <xf numFmtId="1" fontId="45" fillId="0" borderId="15" xfId="0" applyFont="1" applyNumberFormat="1" applyBorder="1" applyAlignment="1">
      <alignment horizontal="center" vertical="top"/>
    </xf>
    <xf numFmtId="0" fontId="4" fillId="2" borderId="0" xfId="0" applyFont="1" applyFill="1" applyAlignment="1">
      <alignment horizontal="left" indent="2"/>
    </xf>
    <xf numFmtId="0" fontId="4" fillId="2" borderId="0" xfId="0" applyFont="1" applyFill="1" applyAlignment="1">
      <alignment horizontal="right"/>
    </xf>
    <xf numFmtId="0" fontId="50" fillId="0" borderId="0" xfId="0" applyFont="1" applyAlignment="1">
      <alignment horizontal="left" vertical="top"/>
    </xf>
    <xf numFmtId="0" fontId="13" fillId="0" borderId="0" xfId="0" applyFont="1" applyAlignment="1">
      <alignment horizontal="left"/>
    </xf>
    <xf numFmtId="0" fontId="51" fillId="0" borderId="0" xfId="0" applyFont="1"/>
    <xf numFmtId="0" fontId="13" fillId="32" borderId="0" xfId="0" applyFont="1" applyFill="1"/>
    <xf numFmtId="0" fontId="13" fillId="32" borderId="0" xfId="0" applyFont="1" applyFill="1" applyAlignment="1">
      <alignment horizontal="left"/>
    </xf>
    <xf numFmtId="0" fontId="4" fillId="32" borderId="0" xfId="0" applyFont="1" applyFill="1" applyAlignment="1">
      <alignment horizontal="left" indent="2"/>
    </xf>
    <xf numFmtId="0" fontId="4" fillId="32" borderId="0" xfId="0" applyFont="1" applyFill="1" applyAlignment="1">
      <alignment horizontal="right"/>
    </xf>
    <xf numFmtId="0" fontId="13" fillId="33" borderId="0" xfId="0" applyFont="1" applyFill="1" applyAlignment="1">
      <alignment horizontal="center"/>
    </xf>
    <xf numFmtId="0" fontId="32" fillId="0" borderId="0" xfId="0" applyFont="1"/>
    <xf numFmtId="0" fontId="52" fillId="0" borderId="0" xfId="0" applyFont="1" applyAlignment="1">
      <alignment horizontal="right" vertical="top"/>
    </xf>
    <xf numFmtId="3" fontId="32" fillId="0" borderId="0" xfId="0" applyFont="1" applyNumberFormat="1"/>
    <xf numFmtId="3" fontId="53" fillId="0" borderId="0" xfId="0" applyFont="1" applyNumberFormat="1" applyAlignment="1">
      <alignment horizontal="right" vertical="top"/>
    </xf>
    <xf numFmtId="0" fontId="54" fillId="34" borderId="0" xfId="0" applyFont="1" applyFill="1" applyAlignment="1">
      <alignment horizontal="right"/>
    </xf>
    <xf numFmtId="0" fontId="55" fillId="0" borderId="0" xfId="0" applyFont="1"/>
    <xf numFmtId="0" fontId="44" fillId="0" borderId="0" xfId="0" applyFont="1" applyAlignment="1">
      <alignment horizontal="right"/>
    </xf>
    <xf numFmtId="165" fontId="56" fillId="0" borderId="0" xfId="0" applyFont="1" applyNumberFormat="1" applyAlignment="1">
      <alignment horizontal="right" vertical="top"/>
    </xf>
    <xf numFmtId="165" fontId="54" fillId="34" borderId="0" xfId="0" applyFont="1" applyNumberFormat="1" applyFill="1" applyAlignment="1">
      <alignment horizontal="right"/>
    </xf>
    <xf numFmtId="3" fontId="7" fillId="0" borderId="0" xfId="0" applyFont="1" applyNumberFormat="1"/>
    <xf numFmtId="165" fontId="44" fillId="0" borderId="0" xfId="0" applyFont="1" applyNumberFormat="1" applyAlignment="1">
      <alignment horizontal="right"/>
    </xf>
    <xf numFmtId="3" fontId="44" fillId="0" borderId="0" xfId="0" applyFont="1" applyNumberFormat="1" applyAlignment="1">
      <alignment horizontal="right"/>
    </xf>
    <xf numFmtId="0" fontId="7" fillId="35" borderId="0" xfId="0" applyFont="1" applyFill="1" applyAlignment="1">
      <alignment wrapText="1"/>
    </xf>
    <xf numFmtId="0" fontId="8" fillId="35" borderId="0" xfId="0" applyFont="1" applyFill="1" applyAlignment="1">
      <alignment vertical="top"/>
    </xf>
    <xf numFmtId="0" fontId="7" fillId="35" borderId="0" xfId="0" applyFont="1" applyFill="1" applyAlignment="1">
      <alignment horizontal="right"/>
    </xf>
    <xf numFmtId="0" fontId="7" fillId="35" borderId="0" xfId="0" applyFont="1" applyFill="1"/>
    <xf numFmtId="168" fontId="7" fillId="35" borderId="0" xfId="0" applyFont="1" applyNumberFormat="1" applyFill="1" applyAlignment="1">
      <alignment horizontal="center"/>
    </xf>
    <xf numFmtId="0" fontId="1" fillId="35" borderId="0" xfId="0" applyFont="1" applyFill="1" applyAlignment="1">
      <alignment wrapText="1"/>
    </xf>
    <xf numFmtId="171" fontId="7" fillId="0" borderId="0" xfId="0" applyFont="1" applyNumberFormat="1" applyAlignment="1">
      <alignment horizontal="right"/>
    </xf>
    <xf numFmtId="0" fontId="39" fillId="35" borderId="0" xfId="0" applyFont="1" applyFill="1" applyAlignment="1">
      <alignment horizontal="center" wrapText="1"/>
    </xf>
    <xf numFmtId="0" fontId="7" fillId="35" borderId="0" xfId="0" applyFont="1" applyFill="1" applyAlignment="1">
      <alignment horizontal="center"/>
    </xf>
    <xf numFmtId="1" fontId="7" fillId="0" borderId="0" xfId="0" applyFont="1" applyNumberFormat="1" applyAlignment="1">
      <alignment horizontal="right"/>
    </xf>
    <xf numFmtId="0" fontId="8" fillId="0" borderId="0" xfId="0" applyFont="1" applyAlignment="1">
      <alignment vertical="top"/>
    </xf>
    <xf numFmtId="0" fontId="7" fillId="36" borderId="0" xfId="0" applyFont="1" applyFill="1" applyAlignment="1">
      <alignment horizontal="center" wrapText="1"/>
    </xf>
    <xf numFmtId="0" fontId="8" fillId="37" borderId="0" xfId="0" applyFont="1" applyFill="1" applyAlignment="1">
      <alignment vertical="top"/>
    </xf>
    <xf numFmtId="0" fontId="32" fillId="37" borderId="0" xfId="0" applyFont="1" applyFill="1"/>
    <xf numFmtId="0" fontId="7" fillId="37" borderId="0" xfId="0" applyFont="1" applyFill="1"/>
    <xf numFmtId="0" fontId="57" fillId="37" borderId="0" xfId="0" applyFont="1" applyFill="1"/>
    <xf numFmtId="0" fontId="7" fillId="37" borderId="0" xfId="0" applyFont="1" applyFill="1" applyAlignment="1">
      <alignment horizontal="right"/>
    </xf>
    <xf numFmtId="0" fontId="1" fillId="37"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37" borderId="0" xfId="0" applyFont="1" applyFill="1" applyAlignment="1">
      <alignment vertical="top" wrapText="1"/>
    </xf>
    <xf numFmtId="0" fontId="8" fillId="35" borderId="0" xfId="0" applyFont="1" applyFill="1" applyAlignment="1">
      <alignment wrapText="1"/>
    </xf>
    <xf numFmtId="0" fontId="57" fillId="0" borderId="0" xfId="0" applyFont="1"/>
    <xf numFmtId="1" fontId="8" fillId="0" borderId="0" xfId="0" applyFont="1" applyNumberFormat="1" applyAlignment="1">
      <alignment vertical="top"/>
    </xf>
    <xf numFmtId="0" fontId="7" fillId="0" borderId="0" xfId="0" applyFont="1" applyAlignment="1">
      <alignment horizontal="right"/>
    </xf>
    <xf numFmtId="0" fontId="32" fillId="0" borderId="0" xfId="0" applyFont="1" applyAlignment="1">
      <alignment horizontal="right"/>
    </xf>
    <xf numFmtId="0" fontId="1" fillId="11" borderId="0" xfId="0" applyFont="1" applyFill="1" applyAlignment="1">
      <alignment wrapText="1"/>
    </xf>
    <xf numFmtId="0" fontId="8" fillId="11" borderId="0" xfId="0" applyFont="1" applyFill="1" applyAlignment="1">
      <alignment vertical="top"/>
    </xf>
    <xf numFmtId="0" fontId="8" fillId="11" borderId="0" xfId="0" applyFont="1" applyFill="1" applyAlignment="1">
      <alignment vertical="top" wrapText="1"/>
    </xf>
    <xf numFmtId="0" fontId="7" fillId="38" borderId="0" xfId="0" applyFont="1" applyFill="1" applyAlignment="1">
      <alignment wrapText="1"/>
    </xf>
    <xf numFmtId="0" fontId="7" fillId="39" borderId="0" xfId="0" applyFont="1" applyFill="1" applyAlignment="1">
      <alignment horizontal="center" wrapText="1"/>
    </xf>
    <xf numFmtId="0" fontId="32" fillId="11" borderId="0" xfId="0" applyFont="1" applyFill="1" applyAlignment="1">
      <alignment horizontal="right"/>
    </xf>
    <xf numFmtId="0" fontId="7" fillId="11" borderId="0" xfId="0" applyFont="1" applyFill="1" applyAlignment="1">
      <alignment horizontal="right"/>
    </xf>
    <xf numFmtId="0" fontId="54" fillId="0" borderId="0" xfId="0" applyFont="1"/>
    <xf numFmtId="171" fontId="52" fillId="0" borderId="0" xfId="0" applyFont="1" applyNumberFormat="1" applyAlignment="1">
      <alignment horizontal="right" vertical="top"/>
    </xf>
    <xf numFmtId="1" fontId="7" fillId="0" borderId="0" xfId="0" applyFont="1" applyNumberFormat="1"/>
    <xf numFmtId="0" fontId="7" fillId="0" borderId="0" xfId="0" applyFont="1" applyAlignment="1">
      <alignment horizontal="center" wrapText="1"/>
    </xf>
    <xf numFmtId="0" fontId="7" fillId="40" borderId="0" xfId="0" applyFont="1" applyFill="1" applyAlignment="1">
      <alignment horizontal="center" wrapText="1"/>
    </xf>
    <xf numFmtId="0" fontId="1" fillId="11" borderId="0" xfId="0" applyFont="1" applyFill="1" applyAlignment="1">
      <alignment horizontal="center" wrapText="1"/>
    </xf>
    <xf numFmtId="0" fontId="7" fillId="41" borderId="0" xfId="0" applyFont="1" applyFill="1" applyAlignment="1">
      <alignment horizontal="center" wrapText="1"/>
    </xf>
    <xf numFmtId="0" fontId="32" fillId="42" borderId="0" xfId="0" applyFont="1" applyFill="1" applyAlignment="1">
      <alignment wrapText="1"/>
    </xf>
    <xf numFmtId="0" fontId="1" fillId="42" borderId="0" xfId="0" applyFont="1" applyFill="1"/>
    <xf numFmtId="2" fontId="7" fillId="0" borderId="0" xfId="0" applyFont="1" applyNumberFormat="1"/>
    <xf numFmtId="0" fontId="7" fillId="0" borderId="0" xfId="0" applyFont="1" applyAlignment="1">
      <alignment horizontal="center"/>
    </xf>
    <xf numFmtId="2" fontId="7" fillId="0" borderId="0" xfId="0" applyFont="1" applyNumberFormat="1" applyAlignment="1">
      <alignment horizontal="center"/>
    </xf>
    <xf numFmtId="0" fontId="39"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39" fillId="0" borderId="0" xfId="0" applyFont="1" applyAlignment="1">
      <alignment horizontal="center" wrapText="1"/>
    </xf>
    <xf numFmtId="0" fontId="7" fillId="14" borderId="0" xfId="0" applyFont="1" applyFill="1"/>
    <xf numFmtId="0" fontId="24" fillId="13" borderId="1" xfId="0" applyFont="1" applyFill="1" applyBorder="1" applyAlignment="1">
      <alignment horizontal="left" indent="2"/>
    </xf>
    <xf numFmtId="0" fontId="58" fillId="0" borderId="0" xfId="0" applyFont="1"/>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 Id="rId40" Type="http://schemas.microsoft.com/office/2017/10/relationships/person" Target="persons/person.xml"/><Relationship Id="rId2000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marker>
            <c:symbol val="none"/>
          </c:marker>
          <c:val>
            <c:numRef>
              <c:f>'Supply Side IRA'!$S$12:$AH$12</c:f>
              <c:numCache>
                <c:formatCode>0.0</c:formatCode>
                <c:ptCount val="16"/>
                <c:pt idx="0">
                  <c:v>4.0506371546650453</c:v>
                </c:pt>
                <c:pt idx="1">
                  <c:v>6.7510619244417409</c:v>
                </c:pt>
                <c:pt idx="2">
                  <c:v>25.428999915397224</c:v>
                </c:pt>
                <c:pt idx="3">
                  <c:v>38.481052969317929</c:v>
                </c:pt>
                <c:pt idx="4">
                  <c:v>51.308070625757232</c:v>
                </c:pt>
                <c:pt idx="5">
                  <c:v>56.236345830599703</c:v>
                </c:pt>
                <c:pt idx="6">
                  <c:v>63.685017487233758</c:v>
                </c:pt>
                <c:pt idx="7">
                  <c:v>69.310902424268548</c:v>
                </c:pt>
                <c:pt idx="8">
                  <c:v>64.357873325703125</c:v>
                </c:pt>
                <c:pt idx="9">
                  <c:v>57.18149450002155</c:v>
                </c:pt>
                <c:pt idx="10">
                  <c:v>59.094295378613374</c:v>
                </c:pt>
                <c:pt idx="11">
                  <c:v>70.233547553942245</c:v>
                </c:pt>
                <c:pt idx="12">
                  <c:v>81.462813888263668</c:v>
                </c:pt>
                <c:pt idx="13">
                  <c:v>86.188557235372897</c:v>
                </c:pt>
                <c:pt idx="14">
                  <c:v>105.31656602129117</c:v>
                </c:pt>
                <c:pt idx="15">
                  <c:v>120.73149074876648</c:v>
                </c:pt>
              </c:numCache>
            </c:numRef>
          </c:val>
          <c:smooth val="0"/>
          <c:extLst>
            <c:ext xmlns:c16="http://schemas.microsoft.com/office/drawing/2014/chart" uri="{C3380CC4-5D6E-409C-BE32-E72D297353CC}">
              <c16:uniqueId val="{00000003-B859-431C-B6BE-C2953939C774}"/>
            </c:ext>
          </c:extLst>
        </c:ser>
        <c:ser>
          <c:idx val="0"/>
          <c:order val="1"/>
          <c:spPr>
            <a:ln w="28575" cap="rnd">
              <a:solidFill>
                <a:schemeClr val="accent1"/>
              </a:solidFill>
              <a:round/>
            </a:ln>
            <a:effectLst/>
          </c:spPr>
          <c:marker>
            <c:symbol val="none"/>
          </c:marker>
          <c:val>
            <c:numRef>
              <c:f>'Supply Side IRA'!$S$15:$AN$15</c:f>
              <c:numCache>
                <c:formatCode>0.0</c:formatCode>
                <c:ptCount val="22"/>
              </c:numCache>
            </c:numRef>
          </c:val>
          <c:smooth val="0"/>
          <c:extLst>
            <c:ext xmlns:c16="http://schemas.microsoft.com/office/drawing/2014/chart" uri="{C3380CC4-5D6E-409C-BE32-E72D297353CC}">
              <c16:uniqueId val="{00000002-B859-431C-B6BE-C2953939C774}"/>
            </c:ext>
          </c:extLst>
        </c:ser>
        <c:dLbls>
          <c:showLegendKey val="0"/>
          <c:showVal val="0"/>
          <c:showCatName val="0"/>
          <c:showSerName val="0"/>
          <c:showPercent val="0"/>
          <c:showBubbleSize val="0"/>
        </c:dLbls>
        <c:smooth val="0"/>
        <c:axId val="549930015"/>
        <c:axId val="373845503"/>
      </c:lineChart>
      <c:catAx>
        <c:axId val="5499300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45503"/>
        <c:crosses val="autoZero"/>
        <c:auto val="1"/>
        <c:lblAlgn val="ctr"/>
        <c:lblOffset val="100"/>
        <c:noMultiLvlLbl val="0"/>
      </c:catAx>
      <c:valAx>
        <c:axId val="37384550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30015"/>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'Supply Side IRA'!$T$16:$AG$16</c:f>
              <c:numCache>
                <c:formatCode>0.0</c:formatCode>
                <c:ptCount val="14"/>
                <c:pt idx="0">
                  <c:v>6.7510619244417409</c:v>
                </c:pt>
                <c:pt idx="1">
                  <c:v>25.428999915397224</c:v>
                </c:pt>
                <c:pt idx="2">
                  <c:v>38.481052969317929</c:v>
                </c:pt>
                <c:pt idx="3">
                  <c:v>51.308070625757232</c:v>
                </c:pt>
                <c:pt idx="4">
                  <c:v>56.236345830599703</c:v>
                </c:pt>
                <c:pt idx="5">
                  <c:v>63.685017487233758</c:v>
                </c:pt>
                <c:pt idx="6">
                  <c:v>69.310902424268548</c:v>
                </c:pt>
                <c:pt idx="7">
                  <c:v>64.357873325703125</c:v>
                </c:pt>
                <c:pt idx="8">
                  <c:v>57.18149450002155</c:v>
                </c:pt>
                <c:pt idx="9">
                  <c:v>59.094295378613374</c:v>
                </c:pt>
                <c:pt idx="10">
                  <c:v>70.233547553942245</c:v>
                </c:pt>
                <c:pt idx="11">
                  <c:v>81.462813888263668</c:v>
                </c:pt>
                <c:pt idx="12">
                  <c:v>86.188557235372897</c:v>
                </c:pt>
                <c:pt idx="13">
                  <c:v>105.31656602129117</c:v>
                </c:pt>
              </c:numCache>
            </c:numRef>
          </c:val>
          <c:smooth val="0"/>
          <c:extLst>
            <c:ext xmlns:c16="http://schemas.microsoft.com/office/drawing/2014/chart" uri="{C3380CC4-5D6E-409C-BE32-E72D297353CC}">
              <c16:uniqueId val="{00000000-A02C-435A-98E2-0549EC4F1D6D}"/>
            </c:ext>
          </c:extLst>
        </c:ser>
        <c:ser>
          <c:idx val="1"/>
          <c:order val="1"/>
          <c:spPr>
            <a:ln w="28575" cap="rnd">
              <a:solidFill>
                <a:schemeClr val="accent2"/>
              </a:solidFill>
              <a:round/>
            </a:ln>
            <a:effectLst/>
          </c:spPr>
          <c:marker>
            <c:symbol val="none"/>
          </c:marker>
          <c:val>
            <c:numRef>
              <c:f>'Supply Side IRA'!$T$17:$AG$17</c:f>
              <c:numCache>
                <c:formatCode>General</c:formatCode>
                <c:ptCount val="14"/>
              </c:numCache>
            </c:numRef>
          </c:val>
          <c:smooth val="0"/>
          <c:extLst>
            <c:ext xmlns:c16="http://schemas.microsoft.com/office/drawing/2014/chart" uri="{C3380CC4-5D6E-409C-BE32-E72D297353CC}">
              <c16:uniqueId val="{00000001-A02C-435A-98E2-0549EC4F1D6D}"/>
            </c:ext>
          </c:extLst>
        </c:ser>
        <c:dLbls>
          <c:showLegendKey val="0"/>
          <c:showVal val="0"/>
          <c:showCatName val="0"/>
          <c:showSerName val="0"/>
          <c:showPercent val="0"/>
          <c:showBubbleSize val="0"/>
        </c:dLbls>
        <c:smooth val="0"/>
        <c:axId val="379482351"/>
        <c:axId val="554282767"/>
      </c:lineChart>
      <c:catAx>
        <c:axId val="3794823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282767"/>
        <c:crosses val="autoZero"/>
        <c:auto val="1"/>
        <c:lblAlgn val="ctr"/>
        <c:lblOffset val="100"/>
        <c:noMultiLvlLbl val="0"/>
      </c:catAx>
      <c:valAx>
        <c:axId val="55428276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482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0.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 Id="rId1" Type="http://schemas.openxmlformats.org/officeDocument/2006/relationships/chart" Target="../charts/chart1.xml"/></Relationships>
</file>

<file path=xl/drawings/_rels/drawing24.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s>
</file>

<file path=xl/drawings/_rels/drawing25.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8.xml.rels><?xml version="1.0" encoding="UTF-8" standalone="yes"?><Relationships xmlns="http://schemas.openxmlformats.org/package/2006/relationships"></Relationships>
</file>

<file path=xl/drawings/_rels/drawing32.xml.rels><?xml version="1.0" encoding="UTF-8" standalone="yes"?><Relationships xmlns="http://schemas.openxmlformats.org/package/2006/relationships"></Relationships>
</file>

<file path=xl/drawings/_rels/drawing33.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13</xdr:col>
      <xdr:colOff>742950</xdr:colOff>
      <xdr:row>0</xdr:row>
      <xdr:rowOff>114300</xdr:rowOff>
    </xdr:from>
    <xdr:to>
      <xdr:col>15</xdr:col>
      <xdr:colOff>539750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539750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539750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539750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539750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539750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539750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539750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539750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539750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539750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539750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701675</xdr:colOff>
      <xdr:row>0</xdr:row>
      <xdr:rowOff>114300</xdr:rowOff>
    </xdr:from>
    <xdr:to>
      <xdr:col>13</xdr:col>
      <xdr:colOff>542925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701675</xdr:colOff>
      <xdr:row>2</xdr:row>
      <xdr:rowOff>114300</xdr:rowOff>
    </xdr:from>
    <xdr:to>
      <xdr:col>13</xdr:col>
      <xdr:colOff>542925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0</xdr:row>
      <xdr:rowOff>114300</xdr:rowOff>
    </xdr:from>
    <xdr:to>
      <xdr:col>13</xdr:col>
      <xdr:colOff>542925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2</xdr:row>
      <xdr:rowOff>114300</xdr:rowOff>
    </xdr:from>
    <xdr:to>
      <xdr:col>13</xdr:col>
      <xdr:colOff>542925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0</xdr:row>
      <xdr:rowOff>114300</xdr:rowOff>
    </xdr:from>
    <xdr:to>
      <xdr:col>13</xdr:col>
      <xdr:colOff>542925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2</xdr:row>
      <xdr:rowOff>114300</xdr:rowOff>
    </xdr:from>
    <xdr:to>
      <xdr:col>13</xdr:col>
      <xdr:colOff>542925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0</xdr:row>
      <xdr:rowOff>114300</xdr:rowOff>
    </xdr:from>
    <xdr:to>
      <xdr:col>13</xdr:col>
      <xdr:colOff>542925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2</xdr:row>
      <xdr:rowOff>114300</xdr:rowOff>
    </xdr:from>
    <xdr:to>
      <xdr:col>13</xdr:col>
      <xdr:colOff>542925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0</xdr:row>
      <xdr:rowOff>114300</xdr:rowOff>
    </xdr:from>
    <xdr:to>
      <xdr:col>13</xdr:col>
      <xdr:colOff>542925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2</xdr:row>
      <xdr:rowOff>114300</xdr:rowOff>
    </xdr:from>
    <xdr:to>
      <xdr:col>13</xdr:col>
      <xdr:colOff>542925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0</xdr:row>
      <xdr:rowOff>114300</xdr:rowOff>
    </xdr:from>
    <xdr:to>
      <xdr:col>13</xdr:col>
      <xdr:colOff>542925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2</xdr:row>
      <xdr:rowOff>114300</xdr:rowOff>
    </xdr:from>
    <xdr:to>
      <xdr:col>13</xdr:col>
      <xdr:colOff>542925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0</xdr:row>
      <xdr:rowOff>114300</xdr:rowOff>
    </xdr:from>
    <xdr:to>
      <xdr:col>13</xdr:col>
      <xdr:colOff>542925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733425</xdr:colOff>
      <xdr:row>2</xdr:row>
      <xdr:rowOff>114300</xdr:rowOff>
    </xdr:from>
    <xdr:to>
      <xdr:col>13</xdr:col>
      <xdr:colOff>542925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8" name="Text Box 1038" hidden="1">
          <a:extLst>
            <a:ext uri="{FF2B5EF4-FFF2-40B4-BE49-F238E27FC236}">
              <a16:creationId xmlns:a16="http://schemas.microsoft.com/office/drawing/2014/main" id="{188F2022-0CE8-E518-D776-3FB95A4B8CAE}"/>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9" name="Text Box 3" hidden="1">
          <a:extLst>
            <a:ext uri="{FF2B5EF4-FFF2-40B4-BE49-F238E27FC236}">
              <a16:creationId xmlns:a16="http://schemas.microsoft.com/office/drawing/2014/main" id="{0A3C7845-E7BC-22C2-D747-C570D983E1CE}"/>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 name="Text Box 3" hidden="1">
          <a:extLst>
            <a:ext uri="{FF2B5EF4-FFF2-40B4-BE49-F238E27FC236}">
              <a16:creationId xmlns:a16="http://schemas.microsoft.com/office/drawing/2014/main" id="{2C7F2ED8-0E1D-8C3A-F935-C4908198D9A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1" name="Text Box 3" hidden="1">
          <a:extLst>
            <a:ext uri="{FF2B5EF4-FFF2-40B4-BE49-F238E27FC236}">
              <a16:creationId xmlns:a16="http://schemas.microsoft.com/office/drawing/2014/main" id="{6C4409BE-E6B8-0EB6-3C4A-D3E8BAE818B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6596" name="Text Box 4" hidden="1">
          <a:extLst>
            <a:ext uri="{FF2B5EF4-FFF2-40B4-BE49-F238E27FC236}">
              <a16:creationId xmlns:a16="http://schemas.microsoft.com/office/drawing/2014/main" id="{E7675201-16B7-63DD-F4CE-08CF996AD7C5}"/>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6595" name="Text Box 3" hidden="1">
          <a:extLst>
            <a:ext uri="{FF2B5EF4-FFF2-40B4-BE49-F238E27FC236}">
              <a16:creationId xmlns:a16="http://schemas.microsoft.com/office/drawing/2014/main" id="{198C5B28-EF1A-B1D3-B99F-F6C2F4CECEDD}"/>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594" name="Text Box 2" hidden="1">
          <a:extLst>
            <a:ext uri="{FF2B5EF4-FFF2-40B4-BE49-F238E27FC236}">
              <a16:creationId xmlns:a16="http://schemas.microsoft.com/office/drawing/2014/main" id="{1D767B8B-EB61-43AA-78FA-4BE53DB1171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76200</xdr:rowOff>
    </xdr:to>
    <xdr:sp macro="" textlink="">
      <xdr:nvSpPr>
        <xdr:cNvPr id="366593" name="Text Box 1" hidden="1">
          <a:extLst>
            <a:ext uri="{FF2B5EF4-FFF2-40B4-BE49-F238E27FC236}">
              <a16:creationId xmlns:a16="http://schemas.microsoft.com/office/drawing/2014/main" id="{8DDB04C9-B491-5A70-49A5-E10380B0E439}"/>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6600" name="Text Box 1032" hidden="1">
          <a:extLst>
            <a:ext uri="{FF2B5EF4-FFF2-40B4-BE49-F238E27FC236}">
              <a16:creationId xmlns:a16="http://schemas.microsoft.com/office/drawing/2014/main" id="{8275E840-0006-5A2F-82ED-5CA75CB4728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6599" name="Text Box 1031" hidden="1">
          <a:extLst>
            <a:ext uri="{FF2B5EF4-FFF2-40B4-BE49-F238E27FC236}">
              <a16:creationId xmlns:a16="http://schemas.microsoft.com/office/drawing/2014/main" id="{A528208D-6284-5EFE-E308-CB88115F6EB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598" name="Text Box 1030" hidden="1">
          <a:extLst>
            <a:ext uri="{FF2B5EF4-FFF2-40B4-BE49-F238E27FC236}">
              <a16:creationId xmlns:a16="http://schemas.microsoft.com/office/drawing/2014/main" id="{2B434C1C-FDCD-ABD8-FF8A-A942C742795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76200</xdr:rowOff>
    </xdr:to>
    <xdr:sp macro="" textlink="">
      <xdr:nvSpPr>
        <xdr:cNvPr id="366597" name="Text Box 1029" hidden="1">
          <a:extLst>
            <a:ext uri="{FF2B5EF4-FFF2-40B4-BE49-F238E27FC236}">
              <a16:creationId xmlns:a16="http://schemas.microsoft.com/office/drawing/2014/main" id="{25B05381-C6DE-EF4B-6212-340C91EA9FB7}"/>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6604" name="Text Box 1036" hidden="1">
          <a:extLst>
            <a:ext uri="{FF2B5EF4-FFF2-40B4-BE49-F238E27FC236}">
              <a16:creationId xmlns:a16="http://schemas.microsoft.com/office/drawing/2014/main" id="{967AC289-31FE-4790-89B9-77166A066040}"/>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6603" name="Text Box 1035" hidden="1">
          <a:extLst>
            <a:ext uri="{FF2B5EF4-FFF2-40B4-BE49-F238E27FC236}">
              <a16:creationId xmlns:a16="http://schemas.microsoft.com/office/drawing/2014/main" id="{2326546A-F496-D889-35D7-37407EC5435E}"/>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602" name="Text Box 1034" hidden="1">
          <a:extLst>
            <a:ext uri="{FF2B5EF4-FFF2-40B4-BE49-F238E27FC236}">
              <a16:creationId xmlns:a16="http://schemas.microsoft.com/office/drawing/2014/main" id="{6F48FBF4-B8D6-6A63-67F5-7BD64E788F16}"/>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76200</xdr:rowOff>
    </xdr:to>
    <xdr:sp macro="" textlink="">
      <xdr:nvSpPr>
        <xdr:cNvPr id="366601" name="Text Box 1033" hidden="1">
          <a:extLst>
            <a:ext uri="{FF2B5EF4-FFF2-40B4-BE49-F238E27FC236}">
              <a16:creationId xmlns:a16="http://schemas.microsoft.com/office/drawing/2014/main" id="{FABB22FA-88CA-70CD-40B2-AA81C368CF28}"/>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6608" name="Text Box 1040" hidden="1">
          <a:extLst>
            <a:ext uri="{FF2B5EF4-FFF2-40B4-BE49-F238E27FC236}">
              <a16:creationId xmlns:a16="http://schemas.microsoft.com/office/drawing/2014/main" id="{1E81D015-01C7-91A2-C9B3-AF55AE08A60C}"/>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6607" name="Text Box 1039" hidden="1">
          <a:extLst>
            <a:ext uri="{FF2B5EF4-FFF2-40B4-BE49-F238E27FC236}">
              <a16:creationId xmlns:a16="http://schemas.microsoft.com/office/drawing/2014/main" id="{F58B6BC0-3213-3BF6-30D1-67576F41184E}"/>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606" name="Text Box 1038" hidden="1">
          <a:extLst>
            <a:ext uri="{FF2B5EF4-FFF2-40B4-BE49-F238E27FC236}">
              <a16:creationId xmlns:a16="http://schemas.microsoft.com/office/drawing/2014/main" id="{BE4DA6E8-9857-FEDB-2298-1C793B627B23}"/>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76200</xdr:rowOff>
    </xdr:to>
    <xdr:sp macro="" textlink="">
      <xdr:nvSpPr>
        <xdr:cNvPr id="366605" name="Text Box 1037" hidden="1">
          <a:extLst>
            <a:ext uri="{FF2B5EF4-FFF2-40B4-BE49-F238E27FC236}">
              <a16:creationId xmlns:a16="http://schemas.microsoft.com/office/drawing/2014/main" id="{5572ABB5-5873-07AA-5412-CBA1E613D9F0}"/>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19" name="Text Box 3" hidden="1">
          <a:extLst>
            <a:ext uri="{FF2B5EF4-FFF2-40B4-BE49-F238E27FC236}">
              <a16:creationId xmlns:a16="http://schemas.microsoft.com/office/drawing/2014/main" id="{494D44C9-09D3-94DA-9D63-D1E6E7BC3F8C}"/>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18" name="Text Box 2" hidden="1">
          <a:extLst>
            <a:ext uri="{FF2B5EF4-FFF2-40B4-BE49-F238E27FC236}">
              <a16:creationId xmlns:a16="http://schemas.microsoft.com/office/drawing/2014/main" id="{EB50F576-DD5F-E050-92CA-59A38219AF19}"/>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17" name="Text Box 1" hidden="1">
          <a:extLst>
            <a:ext uri="{FF2B5EF4-FFF2-40B4-BE49-F238E27FC236}">
              <a16:creationId xmlns:a16="http://schemas.microsoft.com/office/drawing/2014/main" id="{678C5C1E-2FAC-65F7-8BA6-2519E8E17411}"/>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22" name="Text Box 6" hidden="1">
          <a:extLst>
            <a:ext uri="{FF2B5EF4-FFF2-40B4-BE49-F238E27FC236}">
              <a16:creationId xmlns:a16="http://schemas.microsoft.com/office/drawing/2014/main" id="{BF592FAB-0639-5E9F-67E4-87AAAC8C6830}"/>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21" name="Text Box 5" hidden="1">
          <a:extLst>
            <a:ext uri="{FF2B5EF4-FFF2-40B4-BE49-F238E27FC236}">
              <a16:creationId xmlns:a16="http://schemas.microsoft.com/office/drawing/2014/main" id="{15034452-50A3-59FA-6FEE-397A0F4BBAD5}"/>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0" name="Text Box 4" hidden="1">
          <a:extLst>
            <a:ext uri="{FF2B5EF4-FFF2-40B4-BE49-F238E27FC236}">
              <a16:creationId xmlns:a16="http://schemas.microsoft.com/office/drawing/2014/main" id="{51EF1B46-C1CD-8994-0449-A18F984A1368}"/>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25" name="Text Box 9" hidden="1">
          <a:extLst>
            <a:ext uri="{FF2B5EF4-FFF2-40B4-BE49-F238E27FC236}">
              <a16:creationId xmlns:a16="http://schemas.microsoft.com/office/drawing/2014/main" id="{70773BFD-4749-0BE7-9799-1F408633A7B3}"/>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24" name="Text Box 8" hidden="1">
          <a:extLst>
            <a:ext uri="{FF2B5EF4-FFF2-40B4-BE49-F238E27FC236}">
              <a16:creationId xmlns:a16="http://schemas.microsoft.com/office/drawing/2014/main" id="{7FDC36FE-12FD-73DB-7754-73D93EB16F9D}"/>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3" name="Text Box 7" hidden="1">
          <a:extLst>
            <a:ext uri="{FF2B5EF4-FFF2-40B4-BE49-F238E27FC236}">
              <a16:creationId xmlns:a16="http://schemas.microsoft.com/office/drawing/2014/main" id="{5B19A1C4-552D-BC01-9904-1775F7D1066D}"/>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28" name="Text Box 12" hidden="1">
          <a:extLst>
            <a:ext uri="{FF2B5EF4-FFF2-40B4-BE49-F238E27FC236}">
              <a16:creationId xmlns:a16="http://schemas.microsoft.com/office/drawing/2014/main" id="{055A8BA8-7F0B-2605-FC73-04348EC3EB18}"/>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27" name="Text Box 11" hidden="1">
          <a:extLst>
            <a:ext uri="{FF2B5EF4-FFF2-40B4-BE49-F238E27FC236}">
              <a16:creationId xmlns:a16="http://schemas.microsoft.com/office/drawing/2014/main" id="{FA28DF2C-773D-6902-91FC-3960EA8DCCB1}"/>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6" name="Text Box 10" hidden="1">
          <a:extLst>
            <a:ext uri="{FF2B5EF4-FFF2-40B4-BE49-F238E27FC236}">
              <a16:creationId xmlns:a16="http://schemas.microsoft.com/office/drawing/2014/main" id="{DFC94494-1BEE-F2E0-1B33-ACC894D9BDAE}"/>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67</xdr:row>
      <xdr:rowOff>160143</xdr:rowOff>
    </xdr:from>
    <xdr:to>
      <xdr:col>5</xdr:col>
      <xdr:colOff>0</xdr:colOff>
      <xdr:row>72</xdr:row>
      <xdr:rowOff>178562</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180865</xdr:rowOff>
    </xdr:from>
    <xdr:to>
      <xdr:col>4</xdr:col>
      <xdr:colOff>800100</xdr:colOff>
      <xdr:row>67</xdr:row>
      <xdr:rowOff>45935</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160143</xdr:rowOff>
    </xdr:from>
    <xdr:to>
      <xdr:col>5</xdr:col>
      <xdr:colOff>0</xdr:colOff>
      <xdr:row>72</xdr:row>
      <xdr:rowOff>178562</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604</xdr:rowOff>
    </xdr:from>
    <xdr:to>
      <xdr:col>20</xdr:col>
      <xdr:colOff>381000</xdr:colOff>
      <xdr:row>106</xdr:row>
      <xdr:rowOff>15899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122142</xdr:rowOff>
    </xdr:from>
    <xdr:to>
      <xdr:col>20</xdr:col>
      <xdr:colOff>381000</xdr:colOff>
      <xdr:row>104</xdr:row>
      <xdr:rowOff>114291</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122142</xdr:rowOff>
    </xdr:from>
    <xdr:to>
      <xdr:col>20</xdr:col>
      <xdr:colOff>381000</xdr:colOff>
      <xdr:row>104</xdr:row>
      <xdr:rowOff>114291</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122142</xdr:rowOff>
    </xdr:from>
    <xdr:to>
      <xdr:col>20</xdr:col>
      <xdr:colOff>381000</xdr:colOff>
      <xdr:row>104</xdr:row>
      <xdr:rowOff>114291</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125478</xdr:rowOff>
    </xdr:from>
    <xdr:to>
      <xdr:col>5</xdr:col>
      <xdr:colOff>0</xdr:colOff>
      <xdr:row>58</xdr:row>
      <xdr:rowOff>163635</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122142</xdr:rowOff>
    </xdr:from>
    <xdr:to>
      <xdr:col>20</xdr:col>
      <xdr:colOff>381000</xdr:colOff>
      <xdr:row>104</xdr:row>
      <xdr:rowOff>114291</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77058</xdr:rowOff>
    </xdr:from>
    <xdr:to>
      <xdr:col>5</xdr:col>
      <xdr:colOff>0</xdr:colOff>
      <xdr:row>59</xdr:row>
      <xdr:rowOff>16016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123959</xdr:rowOff>
    </xdr:from>
    <xdr:to>
      <xdr:col>4</xdr:col>
      <xdr:colOff>800100</xdr:colOff>
      <xdr:row>53</xdr:row>
      <xdr:rowOff>2123</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77058</xdr:rowOff>
    </xdr:from>
    <xdr:to>
      <xdr:col>5</xdr:col>
      <xdr:colOff>0</xdr:colOff>
      <xdr:row>59</xdr:row>
      <xdr:rowOff>16016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6964</xdr:rowOff>
    </xdr:from>
    <xdr:to>
      <xdr:col>20</xdr:col>
      <xdr:colOff>381000</xdr:colOff>
      <xdr:row>105</xdr:row>
      <xdr:rowOff>120674</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46991</xdr:rowOff>
    </xdr:from>
    <xdr:to>
      <xdr:col>5</xdr:col>
      <xdr:colOff>0</xdr:colOff>
      <xdr:row>82</xdr:row>
      <xdr:rowOff>31310</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46356</xdr:rowOff>
    </xdr:from>
    <xdr:to>
      <xdr:col>4</xdr:col>
      <xdr:colOff>800100</xdr:colOff>
      <xdr:row>75</xdr:row>
      <xdr:rowOff>83821</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46991</xdr:rowOff>
    </xdr:from>
    <xdr:to>
      <xdr:col>5</xdr:col>
      <xdr:colOff>0</xdr:colOff>
      <xdr:row>82</xdr:row>
      <xdr:rowOff>31310</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114890</xdr:rowOff>
    </xdr:from>
    <xdr:to>
      <xdr:col>20</xdr:col>
      <xdr:colOff>381000</xdr:colOff>
      <xdr:row>138</xdr:row>
      <xdr:rowOff>83905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46991</xdr:rowOff>
    </xdr:from>
    <xdr:to>
      <xdr:col>5</xdr:col>
      <xdr:colOff>0</xdr:colOff>
      <xdr:row>82</xdr:row>
      <xdr:rowOff>28770</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46991</xdr:rowOff>
    </xdr:from>
    <xdr:to>
      <xdr:col>4</xdr:col>
      <xdr:colOff>800100</xdr:colOff>
      <xdr:row>75</xdr:row>
      <xdr:rowOff>46991</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46991</xdr:rowOff>
    </xdr:from>
    <xdr:to>
      <xdr:col>5</xdr:col>
      <xdr:colOff>0</xdr:colOff>
      <xdr:row>82</xdr:row>
      <xdr:rowOff>28770</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115789</xdr:rowOff>
    </xdr:from>
    <xdr:to>
      <xdr:col>20</xdr:col>
      <xdr:colOff>381000</xdr:colOff>
      <xdr:row>138</xdr:row>
      <xdr:rowOff>68665</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41</xdr:row>
      <xdr:rowOff>283698</xdr:rowOff>
    </xdr:from>
    <xdr:to>
      <xdr:col>21</xdr:col>
      <xdr:colOff>438150</xdr:colOff>
      <xdr:row>45</xdr:row>
      <xdr:rowOff>82906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63972</xdr:rowOff>
    </xdr:from>
    <xdr:to>
      <xdr:col>13</xdr:col>
      <xdr:colOff>19050</xdr:colOff>
      <xdr:row>103</xdr:row>
      <xdr:rowOff>31252</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54466</xdr:rowOff>
    </xdr:from>
    <xdr:to>
      <xdr:col>5</xdr:col>
      <xdr:colOff>0</xdr:colOff>
      <xdr:row>69</xdr:row>
      <xdr:rowOff>152286</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54466</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54466</xdr:rowOff>
    </xdr:from>
    <xdr:to>
      <xdr:col>5</xdr:col>
      <xdr:colOff>0</xdr:colOff>
      <xdr:row>69</xdr:row>
      <xdr:rowOff>152286</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29</xdr:row>
      <xdr:rowOff>168632</xdr:rowOff>
    </xdr:from>
    <xdr:to>
      <xdr:col>21</xdr:col>
      <xdr:colOff>438150</xdr:colOff>
      <xdr:row>32</xdr:row>
      <xdr:rowOff>159595</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29342</xdr:rowOff>
    </xdr:from>
    <xdr:to>
      <xdr:col>13</xdr:col>
      <xdr:colOff>19050</xdr:colOff>
      <xdr:row>89</xdr:row>
      <xdr:rowOff>29619</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163460</xdr:rowOff>
    </xdr:from>
    <xdr:to>
      <xdr:col>21</xdr:col>
      <xdr:colOff>266700</xdr:colOff>
      <xdr:row>114</xdr:row>
      <xdr:rowOff>132664</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143090</xdr:rowOff>
    </xdr:from>
    <xdr:to>
      <xdr:col>21</xdr:col>
      <xdr:colOff>419100</xdr:colOff>
      <xdr:row>32</xdr:row>
      <xdr:rowOff>140545</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162140</xdr:rowOff>
    </xdr:from>
    <xdr:to>
      <xdr:col>21</xdr:col>
      <xdr:colOff>419100</xdr:colOff>
      <xdr:row>32</xdr:row>
      <xdr:rowOff>140545</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123443</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48777</xdr:rowOff>
    </xdr:from>
    <xdr:to>
      <xdr:col>20</xdr:col>
      <xdr:colOff>381000</xdr:colOff>
      <xdr:row>113</xdr:row>
      <xdr:rowOff>64625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162140</xdr:rowOff>
    </xdr:from>
    <xdr:to>
      <xdr:col>21</xdr:col>
      <xdr:colOff>419100</xdr:colOff>
      <xdr:row>32</xdr:row>
      <xdr:rowOff>140545</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27755</xdr:rowOff>
    </xdr:from>
    <xdr:to>
      <xdr:col>13</xdr:col>
      <xdr:colOff>0</xdr:colOff>
      <xdr:row>89</xdr:row>
      <xdr:rowOff>29619</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163460</xdr:rowOff>
    </xdr:from>
    <xdr:to>
      <xdr:col>21</xdr:col>
      <xdr:colOff>266700</xdr:colOff>
      <xdr:row>114</xdr:row>
      <xdr:rowOff>94733</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4</xdr:col>
      <xdr:colOff>800100</xdr:colOff>
      <xdr:row>56</xdr:row>
      <xdr:rowOff>179280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143695</xdr:rowOff>
    </xdr:from>
    <xdr:to>
      <xdr:col>20</xdr:col>
      <xdr:colOff>381000</xdr:colOff>
      <xdr:row>97</xdr:row>
      <xdr:rowOff>10648</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391729</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50255</xdr:rowOff>
    </xdr:from>
    <xdr:to>
      <xdr:col>21</xdr:col>
      <xdr:colOff>266700</xdr:colOff>
      <xdr:row>97</xdr:row>
      <xdr:rowOff>133296</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330254</xdr:rowOff>
    </xdr:from>
    <xdr:to>
      <xdr:col>4</xdr:col>
      <xdr:colOff>133350</xdr:colOff>
      <xdr:row>84</xdr:row>
      <xdr:rowOff>104829</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162121</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4</xdr:col>
      <xdr:colOff>800100</xdr:colOff>
      <xdr:row>56</xdr:row>
      <xdr:rowOff>179280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143695</xdr:rowOff>
    </xdr:from>
    <xdr:to>
      <xdr:col>20</xdr:col>
      <xdr:colOff>381000</xdr:colOff>
      <xdr:row>97</xdr:row>
      <xdr:rowOff>10648</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391729</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50255</xdr:rowOff>
    </xdr:from>
    <xdr:to>
      <xdr:col>21</xdr:col>
      <xdr:colOff>266700</xdr:colOff>
      <xdr:row>97</xdr:row>
      <xdr:rowOff>133296</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330254</xdr:rowOff>
    </xdr:from>
    <xdr:to>
      <xdr:col>4</xdr:col>
      <xdr:colOff>133350</xdr:colOff>
      <xdr:row>84</xdr:row>
      <xdr:rowOff>104829</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162121</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4</xdr:col>
      <xdr:colOff>800100</xdr:colOff>
      <xdr:row>56</xdr:row>
      <xdr:rowOff>179280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143695</xdr:rowOff>
    </xdr:from>
    <xdr:to>
      <xdr:col>20</xdr:col>
      <xdr:colOff>381000</xdr:colOff>
      <xdr:row>97</xdr:row>
      <xdr:rowOff>10648</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391729</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50255</xdr:rowOff>
    </xdr:from>
    <xdr:to>
      <xdr:col>21</xdr:col>
      <xdr:colOff>266700</xdr:colOff>
      <xdr:row>97</xdr:row>
      <xdr:rowOff>133296</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330254</xdr:rowOff>
    </xdr:from>
    <xdr:to>
      <xdr:col>4</xdr:col>
      <xdr:colOff>133350</xdr:colOff>
      <xdr:row>84</xdr:row>
      <xdr:rowOff>104829</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162121</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4</xdr:col>
      <xdr:colOff>800100</xdr:colOff>
      <xdr:row>56</xdr:row>
      <xdr:rowOff>179280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171859</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143695</xdr:rowOff>
    </xdr:from>
    <xdr:to>
      <xdr:col>20</xdr:col>
      <xdr:colOff>381000</xdr:colOff>
      <xdr:row>97</xdr:row>
      <xdr:rowOff>10648</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391729</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50255</xdr:rowOff>
    </xdr:from>
    <xdr:to>
      <xdr:col>21</xdr:col>
      <xdr:colOff>266700</xdr:colOff>
      <xdr:row>97</xdr:row>
      <xdr:rowOff>133296</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330254</xdr:rowOff>
    </xdr:from>
    <xdr:to>
      <xdr:col>4</xdr:col>
      <xdr:colOff>133350</xdr:colOff>
      <xdr:row>84</xdr:row>
      <xdr:rowOff>104829</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162121</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152809</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4</xdr:col>
      <xdr:colOff>800100</xdr:colOff>
      <xdr:row>56</xdr:row>
      <xdr:rowOff>179280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152809</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143695</xdr:rowOff>
    </xdr:from>
    <xdr:to>
      <xdr:col>20</xdr:col>
      <xdr:colOff>381000</xdr:colOff>
      <xdr:row>97</xdr:row>
      <xdr:rowOff>10648</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47849</xdr:rowOff>
    </xdr:from>
    <xdr:to>
      <xdr:col>13</xdr:col>
      <xdr:colOff>0</xdr:colOff>
      <xdr:row>83</xdr:row>
      <xdr:rowOff>371092</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50255</xdr:rowOff>
    </xdr:from>
    <xdr:to>
      <xdr:col>21</xdr:col>
      <xdr:colOff>266700</xdr:colOff>
      <xdr:row>97</xdr:row>
      <xdr:rowOff>133296</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82</xdr:row>
      <xdr:rowOff>330254</xdr:rowOff>
    </xdr:from>
    <xdr:to>
      <xdr:col>4</xdr:col>
      <xdr:colOff>114300</xdr:colOff>
      <xdr:row>84</xdr:row>
      <xdr:rowOff>73079</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97</xdr:row>
      <xdr:rowOff>171396</xdr:rowOff>
    </xdr:from>
    <xdr:to>
      <xdr:col>4</xdr:col>
      <xdr:colOff>114300</xdr:colOff>
      <xdr:row>101</xdr:row>
      <xdr:rowOff>143071</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152809</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4</xdr:col>
      <xdr:colOff>800100</xdr:colOff>
      <xdr:row>56</xdr:row>
      <xdr:rowOff>179280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179280</xdr:rowOff>
    </xdr:from>
    <xdr:to>
      <xdr:col>5</xdr:col>
      <xdr:colOff>0</xdr:colOff>
      <xdr:row>62</xdr:row>
      <xdr:rowOff>152809</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63911</xdr:rowOff>
    </xdr:from>
    <xdr:to>
      <xdr:col>20</xdr:col>
      <xdr:colOff>381000</xdr:colOff>
      <xdr:row>127</xdr:row>
      <xdr:rowOff>65366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47849</xdr:rowOff>
    </xdr:from>
    <xdr:to>
      <xdr:col>13</xdr:col>
      <xdr:colOff>0</xdr:colOff>
      <xdr:row>83</xdr:row>
      <xdr:rowOff>371092</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63911</xdr:rowOff>
    </xdr:from>
    <xdr:to>
      <xdr:col>21</xdr:col>
      <xdr:colOff>266700</xdr:colOff>
      <xdr:row>123</xdr:row>
      <xdr:rowOff>86824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82</xdr:row>
      <xdr:rowOff>330254</xdr:rowOff>
    </xdr:from>
    <xdr:to>
      <xdr:col>4</xdr:col>
      <xdr:colOff>114300</xdr:colOff>
      <xdr:row>84</xdr:row>
      <xdr:rowOff>73079</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63911</xdr:rowOff>
    </xdr:from>
    <xdr:to>
      <xdr:col>4</xdr:col>
      <xdr:colOff>114300</xdr:colOff>
      <xdr:row>121</xdr:row>
      <xdr:rowOff>87234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503238</xdr:rowOff>
    </xdr:from>
    <xdr:to>
      <xdr:col>5</xdr:col>
      <xdr:colOff>0</xdr:colOff>
      <xdr:row>92</xdr:row>
      <xdr:rowOff>174624</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503238</xdr:rowOff>
    </xdr:from>
    <xdr:to>
      <xdr:col>4</xdr:col>
      <xdr:colOff>800100</xdr:colOff>
      <xdr:row>83</xdr:row>
      <xdr:rowOff>541338</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503238</xdr:rowOff>
    </xdr:from>
    <xdr:to>
      <xdr:col>5</xdr:col>
      <xdr:colOff>0</xdr:colOff>
      <xdr:row>92</xdr:row>
      <xdr:rowOff>174624</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153</xdr:row>
      <xdr:rowOff>164307</xdr:rowOff>
    </xdr:from>
    <xdr:to>
      <xdr:col>20</xdr:col>
      <xdr:colOff>381000</xdr:colOff>
      <xdr:row>166</xdr:row>
      <xdr:rowOff>8732</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131761</xdr:rowOff>
    </xdr:from>
    <xdr:to>
      <xdr:col>21</xdr:col>
      <xdr:colOff>419100</xdr:colOff>
      <xdr:row>55</xdr:row>
      <xdr:rowOff>123824</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107</xdr:row>
      <xdr:rowOff>139700</xdr:rowOff>
    </xdr:from>
    <xdr:to>
      <xdr:col>13</xdr:col>
      <xdr:colOff>0</xdr:colOff>
      <xdr:row>121</xdr:row>
      <xdr:rowOff>2384</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153</xdr:row>
      <xdr:rowOff>164307</xdr:rowOff>
    </xdr:from>
    <xdr:to>
      <xdr:col>21</xdr:col>
      <xdr:colOff>266700</xdr:colOff>
      <xdr:row>162</xdr:row>
      <xdr:rowOff>145257</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115888</xdr:rowOff>
    </xdr:from>
    <xdr:to>
      <xdr:col>4</xdr:col>
      <xdr:colOff>114300</xdr:colOff>
      <xdr:row>121</xdr:row>
      <xdr:rowOff>28577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153</xdr:row>
      <xdr:rowOff>164307</xdr:rowOff>
    </xdr:from>
    <xdr:to>
      <xdr:col>4</xdr:col>
      <xdr:colOff>114300</xdr:colOff>
      <xdr:row>160</xdr:row>
      <xdr:rowOff>2382</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77789</xdr:rowOff>
    </xdr:from>
    <xdr:to>
      <xdr:col>4</xdr:col>
      <xdr:colOff>266700</xdr:colOff>
      <xdr:row>135</xdr:row>
      <xdr:rowOff>67470</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503238</xdr:rowOff>
    </xdr:from>
    <xdr:to>
      <xdr:col>5</xdr:col>
      <xdr:colOff>0</xdr:colOff>
      <xdr:row>92</xdr:row>
      <xdr:rowOff>174624</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503238</xdr:rowOff>
    </xdr:from>
    <xdr:to>
      <xdr:col>4</xdr:col>
      <xdr:colOff>800100</xdr:colOff>
      <xdr:row>83</xdr:row>
      <xdr:rowOff>541338</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503238</xdr:rowOff>
    </xdr:from>
    <xdr:to>
      <xdr:col>5</xdr:col>
      <xdr:colOff>0</xdr:colOff>
      <xdr:row>92</xdr:row>
      <xdr:rowOff>174624</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153</xdr:row>
      <xdr:rowOff>164307</xdr:rowOff>
    </xdr:from>
    <xdr:to>
      <xdr:col>20</xdr:col>
      <xdr:colOff>381000</xdr:colOff>
      <xdr:row>166</xdr:row>
      <xdr:rowOff>8732</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131761</xdr:rowOff>
    </xdr:from>
    <xdr:to>
      <xdr:col>21</xdr:col>
      <xdr:colOff>419100</xdr:colOff>
      <xdr:row>55</xdr:row>
      <xdr:rowOff>123824</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107</xdr:row>
      <xdr:rowOff>139700</xdr:rowOff>
    </xdr:from>
    <xdr:to>
      <xdr:col>13</xdr:col>
      <xdr:colOff>0</xdr:colOff>
      <xdr:row>121</xdr:row>
      <xdr:rowOff>2384</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153</xdr:row>
      <xdr:rowOff>164307</xdr:rowOff>
    </xdr:from>
    <xdr:to>
      <xdr:col>21</xdr:col>
      <xdr:colOff>266700</xdr:colOff>
      <xdr:row>162</xdr:row>
      <xdr:rowOff>145257</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115888</xdr:rowOff>
    </xdr:from>
    <xdr:to>
      <xdr:col>4</xdr:col>
      <xdr:colOff>114300</xdr:colOff>
      <xdr:row>121</xdr:row>
      <xdr:rowOff>28577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153</xdr:row>
      <xdr:rowOff>164307</xdr:rowOff>
    </xdr:from>
    <xdr:to>
      <xdr:col>4</xdr:col>
      <xdr:colOff>114300</xdr:colOff>
      <xdr:row>160</xdr:row>
      <xdr:rowOff>2382</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77789</xdr:rowOff>
    </xdr:from>
    <xdr:to>
      <xdr:col>4</xdr:col>
      <xdr:colOff>266700</xdr:colOff>
      <xdr:row>135</xdr:row>
      <xdr:rowOff>67470</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51</xdr:row>
      <xdr:rowOff>159543</xdr:rowOff>
    </xdr:from>
    <xdr:to>
      <xdr:col>5</xdr:col>
      <xdr:colOff>0</xdr:colOff>
      <xdr:row>59</xdr:row>
      <xdr:rowOff>332581</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51</xdr:row>
      <xdr:rowOff>159543</xdr:rowOff>
    </xdr:from>
    <xdr:to>
      <xdr:col>4</xdr:col>
      <xdr:colOff>800100</xdr:colOff>
      <xdr:row>51</xdr:row>
      <xdr:rowOff>197643</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51</xdr:row>
      <xdr:rowOff>159543</xdr:rowOff>
    </xdr:from>
    <xdr:to>
      <xdr:col>5</xdr:col>
      <xdr:colOff>0</xdr:colOff>
      <xdr:row>59</xdr:row>
      <xdr:rowOff>332581</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11907</xdr:rowOff>
    </xdr:from>
    <xdr:to>
      <xdr:col>20</xdr:col>
      <xdr:colOff>381000</xdr:colOff>
      <xdr:row>120</xdr:row>
      <xdr:rowOff>64294</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47624</xdr:rowOff>
    </xdr:from>
    <xdr:to>
      <xdr:col>13</xdr:col>
      <xdr:colOff>0</xdr:colOff>
      <xdr:row>85</xdr:row>
      <xdr:rowOff>57150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11907</xdr:rowOff>
    </xdr:from>
    <xdr:to>
      <xdr:col>21</xdr:col>
      <xdr:colOff>266700</xdr:colOff>
      <xdr:row>116</xdr:row>
      <xdr:rowOff>162720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123825</xdr:colOff>
      <xdr:row>85</xdr:row>
      <xdr:rowOff>28575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11907</xdr:rowOff>
    </xdr:from>
    <xdr:to>
      <xdr:col>4</xdr:col>
      <xdr:colOff>123825</xdr:colOff>
      <xdr:row>114</xdr:row>
      <xdr:rowOff>45244</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11907</xdr:rowOff>
    </xdr:from>
    <xdr:to>
      <xdr:col>20</xdr:col>
      <xdr:colOff>381000</xdr:colOff>
      <xdr:row>120</xdr:row>
      <xdr:rowOff>64294</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11907</xdr:rowOff>
    </xdr:from>
    <xdr:to>
      <xdr:col>21</xdr:col>
      <xdr:colOff>266700</xdr:colOff>
      <xdr:row>116</xdr:row>
      <xdr:rowOff>162720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11907</xdr:rowOff>
    </xdr:from>
    <xdr:to>
      <xdr:col>4</xdr:col>
      <xdr:colOff>114300</xdr:colOff>
      <xdr:row>114</xdr:row>
      <xdr:rowOff>45244</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11907</xdr:rowOff>
    </xdr:from>
    <xdr:to>
      <xdr:col>20</xdr:col>
      <xdr:colOff>381000</xdr:colOff>
      <xdr:row>120</xdr:row>
      <xdr:rowOff>64294</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11907</xdr:rowOff>
    </xdr:from>
    <xdr:to>
      <xdr:col>21</xdr:col>
      <xdr:colOff>266700</xdr:colOff>
      <xdr:row>116</xdr:row>
      <xdr:rowOff>162720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11907</xdr:rowOff>
    </xdr:from>
    <xdr:to>
      <xdr:col>4</xdr:col>
      <xdr:colOff>114300</xdr:colOff>
      <xdr:row>114</xdr:row>
      <xdr:rowOff>45244</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11907</xdr:rowOff>
    </xdr:from>
    <xdr:to>
      <xdr:col>20</xdr:col>
      <xdr:colOff>381000</xdr:colOff>
      <xdr:row>120</xdr:row>
      <xdr:rowOff>64294</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11907</xdr:rowOff>
    </xdr:from>
    <xdr:to>
      <xdr:col>21</xdr:col>
      <xdr:colOff>266700</xdr:colOff>
      <xdr:row>116</xdr:row>
      <xdr:rowOff>162720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11907</xdr:rowOff>
    </xdr:from>
    <xdr:to>
      <xdr:col>4</xdr:col>
      <xdr:colOff>114300</xdr:colOff>
      <xdr:row>114</xdr:row>
      <xdr:rowOff>45244</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9525</xdr:rowOff>
    </xdr:from>
    <xdr:to>
      <xdr:col>20</xdr:col>
      <xdr:colOff>381000</xdr:colOff>
      <xdr:row>138</xdr:row>
      <xdr:rowOff>15875</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9525</xdr:rowOff>
    </xdr:from>
    <xdr:to>
      <xdr:col>21</xdr:col>
      <xdr:colOff>266700</xdr:colOff>
      <xdr:row>134</xdr:row>
      <xdr:rowOff>84931</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9525</xdr:rowOff>
    </xdr:from>
    <xdr:to>
      <xdr:col>4</xdr:col>
      <xdr:colOff>120650</xdr:colOff>
      <xdr:row>132</xdr:row>
      <xdr:rowOff>2381</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9525</xdr:rowOff>
    </xdr:from>
    <xdr:to>
      <xdr:col>20</xdr:col>
      <xdr:colOff>381000</xdr:colOff>
      <xdr:row>138</xdr:row>
      <xdr:rowOff>15875</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9525</xdr:rowOff>
    </xdr:from>
    <xdr:to>
      <xdr:col>21</xdr:col>
      <xdr:colOff>266700</xdr:colOff>
      <xdr:row>134</xdr:row>
      <xdr:rowOff>84931</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9525</xdr:rowOff>
    </xdr:from>
    <xdr:to>
      <xdr:col>4</xdr:col>
      <xdr:colOff>114300</xdr:colOff>
      <xdr:row>132</xdr:row>
      <xdr:rowOff>2381</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9525</xdr:rowOff>
    </xdr:from>
    <xdr:to>
      <xdr:col>20</xdr:col>
      <xdr:colOff>381000</xdr:colOff>
      <xdr:row>138</xdr:row>
      <xdr:rowOff>15875</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9525</xdr:rowOff>
    </xdr:from>
    <xdr:to>
      <xdr:col>21</xdr:col>
      <xdr:colOff>266700</xdr:colOff>
      <xdr:row>134</xdr:row>
      <xdr:rowOff>84931</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9525</xdr:rowOff>
    </xdr:from>
    <xdr:to>
      <xdr:col>4</xdr:col>
      <xdr:colOff>114300</xdr:colOff>
      <xdr:row>132</xdr:row>
      <xdr:rowOff>2381</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4</xdr:col>
      <xdr:colOff>800100</xdr:colOff>
      <xdr:row>51</xdr:row>
      <xdr:rowOff>197643</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159543</xdr:rowOff>
    </xdr:from>
    <xdr:to>
      <xdr:col>5</xdr:col>
      <xdr:colOff>0</xdr:colOff>
      <xdr:row>59</xdr:row>
      <xdr:rowOff>316706</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9525</xdr:rowOff>
    </xdr:from>
    <xdr:to>
      <xdr:col>20</xdr:col>
      <xdr:colOff>381000</xdr:colOff>
      <xdr:row>138</xdr:row>
      <xdr:rowOff>15875</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47624</xdr:rowOff>
    </xdr:from>
    <xdr:to>
      <xdr:col>13</xdr:col>
      <xdr:colOff>0</xdr:colOff>
      <xdr:row>85</xdr:row>
      <xdr:rowOff>57150</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9525</xdr:rowOff>
    </xdr:from>
    <xdr:to>
      <xdr:col>21</xdr:col>
      <xdr:colOff>266700</xdr:colOff>
      <xdr:row>134</xdr:row>
      <xdr:rowOff>84931</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9525</xdr:rowOff>
    </xdr:from>
    <xdr:to>
      <xdr:col>4</xdr:col>
      <xdr:colOff>114300</xdr:colOff>
      <xdr:row>132</xdr:row>
      <xdr:rowOff>2381</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311945</xdr:rowOff>
    </xdr:from>
    <xdr:to>
      <xdr:col>34</xdr:col>
      <xdr:colOff>838200</xdr:colOff>
      <xdr:row>84</xdr:row>
      <xdr:rowOff>48419</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124619</xdr:rowOff>
    </xdr:from>
    <xdr:to>
      <xdr:col>34</xdr:col>
      <xdr:colOff>838200</xdr:colOff>
      <xdr:row>83</xdr:row>
      <xdr:rowOff>369094</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158750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158750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158750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158750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158750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158750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8653" name="Text Box 13" hidden="1">
          <a:extLst>
            <a:ext uri="{FF2B5EF4-FFF2-40B4-BE49-F238E27FC236}">
              <a16:creationId xmlns:a16="http://schemas.microsoft.com/office/drawing/2014/main" id="{9210C73A-719F-0ECB-54F9-638A3AF919B5}"/>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8652" name="Text Box 12" hidden="1">
          <a:extLst>
            <a:ext uri="{FF2B5EF4-FFF2-40B4-BE49-F238E27FC236}">
              <a16:creationId xmlns:a16="http://schemas.microsoft.com/office/drawing/2014/main" id="{A636CA8A-9358-8ABC-1C11-E02958860085}"/>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8651" name="Text Box 11" hidden="1">
          <a:extLst>
            <a:ext uri="{FF2B5EF4-FFF2-40B4-BE49-F238E27FC236}">
              <a16:creationId xmlns:a16="http://schemas.microsoft.com/office/drawing/2014/main" id="{A4D6EF07-0A8B-33F9-A7E4-4FAC96D2C11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8650" name="Text Box 10" hidden="1">
          <a:extLst>
            <a:ext uri="{FF2B5EF4-FFF2-40B4-BE49-F238E27FC236}">
              <a16:creationId xmlns:a16="http://schemas.microsoft.com/office/drawing/2014/main" id="{D29D7BE1-1C22-4E91-20EA-9A7F401CAE17}"/>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141288</xdr:rowOff>
    </xdr:from>
    <xdr:to>
      <xdr:col>21</xdr:col>
      <xdr:colOff>419100</xdr:colOff>
      <xdr:row>41</xdr:row>
      <xdr:rowOff>323056</xdr:rowOff>
    </xdr:to>
    <xdr:sp macro="" textlink="">
      <xdr:nvSpPr>
        <xdr:cNvPr id="368649" name="Text Box 9" hidden="1">
          <a:extLst>
            <a:ext uri="{FF2B5EF4-FFF2-40B4-BE49-F238E27FC236}">
              <a16:creationId xmlns:a16="http://schemas.microsoft.com/office/drawing/2014/main" id="{CD05286D-918D-76CE-C011-AAB644CB65CB}"/>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11906</xdr:rowOff>
    </xdr:from>
    <xdr:to>
      <xdr:col>13</xdr:col>
      <xdr:colOff>0</xdr:colOff>
      <xdr:row>107</xdr:row>
      <xdr:rowOff>35719</xdr:rowOff>
    </xdr:to>
    <xdr:sp macro="" textlink="">
      <xdr:nvSpPr>
        <xdr:cNvPr id="368648" name="Text Box 8" hidden="1">
          <a:extLst>
            <a:ext uri="{FF2B5EF4-FFF2-40B4-BE49-F238E27FC236}">
              <a16:creationId xmlns:a16="http://schemas.microsoft.com/office/drawing/2014/main" id="{B79B4BD4-10D2-8636-C0C8-6D83019F772E}"/>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8647" name="Text Box 7" hidden="1">
          <a:extLst>
            <a:ext uri="{FF2B5EF4-FFF2-40B4-BE49-F238E27FC236}">
              <a16:creationId xmlns:a16="http://schemas.microsoft.com/office/drawing/2014/main" id="{3E7C12C4-40E4-C6CA-A46E-36C38E8C3191}"/>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46" name="Text Box 6" hidden="1">
          <a:extLst>
            <a:ext uri="{FF2B5EF4-FFF2-40B4-BE49-F238E27FC236}">
              <a16:creationId xmlns:a16="http://schemas.microsoft.com/office/drawing/2014/main" id="{87B66337-D5BE-1FF1-5C60-C8974367C308}"/>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103188</xdr:rowOff>
    </xdr:from>
    <xdr:to>
      <xdr:col>4</xdr:col>
      <xdr:colOff>114300</xdr:colOff>
      <xdr:row>107</xdr:row>
      <xdr:rowOff>35719</xdr:rowOff>
    </xdr:to>
    <xdr:sp macro="" textlink="">
      <xdr:nvSpPr>
        <xdr:cNvPr id="368645" name="Text Box 5" hidden="1">
          <a:extLst>
            <a:ext uri="{FF2B5EF4-FFF2-40B4-BE49-F238E27FC236}">
              <a16:creationId xmlns:a16="http://schemas.microsoft.com/office/drawing/2014/main" id="{C96720AA-F8CB-E6C6-8141-EA24E3264F8B}"/>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8644" name="Text Box 4" hidden="1">
          <a:extLst>
            <a:ext uri="{FF2B5EF4-FFF2-40B4-BE49-F238E27FC236}">
              <a16:creationId xmlns:a16="http://schemas.microsoft.com/office/drawing/2014/main" id="{8891DB4C-7030-11DE-0DA0-EE8A100F927E}"/>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43" name="Text Box 3" hidden="1">
          <a:extLst>
            <a:ext uri="{FF2B5EF4-FFF2-40B4-BE49-F238E27FC236}">
              <a16:creationId xmlns:a16="http://schemas.microsoft.com/office/drawing/2014/main" id="{A6DFC123-670D-54D8-002C-BFF35B1B9ABD}"/>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34</xdr:col>
      <xdr:colOff>838200</xdr:colOff>
      <xdr:row>107</xdr:row>
      <xdr:rowOff>35719</xdr:rowOff>
    </xdr:to>
    <xdr:sp macro="" textlink="">
      <xdr:nvSpPr>
        <xdr:cNvPr id="368642" name="Text Box 2" hidden="1">
          <a:extLst>
            <a:ext uri="{FF2B5EF4-FFF2-40B4-BE49-F238E27FC236}">
              <a16:creationId xmlns:a16="http://schemas.microsoft.com/office/drawing/2014/main" id="{476936D4-B467-D8F0-A907-32FC21AA56DC}"/>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34</xdr:col>
      <xdr:colOff>838200</xdr:colOff>
      <xdr:row>107</xdr:row>
      <xdr:rowOff>35719</xdr:rowOff>
    </xdr:to>
    <xdr:sp macro="" textlink="">
      <xdr:nvSpPr>
        <xdr:cNvPr id="368641" name="Text Box 1" hidden="1">
          <a:extLst>
            <a:ext uri="{FF2B5EF4-FFF2-40B4-BE49-F238E27FC236}">
              <a16:creationId xmlns:a16="http://schemas.microsoft.com/office/drawing/2014/main" id="{B309A852-AD17-7B5A-22F2-470D13218EF2}"/>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218281</xdr:rowOff>
    </xdr:from>
    <xdr:to>
      <xdr:col>5</xdr:col>
      <xdr:colOff>0</xdr:colOff>
      <xdr:row>60</xdr:row>
      <xdr:rowOff>73818</xdr:rowOff>
    </xdr:to>
    <xdr:sp macro="" textlink="">
      <xdr:nvSpPr>
        <xdr:cNvPr id="368666" name="Text Box 26" hidden="1">
          <a:extLst>
            <a:ext uri="{FF2B5EF4-FFF2-40B4-BE49-F238E27FC236}">
              <a16:creationId xmlns:a16="http://schemas.microsoft.com/office/drawing/2014/main" id="{A429C64F-43A3-CF63-20B7-C769FD7E8326}"/>
            </a:ext>
          </a:extLst>
        </xdr:cNvPr>
        <xdr:cNvSpPr txBox="1">
          <a:spLocks noChangeArrowheads="1"/>
        </xdr:cNvSpPr>
      </xdr:nvSpPr>
      <xdr:spPr bwMode="auto">
        <a:xfrm>
          <a:off x="4222750" y="1276985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218281</xdr:rowOff>
    </xdr:from>
    <xdr:to>
      <xdr:col>4</xdr:col>
      <xdr:colOff>800100</xdr:colOff>
      <xdr:row>53</xdr:row>
      <xdr:rowOff>16668</xdr:rowOff>
    </xdr:to>
    <xdr:sp macro="" textlink="">
      <xdr:nvSpPr>
        <xdr:cNvPr id="368665" name="Text Box 25" hidden="1">
          <a:extLst>
            <a:ext uri="{FF2B5EF4-FFF2-40B4-BE49-F238E27FC236}">
              <a16:creationId xmlns:a16="http://schemas.microsoft.com/office/drawing/2014/main" id="{A7BECBA2-ED20-B870-AE60-FB9E36269B4A}"/>
            </a:ext>
          </a:extLst>
        </xdr:cNvPr>
        <xdr:cNvSpPr txBox="1">
          <a:spLocks noChangeArrowheads="1"/>
        </xdr:cNvSpPr>
      </xdr:nvSpPr>
      <xdr:spPr bwMode="auto">
        <a:xfrm>
          <a:off x="4222750" y="127698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218281</xdr:rowOff>
    </xdr:from>
    <xdr:to>
      <xdr:col>5</xdr:col>
      <xdr:colOff>0</xdr:colOff>
      <xdr:row>60</xdr:row>
      <xdr:rowOff>73818</xdr:rowOff>
    </xdr:to>
    <xdr:sp macro="" textlink="">
      <xdr:nvSpPr>
        <xdr:cNvPr id="368664" name="Text Box 24" hidden="1">
          <a:extLst>
            <a:ext uri="{FF2B5EF4-FFF2-40B4-BE49-F238E27FC236}">
              <a16:creationId xmlns:a16="http://schemas.microsoft.com/office/drawing/2014/main" id="{ECA4AF8E-C47F-20DD-D35E-58471E5A28E8}"/>
            </a:ext>
          </a:extLst>
        </xdr:cNvPr>
        <xdr:cNvSpPr txBox="1">
          <a:spLocks noChangeArrowheads="1"/>
        </xdr:cNvSpPr>
      </xdr:nvSpPr>
      <xdr:spPr bwMode="auto">
        <a:xfrm>
          <a:off x="4222750" y="1276985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120650</xdr:rowOff>
    </xdr:from>
    <xdr:to>
      <xdr:col>20</xdr:col>
      <xdr:colOff>381000</xdr:colOff>
      <xdr:row>128</xdr:row>
      <xdr:rowOff>47625</xdr:rowOff>
    </xdr:to>
    <xdr:sp macro="" textlink="">
      <xdr:nvSpPr>
        <xdr:cNvPr id="368663" name="Text Box 23" hidden="1">
          <a:extLst>
            <a:ext uri="{FF2B5EF4-FFF2-40B4-BE49-F238E27FC236}">
              <a16:creationId xmlns:a16="http://schemas.microsoft.com/office/drawing/2014/main" id="{9F811880-A18E-8EE6-648A-93CEE6D602F1}"/>
            </a:ext>
          </a:extLst>
        </xdr:cNvPr>
        <xdr:cNvSpPr txBox="1">
          <a:spLocks noChangeArrowheads="1"/>
        </xdr:cNvSpPr>
      </xdr:nvSpPr>
      <xdr:spPr bwMode="auto">
        <a:xfrm>
          <a:off x="13157200" y="24701500"/>
          <a:ext cx="1454150" cy="341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14</xdr:row>
      <xdr:rowOff>2382</xdr:rowOff>
    </xdr:from>
    <xdr:to>
      <xdr:col>21</xdr:col>
      <xdr:colOff>419100</xdr:colOff>
      <xdr:row>19</xdr:row>
      <xdr:rowOff>76200</xdr:rowOff>
    </xdr:to>
    <xdr:sp macro="" textlink="">
      <xdr:nvSpPr>
        <xdr:cNvPr id="368662" name="Text Box 22" hidden="1">
          <a:extLst>
            <a:ext uri="{FF2B5EF4-FFF2-40B4-BE49-F238E27FC236}">
              <a16:creationId xmlns:a16="http://schemas.microsoft.com/office/drawing/2014/main" id="{9B107893-CFC1-617C-8DC5-F970242E4071}"/>
            </a:ext>
          </a:extLst>
        </xdr:cNvPr>
        <xdr:cNvSpPr txBox="1">
          <a:spLocks noChangeArrowheads="1"/>
        </xdr:cNvSpPr>
      </xdr:nvSpPr>
      <xdr:spPr bwMode="auto">
        <a:xfrm>
          <a:off x="13773150" y="3352800"/>
          <a:ext cx="1447800" cy="173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72</xdr:row>
      <xdr:rowOff>315119</xdr:rowOff>
    </xdr:from>
    <xdr:to>
      <xdr:col>13</xdr:col>
      <xdr:colOff>0</xdr:colOff>
      <xdr:row>83</xdr:row>
      <xdr:rowOff>273050</xdr:rowOff>
    </xdr:to>
    <xdr:sp macro="" textlink="">
      <xdr:nvSpPr>
        <xdr:cNvPr id="368661" name="Text Box 21" hidden="1">
          <a:extLst>
            <a:ext uri="{FF2B5EF4-FFF2-40B4-BE49-F238E27FC236}">
              <a16:creationId xmlns:a16="http://schemas.microsoft.com/office/drawing/2014/main" id="{27874BD8-4867-3F6F-AD38-FCCC098B38A2}"/>
            </a:ext>
          </a:extLst>
        </xdr:cNvPr>
        <xdr:cNvSpPr txBox="1">
          <a:spLocks noChangeArrowheads="1"/>
        </xdr:cNvSpPr>
      </xdr:nvSpPr>
      <xdr:spPr bwMode="auto">
        <a:xfrm>
          <a:off x="8737600" y="1699260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109</xdr:row>
      <xdr:rowOff>120650</xdr:rowOff>
    </xdr:from>
    <xdr:to>
      <xdr:col>21</xdr:col>
      <xdr:colOff>266700</xdr:colOff>
      <xdr:row>124</xdr:row>
      <xdr:rowOff>82550</xdr:rowOff>
    </xdr:to>
    <xdr:sp macro="" textlink="">
      <xdr:nvSpPr>
        <xdr:cNvPr id="368660" name="Text Box 20" hidden="1">
          <a:extLst>
            <a:ext uri="{FF2B5EF4-FFF2-40B4-BE49-F238E27FC236}">
              <a16:creationId xmlns:a16="http://schemas.microsoft.com/office/drawing/2014/main" id="{D93145DC-3B96-1734-1593-DEAE6F758EC5}"/>
            </a:ext>
          </a:extLst>
        </xdr:cNvPr>
        <xdr:cNvSpPr txBox="1">
          <a:spLocks noChangeArrowheads="1"/>
        </xdr:cNvSpPr>
      </xdr:nvSpPr>
      <xdr:spPr bwMode="auto">
        <a:xfrm>
          <a:off x="13735050" y="247015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59" name="Text Box 19" hidden="1">
          <a:extLst>
            <a:ext uri="{FF2B5EF4-FFF2-40B4-BE49-F238E27FC236}">
              <a16:creationId xmlns:a16="http://schemas.microsoft.com/office/drawing/2014/main" id="{93A6B5A2-1B3E-B229-5DDD-28F4AB85EFE2}"/>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38100</xdr:rowOff>
    </xdr:from>
    <xdr:to>
      <xdr:col>4</xdr:col>
      <xdr:colOff>120650</xdr:colOff>
      <xdr:row>83</xdr:row>
      <xdr:rowOff>388938</xdr:rowOff>
    </xdr:to>
    <xdr:sp macro="" textlink="">
      <xdr:nvSpPr>
        <xdr:cNvPr id="368658" name="Text Box 18" hidden="1">
          <a:extLst>
            <a:ext uri="{FF2B5EF4-FFF2-40B4-BE49-F238E27FC236}">
              <a16:creationId xmlns:a16="http://schemas.microsoft.com/office/drawing/2014/main" id="{EDF4785D-B984-1386-334A-8A4577EFB1BD}"/>
            </a:ext>
          </a:extLst>
        </xdr:cNvPr>
        <xdr:cNvSpPr txBox="1">
          <a:spLocks noChangeArrowheads="1"/>
        </xdr:cNvSpPr>
      </xdr:nvSpPr>
      <xdr:spPr bwMode="auto">
        <a:xfrm>
          <a:off x="3492500" y="18243550"/>
          <a:ext cx="1327150" cy="127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109</xdr:row>
      <xdr:rowOff>120650</xdr:rowOff>
    </xdr:from>
    <xdr:to>
      <xdr:col>4</xdr:col>
      <xdr:colOff>120650</xdr:colOff>
      <xdr:row>121</xdr:row>
      <xdr:rowOff>139700</xdr:rowOff>
    </xdr:to>
    <xdr:sp macro="" textlink="">
      <xdr:nvSpPr>
        <xdr:cNvPr id="368657" name="Text Box 17" hidden="1">
          <a:extLst>
            <a:ext uri="{FF2B5EF4-FFF2-40B4-BE49-F238E27FC236}">
              <a16:creationId xmlns:a16="http://schemas.microsoft.com/office/drawing/2014/main" id="{A0365691-CD98-DDB3-771B-CB99BB4CEB25}"/>
            </a:ext>
          </a:extLst>
        </xdr:cNvPr>
        <xdr:cNvSpPr txBox="1">
          <a:spLocks noChangeArrowheads="1"/>
        </xdr:cNvSpPr>
      </xdr:nvSpPr>
      <xdr:spPr bwMode="auto">
        <a:xfrm>
          <a:off x="3492500" y="24701500"/>
          <a:ext cx="132715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56" name="Text Box 16" hidden="1">
          <a:extLst>
            <a:ext uri="{FF2B5EF4-FFF2-40B4-BE49-F238E27FC236}">
              <a16:creationId xmlns:a16="http://schemas.microsoft.com/office/drawing/2014/main" id="{CA524A2F-2CB2-D044-8DC3-BD57D218D8CA}"/>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522288</xdr:rowOff>
    </xdr:from>
    <xdr:to>
      <xdr:col>34</xdr:col>
      <xdr:colOff>838200</xdr:colOff>
      <xdr:row>83</xdr:row>
      <xdr:rowOff>525463</xdr:rowOff>
    </xdr:to>
    <xdr:sp macro="" textlink="">
      <xdr:nvSpPr>
        <xdr:cNvPr id="368655" name="Text Box 15" hidden="1">
          <a:extLst>
            <a:ext uri="{FF2B5EF4-FFF2-40B4-BE49-F238E27FC236}">
              <a16:creationId xmlns:a16="http://schemas.microsoft.com/office/drawing/2014/main" id="{87302598-7E11-27E0-90FE-06A2270F4A87}"/>
            </a:ext>
          </a:extLst>
        </xdr:cNvPr>
        <xdr:cNvSpPr txBox="1">
          <a:spLocks noChangeArrowheads="1"/>
        </xdr:cNvSpPr>
      </xdr:nvSpPr>
      <xdr:spPr bwMode="auto">
        <a:xfrm>
          <a:off x="21755100" y="19646900"/>
          <a:ext cx="1314450" cy="12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158750</xdr:rowOff>
    </xdr:from>
    <xdr:to>
      <xdr:col>34</xdr:col>
      <xdr:colOff>838200</xdr:colOff>
      <xdr:row>83</xdr:row>
      <xdr:rowOff>354013</xdr:rowOff>
    </xdr:to>
    <xdr:sp macro="" textlink="">
      <xdr:nvSpPr>
        <xdr:cNvPr id="368654" name="Text Box 14" hidden="1">
          <a:extLst>
            <a:ext uri="{FF2B5EF4-FFF2-40B4-BE49-F238E27FC236}">
              <a16:creationId xmlns:a16="http://schemas.microsoft.com/office/drawing/2014/main" id="{0639E59D-9913-AC8B-1DA1-CA0D878E8479}"/>
            </a:ext>
          </a:extLst>
        </xdr:cNvPr>
        <xdr:cNvSpPr txBox="1">
          <a:spLocks noChangeArrowheads="1"/>
        </xdr:cNvSpPr>
      </xdr:nvSpPr>
      <xdr:spPr bwMode="auto">
        <a:xfrm>
          <a:off x="21755100" y="19284950"/>
          <a:ext cx="1314450" cy="203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211931</xdr:rowOff>
    </xdr:from>
    <xdr:to>
      <xdr:col>5</xdr:col>
      <xdr:colOff>0</xdr:colOff>
      <xdr:row>60</xdr:row>
      <xdr:rowOff>67468</xdr:rowOff>
    </xdr:to>
    <xdr:sp macro="" textlink="">
      <xdr:nvSpPr>
        <xdr:cNvPr id="368679" name="Text Box 39" hidden="1">
          <a:extLst>
            <a:ext uri="{FF2B5EF4-FFF2-40B4-BE49-F238E27FC236}">
              <a16:creationId xmlns:a16="http://schemas.microsoft.com/office/drawing/2014/main" id="{1E174D98-1267-8522-1AB8-81889733DD04}"/>
            </a:ext>
          </a:extLst>
        </xdr:cNvPr>
        <xdr:cNvSpPr txBox="1">
          <a:spLocks noChangeArrowheads="1"/>
        </xdr:cNvSpPr>
      </xdr:nvSpPr>
      <xdr:spPr bwMode="auto">
        <a:xfrm>
          <a:off x="4222750" y="1276350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211931</xdr:rowOff>
    </xdr:from>
    <xdr:to>
      <xdr:col>4</xdr:col>
      <xdr:colOff>800100</xdr:colOff>
      <xdr:row>53</xdr:row>
      <xdr:rowOff>10318</xdr:rowOff>
    </xdr:to>
    <xdr:sp macro="" textlink="">
      <xdr:nvSpPr>
        <xdr:cNvPr id="368678" name="Text Box 38" hidden="1">
          <a:extLst>
            <a:ext uri="{FF2B5EF4-FFF2-40B4-BE49-F238E27FC236}">
              <a16:creationId xmlns:a16="http://schemas.microsoft.com/office/drawing/2014/main" id="{BD7587EA-9509-4168-F54B-5C44845FE969}"/>
            </a:ext>
          </a:extLst>
        </xdr:cNvPr>
        <xdr:cNvSpPr txBox="1">
          <a:spLocks noChangeArrowheads="1"/>
        </xdr:cNvSpPr>
      </xdr:nvSpPr>
      <xdr:spPr bwMode="auto">
        <a:xfrm>
          <a:off x="4222750" y="1276350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211931</xdr:rowOff>
    </xdr:from>
    <xdr:to>
      <xdr:col>5</xdr:col>
      <xdr:colOff>0</xdr:colOff>
      <xdr:row>60</xdr:row>
      <xdr:rowOff>67468</xdr:rowOff>
    </xdr:to>
    <xdr:sp macro="" textlink="">
      <xdr:nvSpPr>
        <xdr:cNvPr id="368677" name="Text Box 37" hidden="1">
          <a:extLst>
            <a:ext uri="{FF2B5EF4-FFF2-40B4-BE49-F238E27FC236}">
              <a16:creationId xmlns:a16="http://schemas.microsoft.com/office/drawing/2014/main" id="{1498D652-3B25-1977-8C76-48AE04F0BD68}"/>
            </a:ext>
          </a:extLst>
        </xdr:cNvPr>
        <xdr:cNvSpPr txBox="1">
          <a:spLocks noChangeArrowheads="1"/>
        </xdr:cNvSpPr>
      </xdr:nvSpPr>
      <xdr:spPr bwMode="auto">
        <a:xfrm>
          <a:off x="4222750" y="1276350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114300</xdr:rowOff>
    </xdr:from>
    <xdr:to>
      <xdr:col>20</xdr:col>
      <xdr:colOff>381000</xdr:colOff>
      <xdr:row>128</xdr:row>
      <xdr:rowOff>47625</xdr:rowOff>
    </xdr:to>
    <xdr:sp macro="" textlink="">
      <xdr:nvSpPr>
        <xdr:cNvPr id="368676" name="Text Box 36" hidden="1">
          <a:extLst>
            <a:ext uri="{FF2B5EF4-FFF2-40B4-BE49-F238E27FC236}">
              <a16:creationId xmlns:a16="http://schemas.microsoft.com/office/drawing/2014/main" id="{3FC61519-5CBC-151C-92BF-302EDF623C47}"/>
            </a:ext>
          </a:extLst>
        </xdr:cNvPr>
        <xdr:cNvSpPr txBox="1">
          <a:spLocks noChangeArrowheads="1"/>
        </xdr:cNvSpPr>
      </xdr:nvSpPr>
      <xdr:spPr bwMode="auto">
        <a:xfrm>
          <a:off x="13157200" y="24695150"/>
          <a:ext cx="1454150" cy="342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14</xdr:row>
      <xdr:rowOff>2382</xdr:rowOff>
    </xdr:from>
    <xdr:to>
      <xdr:col>21</xdr:col>
      <xdr:colOff>419100</xdr:colOff>
      <xdr:row>19</xdr:row>
      <xdr:rowOff>76200</xdr:rowOff>
    </xdr:to>
    <xdr:sp macro="" textlink="">
      <xdr:nvSpPr>
        <xdr:cNvPr id="368675" name="Text Box 35" hidden="1">
          <a:extLst>
            <a:ext uri="{FF2B5EF4-FFF2-40B4-BE49-F238E27FC236}">
              <a16:creationId xmlns:a16="http://schemas.microsoft.com/office/drawing/2014/main" id="{4975058C-C064-E855-D8B0-FAB1325BC066}"/>
            </a:ext>
          </a:extLst>
        </xdr:cNvPr>
        <xdr:cNvSpPr txBox="1">
          <a:spLocks noChangeArrowheads="1"/>
        </xdr:cNvSpPr>
      </xdr:nvSpPr>
      <xdr:spPr bwMode="auto">
        <a:xfrm>
          <a:off x="13773150" y="3352800"/>
          <a:ext cx="1447800" cy="173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72</xdr:row>
      <xdr:rowOff>315119</xdr:rowOff>
    </xdr:from>
    <xdr:to>
      <xdr:col>13</xdr:col>
      <xdr:colOff>0</xdr:colOff>
      <xdr:row>83</xdr:row>
      <xdr:rowOff>266700</xdr:rowOff>
    </xdr:to>
    <xdr:sp macro="" textlink="">
      <xdr:nvSpPr>
        <xdr:cNvPr id="368674" name="Text Box 34" hidden="1">
          <a:extLst>
            <a:ext uri="{FF2B5EF4-FFF2-40B4-BE49-F238E27FC236}">
              <a16:creationId xmlns:a16="http://schemas.microsoft.com/office/drawing/2014/main" id="{1EC192AF-EC2B-2012-72D9-436E68982E2C}"/>
            </a:ext>
          </a:extLst>
        </xdr:cNvPr>
        <xdr:cNvSpPr txBox="1">
          <a:spLocks noChangeArrowheads="1"/>
        </xdr:cNvSpPr>
      </xdr:nvSpPr>
      <xdr:spPr bwMode="auto">
        <a:xfrm>
          <a:off x="8737600" y="16992600"/>
          <a:ext cx="1447800" cy="240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109</xdr:row>
      <xdr:rowOff>114300</xdr:rowOff>
    </xdr:from>
    <xdr:to>
      <xdr:col>21</xdr:col>
      <xdr:colOff>266700</xdr:colOff>
      <xdr:row>124</xdr:row>
      <xdr:rowOff>76200</xdr:rowOff>
    </xdr:to>
    <xdr:sp macro="" textlink="">
      <xdr:nvSpPr>
        <xdr:cNvPr id="368673" name="Text Box 33" hidden="1">
          <a:extLst>
            <a:ext uri="{FF2B5EF4-FFF2-40B4-BE49-F238E27FC236}">
              <a16:creationId xmlns:a16="http://schemas.microsoft.com/office/drawing/2014/main" id="{9A2A7FA0-FD9E-79E0-0BEC-6850C61B9055}"/>
            </a:ext>
          </a:extLst>
        </xdr:cNvPr>
        <xdr:cNvSpPr txBox="1">
          <a:spLocks noChangeArrowheads="1"/>
        </xdr:cNvSpPr>
      </xdr:nvSpPr>
      <xdr:spPr bwMode="auto">
        <a:xfrm>
          <a:off x="13735050" y="2469515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72" name="Text Box 32" hidden="1">
          <a:extLst>
            <a:ext uri="{FF2B5EF4-FFF2-40B4-BE49-F238E27FC236}">
              <a16:creationId xmlns:a16="http://schemas.microsoft.com/office/drawing/2014/main" id="{E801DCAD-5223-813F-E4DC-48E8DEE72BA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38100</xdr:rowOff>
    </xdr:from>
    <xdr:to>
      <xdr:col>4</xdr:col>
      <xdr:colOff>114300</xdr:colOff>
      <xdr:row>83</xdr:row>
      <xdr:rowOff>373063</xdr:rowOff>
    </xdr:to>
    <xdr:sp macro="" textlink="">
      <xdr:nvSpPr>
        <xdr:cNvPr id="368671" name="Text Box 31" hidden="1">
          <a:extLst>
            <a:ext uri="{FF2B5EF4-FFF2-40B4-BE49-F238E27FC236}">
              <a16:creationId xmlns:a16="http://schemas.microsoft.com/office/drawing/2014/main" id="{757E0E6B-1216-CE21-FA02-241C10F2564C}"/>
            </a:ext>
          </a:extLst>
        </xdr:cNvPr>
        <xdr:cNvSpPr txBox="1">
          <a:spLocks noChangeArrowheads="1"/>
        </xdr:cNvSpPr>
      </xdr:nvSpPr>
      <xdr:spPr bwMode="auto">
        <a:xfrm>
          <a:off x="3492500" y="182435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109</xdr:row>
      <xdr:rowOff>114300</xdr:rowOff>
    </xdr:from>
    <xdr:to>
      <xdr:col>4</xdr:col>
      <xdr:colOff>114300</xdr:colOff>
      <xdr:row>121</xdr:row>
      <xdr:rowOff>133350</xdr:rowOff>
    </xdr:to>
    <xdr:sp macro="" textlink="">
      <xdr:nvSpPr>
        <xdr:cNvPr id="368670" name="Text Box 30" hidden="1">
          <a:extLst>
            <a:ext uri="{FF2B5EF4-FFF2-40B4-BE49-F238E27FC236}">
              <a16:creationId xmlns:a16="http://schemas.microsoft.com/office/drawing/2014/main" id="{CE505F67-BB9D-AD76-9DB9-4CAFE19E6729}"/>
            </a:ext>
          </a:extLst>
        </xdr:cNvPr>
        <xdr:cNvSpPr txBox="1">
          <a:spLocks noChangeArrowheads="1"/>
        </xdr:cNvSpPr>
      </xdr:nvSpPr>
      <xdr:spPr bwMode="auto">
        <a:xfrm>
          <a:off x="3492500" y="246951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69" name="Text Box 29" hidden="1">
          <a:extLst>
            <a:ext uri="{FF2B5EF4-FFF2-40B4-BE49-F238E27FC236}">
              <a16:creationId xmlns:a16="http://schemas.microsoft.com/office/drawing/2014/main" id="{FABE44FF-8CE3-5804-388F-1C25FEAFD364}"/>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506413</xdr:rowOff>
    </xdr:from>
    <xdr:to>
      <xdr:col>34</xdr:col>
      <xdr:colOff>838200</xdr:colOff>
      <xdr:row>83</xdr:row>
      <xdr:rowOff>525463</xdr:rowOff>
    </xdr:to>
    <xdr:sp macro="" textlink="">
      <xdr:nvSpPr>
        <xdr:cNvPr id="368668" name="Text Box 28" hidden="1">
          <a:extLst>
            <a:ext uri="{FF2B5EF4-FFF2-40B4-BE49-F238E27FC236}">
              <a16:creationId xmlns:a16="http://schemas.microsoft.com/office/drawing/2014/main" id="{2E7D0CC5-D9CD-9FA2-79B9-460432C69F1F}"/>
            </a:ext>
          </a:extLst>
        </xdr:cNvPr>
        <xdr:cNvSpPr txBox="1">
          <a:spLocks noChangeArrowheads="1"/>
        </xdr:cNvSpPr>
      </xdr:nvSpPr>
      <xdr:spPr bwMode="auto">
        <a:xfrm>
          <a:off x="21755100" y="196405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152400</xdr:rowOff>
    </xdr:from>
    <xdr:to>
      <xdr:col>34</xdr:col>
      <xdr:colOff>838200</xdr:colOff>
      <xdr:row>83</xdr:row>
      <xdr:rowOff>354013</xdr:rowOff>
    </xdr:to>
    <xdr:sp macro="" textlink="">
      <xdr:nvSpPr>
        <xdr:cNvPr id="368667" name="Text Box 27" hidden="1">
          <a:extLst>
            <a:ext uri="{FF2B5EF4-FFF2-40B4-BE49-F238E27FC236}">
              <a16:creationId xmlns:a16="http://schemas.microsoft.com/office/drawing/2014/main" id="{B464BF35-C63D-5EC8-C6C3-1FC446AC4860}"/>
            </a:ext>
          </a:extLst>
        </xdr:cNvPr>
        <xdr:cNvSpPr txBox="1">
          <a:spLocks noChangeArrowheads="1"/>
        </xdr:cNvSpPr>
      </xdr:nvSpPr>
      <xdr:spPr bwMode="auto">
        <a:xfrm>
          <a:off x="21755100" y="19278600"/>
          <a:ext cx="1314450" cy="209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692" name="Text Box 52" hidden="1">
          <a:extLst>
            <a:ext uri="{FF2B5EF4-FFF2-40B4-BE49-F238E27FC236}">
              <a16:creationId xmlns:a16="http://schemas.microsoft.com/office/drawing/2014/main" id="{3D6EF511-A81D-C41C-7180-AC988F898ECF}"/>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4</xdr:col>
      <xdr:colOff>800100</xdr:colOff>
      <xdr:row>51</xdr:row>
      <xdr:rowOff>95250</xdr:rowOff>
    </xdr:to>
    <xdr:sp macro="" textlink="">
      <xdr:nvSpPr>
        <xdr:cNvPr id="368691" name="Text Box 51" hidden="1">
          <a:extLst>
            <a:ext uri="{FF2B5EF4-FFF2-40B4-BE49-F238E27FC236}">
              <a16:creationId xmlns:a16="http://schemas.microsoft.com/office/drawing/2014/main" id="{8F2CFC32-3CF1-F00D-53F0-287120C469CB}"/>
            </a:ext>
          </a:extLst>
        </xdr:cNvPr>
        <xdr:cNvSpPr txBox="1">
          <a:spLocks noChangeArrowheads="1"/>
        </xdr:cNvSpPr>
      </xdr:nvSpPr>
      <xdr:spPr bwMode="auto">
        <a:xfrm>
          <a:off x="4222750" y="123761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690" name="Text Box 50" hidden="1">
          <a:extLst>
            <a:ext uri="{FF2B5EF4-FFF2-40B4-BE49-F238E27FC236}">
              <a16:creationId xmlns:a16="http://schemas.microsoft.com/office/drawing/2014/main" id="{4BA7C13A-4FC9-9D5D-67C2-5DEE43AD2295}"/>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114300</xdr:rowOff>
    </xdr:from>
    <xdr:to>
      <xdr:col>20</xdr:col>
      <xdr:colOff>381000</xdr:colOff>
      <xdr:row>126</xdr:row>
      <xdr:rowOff>38100</xdr:rowOff>
    </xdr:to>
    <xdr:sp macro="" textlink="">
      <xdr:nvSpPr>
        <xdr:cNvPr id="368689" name="Text Box 49" hidden="1">
          <a:extLst>
            <a:ext uri="{FF2B5EF4-FFF2-40B4-BE49-F238E27FC236}">
              <a16:creationId xmlns:a16="http://schemas.microsoft.com/office/drawing/2014/main" id="{2271E10B-40B9-8A66-55CA-E4773AA87576}"/>
            </a:ext>
          </a:extLst>
        </xdr:cNvPr>
        <xdr:cNvSpPr txBox="1">
          <a:spLocks noChangeArrowheads="1"/>
        </xdr:cNvSpPr>
      </xdr:nvSpPr>
      <xdr:spPr bwMode="auto">
        <a:xfrm>
          <a:off x="13157200" y="24326850"/>
          <a:ext cx="1454150" cy="342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11</xdr:row>
      <xdr:rowOff>76200</xdr:rowOff>
    </xdr:from>
    <xdr:to>
      <xdr:col>21</xdr:col>
      <xdr:colOff>419100</xdr:colOff>
      <xdr:row>18</xdr:row>
      <xdr:rowOff>133350</xdr:rowOff>
    </xdr:to>
    <xdr:sp macro="" textlink="">
      <xdr:nvSpPr>
        <xdr:cNvPr id="368688" name="Text Box 48" hidden="1">
          <a:extLst>
            <a:ext uri="{FF2B5EF4-FFF2-40B4-BE49-F238E27FC236}">
              <a16:creationId xmlns:a16="http://schemas.microsoft.com/office/drawing/2014/main" id="{5FCCE63A-199A-661F-8071-33F8C39E796E}"/>
            </a:ext>
          </a:extLst>
        </xdr:cNvPr>
        <xdr:cNvSpPr txBox="1">
          <a:spLocks noChangeArrowheads="1"/>
        </xdr:cNvSpPr>
      </xdr:nvSpPr>
      <xdr:spPr bwMode="auto">
        <a:xfrm>
          <a:off x="13773150" y="2857500"/>
          <a:ext cx="1447800" cy="208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70</xdr:row>
      <xdr:rowOff>304800</xdr:rowOff>
    </xdr:from>
    <xdr:to>
      <xdr:col>13</xdr:col>
      <xdr:colOff>0</xdr:colOff>
      <xdr:row>83</xdr:row>
      <xdr:rowOff>152400</xdr:rowOff>
    </xdr:to>
    <xdr:sp macro="" textlink="">
      <xdr:nvSpPr>
        <xdr:cNvPr id="368687" name="Text Box 47" hidden="1">
          <a:extLst>
            <a:ext uri="{FF2B5EF4-FFF2-40B4-BE49-F238E27FC236}">
              <a16:creationId xmlns:a16="http://schemas.microsoft.com/office/drawing/2014/main" id="{9C9DB78F-411E-EE21-20A2-DD446087AFC3}"/>
            </a:ext>
          </a:extLst>
        </xdr:cNvPr>
        <xdr:cNvSpPr txBox="1">
          <a:spLocks noChangeArrowheads="1"/>
        </xdr:cNvSpPr>
      </xdr:nvSpPr>
      <xdr:spPr bwMode="auto">
        <a:xfrm>
          <a:off x="8737600" y="16490950"/>
          <a:ext cx="1447800" cy="2781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114300</xdr:rowOff>
    </xdr:from>
    <xdr:to>
      <xdr:col>21</xdr:col>
      <xdr:colOff>266700</xdr:colOff>
      <xdr:row>122</xdr:row>
      <xdr:rowOff>76200</xdr:rowOff>
    </xdr:to>
    <xdr:sp macro="" textlink="">
      <xdr:nvSpPr>
        <xdr:cNvPr id="368686" name="Text Box 46" hidden="1">
          <a:extLst>
            <a:ext uri="{FF2B5EF4-FFF2-40B4-BE49-F238E27FC236}">
              <a16:creationId xmlns:a16="http://schemas.microsoft.com/office/drawing/2014/main" id="{7F02BF48-67C1-A70A-1B18-8015EC4E8948}"/>
            </a:ext>
          </a:extLst>
        </xdr:cNvPr>
        <xdr:cNvSpPr txBox="1">
          <a:spLocks noChangeArrowheads="1"/>
        </xdr:cNvSpPr>
      </xdr:nvSpPr>
      <xdr:spPr bwMode="auto">
        <a:xfrm>
          <a:off x="13735050" y="2432685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85" name="Text Box 45" hidden="1">
          <a:extLst>
            <a:ext uri="{FF2B5EF4-FFF2-40B4-BE49-F238E27FC236}">
              <a16:creationId xmlns:a16="http://schemas.microsoft.com/office/drawing/2014/main" id="{37CCC840-0AB0-5F95-F108-A31A3EF9310A}"/>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76</xdr:row>
      <xdr:rowOff>209550</xdr:rowOff>
    </xdr:from>
    <xdr:to>
      <xdr:col>4</xdr:col>
      <xdr:colOff>114300</xdr:colOff>
      <xdr:row>82</xdr:row>
      <xdr:rowOff>266700</xdr:rowOff>
    </xdr:to>
    <xdr:sp macro="" textlink="">
      <xdr:nvSpPr>
        <xdr:cNvPr id="368684" name="Text Box 44" hidden="1">
          <a:extLst>
            <a:ext uri="{FF2B5EF4-FFF2-40B4-BE49-F238E27FC236}">
              <a16:creationId xmlns:a16="http://schemas.microsoft.com/office/drawing/2014/main" id="{0DBE9204-D63B-37E5-BB09-FC2578FDA151}"/>
            </a:ext>
          </a:extLst>
        </xdr:cNvPr>
        <xdr:cNvSpPr txBox="1">
          <a:spLocks noChangeArrowheads="1"/>
        </xdr:cNvSpPr>
      </xdr:nvSpPr>
      <xdr:spPr bwMode="auto">
        <a:xfrm>
          <a:off x="3492500" y="17837150"/>
          <a:ext cx="1320800" cy="118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114300</xdr:rowOff>
    </xdr:from>
    <xdr:to>
      <xdr:col>4</xdr:col>
      <xdr:colOff>114300</xdr:colOff>
      <xdr:row>119</xdr:row>
      <xdr:rowOff>133350</xdr:rowOff>
    </xdr:to>
    <xdr:sp macro="" textlink="">
      <xdr:nvSpPr>
        <xdr:cNvPr id="368683" name="Text Box 43" hidden="1">
          <a:extLst>
            <a:ext uri="{FF2B5EF4-FFF2-40B4-BE49-F238E27FC236}">
              <a16:creationId xmlns:a16="http://schemas.microsoft.com/office/drawing/2014/main" id="{8E180789-9E2B-F2AE-8AD4-0AFA809A82B9}"/>
            </a:ext>
          </a:extLst>
        </xdr:cNvPr>
        <xdr:cNvSpPr txBox="1">
          <a:spLocks noChangeArrowheads="1"/>
        </xdr:cNvSpPr>
      </xdr:nvSpPr>
      <xdr:spPr bwMode="auto">
        <a:xfrm>
          <a:off x="3492500" y="243268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82" name="Text Box 42" hidden="1">
          <a:extLst>
            <a:ext uri="{FF2B5EF4-FFF2-40B4-BE49-F238E27FC236}">
              <a16:creationId xmlns:a16="http://schemas.microsoft.com/office/drawing/2014/main" id="{C9BA4A58-0422-110D-7C42-367640C8AF6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152400</xdr:rowOff>
    </xdr:from>
    <xdr:to>
      <xdr:col>34</xdr:col>
      <xdr:colOff>838200</xdr:colOff>
      <xdr:row>83</xdr:row>
      <xdr:rowOff>171450</xdr:rowOff>
    </xdr:to>
    <xdr:sp macro="" textlink="">
      <xdr:nvSpPr>
        <xdr:cNvPr id="368681" name="Text Box 41" hidden="1">
          <a:extLst>
            <a:ext uri="{FF2B5EF4-FFF2-40B4-BE49-F238E27FC236}">
              <a16:creationId xmlns:a16="http://schemas.microsoft.com/office/drawing/2014/main" id="{14CC1135-44A3-376F-BA9D-6AB27068740E}"/>
            </a:ext>
          </a:extLst>
        </xdr:cNvPr>
        <xdr:cNvSpPr txBox="1">
          <a:spLocks noChangeArrowheads="1"/>
        </xdr:cNvSpPr>
      </xdr:nvSpPr>
      <xdr:spPr bwMode="auto">
        <a:xfrm>
          <a:off x="21755100" y="192722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152400</xdr:rowOff>
    </xdr:from>
    <xdr:to>
      <xdr:col>34</xdr:col>
      <xdr:colOff>838200</xdr:colOff>
      <xdr:row>82</xdr:row>
      <xdr:rowOff>190500</xdr:rowOff>
    </xdr:to>
    <xdr:sp macro="" textlink="">
      <xdr:nvSpPr>
        <xdr:cNvPr id="368680" name="Text Box 40" hidden="1">
          <a:extLst>
            <a:ext uri="{FF2B5EF4-FFF2-40B4-BE49-F238E27FC236}">
              <a16:creationId xmlns:a16="http://schemas.microsoft.com/office/drawing/2014/main" id="{CB570B0A-D476-31A3-9FC4-2C70BFC0F9DA}"/>
            </a:ext>
          </a:extLst>
        </xdr:cNvPr>
        <xdr:cNvSpPr txBox="1">
          <a:spLocks noChangeArrowheads="1"/>
        </xdr:cNvSpPr>
      </xdr:nvSpPr>
      <xdr:spPr bwMode="auto">
        <a:xfrm>
          <a:off x="21755100" y="18910300"/>
          <a:ext cx="13144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37</xdr:col>
      <xdr:colOff>466104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389904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389904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466104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466104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430544</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389904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389904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430544</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430544</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54</xdr:row>
      <xdr:rowOff>10794</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11617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11617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314940</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391140</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11617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69" name="Text Box 5" hidden="1">
          <a:extLst>
            <a:ext uri="{FF2B5EF4-FFF2-40B4-BE49-F238E27FC236}">
              <a16:creationId xmlns:a16="http://schemas.microsoft.com/office/drawing/2014/main" id="{DF34A5F2-FB6C-C7FE-24EF-249D0420052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68" name="Text Box 4" hidden="1">
          <a:extLst>
            <a:ext uri="{FF2B5EF4-FFF2-40B4-BE49-F238E27FC236}">
              <a16:creationId xmlns:a16="http://schemas.microsoft.com/office/drawing/2014/main" id="{C4430639-9E3F-0874-38A2-AC70237CCAA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67" name="Text Box 3" hidden="1">
          <a:extLst>
            <a:ext uri="{FF2B5EF4-FFF2-40B4-BE49-F238E27FC236}">
              <a16:creationId xmlns:a16="http://schemas.microsoft.com/office/drawing/2014/main" id="{FCBAA3EA-1CBE-0631-2898-4BB3BCA8707C}"/>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66" name="Text Box 2" hidden="1">
          <a:extLst>
            <a:ext uri="{FF2B5EF4-FFF2-40B4-BE49-F238E27FC236}">
              <a16:creationId xmlns:a16="http://schemas.microsoft.com/office/drawing/2014/main" id="{9B0B4A0F-2135-AE80-5492-5FA4D2E0BAF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65" name="Text Box 1" hidden="1">
          <a:extLst>
            <a:ext uri="{FF2B5EF4-FFF2-40B4-BE49-F238E27FC236}">
              <a16:creationId xmlns:a16="http://schemas.microsoft.com/office/drawing/2014/main" id="{F57C7DB4-C658-7B53-C185-CAEC2C20ADCF}"/>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74" name="Text Box 10" hidden="1">
          <a:extLst>
            <a:ext uri="{FF2B5EF4-FFF2-40B4-BE49-F238E27FC236}">
              <a16:creationId xmlns:a16="http://schemas.microsoft.com/office/drawing/2014/main" id="{88709EC6-37A5-344A-C262-443DFB6285D1}"/>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73" name="Text Box 9" hidden="1">
          <a:extLst>
            <a:ext uri="{FF2B5EF4-FFF2-40B4-BE49-F238E27FC236}">
              <a16:creationId xmlns:a16="http://schemas.microsoft.com/office/drawing/2014/main" id="{80DC9ADC-D829-E594-92CF-45EF0EA7BC0B}"/>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72" name="Text Box 8" hidden="1">
          <a:extLst>
            <a:ext uri="{FF2B5EF4-FFF2-40B4-BE49-F238E27FC236}">
              <a16:creationId xmlns:a16="http://schemas.microsoft.com/office/drawing/2014/main" id="{B0B3E361-0521-5083-4A3E-876B49598DC1}"/>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71" name="Text Box 7" hidden="1">
          <a:extLst>
            <a:ext uri="{FF2B5EF4-FFF2-40B4-BE49-F238E27FC236}">
              <a16:creationId xmlns:a16="http://schemas.microsoft.com/office/drawing/2014/main" id="{6B03BEDE-9F96-F085-4960-B602E304CADF}"/>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70" name="Text Box 6" hidden="1">
          <a:extLst>
            <a:ext uri="{FF2B5EF4-FFF2-40B4-BE49-F238E27FC236}">
              <a16:creationId xmlns:a16="http://schemas.microsoft.com/office/drawing/2014/main" id="{342BDA0F-5AA2-33A5-D1F5-B80F5A3379C3}"/>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23</xdr:row>
      <xdr:rowOff>276225</xdr:rowOff>
    </xdr:from>
    <xdr:to>
      <xdr:col>3</xdr:col>
      <xdr:colOff>314325</xdr:colOff>
      <xdr:row>26</xdr:row>
      <xdr:rowOff>19050</xdr:rowOff>
    </xdr:to>
    <xdr:sp macro="" textlink="">
      <xdr:nvSpPr>
        <xdr:cNvPr id="369675" name="Text Box 11" hidden="1">
          <a:extLst>
            <a:ext uri="{FF2B5EF4-FFF2-40B4-BE49-F238E27FC236}">
              <a16:creationId xmlns:a16="http://schemas.microsoft.com/office/drawing/2014/main" id="{8078609D-5610-567E-6E52-638FF383D43F}"/>
            </a:ext>
          </a:extLst>
        </xdr:cNvPr>
        <xdr:cNvSpPr txBox="1">
          <a:spLocks noChangeArrowheads="1"/>
        </xdr:cNvSpPr>
      </xdr:nvSpPr>
      <xdr:spPr bwMode="auto">
        <a:xfrm>
          <a:off x="4870450" y="4864100"/>
          <a:ext cx="14287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81" name="Text Box 17" hidden="1">
          <a:extLst>
            <a:ext uri="{FF2B5EF4-FFF2-40B4-BE49-F238E27FC236}">
              <a16:creationId xmlns:a16="http://schemas.microsoft.com/office/drawing/2014/main" id="{CFE26CDE-EFE4-B140-C3C8-3E35F7EE07E1}"/>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80" name="Text Box 16" hidden="1">
          <a:extLst>
            <a:ext uri="{FF2B5EF4-FFF2-40B4-BE49-F238E27FC236}">
              <a16:creationId xmlns:a16="http://schemas.microsoft.com/office/drawing/2014/main" id="{1843826B-0AE8-CC59-385B-6D6E21A7D2D5}"/>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79" name="Text Box 15" hidden="1">
          <a:extLst>
            <a:ext uri="{FF2B5EF4-FFF2-40B4-BE49-F238E27FC236}">
              <a16:creationId xmlns:a16="http://schemas.microsoft.com/office/drawing/2014/main" id="{16C002D6-6AEA-5D87-3FCB-5F6E3E26A1A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78" name="Text Box 14" hidden="1">
          <a:extLst>
            <a:ext uri="{FF2B5EF4-FFF2-40B4-BE49-F238E27FC236}">
              <a16:creationId xmlns:a16="http://schemas.microsoft.com/office/drawing/2014/main" id="{60A1CE44-8B28-B5FF-13A5-9D3C0961FC6F}"/>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77" name="Text Box 13" hidden="1">
          <a:extLst>
            <a:ext uri="{FF2B5EF4-FFF2-40B4-BE49-F238E27FC236}">
              <a16:creationId xmlns:a16="http://schemas.microsoft.com/office/drawing/2014/main" id="{1FA4D7B1-7C98-01DC-5DF6-B0B8FCCA8E94}"/>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23</xdr:row>
      <xdr:rowOff>266700</xdr:rowOff>
    </xdr:from>
    <xdr:to>
      <xdr:col>3</xdr:col>
      <xdr:colOff>304800</xdr:colOff>
      <xdr:row>26</xdr:row>
      <xdr:rowOff>19050</xdr:rowOff>
    </xdr:to>
    <xdr:sp macro="" textlink="">
      <xdr:nvSpPr>
        <xdr:cNvPr id="369676" name="Text Box 12" hidden="1">
          <a:extLst>
            <a:ext uri="{FF2B5EF4-FFF2-40B4-BE49-F238E27FC236}">
              <a16:creationId xmlns:a16="http://schemas.microsoft.com/office/drawing/2014/main" id="{1FAD3B03-4033-608D-CD2A-991996A0C6E5}"/>
            </a:ext>
          </a:extLst>
        </xdr:cNvPr>
        <xdr:cNvSpPr txBox="1">
          <a:spLocks noChangeArrowheads="1"/>
        </xdr:cNvSpPr>
      </xdr:nvSpPr>
      <xdr:spPr bwMode="auto">
        <a:xfrm>
          <a:off x="4864100" y="4857750"/>
          <a:ext cx="14287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87" name="Text Box 23" hidden="1">
          <a:extLst>
            <a:ext uri="{FF2B5EF4-FFF2-40B4-BE49-F238E27FC236}">
              <a16:creationId xmlns:a16="http://schemas.microsoft.com/office/drawing/2014/main" id="{03A337AB-F910-A012-AA13-1B784E958E9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86" name="Text Box 22" hidden="1">
          <a:extLst>
            <a:ext uri="{FF2B5EF4-FFF2-40B4-BE49-F238E27FC236}">
              <a16:creationId xmlns:a16="http://schemas.microsoft.com/office/drawing/2014/main" id="{038B49EC-39AA-D0F6-494F-E8A5C905343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85" name="Text Box 21" hidden="1">
          <a:extLst>
            <a:ext uri="{FF2B5EF4-FFF2-40B4-BE49-F238E27FC236}">
              <a16:creationId xmlns:a16="http://schemas.microsoft.com/office/drawing/2014/main" id="{65C452BB-9A8A-AC70-21AF-EDFD3233DE41}"/>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84" name="Text Box 20" hidden="1">
          <a:extLst>
            <a:ext uri="{FF2B5EF4-FFF2-40B4-BE49-F238E27FC236}">
              <a16:creationId xmlns:a16="http://schemas.microsoft.com/office/drawing/2014/main" id="{08327114-7EA9-FC5F-840A-D6DBF1C44631}"/>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83" name="Text Box 19" hidden="1">
          <a:extLst>
            <a:ext uri="{FF2B5EF4-FFF2-40B4-BE49-F238E27FC236}">
              <a16:creationId xmlns:a16="http://schemas.microsoft.com/office/drawing/2014/main" id="{251D830C-E06E-606D-7130-C95C0B44C172}"/>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23</xdr:row>
      <xdr:rowOff>266700</xdr:rowOff>
    </xdr:from>
    <xdr:to>
      <xdr:col>3</xdr:col>
      <xdr:colOff>304800</xdr:colOff>
      <xdr:row>26</xdr:row>
      <xdr:rowOff>19050</xdr:rowOff>
    </xdr:to>
    <xdr:sp macro="" textlink="">
      <xdr:nvSpPr>
        <xdr:cNvPr id="369682" name="Text Box 18" hidden="1">
          <a:extLst>
            <a:ext uri="{FF2B5EF4-FFF2-40B4-BE49-F238E27FC236}">
              <a16:creationId xmlns:a16="http://schemas.microsoft.com/office/drawing/2014/main" id="{0B84B283-A18C-2335-2A5B-56AA468E20E8}"/>
            </a:ext>
          </a:extLst>
        </xdr:cNvPr>
        <xdr:cNvSpPr txBox="1">
          <a:spLocks noChangeArrowheads="1"/>
        </xdr:cNvSpPr>
      </xdr:nvSpPr>
      <xdr:spPr bwMode="auto">
        <a:xfrm>
          <a:off x="4864100" y="4857750"/>
          <a:ext cx="14287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697" name="Text Box 9" hidden="1">
          <a:extLst>
            <a:ext uri="{FF2B5EF4-FFF2-40B4-BE49-F238E27FC236}">
              <a16:creationId xmlns:a16="http://schemas.microsoft.com/office/drawing/2014/main" id="{48FD212B-7865-CFCA-89E7-1969A4FC2E6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696" name="Text Box 8" hidden="1">
          <a:extLst>
            <a:ext uri="{FF2B5EF4-FFF2-40B4-BE49-F238E27FC236}">
              <a16:creationId xmlns:a16="http://schemas.microsoft.com/office/drawing/2014/main" id="{D9FE2A2E-0396-0B31-B649-F1BB1C0FEF3C}"/>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695" name="Text Box 7" hidden="1">
          <a:extLst>
            <a:ext uri="{FF2B5EF4-FFF2-40B4-BE49-F238E27FC236}">
              <a16:creationId xmlns:a16="http://schemas.microsoft.com/office/drawing/2014/main" id="{CD59EE58-A16F-4FF1-6112-63636E1A7D0A}"/>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694" name="Text Box 6" hidden="1">
          <a:extLst>
            <a:ext uri="{FF2B5EF4-FFF2-40B4-BE49-F238E27FC236}">
              <a16:creationId xmlns:a16="http://schemas.microsoft.com/office/drawing/2014/main" id="{B3F670BA-5154-2389-F20A-E2BB8391850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693" name="Text Box 5" hidden="1">
          <a:extLst>
            <a:ext uri="{FF2B5EF4-FFF2-40B4-BE49-F238E27FC236}">
              <a16:creationId xmlns:a16="http://schemas.microsoft.com/office/drawing/2014/main" id="{9789D907-4E8A-E577-4C25-1DF9A6D3DEFA}"/>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692" name="Text Box 4" hidden="1">
          <a:extLst>
            <a:ext uri="{FF2B5EF4-FFF2-40B4-BE49-F238E27FC236}">
              <a16:creationId xmlns:a16="http://schemas.microsoft.com/office/drawing/2014/main" id="{9BA0AFF1-4F4D-1C72-6FF0-35899AF7382E}"/>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691" name="Text Box 3" hidden="1">
          <a:extLst>
            <a:ext uri="{FF2B5EF4-FFF2-40B4-BE49-F238E27FC236}">
              <a16:creationId xmlns:a16="http://schemas.microsoft.com/office/drawing/2014/main" id="{6543FD30-8E83-73FA-B4B0-24ED81AD9D75}"/>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690" name="Text Box 2" hidden="1">
          <a:extLst>
            <a:ext uri="{FF2B5EF4-FFF2-40B4-BE49-F238E27FC236}">
              <a16:creationId xmlns:a16="http://schemas.microsoft.com/office/drawing/2014/main" id="{FBADFB1A-3E9F-9C6C-C1E8-F4C357DFB7C3}"/>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689" name="Text Box 1" hidden="1">
          <a:extLst>
            <a:ext uri="{FF2B5EF4-FFF2-40B4-BE49-F238E27FC236}">
              <a16:creationId xmlns:a16="http://schemas.microsoft.com/office/drawing/2014/main" id="{063B4B66-C8CC-06E3-F6DF-48C0B64F9C27}"/>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06" name="Text Box 18" hidden="1">
          <a:extLst>
            <a:ext uri="{FF2B5EF4-FFF2-40B4-BE49-F238E27FC236}">
              <a16:creationId xmlns:a16="http://schemas.microsoft.com/office/drawing/2014/main" id="{D84B72CD-C9D1-5D5E-983B-4C82D342488A}"/>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05" name="Text Box 17" hidden="1">
          <a:extLst>
            <a:ext uri="{FF2B5EF4-FFF2-40B4-BE49-F238E27FC236}">
              <a16:creationId xmlns:a16="http://schemas.microsoft.com/office/drawing/2014/main" id="{ABE3996D-8B34-A51F-1ED0-F73690CCFF68}"/>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04" name="Text Box 16" hidden="1">
          <a:extLst>
            <a:ext uri="{FF2B5EF4-FFF2-40B4-BE49-F238E27FC236}">
              <a16:creationId xmlns:a16="http://schemas.microsoft.com/office/drawing/2014/main" id="{B25EB003-94BC-B976-C22B-90C794D185BA}"/>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03" name="Text Box 15" hidden="1">
          <a:extLst>
            <a:ext uri="{FF2B5EF4-FFF2-40B4-BE49-F238E27FC236}">
              <a16:creationId xmlns:a16="http://schemas.microsoft.com/office/drawing/2014/main" id="{A76DB991-B741-46B0-7F7F-437A76A829CB}"/>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02" name="Text Box 14" hidden="1">
          <a:extLst>
            <a:ext uri="{FF2B5EF4-FFF2-40B4-BE49-F238E27FC236}">
              <a16:creationId xmlns:a16="http://schemas.microsoft.com/office/drawing/2014/main" id="{7097E62F-7EC4-3F96-2101-9C10E1A7276B}"/>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01" name="Text Box 13" hidden="1">
          <a:extLst>
            <a:ext uri="{FF2B5EF4-FFF2-40B4-BE49-F238E27FC236}">
              <a16:creationId xmlns:a16="http://schemas.microsoft.com/office/drawing/2014/main" id="{9E9260A0-C4EE-EF70-E649-7CBCE8EA677E}"/>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00" name="Text Box 12" hidden="1">
          <a:extLst>
            <a:ext uri="{FF2B5EF4-FFF2-40B4-BE49-F238E27FC236}">
              <a16:creationId xmlns:a16="http://schemas.microsoft.com/office/drawing/2014/main" id="{657EE45F-D2A9-206C-43FC-8208A6B8FE4B}"/>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699" name="Text Box 11" hidden="1">
          <a:extLst>
            <a:ext uri="{FF2B5EF4-FFF2-40B4-BE49-F238E27FC236}">
              <a16:creationId xmlns:a16="http://schemas.microsoft.com/office/drawing/2014/main" id="{1D3F628C-A68A-DDB8-854E-6368C9ABD89B}"/>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698" name="Text Box 10" hidden="1">
          <a:extLst>
            <a:ext uri="{FF2B5EF4-FFF2-40B4-BE49-F238E27FC236}">
              <a16:creationId xmlns:a16="http://schemas.microsoft.com/office/drawing/2014/main" id="{5AB2309C-13D7-2BAF-FA96-0F56641BED46}"/>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15" name="Text Box 27" hidden="1">
          <a:extLst>
            <a:ext uri="{FF2B5EF4-FFF2-40B4-BE49-F238E27FC236}">
              <a16:creationId xmlns:a16="http://schemas.microsoft.com/office/drawing/2014/main" id="{DAD90473-7475-20DB-BA81-F6FA87F7E37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14" name="Text Box 26" hidden="1">
          <a:extLst>
            <a:ext uri="{FF2B5EF4-FFF2-40B4-BE49-F238E27FC236}">
              <a16:creationId xmlns:a16="http://schemas.microsoft.com/office/drawing/2014/main" id="{F71EDBF1-23E9-9C65-937C-B531F830D683}"/>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13" name="Text Box 25" hidden="1">
          <a:extLst>
            <a:ext uri="{FF2B5EF4-FFF2-40B4-BE49-F238E27FC236}">
              <a16:creationId xmlns:a16="http://schemas.microsoft.com/office/drawing/2014/main" id="{1DEE8A0A-9190-A3ED-931E-4B9786298657}"/>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12" name="Text Box 24" hidden="1">
          <a:extLst>
            <a:ext uri="{FF2B5EF4-FFF2-40B4-BE49-F238E27FC236}">
              <a16:creationId xmlns:a16="http://schemas.microsoft.com/office/drawing/2014/main" id="{45033F3F-D4B6-7252-3F74-4287237F4E54}"/>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11" name="Text Box 23" hidden="1">
          <a:extLst>
            <a:ext uri="{FF2B5EF4-FFF2-40B4-BE49-F238E27FC236}">
              <a16:creationId xmlns:a16="http://schemas.microsoft.com/office/drawing/2014/main" id="{FF8009B1-C8A6-DC2B-6D3E-713B4957F72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10" name="Text Box 22" hidden="1">
          <a:extLst>
            <a:ext uri="{FF2B5EF4-FFF2-40B4-BE49-F238E27FC236}">
              <a16:creationId xmlns:a16="http://schemas.microsoft.com/office/drawing/2014/main" id="{3F65B23C-C97E-C87C-3EA0-8E8857CC870B}"/>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09" name="Text Box 21" hidden="1">
          <a:extLst>
            <a:ext uri="{FF2B5EF4-FFF2-40B4-BE49-F238E27FC236}">
              <a16:creationId xmlns:a16="http://schemas.microsoft.com/office/drawing/2014/main" id="{1B3191BE-053D-75B7-C055-425C8D7C463B}"/>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708" name="Text Box 20" hidden="1">
          <a:extLst>
            <a:ext uri="{FF2B5EF4-FFF2-40B4-BE49-F238E27FC236}">
              <a16:creationId xmlns:a16="http://schemas.microsoft.com/office/drawing/2014/main" id="{C23FA101-0115-D8DB-F83C-78982B72E7FF}"/>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707" name="Text Box 19" hidden="1">
          <a:extLst>
            <a:ext uri="{FF2B5EF4-FFF2-40B4-BE49-F238E27FC236}">
              <a16:creationId xmlns:a16="http://schemas.microsoft.com/office/drawing/2014/main" id="{880BDBEE-076B-3095-4780-4AFB7900F63A}"/>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24" name="Text Box 36" hidden="1">
          <a:extLst>
            <a:ext uri="{FF2B5EF4-FFF2-40B4-BE49-F238E27FC236}">
              <a16:creationId xmlns:a16="http://schemas.microsoft.com/office/drawing/2014/main" id="{8C2DE350-F7AA-0388-678B-579B941A8351}"/>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23" name="Text Box 35" hidden="1">
          <a:extLst>
            <a:ext uri="{FF2B5EF4-FFF2-40B4-BE49-F238E27FC236}">
              <a16:creationId xmlns:a16="http://schemas.microsoft.com/office/drawing/2014/main" id="{8F2E6E97-1B59-C5E2-D090-B3AFFDB30C5A}"/>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22" name="Text Box 34" hidden="1">
          <a:extLst>
            <a:ext uri="{FF2B5EF4-FFF2-40B4-BE49-F238E27FC236}">
              <a16:creationId xmlns:a16="http://schemas.microsoft.com/office/drawing/2014/main" id="{58672E0E-3AD5-2064-3E59-81F5478825B5}"/>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21" name="Text Box 33" hidden="1">
          <a:extLst>
            <a:ext uri="{FF2B5EF4-FFF2-40B4-BE49-F238E27FC236}">
              <a16:creationId xmlns:a16="http://schemas.microsoft.com/office/drawing/2014/main" id="{B3E6DB80-DF0C-636B-52FD-BD8DF8219B7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20" name="Text Box 32" hidden="1">
          <a:extLst>
            <a:ext uri="{FF2B5EF4-FFF2-40B4-BE49-F238E27FC236}">
              <a16:creationId xmlns:a16="http://schemas.microsoft.com/office/drawing/2014/main" id="{1803AEB8-A8ED-4F19-0892-948AB7822A4A}"/>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19" name="Text Box 31" hidden="1">
          <a:extLst>
            <a:ext uri="{FF2B5EF4-FFF2-40B4-BE49-F238E27FC236}">
              <a16:creationId xmlns:a16="http://schemas.microsoft.com/office/drawing/2014/main" id="{AB6C105F-916A-D088-D1B9-258488C47C0A}"/>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18" name="Text Box 30" hidden="1">
          <a:extLst>
            <a:ext uri="{FF2B5EF4-FFF2-40B4-BE49-F238E27FC236}">
              <a16:creationId xmlns:a16="http://schemas.microsoft.com/office/drawing/2014/main" id="{9A27BEE7-53DE-AECF-EC34-CB19216C559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717" name="Text Box 29" hidden="1">
          <a:extLst>
            <a:ext uri="{FF2B5EF4-FFF2-40B4-BE49-F238E27FC236}">
              <a16:creationId xmlns:a16="http://schemas.microsoft.com/office/drawing/2014/main" id="{BD53FE8A-4719-C491-99CE-8DF2BE920218}"/>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716" name="Text Box 28" hidden="1">
          <a:extLst>
            <a:ext uri="{FF2B5EF4-FFF2-40B4-BE49-F238E27FC236}">
              <a16:creationId xmlns:a16="http://schemas.microsoft.com/office/drawing/2014/main" id="{654A5B18-72E7-F80A-5428-25A3272C17EC}"/>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19" name="Text Box 7" hidden="1">
          <a:extLst>
            <a:ext uri="{FF2B5EF4-FFF2-40B4-BE49-F238E27FC236}">
              <a16:creationId xmlns:a16="http://schemas.microsoft.com/office/drawing/2014/main" id="{48EE7FA5-0D9B-D598-9E41-DD96D2A0B66E}"/>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18" name="Text Box 6" hidden="1">
          <a:extLst>
            <a:ext uri="{FF2B5EF4-FFF2-40B4-BE49-F238E27FC236}">
              <a16:creationId xmlns:a16="http://schemas.microsoft.com/office/drawing/2014/main" id="{611583D3-0BB2-F942-A6B8-DAAA5F5580D7}"/>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17" name="Text Box 5" hidden="1">
          <a:extLst>
            <a:ext uri="{FF2B5EF4-FFF2-40B4-BE49-F238E27FC236}">
              <a16:creationId xmlns:a16="http://schemas.microsoft.com/office/drawing/2014/main" id="{E489195E-F419-B5FC-9A26-FDA7679F4BDE}"/>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16" name="Text Box 4" hidden="1">
          <a:extLst>
            <a:ext uri="{FF2B5EF4-FFF2-40B4-BE49-F238E27FC236}">
              <a16:creationId xmlns:a16="http://schemas.microsoft.com/office/drawing/2014/main" id="{C200C11A-435D-36A6-7EC7-8ABD9D45DE9F}"/>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15" name="Text Box 3" hidden="1">
          <a:extLst>
            <a:ext uri="{FF2B5EF4-FFF2-40B4-BE49-F238E27FC236}">
              <a16:creationId xmlns:a16="http://schemas.microsoft.com/office/drawing/2014/main" id="{21A2A100-2E86-9996-A3B4-167A2D099320}"/>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1714" name="Text Box 2" hidden="1">
          <a:extLst>
            <a:ext uri="{FF2B5EF4-FFF2-40B4-BE49-F238E27FC236}">
              <a16:creationId xmlns:a16="http://schemas.microsoft.com/office/drawing/2014/main" id="{186D1B53-0413-6A8F-41F8-94B7D41CFB9B}"/>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1713" name="Text Box 1" hidden="1">
          <a:extLst>
            <a:ext uri="{FF2B5EF4-FFF2-40B4-BE49-F238E27FC236}">
              <a16:creationId xmlns:a16="http://schemas.microsoft.com/office/drawing/2014/main" id="{BE8AF546-9BA3-9AFD-4E6A-81D380742B5C}"/>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26" name="Text Box 14" hidden="1">
          <a:extLst>
            <a:ext uri="{FF2B5EF4-FFF2-40B4-BE49-F238E27FC236}">
              <a16:creationId xmlns:a16="http://schemas.microsoft.com/office/drawing/2014/main" id="{26DCC8A2-D04E-A495-272E-AC4AC377D520}"/>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25" name="Text Box 13" hidden="1">
          <a:extLst>
            <a:ext uri="{FF2B5EF4-FFF2-40B4-BE49-F238E27FC236}">
              <a16:creationId xmlns:a16="http://schemas.microsoft.com/office/drawing/2014/main" id="{85FF23E3-290F-1BFE-7D12-F84AF869358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24" name="Text Box 12" hidden="1">
          <a:extLst>
            <a:ext uri="{FF2B5EF4-FFF2-40B4-BE49-F238E27FC236}">
              <a16:creationId xmlns:a16="http://schemas.microsoft.com/office/drawing/2014/main" id="{5F871FE6-7313-3AB0-994E-B118F391E527}"/>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23" name="Text Box 11" hidden="1">
          <a:extLst>
            <a:ext uri="{FF2B5EF4-FFF2-40B4-BE49-F238E27FC236}">
              <a16:creationId xmlns:a16="http://schemas.microsoft.com/office/drawing/2014/main" id="{DDC32EBF-CE2B-265B-7CC7-BB2A6C3DD988}"/>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22" name="Text Box 10" hidden="1">
          <a:extLst>
            <a:ext uri="{FF2B5EF4-FFF2-40B4-BE49-F238E27FC236}">
              <a16:creationId xmlns:a16="http://schemas.microsoft.com/office/drawing/2014/main" id="{3A0C280B-6012-8AAC-E8B2-9E9D450F703C}"/>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1721" name="Text Box 9" hidden="1">
          <a:extLst>
            <a:ext uri="{FF2B5EF4-FFF2-40B4-BE49-F238E27FC236}">
              <a16:creationId xmlns:a16="http://schemas.microsoft.com/office/drawing/2014/main" id="{4A3B6C97-2C6F-DE03-5F1E-CDFC092B22E0}"/>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1720" name="Text Box 8" hidden="1">
          <a:extLst>
            <a:ext uri="{FF2B5EF4-FFF2-40B4-BE49-F238E27FC236}">
              <a16:creationId xmlns:a16="http://schemas.microsoft.com/office/drawing/2014/main" id="{50AEA468-C7CB-B741-9657-4764E93D78F4}"/>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33" name="Text Box 21" hidden="1">
          <a:extLst>
            <a:ext uri="{FF2B5EF4-FFF2-40B4-BE49-F238E27FC236}">
              <a16:creationId xmlns:a16="http://schemas.microsoft.com/office/drawing/2014/main" id="{C20A5E1B-5997-04FD-6554-7C4116E34DD8}"/>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32" name="Text Box 20" hidden="1">
          <a:extLst>
            <a:ext uri="{FF2B5EF4-FFF2-40B4-BE49-F238E27FC236}">
              <a16:creationId xmlns:a16="http://schemas.microsoft.com/office/drawing/2014/main" id="{0EC07130-F54D-02DF-C51F-31FFC1E3B35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31" name="Text Box 19" hidden="1">
          <a:extLst>
            <a:ext uri="{FF2B5EF4-FFF2-40B4-BE49-F238E27FC236}">
              <a16:creationId xmlns:a16="http://schemas.microsoft.com/office/drawing/2014/main" id="{4A85DC28-7B5C-2D11-378C-C1D218479F6E}"/>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30" name="Text Box 18" hidden="1">
          <a:extLst>
            <a:ext uri="{FF2B5EF4-FFF2-40B4-BE49-F238E27FC236}">
              <a16:creationId xmlns:a16="http://schemas.microsoft.com/office/drawing/2014/main" id="{D64E7059-2ADC-B05F-728F-5103D0539C0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29" name="Text Box 17" hidden="1">
          <a:extLst>
            <a:ext uri="{FF2B5EF4-FFF2-40B4-BE49-F238E27FC236}">
              <a16:creationId xmlns:a16="http://schemas.microsoft.com/office/drawing/2014/main" id="{FEFAC81B-E206-9EB6-906B-1930D6F712FB}"/>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304800</xdr:rowOff>
    </xdr:to>
    <xdr:sp macro="" textlink="">
      <xdr:nvSpPr>
        <xdr:cNvPr id="371736" name="Text Box 24" hidden="1">
          <a:extLst>
            <a:ext uri="{FF2B5EF4-FFF2-40B4-BE49-F238E27FC236}">
              <a16:creationId xmlns:a16="http://schemas.microsoft.com/office/drawing/2014/main" id="{82BFC7BC-BF84-BB0E-6D66-B0042A77AB92}"/>
            </a:ext>
          </a:extLst>
        </xdr:cNvPr>
        <xdr:cNvSpPr txBox="1">
          <a:spLocks noChangeArrowheads="1"/>
        </xdr:cNvSpPr>
      </xdr:nvSpPr>
      <xdr:spPr bwMode="auto">
        <a:xfrm>
          <a:off x="7226300" y="5848350"/>
          <a:ext cx="13081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42" name="Text Box 30" hidden="1">
          <a:extLst>
            <a:ext uri="{FF2B5EF4-FFF2-40B4-BE49-F238E27FC236}">
              <a16:creationId xmlns:a16="http://schemas.microsoft.com/office/drawing/2014/main" id="{AE63C8C8-F2B0-29A8-E0B8-A99F9B18A107}"/>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41" name="Text Box 29" hidden="1">
          <a:extLst>
            <a:ext uri="{FF2B5EF4-FFF2-40B4-BE49-F238E27FC236}">
              <a16:creationId xmlns:a16="http://schemas.microsoft.com/office/drawing/2014/main" id="{9DFB919B-7020-5A57-ED8B-45410B48D0E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40" name="Text Box 28" hidden="1">
          <a:extLst>
            <a:ext uri="{FF2B5EF4-FFF2-40B4-BE49-F238E27FC236}">
              <a16:creationId xmlns:a16="http://schemas.microsoft.com/office/drawing/2014/main" id="{99D2DA30-6EF1-5C53-40EB-3F2ABDE2C421}"/>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39" name="Text Box 27" hidden="1">
          <a:extLst>
            <a:ext uri="{FF2B5EF4-FFF2-40B4-BE49-F238E27FC236}">
              <a16:creationId xmlns:a16="http://schemas.microsoft.com/office/drawing/2014/main" id="{96AFD9E8-34AD-82AA-F893-37B31AE21FC2}"/>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38" name="Text Box 26" hidden="1">
          <a:extLst>
            <a:ext uri="{FF2B5EF4-FFF2-40B4-BE49-F238E27FC236}">
              <a16:creationId xmlns:a16="http://schemas.microsoft.com/office/drawing/2014/main" id="{95AA0451-A8F0-8BFD-B8D0-F7EBE9FDD357}"/>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304800</xdr:rowOff>
    </xdr:to>
    <xdr:sp macro="" textlink="">
      <xdr:nvSpPr>
        <xdr:cNvPr id="371737" name="Text Box 25" hidden="1">
          <a:extLst>
            <a:ext uri="{FF2B5EF4-FFF2-40B4-BE49-F238E27FC236}">
              <a16:creationId xmlns:a16="http://schemas.microsoft.com/office/drawing/2014/main" id="{A5593621-A9C8-34CA-8038-2912B269A494}"/>
            </a:ext>
          </a:extLst>
        </xdr:cNvPr>
        <xdr:cNvSpPr txBox="1">
          <a:spLocks noChangeArrowheads="1"/>
        </xdr:cNvSpPr>
      </xdr:nvSpPr>
      <xdr:spPr bwMode="auto">
        <a:xfrm>
          <a:off x="7226300" y="5848350"/>
          <a:ext cx="13081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21</xdr:row>
      <xdr:rowOff>105621</xdr:rowOff>
    </xdr:from>
    <xdr:to>
      <xdr:col>6</xdr:col>
      <xdr:colOff>0</xdr:colOff>
      <xdr:row>24</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150855</xdr:rowOff>
    </xdr:from>
    <xdr:to>
      <xdr:col>4</xdr:col>
      <xdr:colOff>228600</xdr:colOff>
      <xdr:row>30</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21</xdr:row>
      <xdr:rowOff>105621</xdr:rowOff>
    </xdr:from>
    <xdr:to>
      <xdr:col>6</xdr:col>
      <xdr:colOff>0</xdr:colOff>
      <xdr:row>24</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150855</xdr:rowOff>
    </xdr:from>
    <xdr:to>
      <xdr:col>4</xdr:col>
      <xdr:colOff>228600</xdr:colOff>
      <xdr:row>30</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22</xdr:row>
      <xdr:rowOff>57150</xdr:rowOff>
    </xdr:from>
    <xdr:to>
      <xdr:col>4</xdr:col>
      <xdr:colOff>450215</xdr:colOff>
      <xdr:row>26</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450215</xdr:colOff>
      <xdr:row>21</xdr:row>
      <xdr:rowOff>218722</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450215</xdr:colOff>
      <xdr:row>21</xdr:row>
      <xdr:rowOff>218722</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450215</xdr:colOff>
      <xdr:row>21</xdr:row>
      <xdr:rowOff>218722</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419100</xdr:colOff>
      <xdr:row>21</xdr:row>
      <xdr:rowOff>218722</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10230</xdr:rowOff>
    </xdr:from>
    <xdr:to>
      <xdr:col>4</xdr:col>
      <xdr:colOff>419100</xdr:colOff>
      <xdr:row>21</xdr:row>
      <xdr:rowOff>218722</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10230</xdr:rowOff>
    </xdr:from>
    <xdr:to>
      <xdr:col>4</xdr:col>
      <xdr:colOff>419100</xdr:colOff>
      <xdr:row>21</xdr:row>
      <xdr:rowOff>218722</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10230</xdr:rowOff>
    </xdr:from>
    <xdr:to>
      <xdr:col>4</xdr:col>
      <xdr:colOff>419100</xdr:colOff>
      <xdr:row>21</xdr:row>
      <xdr:rowOff>218722</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200025</xdr:rowOff>
    </xdr:from>
    <xdr:to>
      <xdr:col>4</xdr:col>
      <xdr:colOff>419100</xdr:colOff>
      <xdr:row>22</xdr:row>
      <xdr:rowOff>200730</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200025</xdr:rowOff>
    </xdr:from>
    <xdr:to>
      <xdr:col>4</xdr:col>
      <xdr:colOff>419100</xdr:colOff>
      <xdr:row>22</xdr:row>
      <xdr:rowOff>200730</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200025</xdr:rowOff>
    </xdr:from>
    <xdr:to>
      <xdr:col>4</xdr:col>
      <xdr:colOff>419100</xdr:colOff>
      <xdr:row>22</xdr:row>
      <xdr:rowOff>200730</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221050</xdr:rowOff>
    </xdr:from>
    <xdr:to>
      <xdr:col>4</xdr:col>
      <xdr:colOff>419100</xdr:colOff>
      <xdr:row>22</xdr:row>
      <xdr:rowOff>219991</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226342</xdr:rowOff>
    </xdr:from>
    <xdr:to>
      <xdr:col>4</xdr:col>
      <xdr:colOff>419100</xdr:colOff>
      <xdr:row>22</xdr:row>
      <xdr:rowOff>221050</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202847</xdr:rowOff>
    </xdr:from>
    <xdr:to>
      <xdr:col>4</xdr:col>
      <xdr:colOff>419100</xdr:colOff>
      <xdr:row>22</xdr:row>
      <xdr:rowOff>219780</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151341</xdr:rowOff>
    </xdr:from>
    <xdr:to>
      <xdr:col>4</xdr:col>
      <xdr:colOff>266700</xdr:colOff>
      <xdr:row>21</xdr:row>
      <xdr:rowOff>139700</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15</xdr:row>
      <xdr:rowOff>55033</xdr:rowOff>
    </xdr:from>
    <xdr:to>
      <xdr:col>4</xdr:col>
      <xdr:colOff>419100</xdr:colOff>
      <xdr:row>18</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15</xdr:row>
      <xdr:rowOff>55033</xdr:rowOff>
    </xdr:from>
    <xdr:to>
      <xdr:col>4</xdr:col>
      <xdr:colOff>419100</xdr:colOff>
      <xdr:row>18</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15</xdr:row>
      <xdr:rowOff>55033</xdr:rowOff>
    </xdr:from>
    <xdr:to>
      <xdr:col>4</xdr:col>
      <xdr:colOff>419100</xdr:colOff>
      <xdr:row>18</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2739" name="Text Box 3" hidden="1">
          <a:extLst>
            <a:ext uri="{FF2B5EF4-FFF2-40B4-BE49-F238E27FC236}">
              <a16:creationId xmlns:a16="http://schemas.microsoft.com/office/drawing/2014/main" id="{CB0A40A6-7DB8-9A97-19EC-942270936995}"/>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2738" name="Text Box 2" hidden="1">
          <a:extLst>
            <a:ext uri="{FF2B5EF4-FFF2-40B4-BE49-F238E27FC236}">
              <a16:creationId xmlns:a16="http://schemas.microsoft.com/office/drawing/2014/main" id="{91ADF157-2435-9104-D128-990161B2DC25}"/>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2737" name="Text Box 1" hidden="1">
          <a:extLst>
            <a:ext uri="{FF2B5EF4-FFF2-40B4-BE49-F238E27FC236}">
              <a16:creationId xmlns:a16="http://schemas.microsoft.com/office/drawing/2014/main" id="{7C2E0D97-A28B-8CB2-39B2-9115A2FD06B8}"/>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2742" name="Text Box 6" hidden="1">
          <a:extLst>
            <a:ext uri="{FF2B5EF4-FFF2-40B4-BE49-F238E27FC236}">
              <a16:creationId xmlns:a16="http://schemas.microsoft.com/office/drawing/2014/main" id="{D5893008-A7BA-1115-8281-4C6B2E3F3314}"/>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2741" name="Text Box 5" hidden="1">
          <a:extLst>
            <a:ext uri="{FF2B5EF4-FFF2-40B4-BE49-F238E27FC236}">
              <a16:creationId xmlns:a16="http://schemas.microsoft.com/office/drawing/2014/main" id="{CB734583-5005-293F-3926-F3CE0475A20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19050</xdr:rowOff>
    </xdr:from>
    <xdr:to>
      <xdr:col>4</xdr:col>
      <xdr:colOff>419100</xdr:colOff>
      <xdr:row>21</xdr:row>
      <xdr:rowOff>57150</xdr:rowOff>
    </xdr:to>
    <xdr:sp macro="" textlink="">
      <xdr:nvSpPr>
        <xdr:cNvPr id="372744" name="Text Box 8" hidden="1">
          <a:extLst>
            <a:ext uri="{FF2B5EF4-FFF2-40B4-BE49-F238E27FC236}">
              <a16:creationId xmlns:a16="http://schemas.microsoft.com/office/drawing/2014/main" id="{28536CFD-9C02-51DD-1EFD-E3B3A8D2C8BC}"/>
            </a:ext>
          </a:extLst>
        </xdr:cNvPr>
        <xdr:cNvSpPr txBox="1">
          <a:spLocks noChangeArrowheads="1"/>
        </xdr:cNvSpPr>
      </xdr:nvSpPr>
      <xdr:spPr bwMode="auto">
        <a:xfrm>
          <a:off x="3867150" y="3441700"/>
          <a:ext cx="1441450"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95250</xdr:rowOff>
    </xdr:from>
    <xdr:to>
      <xdr:col>10</xdr:col>
      <xdr:colOff>57150</xdr:colOff>
      <xdr:row>29</xdr:row>
      <xdr:rowOff>171450</xdr:rowOff>
    </xdr:to>
    <xdr:sp macro="" textlink="">
      <xdr:nvSpPr>
        <xdr:cNvPr id="372743" name="Text Box 7" hidden="1">
          <a:extLst>
            <a:ext uri="{FF2B5EF4-FFF2-40B4-BE49-F238E27FC236}">
              <a16:creationId xmlns:a16="http://schemas.microsoft.com/office/drawing/2014/main" id="{EF282150-EB86-0A3F-EC88-EA0F287FBF02}"/>
            </a:ext>
          </a:extLst>
        </xdr:cNvPr>
        <xdr:cNvSpPr txBox="1">
          <a:spLocks noChangeArrowheads="1"/>
        </xdr:cNvSpPr>
      </xdr:nvSpPr>
      <xdr:spPr bwMode="auto">
        <a:xfrm>
          <a:off x="7581900" y="523875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19050</xdr:rowOff>
    </xdr:from>
    <xdr:to>
      <xdr:col>4</xdr:col>
      <xdr:colOff>419100</xdr:colOff>
      <xdr:row>21</xdr:row>
      <xdr:rowOff>57150</xdr:rowOff>
    </xdr:to>
    <xdr:sp macro="" textlink="">
      <xdr:nvSpPr>
        <xdr:cNvPr id="372746" name="Text Box 10" hidden="1">
          <a:extLst>
            <a:ext uri="{FF2B5EF4-FFF2-40B4-BE49-F238E27FC236}">
              <a16:creationId xmlns:a16="http://schemas.microsoft.com/office/drawing/2014/main" id="{B2323F85-98B9-60D8-4069-0D21E628B503}"/>
            </a:ext>
          </a:extLst>
        </xdr:cNvPr>
        <xdr:cNvSpPr txBox="1">
          <a:spLocks noChangeArrowheads="1"/>
        </xdr:cNvSpPr>
      </xdr:nvSpPr>
      <xdr:spPr bwMode="auto">
        <a:xfrm>
          <a:off x="3867150" y="3441700"/>
          <a:ext cx="1441450"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95250</xdr:rowOff>
    </xdr:from>
    <xdr:to>
      <xdr:col>10</xdr:col>
      <xdr:colOff>57150</xdr:colOff>
      <xdr:row>29</xdr:row>
      <xdr:rowOff>171450</xdr:rowOff>
    </xdr:to>
    <xdr:sp macro="" textlink="">
      <xdr:nvSpPr>
        <xdr:cNvPr id="372745" name="Text Box 9" hidden="1">
          <a:extLst>
            <a:ext uri="{FF2B5EF4-FFF2-40B4-BE49-F238E27FC236}">
              <a16:creationId xmlns:a16="http://schemas.microsoft.com/office/drawing/2014/main" id="{EA947F61-767D-117F-9A30-464D0DDB6ABF}"/>
            </a:ext>
          </a:extLst>
        </xdr:cNvPr>
        <xdr:cNvSpPr txBox="1">
          <a:spLocks noChangeArrowheads="1"/>
        </xdr:cNvSpPr>
      </xdr:nvSpPr>
      <xdr:spPr bwMode="auto">
        <a:xfrm>
          <a:off x="7581900" y="523875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1" name="Text Box 1" hidden="1">
          <a:extLst>
            <a:ext uri="{FF2B5EF4-FFF2-40B4-BE49-F238E27FC236}">
              <a16:creationId xmlns:a16="http://schemas.microsoft.com/office/drawing/2014/main" id="{39C1559E-4D8A-51DC-16B3-852E88736B3A}"/>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2" name="Text Box 2" hidden="1">
          <a:extLst>
            <a:ext uri="{FF2B5EF4-FFF2-40B4-BE49-F238E27FC236}">
              <a16:creationId xmlns:a16="http://schemas.microsoft.com/office/drawing/2014/main" id="{392F3915-6493-302B-8F54-7F85D173F089}"/>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3" name="Text Box 3" hidden="1">
          <a:extLst>
            <a:ext uri="{FF2B5EF4-FFF2-40B4-BE49-F238E27FC236}">
              <a16:creationId xmlns:a16="http://schemas.microsoft.com/office/drawing/2014/main" id="{E4998747-FE39-041E-4DA9-6FED3B4FAE40}"/>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4" name="Text Box 4" hidden="1">
          <a:extLst>
            <a:ext uri="{FF2B5EF4-FFF2-40B4-BE49-F238E27FC236}">
              <a16:creationId xmlns:a16="http://schemas.microsoft.com/office/drawing/2014/main" id="{BC179C04-90F6-8D9B-00FA-898B83059289}"/>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169232</xdr:colOff>
      <xdr:row>91</xdr:row>
      <xdr:rowOff>714159</xdr:rowOff>
    </xdr:from>
    <xdr:to>
      <xdr:col>8</xdr:col>
      <xdr:colOff>274913</xdr:colOff>
      <xdr:row>91</xdr:row>
      <xdr:rowOff>714159</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91</xdr:row>
      <xdr:rowOff>714159</xdr:rowOff>
    </xdr:from>
    <xdr:to>
      <xdr:col>11</xdr:col>
      <xdr:colOff>235329</xdr:colOff>
      <xdr:row>91</xdr:row>
      <xdr:rowOff>714159</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52</xdr:row>
      <xdr:rowOff>171674</xdr:rowOff>
    </xdr:from>
    <xdr:to>
      <xdr:col>1</xdr:col>
      <xdr:colOff>4255844</xdr:colOff>
      <xdr:row>54</xdr:row>
      <xdr:rowOff>278568</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91</xdr:row>
      <xdr:rowOff>714159</xdr:rowOff>
    </xdr:from>
    <xdr:to>
      <xdr:col>8</xdr:col>
      <xdr:colOff>274913</xdr:colOff>
      <xdr:row>91</xdr:row>
      <xdr:rowOff>714159</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91</xdr:row>
      <xdr:rowOff>714159</xdr:rowOff>
    </xdr:from>
    <xdr:to>
      <xdr:col>11</xdr:col>
      <xdr:colOff>235329</xdr:colOff>
      <xdr:row>91</xdr:row>
      <xdr:rowOff>714159</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260075</xdr:rowOff>
    </xdr:from>
    <xdr:to>
      <xdr:col>8</xdr:col>
      <xdr:colOff>274913</xdr:colOff>
      <xdr:row>74</xdr:row>
      <xdr:rowOff>260075</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260075</xdr:rowOff>
    </xdr:from>
    <xdr:to>
      <xdr:col>11</xdr:col>
      <xdr:colOff>235329</xdr:colOff>
      <xdr:row>74</xdr:row>
      <xdr:rowOff>260075</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260075</xdr:rowOff>
    </xdr:from>
    <xdr:to>
      <xdr:col>8</xdr:col>
      <xdr:colOff>274913</xdr:colOff>
      <xdr:row>74</xdr:row>
      <xdr:rowOff>260075</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260075</xdr:rowOff>
    </xdr:from>
    <xdr:to>
      <xdr:col>11</xdr:col>
      <xdr:colOff>235329</xdr:colOff>
      <xdr:row>74</xdr:row>
      <xdr:rowOff>260075</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74</xdr:row>
      <xdr:rowOff>260075</xdr:rowOff>
    </xdr:from>
    <xdr:to>
      <xdr:col>8</xdr:col>
      <xdr:colOff>287976</xdr:colOff>
      <xdr:row>74</xdr:row>
      <xdr:rowOff>260075</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74</xdr:row>
      <xdr:rowOff>260075</xdr:rowOff>
    </xdr:from>
    <xdr:to>
      <xdr:col>11</xdr:col>
      <xdr:colOff>248392</xdr:colOff>
      <xdr:row>74</xdr:row>
      <xdr:rowOff>260075</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74</xdr:row>
      <xdr:rowOff>260075</xdr:rowOff>
    </xdr:from>
    <xdr:to>
      <xdr:col>8</xdr:col>
      <xdr:colOff>287976</xdr:colOff>
      <xdr:row>74</xdr:row>
      <xdr:rowOff>260075</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74</xdr:row>
      <xdr:rowOff>260075</xdr:rowOff>
    </xdr:from>
    <xdr:to>
      <xdr:col>11</xdr:col>
      <xdr:colOff>248392</xdr:colOff>
      <xdr:row>74</xdr:row>
      <xdr:rowOff>260075</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74</xdr:row>
      <xdr:rowOff>121033</xdr:rowOff>
    </xdr:from>
    <xdr:to>
      <xdr:col>8</xdr:col>
      <xdr:colOff>254321</xdr:colOff>
      <xdr:row>74</xdr:row>
      <xdr:rowOff>121033</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74</xdr:row>
      <xdr:rowOff>121033</xdr:rowOff>
    </xdr:from>
    <xdr:to>
      <xdr:col>11</xdr:col>
      <xdr:colOff>211562</xdr:colOff>
      <xdr:row>74</xdr:row>
      <xdr:rowOff>121033</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71</xdr:row>
      <xdr:rowOff>59166</xdr:rowOff>
    </xdr:from>
    <xdr:to>
      <xdr:col>19</xdr:col>
      <xdr:colOff>591292</xdr:colOff>
      <xdr:row>74</xdr:row>
      <xdr:rowOff>28760</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121033</xdr:rowOff>
    </xdr:from>
    <xdr:to>
      <xdr:col>8</xdr:col>
      <xdr:colOff>249876</xdr:colOff>
      <xdr:row>74</xdr:row>
      <xdr:rowOff>121033</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121033</xdr:rowOff>
    </xdr:from>
    <xdr:to>
      <xdr:col>11</xdr:col>
      <xdr:colOff>210292</xdr:colOff>
      <xdr:row>74</xdr:row>
      <xdr:rowOff>121033</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71</xdr:row>
      <xdr:rowOff>59166</xdr:rowOff>
    </xdr:from>
    <xdr:to>
      <xdr:col>19</xdr:col>
      <xdr:colOff>591292</xdr:colOff>
      <xdr:row>74</xdr:row>
      <xdr:rowOff>8440</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121033</xdr:rowOff>
    </xdr:from>
    <xdr:to>
      <xdr:col>8</xdr:col>
      <xdr:colOff>249876</xdr:colOff>
      <xdr:row>74</xdr:row>
      <xdr:rowOff>121033</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121033</xdr:rowOff>
    </xdr:from>
    <xdr:to>
      <xdr:col>11</xdr:col>
      <xdr:colOff>210292</xdr:colOff>
      <xdr:row>74</xdr:row>
      <xdr:rowOff>121033</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71</xdr:row>
      <xdr:rowOff>59166</xdr:rowOff>
    </xdr:from>
    <xdr:to>
      <xdr:col>19</xdr:col>
      <xdr:colOff>591292</xdr:colOff>
      <xdr:row>74</xdr:row>
      <xdr:rowOff>8440</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121610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121610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121610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64</xdr:row>
      <xdr:rowOff>75010</xdr:rowOff>
    </xdr:from>
    <xdr:to>
      <xdr:col>8</xdr:col>
      <xdr:colOff>239774</xdr:colOff>
      <xdr:row>64</xdr:row>
      <xdr:rowOff>75010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64</xdr:row>
      <xdr:rowOff>75010</xdr:rowOff>
    </xdr:from>
    <xdr:to>
      <xdr:col>11</xdr:col>
      <xdr:colOff>200190</xdr:colOff>
      <xdr:row>64</xdr:row>
      <xdr:rowOff>75010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80</xdr:row>
      <xdr:rowOff>153154</xdr:rowOff>
    </xdr:from>
    <xdr:to>
      <xdr:col>2</xdr:col>
      <xdr:colOff>7093</xdr:colOff>
      <xdr:row>80</xdr:row>
      <xdr:rowOff>153154</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60</xdr:row>
      <xdr:rowOff>106732</xdr:rowOff>
    </xdr:from>
    <xdr:to>
      <xdr:col>20</xdr:col>
      <xdr:colOff>657390</xdr:colOff>
      <xdr:row>62</xdr:row>
      <xdr:rowOff>238012</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60</xdr:row>
      <xdr:rowOff>106732</xdr:rowOff>
    </xdr:from>
    <xdr:to>
      <xdr:col>24</xdr:col>
      <xdr:colOff>657390</xdr:colOff>
      <xdr:row>62</xdr:row>
      <xdr:rowOff>238012</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60</xdr:row>
      <xdr:rowOff>106732</xdr:rowOff>
    </xdr:from>
    <xdr:to>
      <xdr:col>28</xdr:col>
      <xdr:colOff>657390</xdr:colOff>
      <xdr:row>62</xdr:row>
      <xdr:rowOff>238012</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64</xdr:row>
      <xdr:rowOff>75010</xdr:rowOff>
    </xdr:from>
    <xdr:to>
      <xdr:col>8</xdr:col>
      <xdr:colOff>239774</xdr:colOff>
      <xdr:row>64</xdr:row>
      <xdr:rowOff>75010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64</xdr:row>
      <xdr:rowOff>75010</xdr:rowOff>
    </xdr:from>
    <xdr:to>
      <xdr:col>11</xdr:col>
      <xdr:colOff>200190</xdr:colOff>
      <xdr:row>64</xdr:row>
      <xdr:rowOff>75010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80</xdr:row>
      <xdr:rowOff>153154</xdr:rowOff>
    </xdr:from>
    <xdr:to>
      <xdr:col>2</xdr:col>
      <xdr:colOff>7093</xdr:colOff>
      <xdr:row>80</xdr:row>
      <xdr:rowOff>153154</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60</xdr:row>
      <xdr:rowOff>106732</xdr:rowOff>
    </xdr:from>
    <xdr:to>
      <xdr:col>20</xdr:col>
      <xdr:colOff>657390</xdr:colOff>
      <xdr:row>62</xdr:row>
      <xdr:rowOff>238012</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60</xdr:row>
      <xdr:rowOff>106732</xdr:rowOff>
    </xdr:from>
    <xdr:to>
      <xdr:col>24</xdr:col>
      <xdr:colOff>657390</xdr:colOff>
      <xdr:row>62</xdr:row>
      <xdr:rowOff>238012</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60</xdr:row>
      <xdr:rowOff>106732</xdr:rowOff>
    </xdr:from>
    <xdr:to>
      <xdr:col>28</xdr:col>
      <xdr:colOff>657390</xdr:colOff>
      <xdr:row>62</xdr:row>
      <xdr:rowOff>238012</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23</xdr:col>
      <xdr:colOff>1223</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91</xdr:row>
      <xdr:rowOff>257362</xdr:rowOff>
    </xdr:from>
    <xdr:to>
      <xdr:col>8</xdr:col>
      <xdr:colOff>228600</xdr:colOff>
      <xdr:row>91</xdr:row>
      <xdr:rowOff>257362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91</xdr:row>
      <xdr:rowOff>257362</xdr:rowOff>
    </xdr:from>
    <xdr:to>
      <xdr:col>11</xdr:col>
      <xdr:colOff>190500</xdr:colOff>
      <xdr:row>91</xdr:row>
      <xdr:rowOff>257362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179</xdr:row>
      <xdr:rowOff>126314</xdr:rowOff>
    </xdr:from>
    <xdr:to>
      <xdr:col>1</xdr:col>
      <xdr:colOff>4724400</xdr:colOff>
      <xdr:row>179</xdr:row>
      <xdr:rowOff>174500</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89</xdr:row>
      <xdr:rowOff>425699</xdr:rowOff>
    </xdr:from>
    <xdr:to>
      <xdr:col>20</xdr:col>
      <xdr:colOff>647700</xdr:colOff>
      <xdr:row>90</xdr:row>
      <xdr:rowOff>168773</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89</xdr:row>
      <xdr:rowOff>425699</xdr:rowOff>
    </xdr:from>
    <xdr:to>
      <xdr:col>24</xdr:col>
      <xdr:colOff>647700</xdr:colOff>
      <xdr:row>90</xdr:row>
      <xdr:rowOff>168773</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89</xdr:row>
      <xdr:rowOff>425699</xdr:rowOff>
    </xdr:from>
    <xdr:to>
      <xdr:col>28</xdr:col>
      <xdr:colOff>647700</xdr:colOff>
      <xdr:row>90</xdr:row>
      <xdr:rowOff>168773</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52</xdr:row>
      <xdr:rowOff>44450</xdr:rowOff>
    </xdr:from>
    <xdr:to>
      <xdr:col>2</xdr:col>
      <xdr:colOff>685800</xdr:colOff>
      <xdr:row>54</xdr:row>
      <xdr:rowOff>114922</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93</xdr:row>
      <xdr:rowOff>102596</xdr:rowOff>
    </xdr:from>
    <xdr:to>
      <xdr:col>21</xdr:col>
      <xdr:colOff>685800</xdr:colOff>
      <xdr:row>97</xdr:row>
      <xdr:rowOff>172820</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93</xdr:row>
      <xdr:rowOff>102596</xdr:rowOff>
    </xdr:from>
    <xdr:to>
      <xdr:col>25</xdr:col>
      <xdr:colOff>685800</xdr:colOff>
      <xdr:row>97</xdr:row>
      <xdr:rowOff>172820</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93</xdr:row>
      <xdr:rowOff>102596</xdr:rowOff>
    </xdr:from>
    <xdr:to>
      <xdr:col>29</xdr:col>
      <xdr:colOff>685800</xdr:colOff>
      <xdr:row>97</xdr:row>
      <xdr:rowOff>172820</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91</xdr:row>
      <xdr:rowOff>257362</xdr:rowOff>
    </xdr:from>
    <xdr:to>
      <xdr:col>8</xdr:col>
      <xdr:colOff>228600</xdr:colOff>
      <xdr:row>91</xdr:row>
      <xdr:rowOff>257362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91</xdr:row>
      <xdr:rowOff>257362</xdr:rowOff>
    </xdr:from>
    <xdr:to>
      <xdr:col>11</xdr:col>
      <xdr:colOff>190500</xdr:colOff>
      <xdr:row>91</xdr:row>
      <xdr:rowOff>257362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179</xdr:row>
      <xdr:rowOff>126314</xdr:rowOff>
    </xdr:from>
    <xdr:to>
      <xdr:col>1</xdr:col>
      <xdr:colOff>4724400</xdr:colOff>
      <xdr:row>179</xdr:row>
      <xdr:rowOff>174500</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89</xdr:row>
      <xdr:rowOff>425699</xdr:rowOff>
    </xdr:from>
    <xdr:to>
      <xdr:col>20</xdr:col>
      <xdr:colOff>647700</xdr:colOff>
      <xdr:row>90</xdr:row>
      <xdr:rowOff>168773</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89</xdr:row>
      <xdr:rowOff>425699</xdr:rowOff>
    </xdr:from>
    <xdr:to>
      <xdr:col>24</xdr:col>
      <xdr:colOff>647700</xdr:colOff>
      <xdr:row>90</xdr:row>
      <xdr:rowOff>168773</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89</xdr:row>
      <xdr:rowOff>425699</xdr:rowOff>
    </xdr:from>
    <xdr:to>
      <xdr:col>28</xdr:col>
      <xdr:colOff>647700</xdr:colOff>
      <xdr:row>90</xdr:row>
      <xdr:rowOff>168773</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52</xdr:row>
      <xdr:rowOff>44450</xdr:rowOff>
    </xdr:from>
    <xdr:to>
      <xdr:col>2</xdr:col>
      <xdr:colOff>685800</xdr:colOff>
      <xdr:row>54</xdr:row>
      <xdr:rowOff>114922</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93</xdr:row>
      <xdr:rowOff>102596</xdr:rowOff>
    </xdr:from>
    <xdr:to>
      <xdr:col>21</xdr:col>
      <xdr:colOff>685800</xdr:colOff>
      <xdr:row>97</xdr:row>
      <xdr:rowOff>172820</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93</xdr:row>
      <xdr:rowOff>102596</xdr:rowOff>
    </xdr:from>
    <xdr:to>
      <xdr:col>25</xdr:col>
      <xdr:colOff>685800</xdr:colOff>
      <xdr:row>97</xdr:row>
      <xdr:rowOff>172820</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93</xdr:row>
      <xdr:rowOff>102596</xdr:rowOff>
    </xdr:from>
    <xdr:to>
      <xdr:col>29</xdr:col>
      <xdr:colOff>685800</xdr:colOff>
      <xdr:row>97</xdr:row>
      <xdr:rowOff>172820</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91</xdr:row>
      <xdr:rowOff>257362</xdr:rowOff>
    </xdr:from>
    <xdr:to>
      <xdr:col>8</xdr:col>
      <xdr:colOff>228600</xdr:colOff>
      <xdr:row>91</xdr:row>
      <xdr:rowOff>257362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91</xdr:row>
      <xdr:rowOff>257362</xdr:rowOff>
    </xdr:from>
    <xdr:to>
      <xdr:col>11</xdr:col>
      <xdr:colOff>190500</xdr:colOff>
      <xdr:row>91</xdr:row>
      <xdr:rowOff>257362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179</xdr:row>
      <xdr:rowOff>126314</xdr:rowOff>
    </xdr:from>
    <xdr:to>
      <xdr:col>1</xdr:col>
      <xdr:colOff>4724400</xdr:colOff>
      <xdr:row>179</xdr:row>
      <xdr:rowOff>174500</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89</xdr:row>
      <xdr:rowOff>425699</xdr:rowOff>
    </xdr:from>
    <xdr:to>
      <xdr:col>20</xdr:col>
      <xdr:colOff>647700</xdr:colOff>
      <xdr:row>90</xdr:row>
      <xdr:rowOff>168773</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89</xdr:row>
      <xdr:rowOff>425699</xdr:rowOff>
    </xdr:from>
    <xdr:to>
      <xdr:col>24</xdr:col>
      <xdr:colOff>647700</xdr:colOff>
      <xdr:row>90</xdr:row>
      <xdr:rowOff>168773</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89</xdr:row>
      <xdr:rowOff>425699</xdr:rowOff>
    </xdr:from>
    <xdr:to>
      <xdr:col>28</xdr:col>
      <xdr:colOff>647700</xdr:colOff>
      <xdr:row>90</xdr:row>
      <xdr:rowOff>168773</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52</xdr:row>
      <xdr:rowOff>44450</xdr:rowOff>
    </xdr:from>
    <xdr:to>
      <xdr:col>2</xdr:col>
      <xdr:colOff>685800</xdr:colOff>
      <xdr:row>54</xdr:row>
      <xdr:rowOff>114922</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93</xdr:row>
      <xdr:rowOff>102596</xdr:rowOff>
    </xdr:from>
    <xdr:to>
      <xdr:col>21</xdr:col>
      <xdr:colOff>685800</xdr:colOff>
      <xdr:row>97</xdr:row>
      <xdr:rowOff>172820</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93</xdr:row>
      <xdr:rowOff>102596</xdr:rowOff>
    </xdr:from>
    <xdr:to>
      <xdr:col>25</xdr:col>
      <xdr:colOff>685800</xdr:colOff>
      <xdr:row>97</xdr:row>
      <xdr:rowOff>172820</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93</xdr:row>
      <xdr:rowOff>102596</xdr:rowOff>
    </xdr:from>
    <xdr:to>
      <xdr:col>29</xdr:col>
      <xdr:colOff>685800</xdr:colOff>
      <xdr:row>97</xdr:row>
      <xdr:rowOff>172820</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4805" name="Text Box 21" hidden="1">
          <a:extLst>
            <a:ext uri="{FF2B5EF4-FFF2-40B4-BE49-F238E27FC236}">
              <a16:creationId xmlns:a16="http://schemas.microsoft.com/office/drawing/2014/main" id="{D65DA039-B302-0FFA-5830-2D7E7613276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4804" name="Text Box 20" hidden="1">
          <a:extLst>
            <a:ext uri="{FF2B5EF4-FFF2-40B4-BE49-F238E27FC236}">
              <a16:creationId xmlns:a16="http://schemas.microsoft.com/office/drawing/2014/main" id="{BF7454B9-8F07-519E-0FC7-CF9195301D1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4803" name="Text Box 19" hidden="1">
          <a:extLst>
            <a:ext uri="{FF2B5EF4-FFF2-40B4-BE49-F238E27FC236}">
              <a16:creationId xmlns:a16="http://schemas.microsoft.com/office/drawing/2014/main" id="{415EFF81-291E-A2FB-8BA9-F1A513D9D59B}"/>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4802" name="Text Box 18" hidden="1">
          <a:extLst>
            <a:ext uri="{FF2B5EF4-FFF2-40B4-BE49-F238E27FC236}">
              <a16:creationId xmlns:a16="http://schemas.microsoft.com/office/drawing/2014/main" id="{F44085C4-4735-C956-EE1E-421CCD082183}"/>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01" name="Text Box 17" hidden="1">
          <a:extLst>
            <a:ext uri="{FF2B5EF4-FFF2-40B4-BE49-F238E27FC236}">
              <a16:creationId xmlns:a16="http://schemas.microsoft.com/office/drawing/2014/main" id="{DA8759AC-56FC-D2C7-FCA0-1CF305C7D270}"/>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00" name="Text Box 16" hidden="1">
          <a:extLst>
            <a:ext uri="{FF2B5EF4-FFF2-40B4-BE49-F238E27FC236}">
              <a16:creationId xmlns:a16="http://schemas.microsoft.com/office/drawing/2014/main" id="{2EF7E31D-93B8-EF07-55EC-524D3C3C6720}"/>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4799" name="Text Box 15" hidden="1">
          <a:extLst>
            <a:ext uri="{FF2B5EF4-FFF2-40B4-BE49-F238E27FC236}">
              <a16:creationId xmlns:a16="http://schemas.microsoft.com/office/drawing/2014/main" id="{D296347B-E488-8480-9459-C08249795E90}"/>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4798" name="Text Box 14" hidden="1">
          <a:extLst>
            <a:ext uri="{FF2B5EF4-FFF2-40B4-BE49-F238E27FC236}">
              <a16:creationId xmlns:a16="http://schemas.microsoft.com/office/drawing/2014/main" id="{CDE029A1-AC64-4864-3181-992E2A32A49D}"/>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4797" name="Text Box 13" hidden="1">
          <a:extLst>
            <a:ext uri="{FF2B5EF4-FFF2-40B4-BE49-F238E27FC236}">
              <a16:creationId xmlns:a16="http://schemas.microsoft.com/office/drawing/2014/main" id="{1120FB2D-FC75-BE1D-19B7-FF30046BF5AB}"/>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4796" name="Text Box 12" hidden="1">
          <a:extLst>
            <a:ext uri="{FF2B5EF4-FFF2-40B4-BE49-F238E27FC236}">
              <a16:creationId xmlns:a16="http://schemas.microsoft.com/office/drawing/2014/main" id="{E951FBA7-68FC-BAAD-5D19-FFA1B04FF5A2}"/>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4795" name="Text Box 11" hidden="1">
          <a:extLst>
            <a:ext uri="{FF2B5EF4-FFF2-40B4-BE49-F238E27FC236}">
              <a16:creationId xmlns:a16="http://schemas.microsoft.com/office/drawing/2014/main" id="{82F93A6B-2748-8767-68E3-91598B6874F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4794" name="Text Box 10" hidden="1">
          <a:extLst>
            <a:ext uri="{FF2B5EF4-FFF2-40B4-BE49-F238E27FC236}">
              <a16:creationId xmlns:a16="http://schemas.microsoft.com/office/drawing/2014/main" id="{7553CAFD-DC66-648D-0B01-A8442D802E0F}"/>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4793" name="Text Box 9" hidden="1">
          <a:extLst>
            <a:ext uri="{FF2B5EF4-FFF2-40B4-BE49-F238E27FC236}">
              <a16:creationId xmlns:a16="http://schemas.microsoft.com/office/drawing/2014/main" id="{2944D17A-F6C8-6BA2-C3A4-94B25AEC1AC5}"/>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4792" name="Text Box 8" hidden="1">
          <a:extLst>
            <a:ext uri="{FF2B5EF4-FFF2-40B4-BE49-F238E27FC236}">
              <a16:creationId xmlns:a16="http://schemas.microsoft.com/office/drawing/2014/main" id="{B6CDB66F-8B7F-09C4-7E35-AC27DDCF77D7}"/>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4791" name="Text Box 7" hidden="1">
          <a:extLst>
            <a:ext uri="{FF2B5EF4-FFF2-40B4-BE49-F238E27FC236}">
              <a16:creationId xmlns:a16="http://schemas.microsoft.com/office/drawing/2014/main" id="{5B3B6EB9-7B3C-DF09-1700-15D2B705FD2A}"/>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790" name="Text Box 6" hidden="1">
          <a:extLst>
            <a:ext uri="{FF2B5EF4-FFF2-40B4-BE49-F238E27FC236}">
              <a16:creationId xmlns:a16="http://schemas.microsoft.com/office/drawing/2014/main" id="{E19A18B6-2E27-E601-AAB7-539B4C28A38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789" name="Text Box 5" hidden="1">
          <a:extLst>
            <a:ext uri="{FF2B5EF4-FFF2-40B4-BE49-F238E27FC236}">
              <a16:creationId xmlns:a16="http://schemas.microsoft.com/office/drawing/2014/main" id="{4898186E-20D1-424E-BFDD-19915F34943B}"/>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4788" name="Text Box 4" hidden="1">
          <a:extLst>
            <a:ext uri="{FF2B5EF4-FFF2-40B4-BE49-F238E27FC236}">
              <a16:creationId xmlns:a16="http://schemas.microsoft.com/office/drawing/2014/main" id="{D3A9E122-7E8C-B91C-C19A-0D446ABC69F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787" name="Text Box 3" hidden="1">
          <a:extLst>
            <a:ext uri="{FF2B5EF4-FFF2-40B4-BE49-F238E27FC236}">
              <a16:creationId xmlns:a16="http://schemas.microsoft.com/office/drawing/2014/main" id="{E3C82D54-F9D0-5702-45E4-946730E909A5}"/>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786" name="Text Box 2" hidden="1">
          <a:extLst>
            <a:ext uri="{FF2B5EF4-FFF2-40B4-BE49-F238E27FC236}">
              <a16:creationId xmlns:a16="http://schemas.microsoft.com/office/drawing/2014/main" id="{C30F5D03-238A-10E4-7867-89B683D6CFEE}"/>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90</xdr:row>
      <xdr:rowOff>102658</xdr:rowOff>
    </xdr:from>
    <xdr:to>
      <xdr:col>32</xdr:col>
      <xdr:colOff>666750</xdr:colOff>
      <xdr:row>91</xdr:row>
      <xdr:rowOff>402167</xdr:rowOff>
    </xdr:to>
    <xdr:sp macro="" textlink="">
      <xdr:nvSpPr>
        <xdr:cNvPr id="374785" name="Text Box 1" hidden="1">
          <a:extLst>
            <a:ext uri="{FF2B5EF4-FFF2-40B4-BE49-F238E27FC236}">
              <a16:creationId xmlns:a16="http://schemas.microsoft.com/office/drawing/2014/main" id="{D520F19F-D0A3-4589-5979-85D288DB97D4}"/>
            </a:ext>
          </a:extLst>
        </xdr:cNvPr>
        <xdr:cNvSpPr txBox="1">
          <a:spLocks noChangeArrowheads="1"/>
        </xdr:cNvSpPr>
      </xdr:nvSpPr>
      <xdr:spPr bwMode="auto">
        <a:xfrm>
          <a:off x="28060650" y="2273300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180975</xdr:rowOff>
    </xdr:from>
    <xdr:to>
      <xdr:col>8</xdr:col>
      <xdr:colOff>228600</xdr:colOff>
      <xdr:row>71</xdr:row>
      <xdr:rowOff>180975</xdr:rowOff>
    </xdr:to>
    <xdr:sp macro="" textlink="">
      <xdr:nvSpPr>
        <xdr:cNvPr id="374826" name="Text Box 42" hidden="1">
          <a:extLst>
            <a:ext uri="{FF2B5EF4-FFF2-40B4-BE49-F238E27FC236}">
              <a16:creationId xmlns:a16="http://schemas.microsoft.com/office/drawing/2014/main" id="{069F241E-BE78-371A-7A3D-288078A871A1}"/>
            </a:ext>
          </a:extLst>
        </xdr:cNvPr>
        <xdr:cNvSpPr txBox="1">
          <a:spLocks noChangeArrowheads="1"/>
        </xdr:cNvSpPr>
      </xdr:nvSpPr>
      <xdr:spPr bwMode="auto">
        <a:xfrm>
          <a:off x="8985250" y="1765300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180975</xdr:rowOff>
    </xdr:from>
    <xdr:to>
      <xdr:col>11</xdr:col>
      <xdr:colOff>190500</xdr:colOff>
      <xdr:row>71</xdr:row>
      <xdr:rowOff>180975</xdr:rowOff>
    </xdr:to>
    <xdr:sp macro="" textlink="">
      <xdr:nvSpPr>
        <xdr:cNvPr id="374825" name="Text Box 41" hidden="1">
          <a:extLst>
            <a:ext uri="{FF2B5EF4-FFF2-40B4-BE49-F238E27FC236}">
              <a16:creationId xmlns:a16="http://schemas.microsoft.com/office/drawing/2014/main" id="{88B2BBA3-5EAC-D970-6D48-B066AEA310B5}"/>
            </a:ext>
          </a:extLst>
        </xdr:cNvPr>
        <xdr:cNvSpPr txBox="1">
          <a:spLocks noChangeArrowheads="1"/>
        </xdr:cNvSpPr>
      </xdr:nvSpPr>
      <xdr:spPr bwMode="auto">
        <a:xfrm>
          <a:off x="11315700" y="1765300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24" name="Text Box 40" hidden="1">
          <a:extLst>
            <a:ext uri="{FF2B5EF4-FFF2-40B4-BE49-F238E27FC236}">
              <a16:creationId xmlns:a16="http://schemas.microsoft.com/office/drawing/2014/main" id="{080D08AD-F092-CA08-ADCF-994FE1A308D2}"/>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23" name="Text Box 39" hidden="1">
          <a:extLst>
            <a:ext uri="{FF2B5EF4-FFF2-40B4-BE49-F238E27FC236}">
              <a16:creationId xmlns:a16="http://schemas.microsoft.com/office/drawing/2014/main" id="{C59AA6ED-B6BB-151E-E6F0-CD90E56297CF}"/>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22" name="Text Box 38" hidden="1">
          <a:extLst>
            <a:ext uri="{FF2B5EF4-FFF2-40B4-BE49-F238E27FC236}">
              <a16:creationId xmlns:a16="http://schemas.microsoft.com/office/drawing/2014/main" id="{7DE3A499-365F-C75E-0AD7-F252A9AC2D48}"/>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21" name="Text Box 37" hidden="1">
          <a:extLst>
            <a:ext uri="{FF2B5EF4-FFF2-40B4-BE49-F238E27FC236}">
              <a16:creationId xmlns:a16="http://schemas.microsoft.com/office/drawing/2014/main" id="{61572CBC-A2DF-9C51-405A-37A00AC017E9}"/>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20" name="Text Box 36" hidden="1">
          <a:extLst>
            <a:ext uri="{FF2B5EF4-FFF2-40B4-BE49-F238E27FC236}">
              <a16:creationId xmlns:a16="http://schemas.microsoft.com/office/drawing/2014/main" id="{5E69A355-8223-3C6C-EA3E-89EBAB239A65}"/>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104775</xdr:rowOff>
    </xdr:from>
    <xdr:to>
      <xdr:col>20</xdr:col>
      <xdr:colOff>647700</xdr:colOff>
      <xdr:row>68</xdr:row>
      <xdr:rowOff>314325</xdr:rowOff>
    </xdr:to>
    <xdr:sp macro="" textlink="">
      <xdr:nvSpPr>
        <xdr:cNvPr id="374819" name="Text Box 35" hidden="1">
          <a:extLst>
            <a:ext uri="{FF2B5EF4-FFF2-40B4-BE49-F238E27FC236}">
              <a16:creationId xmlns:a16="http://schemas.microsoft.com/office/drawing/2014/main" id="{BC9F75E4-C3EB-6F53-8710-94EDEF257845}"/>
            </a:ext>
          </a:extLst>
        </xdr:cNvPr>
        <xdr:cNvSpPr txBox="1">
          <a:spLocks noChangeArrowheads="1"/>
        </xdr:cNvSpPr>
      </xdr:nvSpPr>
      <xdr:spPr bwMode="auto">
        <a:xfrm>
          <a:off x="18935700" y="163893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104775</xdr:rowOff>
    </xdr:from>
    <xdr:to>
      <xdr:col>24</xdr:col>
      <xdr:colOff>647700</xdr:colOff>
      <xdr:row>68</xdr:row>
      <xdr:rowOff>314325</xdr:rowOff>
    </xdr:to>
    <xdr:sp macro="" textlink="">
      <xdr:nvSpPr>
        <xdr:cNvPr id="374818" name="Text Box 34" hidden="1">
          <a:extLst>
            <a:ext uri="{FF2B5EF4-FFF2-40B4-BE49-F238E27FC236}">
              <a16:creationId xmlns:a16="http://schemas.microsoft.com/office/drawing/2014/main" id="{4A226DA4-E647-575F-C6E2-0A57773D45E3}"/>
            </a:ext>
          </a:extLst>
        </xdr:cNvPr>
        <xdr:cNvSpPr txBox="1">
          <a:spLocks noChangeArrowheads="1"/>
        </xdr:cNvSpPr>
      </xdr:nvSpPr>
      <xdr:spPr bwMode="auto">
        <a:xfrm>
          <a:off x="21983700" y="163893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104775</xdr:rowOff>
    </xdr:from>
    <xdr:to>
      <xdr:col>28</xdr:col>
      <xdr:colOff>647700</xdr:colOff>
      <xdr:row>68</xdr:row>
      <xdr:rowOff>314325</xdr:rowOff>
    </xdr:to>
    <xdr:sp macro="" textlink="">
      <xdr:nvSpPr>
        <xdr:cNvPr id="374817" name="Text Box 33" hidden="1">
          <a:extLst>
            <a:ext uri="{FF2B5EF4-FFF2-40B4-BE49-F238E27FC236}">
              <a16:creationId xmlns:a16="http://schemas.microsoft.com/office/drawing/2014/main" id="{039CC9C2-0642-CD48-0DAF-C39D4BD9762D}"/>
            </a:ext>
          </a:extLst>
        </xdr:cNvPr>
        <xdr:cNvSpPr txBox="1">
          <a:spLocks noChangeArrowheads="1"/>
        </xdr:cNvSpPr>
      </xdr:nvSpPr>
      <xdr:spPr bwMode="auto">
        <a:xfrm>
          <a:off x="25031700" y="163893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16" name="Text Box 32" hidden="1">
          <a:extLst>
            <a:ext uri="{FF2B5EF4-FFF2-40B4-BE49-F238E27FC236}">
              <a16:creationId xmlns:a16="http://schemas.microsoft.com/office/drawing/2014/main" id="{CB149CAD-E592-8ADA-0483-FFE4FEAF5AD5}"/>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180975</xdr:rowOff>
    </xdr:from>
    <xdr:to>
      <xdr:col>21</xdr:col>
      <xdr:colOff>685800</xdr:colOff>
      <xdr:row>83</xdr:row>
      <xdr:rowOff>171450</xdr:rowOff>
    </xdr:to>
    <xdr:sp macro="" textlink="">
      <xdr:nvSpPr>
        <xdr:cNvPr id="374814" name="Text Box 30" hidden="1">
          <a:extLst>
            <a:ext uri="{FF2B5EF4-FFF2-40B4-BE49-F238E27FC236}">
              <a16:creationId xmlns:a16="http://schemas.microsoft.com/office/drawing/2014/main" id="{3BB8AEDC-5E7F-C1C1-E0A7-F21C8BBD49ED}"/>
            </a:ext>
          </a:extLst>
        </xdr:cNvPr>
        <xdr:cNvSpPr txBox="1">
          <a:spLocks noChangeArrowheads="1"/>
        </xdr:cNvSpPr>
      </xdr:nvSpPr>
      <xdr:spPr bwMode="auto">
        <a:xfrm>
          <a:off x="19735800" y="19373850"/>
          <a:ext cx="1295400" cy="167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180975</xdr:rowOff>
    </xdr:from>
    <xdr:to>
      <xdr:col>25</xdr:col>
      <xdr:colOff>685800</xdr:colOff>
      <xdr:row>83</xdr:row>
      <xdr:rowOff>171450</xdr:rowOff>
    </xdr:to>
    <xdr:sp macro="" textlink="">
      <xdr:nvSpPr>
        <xdr:cNvPr id="374813" name="Text Box 29" hidden="1">
          <a:extLst>
            <a:ext uri="{FF2B5EF4-FFF2-40B4-BE49-F238E27FC236}">
              <a16:creationId xmlns:a16="http://schemas.microsoft.com/office/drawing/2014/main" id="{70DC6B99-D148-A093-4AF8-F786B0D38D3F}"/>
            </a:ext>
          </a:extLst>
        </xdr:cNvPr>
        <xdr:cNvSpPr txBox="1">
          <a:spLocks noChangeArrowheads="1"/>
        </xdr:cNvSpPr>
      </xdr:nvSpPr>
      <xdr:spPr bwMode="auto">
        <a:xfrm>
          <a:off x="22783800" y="19373850"/>
          <a:ext cx="1295400" cy="167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180975</xdr:rowOff>
    </xdr:from>
    <xdr:to>
      <xdr:col>29</xdr:col>
      <xdr:colOff>685800</xdr:colOff>
      <xdr:row>83</xdr:row>
      <xdr:rowOff>171450</xdr:rowOff>
    </xdr:to>
    <xdr:sp macro="" textlink="">
      <xdr:nvSpPr>
        <xdr:cNvPr id="374812" name="Text Box 28" hidden="1">
          <a:extLst>
            <a:ext uri="{FF2B5EF4-FFF2-40B4-BE49-F238E27FC236}">
              <a16:creationId xmlns:a16="http://schemas.microsoft.com/office/drawing/2014/main" id="{A7CBBF42-2B6B-497A-21F3-3E984FE7F3DD}"/>
            </a:ext>
          </a:extLst>
        </xdr:cNvPr>
        <xdr:cNvSpPr txBox="1">
          <a:spLocks noChangeArrowheads="1"/>
        </xdr:cNvSpPr>
      </xdr:nvSpPr>
      <xdr:spPr bwMode="auto">
        <a:xfrm>
          <a:off x="25831800" y="19373850"/>
          <a:ext cx="1295400" cy="167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11" name="Text Box 27" hidden="1">
          <a:extLst>
            <a:ext uri="{FF2B5EF4-FFF2-40B4-BE49-F238E27FC236}">
              <a16:creationId xmlns:a16="http://schemas.microsoft.com/office/drawing/2014/main" id="{1599EE51-0CAB-3394-0F0D-8BC11AF6EDA8}"/>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10" name="Text Box 26" hidden="1">
          <a:extLst>
            <a:ext uri="{FF2B5EF4-FFF2-40B4-BE49-F238E27FC236}">
              <a16:creationId xmlns:a16="http://schemas.microsoft.com/office/drawing/2014/main" id="{2F696569-BA0C-79CF-F701-215A52271FB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47</xdr:row>
      <xdr:rowOff>1058</xdr:rowOff>
    </xdr:from>
    <xdr:to>
      <xdr:col>25</xdr:col>
      <xdr:colOff>57150</xdr:colOff>
      <xdr:row>47</xdr:row>
      <xdr:rowOff>2116</xdr:rowOff>
    </xdr:to>
    <xdr:sp macro="" textlink="">
      <xdr:nvSpPr>
        <xdr:cNvPr id="374809" name="Text Box 25" hidden="1">
          <a:extLst>
            <a:ext uri="{FF2B5EF4-FFF2-40B4-BE49-F238E27FC236}">
              <a16:creationId xmlns:a16="http://schemas.microsoft.com/office/drawing/2014/main" id="{4F6D2EEC-B312-8FD7-BACA-B757E51CF54C}"/>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08" name="Text Box 24" hidden="1">
          <a:extLst>
            <a:ext uri="{FF2B5EF4-FFF2-40B4-BE49-F238E27FC236}">
              <a16:creationId xmlns:a16="http://schemas.microsoft.com/office/drawing/2014/main" id="{CB844AD6-BE6E-2115-72F6-792C5168178F}"/>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07" name="Text Box 23" hidden="1">
          <a:extLst>
            <a:ext uri="{FF2B5EF4-FFF2-40B4-BE49-F238E27FC236}">
              <a16:creationId xmlns:a16="http://schemas.microsoft.com/office/drawing/2014/main" id="{438B19A2-7B7D-D429-B8FD-6D73EE34C31B}"/>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06" name="Text Box 22" hidden="1">
          <a:extLst>
            <a:ext uri="{FF2B5EF4-FFF2-40B4-BE49-F238E27FC236}">
              <a16:creationId xmlns:a16="http://schemas.microsoft.com/office/drawing/2014/main" id="{B6171A16-8921-E8B0-02B0-C69778F790EC}"/>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171450</xdr:rowOff>
    </xdr:from>
    <xdr:to>
      <xdr:col>8</xdr:col>
      <xdr:colOff>228600</xdr:colOff>
      <xdr:row>71</xdr:row>
      <xdr:rowOff>171450</xdr:rowOff>
    </xdr:to>
    <xdr:sp macro="" textlink="">
      <xdr:nvSpPr>
        <xdr:cNvPr id="374846" name="Text Box 62" hidden="1">
          <a:extLst>
            <a:ext uri="{FF2B5EF4-FFF2-40B4-BE49-F238E27FC236}">
              <a16:creationId xmlns:a16="http://schemas.microsoft.com/office/drawing/2014/main" id="{23C5101D-1382-9098-A570-BDE24CA42160}"/>
            </a:ext>
          </a:extLst>
        </xdr:cNvPr>
        <xdr:cNvSpPr txBox="1">
          <a:spLocks noChangeArrowheads="1"/>
        </xdr:cNvSpPr>
      </xdr:nvSpPr>
      <xdr:spPr bwMode="auto">
        <a:xfrm>
          <a:off x="8985250" y="1764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171450</xdr:rowOff>
    </xdr:from>
    <xdr:to>
      <xdr:col>11</xdr:col>
      <xdr:colOff>190500</xdr:colOff>
      <xdr:row>71</xdr:row>
      <xdr:rowOff>171450</xdr:rowOff>
    </xdr:to>
    <xdr:sp macro="" textlink="">
      <xdr:nvSpPr>
        <xdr:cNvPr id="374845" name="Text Box 61" hidden="1">
          <a:extLst>
            <a:ext uri="{FF2B5EF4-FFF2-40B4-BE49-F238E27FC236}">
              <a16:creationId xmlns:a16="http://schemas.microsoft.com/office/drawing/2014/main" id="{A107EDCA-BEAE-007B-7FAD-A3F8D60AD423}"/>
            </a:ext>
          </a:extLst>
        </xdr:cNvPr>
        <xdr:cNvSpPr txBox="1">
          <a:spLocks noChangeArrowheads="1"/>
        </xdr:cNvSpPr>
      </xdr:nvSpPr>
      <xdr:spPr bwMode="auto">
        <a:xfrm>
          <a:off x="11315700" y="1764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44" name="Text Box 60" hidden="1">
          <a:extLst>
            <a:ext uri="{FF2B5EF4-FFF2-40B4-BE49-F238E27FC236}">
              <a16:creationId xmlns:a16="http://schemas.microsoft.com/office/drawing/2014/main" id="{92D4466D-623E-6C0B-7D85-EB2519E677B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43" name="Text Box 59" hidden="1">
          <a:extLst>
            <a:ext uri="{FF2B5EF4-FFF2-40B4-BE49-F238E27FC236}">
              <a16:creationId xmlns:a16="http://schemas.microsoft.com/office/drawing/2014/main" id="{7B9CE400-F05D-9AC9-724B-DABE0964317F}"/>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42" name="Text Box 58" hidden="1">
          <a:extLst>
            <a:ext uri="{FF2B5EF4-FFF2-40B4-BE49-F238E27FC236}">
              <a16:creationId xmlns:a16="http://schemas.microsoft.com/office/drawing/2014/main" id="{E34BB25E-D747-2135-AA12-06474BA08CA0}"/>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41" name="Text Box 57" hidden="1">
          <a:extLst>
            <a:ext uri="{FF2B5EF4-FFF2-40B4-BE49-F238E27FC236}">
              <a16:creationId xmlns:a16="http://schemas.microsoft.com/office/drawing/2014/main" id="{E0555F6B-7F0B-0F37-F18A-9EDEB18D14E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40" name="Text Box 56" hidden="1">
          <a:extLst>
            <a:ext uri="{FF2B5EF4-FFF2-40B4-BE49-F238E27FC236}">
              <a16:creationId xmlns:a16="http://schemas.microsoft.com/office/drawing/2014/main" id="{587CEB47-FA87-7F03-D0CF-FAF9647C73FC}"/>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95250</xdr:rowOff>
    </xdr:from>
    <xdr:to>
      <xdr:col>20</xdr:col>
      <xdr:colOff>647700</xdr:colOff>
      <xdr:row>68</xdr:row>
      <xdr:rowOff>304800</xdr:rowOff>
    </xdr:to>
    <xdr:sp macro="" textlink="">
      <xdr:nvSpPr>
        <xdr:cNvPr id="374839" name="Text Box 55" hidden="1">
          <a:extLst>
            <a:ext uri="{FF2B5EF4-FFF2-40B4-BE49-F238E27FC236}">
              <a16:creationId xmlns:a16="http://schemas.microsoft.com/office/drawing/2014/main" id="{C3917B74-38AA-625F-85D5-7F7E4CA59975}"/>
            </a:ext>
          </a:extLst>
        </xdr:cNvPr>
        <xdr:cNvSpPr txBox="1">
          <a:spLocks noChangeArrowheads="1"/>
        </xdr:cNvSpPr>
      </xdr:nvSpPr>
      <xdr:spPr bwMode="auto">
        <a:xfrm>
          <a:off x="18935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95250</xdr:rowOff>
    </xdr:from>
    <xdr:to>
      <xdr:col>24</xdr:col>
      <xdr:colOff>647700</xdr:colOff>
      <xdr:row>68</xdr:row>
      <xdr:rowOff>304800</xdr:rowOff>
    </xdr:to>
    <xdr:sp macro="" textlink="">
      <xdr:nvSpPr>
        <xdr:cNvPr id="374838" name="Text Box 54" hidden="1">
          <a:extLst>
            <a:ext uri="{FF2B5EF4-FFF2-40B4-BE49-F238E27FC236}">
              <a16:creationId xmlns:a16="http://schemas.microsoft.com/office/drawing/2014/main" id="{4E19CAF5-D52A-2F3B-C778-7C1BB66887F5}"/>
            </a:ext>
          </a:extLst>
        </xdr:cNvPr>
        <xdr:cNvSpPr txBox="1">
          <a:spLocks noChangeArrowheads="1"/>
        </xdr:cNvSpPr>
      </xdr:nvSpPr>
      <xdr:spPr bwMode="auto">
        <a:xfrm>
          <a:off x="21983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95250</xdr:rowOff>
    </xdr:from>
    <xdr:to>
      <xdr:col>28</xdr:col>
      <xdr:colOff>647700</xdr:colOff>
      <xdr:row>68</xdr:row>
      <xdr:rowOff>304800</xdr:rowOff>
    </xdr:to>
    <xdr:sp macro="" textlink="">
      <xdr:nvSpPr>
        <xdr:cNvPr id="374837" name="Text Box 53" hidden="1">
          <a:extLst>
            <a:ext uri="{FF2B5EF4-FFF2-40B4-BE49-F238E27FC236}">
              <a16:creationId xmlns:a16="http://schemas.microsoft.com/office/drawing/2014/main" id="{A8D1BFFC-9CBB-4257-9733-1E2D09FD5CE0}"/>
            </a:ext>
          </a:extLst>
        </xdr:cNvPr>
        <xdr:cNvSpPr txBox="1">
          <a:spLocks noChangeArrowheads="1"/>
        </xdr:cNvSpPr>
      </xdr:nvSpPr>
      <xdr:spPr bwMode="auto">
        <a:xfrm>
          <a:off x="25031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36" name="Text Box 52" hidden="1">
          <a:extLst>
            <a:ext uri="{FF2B5EF4-FFF2-40B4-BE49-F238E27FC236}">
              <a16:creationId xmlns:a16="http://schemas.microsoft.com/office/drawing/2014/main" id="{7A09CA06-57D8-E5E1-19E9-0F615D8CC6CD}"/>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171450</xdr:rowOff>
    </xdr:from>
    <xdr:to>
      <xdr:col>21</xdr:col>
      <xdr:colOff>685800</xdr:colOff>
      <xdr:row>83</xdr:row>
      <xdr:rowOff>171450</xdr:rowOff>
    </xdr:to>
    <xdr:sp macro="" textlink="">
      <xdr:nvSpPr>
        <xdr:cNvPr id="374835" name="Text Box 51" hidden="1">
          <a:extLst>
            <a:ext uri="{FF2B5EF4-FFF2-40B4-BE49-F238E27FC236}">
              <a16:creationId xmlns:a16="http://schemas.microsoft.com/office/drawing/2014/main" id="{BC4A66CF-B65F-6C52-F88B-3E9DFE317CA9}"/>
            </a:ext>
          </a:extLst>
        </xdr:cNvPr>
        <xdr:cNvSpPr txBox="1">
          <a:spLocks noChangeArrowheads="1"/>
        </xdr:cNvSpPr>
      </xdr:nvSpPr>
      <xdr:spPr bwMode="auto">
        <a:xfrm>
          <a:off x="19735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171450</xdr:rowOff>
    </xdr:from>
    <xdr:to>
      <xdr:col>25</xdr:col>
      <xdr:colOff>685800</xdr:colOff>
      <xdr:row>83</xdr:row>
      <xdr:rowOff>171450</xdr:rowOff>
    </xdr:to>
    <xdr:sp macro="" textlink="">
      <xdr:nvSpPr>
        <xdr:cNvPr id="374834" name="Text Box 50" hidden="1">
          <a:extLst>
            <a:ext uri="{FF2B5EF4-FFF2-40B4-BE49-F238E27FC236}">
              <a16:creationId xmlns:a16="http://schemas.microsoft.com/office/drawing/2014/main" id="{5911529D-C4E1-382D-2F7A-E3A6769732D4}"/>
            </a:ext>
          </a:extLst>
        </xdr:cNvPr>
        <xdr:cNvSpPr txBox="1">
          <a:spLocks noChangeArrowheads="1"/>
        </xdr:cNvSpPr>
      </xdr:nvSpPr>
      <xdr:spPr bwMode="auto">
        <a:xfrm>
          <a:off x="22783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171450</xdr:rowOff>
    </xdr:from>
    <xdr:to>
      <xdr:col>29</xdr:col>
      <xdr:colOff>685800</xdr:colOff>
      <xdr:row>83</xdr:row>
      <xdr:rowOff>171450</xdr:rowOff>
    </xdr:to>
    <xdr:sp macro="" textlink="">
      <xdr:nvSpPr>
        <xdr:cNvPr id="374833" name="Text Box 49" hidden="1">
          <a:extLst>
            <a:ext uri="{FF2B5EF4-FFF2-40B4-BE49-F238E27FC236}">
              <a16:creationId xmlns:a16="http://schemas.microsoft.com/office/drawing/2014/main" id="{88502723-8147-0ED2-16BB-C72BD4BAE788}"/>
            </a:ext>
          </a:extLst>
        </xdr:cNvPr>
        <xdr:cNvSpPr txBox="1">
          <a:spLocks noChangeArrowheads="1"/>
        </xdr:cNvSpPr>
      </xdr:nvSpPr>
      <xdr:spPr bwMode="auto">
        <a:xfrm>
          <a:off x="25831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32" name="Text Box 48" hidden="1">
          <a:extLst>
            <a:ext uri="{FF2B5EF4-FFF2-40B4-BE49-F238E27FC236}">
              <a16:creationId xmlns:a16="http://schemas.microsoft.com/office/drawing/2014/main" id="{46C69787-E50D-551D-7A74-D10530B0B739}"/>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31" name="Text Box 47" hidden="1">
          <a:extLst>
            <a:ext uri="{FF2B5EF4-FFF2-40B4-BE49-F238E27FC236}">
              <a16:creationId xmlns:a16="http://schemas.microsoft.com/office/drawing/2014/main" id="{F91CEBE5-D5F9-4A14-F8E0-DEDCA1626DF6}"/>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47</xdr:row>
      <xdr:rowOff>1058</xdr:rowOff>
    </xdr:from>
    <xdr:to>
      <xdr:col>25</xdr:col>
      <xdr:colOff>57150</xdr:colOff>
      <xdr:row>47</xdr:row>
      <xdr:rowOff>2116</xdr:rowOff>
    </xdr:to>
    <xdr:sp macro="" textlink="">
      <xdr:nvSpPr>
        <xdr:cNvPr id="374830" name="Text Box 46" hidden="1">
          <a:extLst>
            <a:ext uri="{FF2B5EF4-FFF2-40B4-BE49-F238E27FC236}">
              <a16:creationId xmlns:a16="http://schemas.microsoft.com/office/drawing/2014/main" id="{51316446-4DB8-CA8A-C346-15665D185350}"/>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29" name="Text Box 45" hidden="1">
          <a:extLst>
            <a:ext uri="{FF2B5EF4-FFF2-40B4-BE49-F238E27FC236}">
              <a16:creationId xmlns:a16="http://schemas.microsoft.com/office/drawing/2014/main" id="{7D74E205-6583-4F0F-E52E-F51535F619AD}"/>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28" name="Text Box 44" hidden="1">
          <a:extLst>
            <a:ext uri="{FF2B5EF4-FFF2-40B4-BE49-F238E27FC236}">
              <a16:creationId xmlns:a16="http://schemas.microsoft.com/office/drawing/2014/main" id="{205901A7-CD40-A9B5-408C-F5A6CFC1EBDD}"/>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27" name="Text Box 43" hidden="1">
          <a:extLst>
            <a:ext uri="{FF2B5EF4-FFF2-40B4-BE49-F238E27FC236}">
              <a16:creationId xmlns:a16="http://schemas.microsoft.com/office/drawing/2014/main" id="{07DF5002-8EE9-DA0E-E733-A54E3FFE8F39}"/>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171450</xdr:rowOff>
    </xdr:from>
    <xdr:to>
      <xdr:col>8</xdr:col>
      <xdr:colOff>228600</xdr:colOff>
      <xdr:row>71</xdr:row>
      <xdr:rowOff>171450</xdr:rowOff>
    </xdr:to>
    <xdr:sp macro="" textlink="">
      <xdr:nvSpPr>
        <xdr:cNvPr id="374866" name="Text Box 82" hidden="1">
          <a:extLst>
            <a:ext uri="{FF2B5EF4-FFF2-40B4-BE49-F238E27FC236}">
              <a16:creationId xmlns:a16="http://schemas.microsoft.com/office/drawing/2014/main" id="{F5723246-1DC4-0405-1461-E3C73CDA1501}"/>
            </a:ext>
          </a:extLst>
        </xdr:cNvPr>
        <xdr:cNvSpPr txBox="1">
          <a:spLocks noChangeArrowheads="1"/>
        </xdr:cNvSpPr>
      </xdr:nvSpPr>
      <xdr:spPr bwMode="auto">
        <a:xfrm>
          <a:off x="8985250" y="1764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171450</xdr:rowOff>
    </xdr:from>
    <xdr:to>
      <xdr:col>11</xdr:col>
      <xdr:colOff>190500</xdr:colOff>
      <xdr:row>71</xdr:row>
      <xdr:rowOff>171450</xdr:rowOff>
    </xdr:to>
    <xdr:sp macro="" textlink="">
      <xdr:nvSpPr>
        <xdr:cNvPr id="374865" name="Text Box 81" hidden="1">
          <a:extLst>
            <a:ext uri="{FF2B5EF4-FFF2-40B4-BE49-F238E27FC236}">
              <a16:creationId xmlns:a16="http://schemas.microsoft.com/office/drawing/2014/main" id="{7EED76A6-F7B7-CAEF-EF22-D899B42972B0}"/>
            </a:ext>
          </a:extLst>
        </xdr:cNvPr>
        <xdr:cNvSpPr txBox="1">
          <a:spLocks noChangeArrowheads="1"/>
        </xdr:cNvSpPr>
      </xdr:nvSpPr>
      <xdr:spPr bwMode="auto">
        <a:xfrm>
          <a:off x="11315700" y="1764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64" name="Text Box 80" hidden="1">
          <a:extLst>
            <a:ext uri="{FF2B5EF4-FFF2-40B4-BE49-F238E27FC236}">
              <a16:creationId xmlns:a16="http://schemas.microsoft.com/office/drawing/2014/main" id="{37D9D9F0-E734-7C56-DE45-C9C916109344}"/>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63" name="Text Box 79" hidden="1">
          <a:extLst>
            <a:ext uri="{FF2B5EF4-FFF2-40B4-BE49-F238E27FC236}">
              <a16:creationId xmlns:a16="http://schemas.microsoft.com/office/drawing/2014/main" id="{7206E464-96FB-6F49-C7FE-9C8039E1ED77}"/>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62" name="Text Box 78" hidden="1">
          <a:extLst>
            <a:ext uri="{FF2B5EF4-FFF2-40B4-BE49-F238E27FC236}">
              <a16:creationId xmlns:a16="http://schemas.microsoft.com/office/drawing/2014/main" id="{7CF6CD27-7A03-2B77-614C-6D5B8948ED5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61" name="Text Box 77" hidden="1">
          <a:extLst>
            <a:ext uri="{FF2B5EF4-FFF2-40B4-BE49-F238E27FC236}">
              <a16:creationId xmlns:a16="http://schemas.microsoft.com/office/drawing/2014/main" id="{7E6FBEB0-BEF5-9A5B-CF20-687B3CF9255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60" name="Text Box 76" hidden="1">
          <a:extLst>
            <a:ext uri="{FF2B5EF4-FFF2-40B4-BE49-F238E27FC236}">
              <a16:creationId xmlns:a16="http://schemas.microsoft.com/office/drawing/2014/main" id="{805FEB7F-6627-81A9-4C47-5F35498A3690}"/>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95250</xdr:rowOff>
    </xdr:from>
    <xdr:to>
      <xdr:col>20</xdr:col>
      <xdr:colOff>647700</xdr:colOff>
      <xdr:row>68</xdr:row>
      <xdr:rowOff>304800</xdr:rowOff>
    </xdr:to>
    <xdr:sp macro="" textlink="">
      <xdr:nvSpPr>
        <xdr:cNvPr id="374859" name="Text Box 75" hidden="1">
          <a:extLst>
            <a:ext uri="{FF2B5EF4-FFF2-40B4-BE49-F238E27FC236}">
              <a16:creationId xmlns:a16="http://schemas.microsoft.com/office/drawing/2014/main" id="{714769E5-AFA3-D051-BC1C-DD1E0C3043DB}"/>
            </a:ext>
          </a:extLst>
        </xdr:cNvPr>
        <xdr:cNvSpPr txBox="1">
          <a:spLocks noChangeArrowheads="1"/>
        </xdr:cNvSpPr>
      </xdr:nvSpPr>
      <xdr:spPr bwMode="auto">
        <a:xfrm>
          <a:off x="18935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95250</xdr:rowOff>
    </xdr:from>
    <xdr:to>
      <xdr:col>24</xdr:col>
      <xdr:colOff>647700</xdr:colOff>
      <xdr:row>68</xdr:row>
      <xdr:rowOff>304800</xdr:rowOff>
    </xdr:to>
    <xdr:sp macro="" textlink="">
      <xdr:nvSpPr>
        <xdr:cNvPr id="374858" name="Text Box 74" hidden="1">
          <a:extLst>
            <a:ext uri="{FF2B5EF4-FFF2-40B4-BE49-F238E27FC236}">
              <a16:creationId xmlns:a16="http://schemas.microsoft.com/office/drawing/2014/main" id="{CD297252-A696-5A96-28E9-1C9BE01BE63A}"/>
            </a:ext>
          </a:extLst>
        </xdr:cNvPr>
        <xdr:cNvSpPr txBox="1">
          <a:spLocks noChangeArrowheads="1"/>
        </xdr:cNvSpPr>
      </xdr:nvSpPr>
      <xdr:spPr bwMode="auto">
        <a:xfrm>
          <a:off x="21983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95250</xdr:rowOff>
    </xdr:from>
    <xdr:to>
      <xdr:col>28</xdr:col>
      <xdr:colOff>647700</xdr:colOff>
      <xdr:row>68</xdr:row>
      <xdr:rowOff>304800</xdr:rowOff>
    </xdr:to>
    <xdr:sp macro="" textlink="">
      <xdr:nvSpPr>
        <xdr:cNvPr id="374857" name="Text Box 73" hidden="1">
          <a:extLst>
            <a:ext uri="{FF2B5EF4-FFF2-40B4-BE49-F238E27FC236}">
              <a16:creationId xmlns:a16="http://schemas.microsoft.com/office/drawing/2014/main" id="{6DDDAF38-6EEF-FCB2-A94B-3D09CA3C649F}"/>
            </a:ext>
          </a:extLst>
        </xdr:cNvPr>
        <xdr:cNvSpPr txBox="1">
          <a:spLocks noChangeArrowheads="1"/>
        </xdr:cNvSpPr>
      </xdr:nvSpPr>
      <xdr:spPr bwMode="auto">
        <a:xfrm>
          <a:off x="25031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56" name="Text Box 72" hidden="1">
          <a:extLst>
            <a:ext uri="{FF2B5EF4-FFF2-40B4-BE49-F238E27FC236}">
              <a16:creationId xmlns:a16="http://schemas.microsoft.com/office/drawing/2014/main" id="{631F5CDF-4A9F-0871-9E82-72DE631725D5}"/>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171450</xdr:rowOff>
    </xdr:from>
    <xdr:to>
      <xdr:col>21</xdr:col>
      <xdr:colOff>685800</xdr:colOff>
      <xdr:row>83</xdr:row>
      <xdr:rowOff>171450</xdr:rowOff>
    </xdr:to>
    <xdr:sp macro="" textlink="">
      <xdr:nvSpPr>
        <xdr:cNvPr id="374855" name="Text Box 71" hidden="1">
          <a:extLst>
            <a:ext uri="{FF2B5EF4-FFF2-40B4-BE49-F238E27FC236}">
              <a16:creationId xmlns:a16="http://schemas.microsoft.com/office/drawing/2014/main" id="{E4ECEFAD-D9DB-448F-B73B-3D3756387687}"/>
            </a:ext>
          </a:extLst>
        </xdr:cNvPr>
        <xdr:cNvSpPr txBox="1">
          <a:spLocks noChangeArrowheads="1"/>
        </xdr:cNvSpPr>
      </xdr:nvSpPr>
      <xdr:spPr bwMode="auto">
        <a:xfrm>
          <a:off x="19735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171450</xdr:rowOff>
    </xdr:from>
    <xdr:to>
      <xdr:col>25</xdr:col>
      <xdr:colOff>685800</xdr:colOff>
      <xdr:row>83</xdr:row>
      <xdr:rowOff>171450</xdr:rowOff>
    </xdr:to>
    <xdr:sp macro="" textlink="">
      <xdr:nvSpPr>
        <xdr:cNvPr id="374854" name="Text Box 70" hidden="1">
          <a:extLst>
            <a:ext uri="{FF2B5EF4-FFF2-40B4-BE49-F238E27FC236}">
              <a16:creationId xmlns:a16="http://schemas.microsoft.com/office/drawing/2014/main" id="{77E1A82B-34F7-868C-9B95-FE752C912607}"/>
            </a:ext>
          </a:extLst>
        </xdr:cNvPr>
        <xdr:cNvSpPr txBox="1">
          <a:spLocks noChangeArrowheads="1"/>
        </xdr:cNvSpPr>
      </xdr:nvSpPr>
      <xdr:spPr bwMode="auto">
        <a:xfrm>
          <a:off x="22783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171450</xdr:rowOff>
    </xdr:from>
    <xdr:to>
      <xdr:col>29</xdr:col>
      <xdr:colOff>685800</xdr:colOff>
      <xdr:row>83</xdr:row>
      <xdr:rowOff>171450</xdr:rowOff>
    </xdr:to>
    <xdr:sp macro="" textlink="">
      <xdr:nvSpPr>
        <xdr:cNvPr id="374853" name="Text Box 69" hidden="1">
          <a:extLst>
            <a:ext uri="{FF2B5EF4-FFF2-40B4-BE49-F238E27FC236}">
              <a16:creationId xmlns:a16="http://schemas.microsoft.com/office/drawing/2014/main" id="{E4FE3B4D-7086-6163-F2EA-7FE50FE881B7}"/>
            </a:ext>
          </a:extLst>
        </xdr:cNvPr>
        <xdr:cNvSpPr txBox="1">
          <a:spLocks noChangeArrowheads="1"/>
        </xdr:cNvSpPr>
      </xdr:nvSpPr>
      <xdr:spPr bwMode="auto">
        <a:xfrm>
          <a:off x="25831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52" name="Text Box 68" hidden="1">
          <a:extLst>
            <a:ext uri="{FF2B5EF4-FFF2-40B4-BE49-F238E27FC236}">
              <a16:creationId xmlns:a16="http://schemas.microsoft.com/office/drawing/2014/main" id="{B519D37B-6DE4-9851-8C6E-3DF70A9C8327}"/>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51" name="Text Box 67" hidden="1">
          <a:extLst>
            <a:ext uri="{FF2B5EF4-FFF2-40B4-BE49-F238E27FC236}">
              <a16:creationId xmlns:a16="http://schemas.microsoft.com/office/drawing/2014/main" id="{75575C0A-7AED-6577-0EE3-AFA64E387EC2}"/>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46</xdr:row>
      <xdr:rowOff>342900</xdr:rowOff>
    </xdr:from>
    <xdr:to>
      <xdr:col>25</xdr:col>
      <xdr:colOff>57150</xdr:colOff>
      <xdr:row>47</xdr:row>
      <xdr:rowOff>0</xdr:rowOff>
    </xdr:to>
    <xdr:sp macro="" textlink="">
      <xdr:nvSpPr>
        <xdr:cNvPr id="374850" name="Text Box 66" hidden="1">
          <a:extLst>
            <a:ext uri="{FF2B5EF4-FFF2-40B4-BE49-F238E27FC236}">
              <a16:creationId xmlns:a16="http://schemas.microsoft.com/office/drawing/2014/main" id="{3E5AEA02-0658-D7F7-5863-256DBEBDE009}"/>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49" name="Text Box 65" hidden="1">
          <a:extLst>
            <a:ext uri="{FF2B5EF4-FFF2-40B4-BE49-F238E27FC236}">
              <a16:creationId xmlns:a16="http://schemas.microsoft.com/office/drawing/2014/main" id="{6D9AE6AC-FEE3-16F2-FF05-09187A58A370}"/>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48" name="Text Box 64" hidden="1">
          <a:extLst>
            <a:ext uri="{FF2B5EF4-FFF2-40B4-BE49-F238E27FC236}">
              <a16:creationId xmlns:a16="http://schemas.microsoft.com/office/drawing/2014/main" id="{5F041B3E-34BE-D7BA-D1C8-EADD4DD8D0E4}"/>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47" name="Text Box 63" hidden="1">
          <a:extLst>
            <a:ext uri="{FF2B5EF4-FFF2-40B4-BE49-F238E27FC236}">
              <a16:creationId xmlns:a16="http://schemas.microsoft.com/office/drawing/2014/main" id="{3F184BCD-E09D-850C-C0FE-0742547CAF16}"/>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30" name="Text Box 22" hidden="1">
          <a:extLst>
            <a:ext uri="{FF2B5EF4-FFF2-40B4-BE49-F238E27FC236}">
              <a16:creationId xmlns:a16="http://schemas.microsoft.com/office/drawing/2014/main" id="{DDF2C3BB-F079-7C6B-3D60-CA48735F91BC}"/>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29" name="Text Box 21" hidden="1">
          <a:extLst>
            <a:ext uri="{FF2B5EF4-FFF2-40B4-BE49-F238E27FC236}">
              <a16:creationId xmlns:a16="http://schemas.microsoft.com/office/drawing/2014/main" id="{D9854A14-F0BF-E0D8-8740-531BC2F02CD4}"/>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28" name="Text Box 20" hidden="1">
          <a:extLst>
            <a:ext uri="{FF2B5EF4-FFF2-40B4-BE49-F238E27FC236}">
              <a16:creationId xmlns:a16="http://schemas.microsoft.com/office/drawing/2014/main" id="{6B99D88D-ADE5-E3C8-C14A-B168C957E696}"/>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27" name="Text Box 19" hidden="1">
          <a:extLst>
            <a:ext uri="{FF2B5EF4-FFF2-40B4-BE49-F238E27FC236}">
              <a16:creationId xmlns:a16="http://schemas.microsoft.com/office/drawing/2014/main" id="{FA529988-6894-FFFF-915D-4C46BC3E7C25}"/>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26" name="Text Box 18" hidden="1">
          <a:extLst>
            <a:ext uri="{FF2B5EF4-FFF2-40B4-BE49-F238E27FC236}">
              <a16:creationId xmlns:a16="http://schemas.microsoft.com/office/drawing/2014/main" id="{0F027792-2722-8B35-E922-CAE37DE10ED4}"/>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25" name="Text Box 17" hidden="1">
          <a:extLst>
            <a:ext uri="{FF2B5EF4-FFF2-40B4-BE49-F238E27FC236}">
              <a16:creationId xmlns:a16="http://schemas.microsoft.com/office/drawing/2014/main" id="{17274D97-F302-4B7D-9E3C-BDB02150CDD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24" name="Text Box 16" hidden="1">
          <a:extLst>
            <a:ext uri="{FF2B5EF4-FFF2-40B4-BE49-F238E27FC236}">
              <a16:creationId xmlns:a16="http://schemas.microsoft.com/office/drawing/2014/main" id="{4C5A51D9-1AC0-3FD4-4665-4D8B332165A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23" name="Text Box 15" hidden="1">
          <a:extLst>
            <a:ext uri="{FF2B5EF4-FFF2-40B4-BE49-F238E27FC236}">
              <a16:creationId xmlns:a16="http://schemas.microsoft.com/office/drawing/2014/main" id="{44BF098D-E07B-5138-8459-E0220B6A78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22" name="Text Box 14" hidden="1">
          <a:extLst>
            <a:ext uri="{FF2B5EF4-FFF2-40B4-BE49-F238E27FC236}">
              <a16:creationId xmlns:a16="http://schemas.microsoft.com/office/drawing/2014/main" id="{4A79F58F-3966-29C9-D2D8-80A366A5B8E4}"/>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21" name="Text Box 13" hidden="1">
          <a:extLst>
            <a:ext uri="{FF2B5EF4-FFF2-40B4-BE49-F238E27FC236}">
              <a16:creationId xmlns:a16="http://schemas.microsoft.com/office/drawing/2014/main" id="{43EDDCB4-7E8E-86DC-5B1B-0086A838832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20" name="Text Box 12" hidden="1">
          <a:extLst>
            <a:ext uri="{FF2B5EF4-FFF2-40B4-BE49-F238E27FC236}">
              <a16:creationId xmlns:a16="http://schemas.microsoft.com/office/drawing/2014/main" id="{9971F63F-FD50-FFBE-E818-A12A9797C6C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19" name="Text Box 11" hidden="1">
          <a:extLst>
            <a:ext uri="{FF2B5EF4-FFF2-40B4-BE49-F238E27FC236}">
              <a16:creationId xmlns:a16="http://schemas.microsoft.com/office/drawing/2014/main" id="{F3093F65-4DA5-E00B-7534-D3A3BF93B1AE}"/>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18" name="Text Box 10" hidden="1">
          <a:extLst>
            <a:ext uri="{FF2B5EF4-FFF2-40B4-BE49-F238E27FC236}">
              <a16:creationId xmlns:a16="http://schemas.microsoft.com/office/drawing/2014/main" id="{6E551E8D-3EFC-F955-21F2-3C209D98D4A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17" name="Text Box 9" hidden="1">
          <a:extLst>
            <a:ext uri="{FF2B5EF4-FFF2-40B4-BE49-F238E27FC236}">
              <a16:creationId xmlns:a16="http://schemas.microsoft.com/office/drawing/2014/main" id="{56F0DA21-1F93-A189-51ED-2C4D86154533}"/>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16" name="Text Box 8" hidden="1">
          <a:extLst>
            <a:ext uri="{FF2B5EF4-FFF2-40B4-BE49-F238E27FC236}">
              <a16:creationId xmlns:a16="http://schemas.microsoft.com/office/drawing/2014/main" id="{57B7B84B-69FA-1FC9-103C-E937E96308C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15" name="Text Box 7" hidden="1">
          <a:extLst>
            <a:ext uri="{FF2B5EF4-FFF2-40B4-BE49-F238E27FC236}">
              <a16:creationId xmlns:a16="http://schemas.microsoft.com/office/drawing/2014/main" id="{432356AF-F459-7919-7D30-B6CE8C9CC4FD}"/>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14" name="Text Box 6" hidden="1">
          <a:extLst>
            <a:ext uri="{FF2B5EF4-FFF2-40B4-BE49-F238E27FC236}">
              <a16:creationId xmlns:a16="http://schemas.microsoft.com/office/drawing/2014/main" id="{6085EC97-8029-FCBE-D06B-B004B9FF5F7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13" name="Text Box 5" hidden="1">
          <a:extLst>
            <a:ext uri="{FF2B5EF4-FFF2-40B4-BE49-F238E27FC236}">
              <a16:creationId xmlns:a16="http://schemas.microsoft.com/office/drawing/2014/main" id="{F78ABF95-FA52-4AEE-8B88-3D24D87787A6}"/>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12" name="Text Box 4" hidden="1">
          <a:extLst>
            <a:ext uri="{FF2B5EF4-FFF2-40B4-BE49-F238E27FC236}">
              <a16:creationId xmlns:a16="http://schemas.microsoft.com/office/drawing/2014/main" id="{25FD94BD-952E-42D7-1CF7-31350B763C08}"/>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11" name="Text Box 3" hidden="1">
          <a:extLst>
            <a:ext uri="{FF2B5EF4-FFF2-40B4-BE49-F238E27FC236}">
              <a16:creationId xmlns:a16="http://schemas.microsoft.com/office/drawing/2014/main" id="{CEAAE164-44A2-E3E1-5DA8-5416B5DEA955}"/>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10" name="Text Box 2" hidden="1">
          <a:extLst>
            <a:ext uri="{FF2B5EF4-FFF2-40B4-BE49-F238E27FC236}">
              <a16:creationId xmlns:a16="http://schemas.microsoft.com/office/drawing/2014/main" id="{47A0C930-5189-2921-4CBB-3399499DE9A0}"/>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09" name="Text Box 1" hidden="1">
          <a:extLst>
            <a:ext uri="{FF2B5EF4-FFF2-40B4-BE49-F238E27FC236}">
              <a16:creationId xmlns:a16="http://schemas.microsoft.com/office/drawing/2014/main" id="{38062E5F-FD8A-A936-58DF-5C649463FDFB}"/>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52" name="Text Box 44" hidden="1">
          <a:extLst>
            <a:ext uri="{FF2B5EF4-FFF2-40B4-BE49-F238E27FC236}">
              <a16:creationId xmlns:a16="http://schemas.microsoft.com/office/drawing/2014/main" id="{408A933E-C3C9-6F8D-03ED-2D9E0A99C3C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51" name="Text Box 43" hidden="1">
          <a:extLst>
            <a:ext uri="{FF2B5EF4-FFF2-40B4-BE49-F238E27FC236}">
              <a16:creationId xmlns:a16="http://schemas.microsoft.com/office/drawing/2014/main" id="{EA8672E4-354C-AFCC-3B30-A05B9A103BC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50" name="Text Box 42" hidden="1">
          <a:extLst>
            <a:ext uri="{FF2B5EF4-FFF2-40B4-BE49-F238E27FC236}">
              <a16:creationId xmlns:a16="http://schemas.microsoft.com/office/drawing/2014/main" id="{F75E6052-AA0A-E1CD-3098-5704D26FD096}"/>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49" name="Text Box 41" hidden="1">
          <a:extLst>
            <a:ext uri="{FF2B5EF4-FFF2-40B4-BE49-F238E27FC236}">
              <a16:creationId xmlns:a16="http://schemas.microsoft.com/office/drawing/2014/main" id="{F47A2FC5-5F87-45B5-BBCA-661ACB3CDE4D}"/>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48" name="Text Box 40" hidden="1">
          <a:extLst>
            <a:ext uri="{FF2B5EF4-FFF2-40B4-BE49-F238E27FC236}">
              <a16:creationId xmlns:a16="http://schemas.microsoft.com/office/drawing/2014/main" id="{C9D516A2-1DD3-9FD3-A514-BC70A0E57C21}"/>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47" name="Text Box 39" hidden="1">
          <a:extLst>
            <a:ext uri="{FF2B5EF4-FFF2-40B4-BE49-F238E27FC236}">
              <a16:creationId xmlns:a16="http://schemas.microsoft.com/office/drawing/2014/main" id="{967F805F-7E15-7949-4992-7AD467C65EB0}"/>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46" name="Text Box 38" hidden="1">
          <a:extLst>
            <a:ext uri="{FF2B5EF4-FFF2-40B4-BE49-F238E27FC236}">
              <a16:creationId xmlns:a16="http://schemas.microsoft.com/office/drawing/2014/main" id="{3381AF36-82B2-ECD4-AF64-7CE5F88E62F7}"/>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45" name="Text Box 37" hidden="1">
          <a:extLst>
            <a:ext uri="{FF2B5EF4-FFF2-40B4-BE49-F238E27FC236}">
              <a16:creationId xmlns:a16="http://schemas.microsoft.com/office/drawing/2014/main" id="{57FA465C-25A5-C9F9-2C52-E9956B174B0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44" name="Text Box 36" hidden="1">
          <a:extLst>
            <a:ext uri="{FF2B5EF4-FFF2-40B4-BE49-F238E27FC236}">
              <a16:creationId xmlns:a16="http://schemas.microsoft.com/office/drawing/2014/main" id="{136FD23C-F897-CBDB-7310-85A78CAE8328}"/>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43" name="Text Box 35" hidden="1">
          <a:extLst>
            <a:ext uri="{FF2B5EF4-FFF2-40B4-BE49-F238E27FC236}">
              <a16:creationId xmlns:a16="http://schemas.microsoft.com/office/drawing/2014/main" id="{2787A978-8633-114C-4D23-1C8DE5892486}"/>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42" name="Text Box 34" hidden="1">
          <a:extLst>
            <a:ext uri="{FF2B5EF4-FFF2-40B4-BE49-F238E27FC236}">
              <a16:creationId xmlns:a16="http://schemas.microsoft.com/office/drawing/2014/main" id="{5FF1DB10-A846-440A-DA47-A734599A46C2}"/>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41" name="Text Box 33" hidden="1">
          <a:extLst>
            <a:ext uri="{FF2B5EF4-FFF2-40B4-BE49-F238E27FC236}">
              <a16:creationId xmlns:a16="http://schemas.microsoft.com/office/drawing/2014/main" id="{94429EC1-1C31-323C-3157-4699DC23B2A1}"/>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40" name="Text Box 32" hidden="1">
          <a:extLst>
            <a:ext uri="{FF2B5EF4-FFF2-40B4-BE49-F238E27FC236}">
              <a16:creationId xmlns:a16="http://schemas.microsoft.com/office/drawing/2014/main" id="{82C2F8E7-BD21-903F-0303-B89C6290EA1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39" name="Text Box 31" hidden="1">
          <a:extLst>
            <a:ext uri="{FF2B5EF4-FFF2-40B4-BE49-F238E27FC236}">
              <a16:creationId xmlns:a16="http://schemas.microsoft.com/office/drawing/2014/main" id="{06F5B300-25AA-DB4A-244F-B8DED3AB7984}"/>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38" name="Text Box 30" hidden="1">
          <a:extLst>
            <a:ext uri="{FF2B5EF4-FFF2-40B4-BE49-F238E27FC236}">
              <a16:creationId xmlns:a16="http://schemas.microsoft.com/office/drawing/2014/main" id="{6EE36C4F-26E8-CD8B-1F7F-C8DAF9D94D0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37" name="Text Box 29" hidden="1">
          <a:extLst>
            <a:ext uri="{FF2B5EF4-FFF2-40B4-BE49-F238E27FC236}">
              <a16:creationId xmlns:a16="http://schemas.microsoft.com/office/drawing/2014/main" id="{C3C81574-3DE6-12C8-6CE3-8495603ADAE0}"/>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36" name="Text Box 28" hidden="1">
          <a:extLst>
            <a:ext uri="{FF2B5EF4-FFF2-40B4-BE49-F238E27FC236}">
              <a16:creationId xmlns:a16="http://schemas.microsoft.com/office/drawing/2014/main" id="{1A4E28D2-DAC8-166B-2BC5-5DF747A365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35" name="Text Box 27" hidden="1">
          <a:extLst>
            <a:ext uri="{FF2B5EF4-FFF2-40B4-BE49-F238E27FC236}">
              <a16:creationId xmlns:a16="http://schemas.microsoft.com/office/drawing/2014/main" id="{7F5C336D-50D4-66CF-EF6F-E50944E53A6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34" name="Text Box 26" hidden="1">
          <a:extLst>
            <a:ext uri="{FF2B5EF4-FFF2-40B4-BE49-F238E27FC236}">
              <a16:creationId xmlns:a16="http://schemas.microsoft.com/office/drawing/2014/main" id="{F4CFA468-B402-44A7-F5A1-8BDEDA241B4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33" name="Text Box 25" hidden="1">
          <a:extLst>
            <a:ext uri="{FF2B5EF4-FFF2-40B4-BE49-F238E27FC236}">
              <a16:creationId xmlns:a16="http://schemas.microsoft.com/office/drawing/2014/main" id="{5A1CD799-44FA-3C16-C734-83FD7052880A}"/>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32" name="Text Box 24" hidden="1">
          <a:extLst>
            <a:ext uri="{FF2B5EF4-FFF2-40B4-BE49-F238E27FC236}">
              <a16:creationId xmlns:a16="http://schemas.microsoft.com/office/drawing/2014/main" id="{C856F9D0-F92A-6F80-E0EB-7E5130BDE2E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31" name="Text Box 23" hidden="1">
          <a:extLst>
            <a:ext uri="{FF2B5EF4-FFF2-40B4-BE49-F238E27FC236}">
              <a16:creationId xmlns:a16="http://schemas.microsoft.com/office/drawing/2014/main" id="{1307426D-6483-8BF6-ADDD-53AC0F39DA50}"/>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74" name="Text Box 66" hidden="1">
          <a:extLst>
            <a:ext uri="{FF2B5EF4-FFF2-40B4-BE49-F238E27FC236}">
              <a16:creationId xmlns:a16="http://schemas.microsoft.com/office/drawing/2014/main" id="{C65BD8D8-EE76-2A08-C1D1-DBBABFDFC196}"/>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73" name="Text Box 65" hidden="1">
          <a:extLst>
            <a:ext uri="{FF2B5EF4-FFF2-40B4-BE49-F238E27FC236}">
              <a16:creationId xmlns:a16="http://schemas.microsoft.com/office/drawing/2014/main" id="{5FF9771E-34CA-E257-41C9-C56C64067040}"/>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72" name="Text Box 64" hidden="1">
          <a:extLst>
            <a:ext uri="{FF2B5EF4-FFF2-40B4-BE49-F238E27FC236}">
              <a16:creationId xmlns:a16="http://schemas.microsoft.com/office/drawing/2014/main" id="{4F86F8AA-4199-B9F4-1E33-B7C2229658B4}"/>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71" name="Text Box 63" hidden="1">
          <a:extLst>
            <a:ext uri="{FF2B5EF4-FFF2-40B4-BE49-F238E27FC236}">
              <a16:creationId xmlns:a16="http://schemas.microsoft.com/office/drawing/2014/main" id="{92011F40-F218-9312-F94C-90E536408F9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70" name="Text Box 62" hidden="1">
          <a:extLst>
            <a:ext uri="{FF2B5EF4-FFF2-40B4-BE49-F238E27FC236}">
              <a16:creationId xmlns:a16="http://schemas.microsoft.com/office/drawing/2014/main" id="{5206D18C-484F-91A8-6A2B-1B50C1DDCABA}"/>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69" name="Text Box 61" hidden="1">
          <a:extLst>
            <a:ext uri="{FF2B5EF4-FFF2-40B4-BE49-F238E27FC236}">
              <a16:creationId xmlns:a16="http://schemas.microsoft.com/office/drawing/2014/main" id="{6C7443D0-F591-EC67-1E4D-5083B1B9582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68" name="Text Box 60" hidden="1">
          <a:extLst>
            <a:ext uri="{FF2B5EF4-FFF2-40B4-BE49-F238E27FC236}">
              <a16:creationId xmlns:a16="http://schemas.microsoft.com/office/drawing/2014/main" id="{97A6BD5A-FDD0-88BD-CC26-0D4BB02F06CC}"/>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67" name="Text Box 59" hidden="1">
          <a:extLst>
            <a:ext uri="{FF2B5EF4-FFF2-40B4-BE49-F238E27FC236}">
              <a16:creationId xmlns:a16="http://schemas.microsoft.com/office/drawing/2014/main" id="{1C1E8BD4-B7C5-F20C-746B-7DBFC092D3E3}"/>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66" name="Text Box 58" hidden="1">
          <a:extLst>
            <a:ext uri="{FF2B5EF4-FFF2-40B4-BE49-F238E27FC236}">
              <a16:creationId xmlns:a16="http://schemas.microsoft.com/office/drawing/2014/main" id="{D014EB1F-865B-5B3F-9683-B5C15586EDD7}"/>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65" name="Text Box 57" hidden="1">
          <a:extLst>
            <a:ext uri="{FF2B5EF4-FFF2-40B4-BE49-F238E27FC236}">
              <a16:creationId xmlns:a16="http://schemas.microsoft.com/office/drawing/2014/main" id="{E4406AB4-EBB8-03B3-D5C8-F3CAB843F2F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64" name="Text Box 56" hidden="1">
          <a:extLst>
            <a:ext uri="{FF2B5EF4-FFF2-40B4-BE49-F238E27FC236}">
              <a16:creationId xmlns:a16="http://schemas.microsoft.com/office/drawing/2014/main" id="{82379203-C4C4-A497-C747-347723BF67D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63" name="Text Box 55" hidden="1">
          <a:extLst>
            <a:ext uri="{FF2B5EF4-FFF2-40B4-BE49-F238E27FC236}">
              <a16:creationId xmlns:a16="http://schemas.microsoft.com/office/drawing/2014/main" id="{1918FEE3-D4E0-1C20-D0F2-B556CDA81E78}"/>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62" name="Text Box 54" hidden="1">
          <a:extLst>
            <a:ext uri="{FF2B5EF4-FFF2-40B4-BE49-F238E27FC236}">
              <a16:creationId xmlns:a16="http://schemas.microsoft.com/office/drawing/2014/main" id="{DDD35F02-2637-01F7-C8F9-E0AADC99346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61" name="Text Box 53" hidden="1">
          <a:extLst>
            <a:ext uri="{FF2B5EF4-FFF2-40B4-BE49-F238E27FC236}">
              <a16:creationId xmlns:a16="http://schemas.microsoft.com/office/drawing/2014/main" id="{10D6D06C-3546-EAEE-891A-B1018FBFA104}"/>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60" name="Text Box 52" hidden="1">
          <a:extLst>
            <a:ext uri="{FF2B5EF4-FFF2-40B4-BE49-F238E27FC236}">
              <a16:creationId xmlns:a16="http://schemas.microsoft.com/office/drawing/2014/main" id="{4279E2A4-E20B-9D84-9327-22A3BE659EE2}"/>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59" name="Text Box 51" hidden="1">
          <a:extLst>
            <a:ext uri="{FF2B5EF4-FFF2-40B4-BE49-F238E27FC236}">
              <a16:creationId xmlns:a16="http://schemas.microsoft.com/office/drawing/2014/main" id="{177033CA-69CF-D644-CF5B-9516FF5A82D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58" name="Text Box 50" hidden="1">
          <a:extLst>
            <a:ext uri="{FF2B5EF4-FFF2-40B4-BE49-F238E27FC236}">
              <a16:creationId xmlns:a16="http://schemas.microsoft.com/office/drawing/2014/main" id="{62797FE5-6149-BA37-D2D3-D0B52012E3FC}"/>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57" name="Text Box 49" hidden="1">
          <a:extLst>
            <a:ext uri="{FF2B5EF4-FFF2-40B4-BE49-F238E27FC236}">
              <a16:creationId xmlns:a16="http://schemas.microsoft.com/office/drawing/2014/main" id="{139CA383-D6C5-F294-01C2-615867F47F0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56" name="Text Box 48" hidden="1">
          <a:extLst>
            <a:ext uri="{FF2B5EF4-FFF2-40B4-BE49-F238E27FC236}">
              <a16:creationId xmlns:a16="http://schemas.microsoft.com/office/drawing/2014/main" id="{B46C7E2D-023B-0D93-6FA2-1E8ED4EFBCED}"/>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55" name="Text Box 47" hidden="1">
          <a:extLst>
            <a:ext uri="{FF2B5EF4-FFF2-40B4-BE49-F238E27FC236}">
              <a16:creationId xmlns:a16="http://schemas.microsoft.com/office/drawing/2014/main" id="{5780159E-7D2F-5657-E33B-C70AD63B5D34}"/>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54" name="Text Box 46" hidden="1">
          <a:extLst>
            <a:ext uri="{FF2B5EF4-FFF2-40B4-BE49-F238E27FC236}">
              <a16:creationId xmlns:a16="http://schemas.microsoft.com/office/drawing/2014/main" id="{DEF05B20-64A2-A62E-7FDD-0F4EC3E2E3DA}"/>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53" name="Text Box 45" hidden="1">
          <a:extLst>
            <a:ext uri="{FF2B5EF4-FFF2-40B4-BE49-F238E27FC236}">
              <a16:creationId xmlns:a16="http://schemas.microsoft.com/office/drawing/2014/main" id="{D65F515C-8605-0463-0E2B-0E4A5B7A4A89}"/>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96" name="Text Box 88" hidden="1">
          <a:extLst>
            <a:ext uri="{FF2B5EF4-FFF2-40B4-BE49-F238E27FC236}">
              <a16:creationId xmlns:a16="http://schemas.microsoft.com/office/drawing/2014/main" id="{D3B80027-3549-FFA6-D93F-8AE9F8A23E86}"/>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95" name="Text Box 87" hidden="1">
          <a:extLst>
            <a:ext uri="{FF2B5EF4-FFF2-40B4-BE49-F238E27FC236}">
              <a16:creationId xmlns:a16="http://schemas.microsoft.com/office/drawing/2014/main" id="{87691299-7285-F2CC-ABF2-6525EBA80B9D}"/>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94" name="Text Box 86" hidden="1">
          <a:extLst>
            <a:ext uri="{FF2B5EF4-FFF2-40B4-BE49-F238E27FC236}">
              <a16:creationId xmlns:a16="http://schemas.microsoft.com/office/drawing/2014/main" id="{A5080AC9-77D0-3CC9-1CB6-C1E2ADC30A9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93" name="Text Box 85" hidden="1">
          <a:extLst>
            <a:ext uri="{FF2B5EF4-FFF2-40B4-BE49-F238E27FC236}">
              <a16:creationId xmlns:a16="http://schemas.microsoft.com/office/drawing/2014/main" id="{FAC42524-8506-1958-1C08-ED974BBA833C}"/>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92" name="Text Box 84" hidden="1">
          <a:extLst>
            <a:ext uri="{FF2B5EF4-FFF2-40B4-BE49-F238E27FC236}">
              <a16:creationId xmlns:a16="http://schemas.microsoft.com/office/drawing/2014/main" id="{B1EE5A56-29C8-380F-44B4-8734DBB8CC50}"/>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91" name="Text Box 83" hidden="1">
          <a:extLst>
            <a:ext uri="{FF2B5EF4-FFF2-40B4-BE49-F238E27FC236}">
              <a16:creationId xmlns:a16="http://schemas.microsoft.com/office/drawing/2014/main" id="{A47F0D92-3F03-7748-EC3A-D1600BFF3C98}"/>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90" name="Text Box 82" hidden="1">
          <a:extLst>
            <a:ext uri="{FF2B5EF4-FFF2-40B4-BE49-F238E27FC236}">
              <a16:creationId xmlns:a16="http://schemas.microsoft.com/office/drawing/2014/main" id="{BC03FE38-E5BA-56BC-744F-F5BDDAEAFB64}"/>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89" name="Text Box 81" hidden="1">
          <a:extLst>
            <a:ext uri="{FF2B5EF4-FFF2-40B4-BE49-F238E27FC236}">
              <a16:creationId xmlns:a16="http://schemas.microsoft.com/office/drawing/2014/main" id="{1DB91CDA-D53D-F3AE-F809-D9E3A5DE0635}"/>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88" name="Text Box 80" hidden="1">
          <a:extLst>
            <a:ext uri="{FF2B5EF4-FFF2-40B4-BE49-F238E27FC236}">
              <a16:creationId xmlns:a16="http://schemas.microsoft.com/office/drawing/2014/main" id="{E2C74477-FC2E-A3B0-0503-EE9AE6D503D5}"/>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87" name="Text Box 79" hidden="1">
          <a:extLst>
            <a:ext uri="{FF2B5EF4-FFF2-40B4-BE49-F238E27FC236}">
              <a16:creationId xmlns:a16="http://schemas.microsoft.com/office/drawing/2014/main" id="{58B43648-7247-799C-CBED-B00C94905726}"/>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86" name="Text Box 78" hidden="1">
          <a:extLst>
            <a:ext uri="{FF2B5EF4-FFF2-40B4-BE49-F238E27FC236}">
              <a16:creationId xmlns:a16="http://schemas.microsoft.com/office/drawing/2014/main" id="{31F233DE-400D-D8B5-A1CB-EBBB79D15AF6}"/>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85" name="Text Box 77" hidden="1">
          <a:extLst>
            <a:ext uri="{FF2B5EF4-FFF2-40B4-BE49-F238E27FC236}">
              <a16:creationId xmlns:a16="http://schemas.microsoft.com/office/drawing/2014/main" id="{125AC929-E026-697C-88C6-3AA6B7D738E9}"/>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84" name="Text Box 76" hidden="1">
          <a:extLst>
            <a:ext uri="{FF2B5EF4-FFF2-40B4-BE49-F238E27FC236}">
              <a16:creationId xmlns:a16="http://schemas.microsoft.com/office/drawing/2014/main" id="{3804C7CC-C7A0-DBC7-A10B-D4C9E1AD117F}"/>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83" name="Text Box 75" hidden="1">
          <a:extLst>
            <a:ext uri="{FF2B5EF4-FFF2-40B4-BE49-F238E27FC236}">
              <a16:creationId xmlns:a16="http://schemas.microsoft.com/office/drawing/2014/main" id="{2C2A71EC-55BB-3975-FBA2-B1C115BBF013}"/>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82" name="Text Box 74" hidden="1">
          <a:extLst>
            <a:ext uri="{FF2B5EF4-FFF2-40B4-BE49-F238E27FC236}">
              <a16:creationId xmlns:a16="http://schemas.microsoft.com/office/drawing/2014/main" id="{DB4D1086-AA52-93FB-1055-ED8A3AF1154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81" name="Text Box 73" hidden="1">
          <a:extLst>
            <a:ext uri="{FF2B5EF4-FFF2-40B4-BE49-F238E27FC236}">
              <a16:creationId xmlns:a16="http://schemas.microsoft.com/office/drawing/2014/main" id="{79774DC5-6382-4213-8500-063209544ADB}"/>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80" name="Text Box 72" hidden="1">
          <a:extLst>
            <a:ext uri="{FF2B5EF4-FFF2-40B4-BE49-F238E27FC236}">
              <a16:creationId xmlns:a16="http://schemas.microsoft.com/office/drawing/2014/main" id="{319384FF-B2D4-B9D1-68CA-88F435556877}"/>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79" name="Text Box 71" hidden="1">
          <a:extLst>
            <a:ext uri="{FF2B5EF4-FFF2-40B4-BE49-F238E27FC236}">
              <a16:creationId xmlns:a16="http://schemas.microsoft.com/office/drawing/2014/main" id="{11634075-264A-9F74-69E6-D2501C05DA68}"/>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78" name="Text Box 70" hidden="1">
          <a:extLst>
            <a:ext uri="{FF2B5EF4-FFF2-40B4-BE49-F238E27FC236}">
              <a16:creationId xmlns:a16="http://schemas.microsoft.com/office/drawing/2014/main" id="{B43F0F29-4A61-D7F4-FD21-5C4F6870EA6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77" name="Text Box 69" hidden="1">
          <a:extLst>
            <a:ext uri="{FF2B5EF4-FFF2-40B4-BE49-F238E27FC236}">
              <a16:creationId xmlns:a16="http://schemas.microsoft.com/office/drawing/2014/main" id="{DA11E1F1-5E9E-395E-BE5F-7AC2A13AF6C6}"/>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76" name="Text Box 68" hidden="1">
          <a:extLst>
            <a:ext uri="{FF2B5EF4-FFF2-40B4-BE49-F238E27FC236}">
              <a16:creationId xmlns:a16="http://schemas.microsoft.com/office/drawing/2014/main" id="{1BE05D7B-3B05-C2B5-284F-597BF60BB91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75" name="Text Box 67" hidden="1">
          <a:extLst>
            <a:ext uri="{FF2B5EF4-FFF2-40B4-BE49-F238E27FC236}">
              <a16:creationId xmlns:a16="http://schemas.microsoft.com/office/drawing/2014/main" id="{E90E50FE-97B0-75F4-688D-75B8E4FCF3C2}"/>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0</xdr:colOff>
      <xdr:row>34</xdr:row>
      <xdr:rowOff>0</xdr:rowOff>
    </xdr:from>
    <xdr:to>
      <xdr:col>28</xdr:col>
      <xdr:colOff>320675</xdr:colOff>
      <xdr:row>70</xdr:row>
      <xdr:rowOff>41045</xdr:rowOff>
    </xdr:to>
    <xdr:pic>
      <xdr:nvPicPr>
        <xdr:cNvPr id="2" name="Picture 1">
          <a:extLst>
            <a:ext uri="{FF2B5EF4-FFF2-40B4-BE49-F238E27FC236}">
              <a16:creationId xmlns:a16="http://schemas.microsoft.com/office/drawing/2014/main" id="{2894D36B-6CF8-4734-B910-DD1A3F1A94DE}"/>
            </a:ext>
          </a:extLst>
        </xdr:cNvPr>
        <xdr:cNvPicPr>
          <a:picLocks noChangeAspect="1"/>
        </xdr:cNvPicPr>
      </xdr:nvPicPr>
      <xdr:blipFill>
        <a:blip xmlns:r="http://schemas.openxmlformats.org/officeDocument/2006/relationships" r:embed="rId1"/>
        <a:stretch>
          <a:fillRect/>
        </a:stretch>
      </xdr:blipFill>
      <xdr:spPr>
        <a:xfrm>
          <a:off x="11430000" y="7362825"/>
          <a:ext cx="10226675" cy="6556145"/>
        </a:xfrm>
        <a:prstGeom prst="rect">
          <a:avLst/>
        </a:prstGeom>
      </xdr:spPr>
    </xdr:pic>
    <xdr:clientData/>
  </xdr:twoCellAnchor>
  <xdr:twoCellAnchor>
    <xdr:from>
      <xdr:col>17</xdr:col>
      <xdr:colOff>381000</xdr:colOff>
      <xdr:row>19</xdr:row>
      <xdr:rowOff>30162</xdr:rowOff>
    </xdr:from>
    <xdr:to>
      <xdr:col>23</xdr:col>
      <xdr:colOff>381000</xdr:colOff>
      <xdr:row>28</xdr:row>
      <xdr:rowOff>26987</xdr:rowOff>
    </xdr:to>
    <xdr:graphicFrame macro="">
      <xdr:nvGraphicFramePr>
        <xdr:cNvPr id="3" name="Chart 2">
          <a:extLst>
            <a:ext uri="{FF2B5EF4-FFF2-40B4-BE49-F238E27FC236}">
              <a16:creationId xmlns:a16="http://schemas.microsoft.com/office/drawing/2014/main" id="{42848CE1-36C5-38C8-E020-0EED7A6DB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285750</xdr:colOff>
      <xdr:row>21</xdr:row>
      <xdr:rowOff>115887</xdr:rowOff>
    </xdr:from>
    <xdr:to>
      <xdr:col>30</xdr:col>
      <xdr:colOff>285750</xdr:colOff>
      <xdr:row>30</xdr:row>
      <xdr:rowOff>112712</xdr:rowOff>
    </xdr:to>
    <xdr:graphicFrame macro="">
      <xdr:nvGraphicFramePr>
        <xdr:cNvPr id="5" name="Chart 4">
          <a:extLst>
            <a:ext uri="{FF2B5EF4-FFF2-40B4-BE49-F238E27FC236}">
              <a16:creationId xmlns:a16="http://schemas.microsoft.com/office/drawing/2014/main" id="{CFCCB36C-EC3C-6FDA-CB74-A7585D81C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74</xdr:row>
      <xdr:rowOff>41130</xdr:rowOff>
    </xdr:from>
    <xdr:to>
      <xdr:col>5</xdr:col>
      <xdr:colOff>190500</xdr:colOff>
      <xdr:row>80</xdr:row>
      <xdr:rowOff>76892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75</xdr:row>
      <xdr:rowOff>123028</xdr:rowOff>
    </xdr:from>
    <xdr:to>
      <xdr:col>5</xdr:col>
      <xdr:colOff>190500</xdr:colOff>
      <xdr:row>80</xdr:row>
      <xdr:rowOff>273802</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181442</xdr:rowOff>
    </xdr:from>
    <xdr:to>
      <xdr:col>5</xdr:col>
      <xdr:colOff>190500</xdr:colOff>
      <xdr:row>81</xdr:row>
      <xdr:rowOff>58098</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40374</xdr:rowOff>
    </xdr:from>
    <xdr:to>
      <xdr:col>5</xdr:col>
      <xdr:colOff>190500</xdr:colOff>
      <xdr:row>83</xdr:row>
      <xdr:rowOff>1528</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101</xdr:row>
      <xdr:rowOff>150529</xdr:rowOff>
    </xdr:from>
    <xdr:to>
      <xdr:col>5</xdr:col>
      <xdr:colOff>190500</xdr:colOff>
      <xdr:row>128</xdr:row>
      <xdr:rowOff>180824</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102</xdr:row>
      <xdr:rowOff>68783</xdr:rowOff>
    </xdr:from>
    <xdr:to>
      <xdr:col>5</xdr:col>
      <xdr:colOff>190500</xdr:colOff>
      <xdr:row>113</xdr:row>
      <xdr:rowOff>69402</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325309</xdr:rowOff>
    </xdr:from>
    <xdr:to>
      <xdr:col>5</xdr:col>
      <xdr:colOff>190500</xdr:colOff>
      <xdr:row>74</xdr:row>
      <xdr:rowOff>59182</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325309</xdr:rowOff>
    </xdr:from>
    <xdr:to>
      <xdr:col>5</xdr:col>
      <xdr:colOff>190500</xdr:colOff>
      <xdr:row>70</xdr:row>
      <xdr:rowOff>47131</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325309</xdr:rowOff>
    </xdr:from>
    <xdr:to>
      <xdr:col>5</xdr:col>
      <xdr:colOff>190500</xdr:colOff>
      <xdr:row>63</xdr:row>
      <xdr:rowOff>31593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88124</xdr:rowOff>
    </xdr:from>
    <xdr:to>
      <xdr:col>5</xdr:col>
      <xdr:colOff>190500</xdr:colOff>
      <xdr:row>62</xdr:row>
      <xdr:rowOff>144544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180340</xdr:rowOff>
    </xdr:from>
    <xdr:to>
      <xdr:col>5</xdr:col>
      <xdr:colOff>190500</xdr:colOff>
      <xdr:row>61</xdr:row>
      <xdr:rowOff>120718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102</xdr:row>
      <xdr:rowOff>104129</xdr:rowOff>
    </xdr:from>
    <xdr:to>
      <xdr:col>6</xdr:col>
      <xdr:colOff>38100</xdr:colOff>
      <xdr:row>111</xdr:row>
      <xdr:rowOff>20583</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173712</xdr:rowOff>
    </xdr:from>
    <xdr:to>
      <xdr:col>5</xdr:col>
      <xdr:colOff>190500</xdr:colOff>
      <xdr:row>61</xdr:row>
      <xdr:rowOff>115397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383782</xdr:rowOff>
    </xdr:from>
    <xdr:to>
      <xdr:col>5</xdr:col>
      <xdr:colOff>190500</xdr:colOff>
      <xdr:row>62</xdr:row>
      <xdr:rowOff>29458</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220493</xdr:rowOff>
    </xdr:from>
    <xdr:to>
      <xdr:col>5</xdr:col>
      <xdr:colOff>190500</xdr:colOff>
      <xdr:row>63</xdr:row>
      <xdr:rowOff>16535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36371</xdr:rowOff>
    </xdr:from>
    <xdr:to>
      <xdr:col>5</xdr:col>
      <xdr:colOff>190500</xdr:colOff>
      <xdr:row>64</xdr:row>
      <xdr:rowOff>28310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83</xdr:row>
      <xdr:rowOff>39066</xdr:rowOff>
    </xdr:from>
    <xdr:to>
      <xdr:col>5</xdr:col>
      <xdr:colOff>190500</xdr:colOff>
      <xdr:row>108</xdr:row>
      <xdr:rowOff>93665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11667</xdr:rowOff>
    </xdr:from>
    <xdr:to>
      <xdr:col>5</xdr:col>
      <xdr:colOff>190500</xdr:colOff>
      <xdr:row>95</xdr:row>
      <xdr:rowOff>47686</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57</xdr:row>
      <xdr:rowOff>231654</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85626</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102897</xdr:rowOff>
    </xdr:from>
    <xdr:to>
      <xdr:col>6</xdr:col>
      <xdr:colOff>38100</xdr:colOff>
      <xdr:row>93</xdr:row>
      <xdr:rowOff>54155</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141612</xdr:rowOff>
    </xdr:from>
    <xdr:to>
      <xdr:col>5</xdr:col>
      <xdr:colOff>190500</xdr:colOff>
      <xdr:row>82</xdr:row>
      <xdr:rowOff>50788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121067</xdr:rowOff>
    </xdr:from>
    <xdr:to>
      <xdr:col>5</xdr:col>
      <xdr:colOff>190500</xdr:colOff>
      <xdr:row>83</xdr:row>
      <xdr:rowOff>39216</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125734</xdr:rowOff>
    </xdr:from>
    <xdr:to>
      <xdr:col>5</xdr:col>
      <xdr:colOff>190500</xdr:colOff>
      <xdr:row>83</xdr:row>
      <xdr:rowOff>180221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216037</xdr:rowOff>
    </xdr:from>
    <xdr:to>
      <xdr:col>5</xdr:col>
      <xdr:colOff>190500</xdr:colOff>
      <xdr:row>84</xdr:row>
      <xdr:rowOff>112331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105</xdr:row>
      <xdr:rowOff>31598</xdr:rowOff>
    </xdr:from>
    <xdr:to>
      <xdr:col>5</xdr:col>
      <xdr:colOff>190500</xdr:colOff>
      <xdr:row>120</xdr:row>
      <xdr:rowOff>49575</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155093</xdr:rowOff>
    </xdr:from>
    <xdr:to>
      <xdr:col>5</xdr:col>
      <xdr:colOff>190500</xdr:colOff>
      <xdr:row>80</xdr:row>
      <xdr:rowOff>27853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94018</xdr:rowOff>
    </xdr:from>
    <xdr:to>
      <xdr:col>5</xdr:col>
      <xdr:colOff>190500</xdr:colOff>
      <xdr:row>74</xdr:row>
      <xdr:rowOff>25859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123263</xdr:rowOff>
    </xdr:from>
    <xdr:to>
      <xdr:col>5</xdr:col>
      <xdr:colOff>190500</xdr:colOff>
      <xdr:row>68</xdr:row>
      <xdr:rowOff>39046</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66902</xdr:rowOff>
    </xdr:from>
    <xdr:to>
      <xdr:col>5</xdr:col>
      <xdr:colOff>190500</xdr:colOff>
      <xdr:row>67</xdr:row>
      <xdr:rowOff>95139</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54360</xdr:rowOff>
    </xdr:from>
    <xdr:to>
      <xdr:col>5</xdr:col>
      <xdr:colOff>190500</xdr:colOff>
      <xdr:row>66</xdr:row>
      <xdr:rowOff>54360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31598</xdr:rowOff>
    </xdr:from>
    <xdr:to>
      <xdr:col>6</xdr:col>
      <xdr:colOff>38100</xdr:colOff>
      <xdr:row>118</xdr:row>
      <xdr:rowOff>103450</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103387</xdr:rowOff>
    </xdr:from>
    <xdr:to>
      <xdr:col>5</xdr:col>
      <xdr:colOff>190500</xdr:colOff>
      <xdr:row>95</xdr:row>
      <xdr:rowOff>39263</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103387</xdr:rowOff>
    </xdr:from>
    <xdr:to>
      <xdr:col>6</xdr:col>
      <xdr:colOff>38100</xdr:colOff>
      <xdr:row>92</xdr:row>
      <xdr:rowOff>183918</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103387</xdr:rowOff>
    </xdr:from>
    <xdr:to>
      <xdr:col>5</xdr:col>
      <xdr:colOff>190500</xdr:colOff>
      <xdr:row>95</xdr:row>
      <xdr:rowOff>39263</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103387</xdr:rowOff>
    </xdr:from>
    <xdr:to>
      <xdr:col>6</xdr:col>
      <xdr:colOff>38100</xdr:colOff>
      <xdr:row>92</xdr:row>
      <xdr:rowOff>183918</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77193</xdr:rowOff>
    </xdr:from>
    <xdr:to>
      <xdr:col>5</xdr:col>
      <xdr:colOff>190500</xdr:colOff>
      <xdr:row>95</xdr:row>
      <xdr:rowOff>39263</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103387</xdr:rowOff>
    </xdr:from>
    <xdr:to>
      <xdr:col>6</xdr:col>
      <xdr:colOff>38100</xdr:colOff>
      <xdr:row>92</xdr:row>
      <xdr:rowOff>183918</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77193</xdr:rowOff>
    </xdr:from>
    <xdr:to>
      <xdr:col>5</xdr:col>
      <xdr:colOff>190500</xdr:colOff>
      <xdr:row>95</xdr:row>
      <xdr:rowOff>39263</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77193</xdr:rowOff>
    </xdr:from>
    <xdr:to>
      <xdr:col>6</xdr:col>
      <xdr:colOff>38100</xdr:colOff>
      <xdr:row>92</xdr:row>
      <xdr:rowOff>183918</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124516</xdr:rowOff>
    </xdr:from>
    <xdr:to>
      <xdr:col>5</xdr:col>
      <xdr:colOff>640715</xdr:colOff>
      <xdr:row>64</xdr:row>
      <xdr:rowOff>123213</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94229</xdr:rowOff>
    </xdr:from>
    <xdr:to>
      <xdr:col>5</xdr:col>
      <xdr:colOff>640715</xdr:colOff>
      <xdr:row>65</xdr:row>
      <xdr:rowOff>66478</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174001</xdr:rowOff>
    </xdr:from>
    <xdr:to>
      <xdr:col>5</xdr:col>
      <xdr:colOff>640715</xdr:colOff>
      <xdr:row>66</xdr:row>
      <xdr:rowOff>88860</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48042</xdr:rowOff>
    </xdr:from>
    <xdr:to>
      <xdr:col>5</xdr:col>
      <xdr:colOff>640715</xdr:colOff>
      <xdr:row>67</xdr:row>
      <xdr:rowOff>94833</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1406</xdr:rowOff>
    </xdr:from>
    <xdr:to>
      <xdr:col>5</xdr:col>
      <xdr:colOff>640715</xdr:colOff>
      <xdr:row>86</xdr:row>
      <xdr:rowOff>132044</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640715</xdr:colOff>
      <xdr:row>88</xdr:row>
      <xdr:rowOff>77203</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181276</xdr:rowOff>
    </xdr:from>
    <xdr:to>
      <xdr:col>5</xdr:col>
      <xdr:colOff>640715</xdr:colOff>
      <xdr:row>90</xdr:row>
      <xdr:rowOff>102215</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124516</xdr:rowOff>
    </xdr:from>
    <xdr:to>
      <xdr:col>5</xdr:col>
      <xdr:colOff>640715</xdr:colOff>
      <xdr:row>64</xdr:row>
      <xdr:rowOff>123213</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94229</xdr:rowOff>
    </xdr:from>
    <xdr:to>
      <xdr:col>5</xdr:col>
      <xdr:colOff>640715</xdr:colOff>
      <xdr:row>65</xdr:row>
      <xdr:rowOff>66478</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174001</xdr:rowOff>
    </xdr:from>
    <xdr:to>
      <xdr:col>5</xdr:col>
      <xdr:colOff>640715</xdr:colOff>
      <xdr:row>66</xdr:row>
      <xdr:rowOff>88860</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48042</xdr:rowOff>
    </xdr:from>
    <xdr:to>
      <xdr:col>5</xdr:col>
      <xdr:colOff>640715</xdr:colOff>
      <xdr:row>67</xdr:row>
      <xdr:rowOff>94833</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1406</xdr:rowOff>
    </xdr:from>
    <xdr:to>
      <xdr:col>5</xdr:col>
      <xdr:colOff>640715</xdr:colOff>
      <xdr:row>86</xdr:row>
      <xdr:rowOff>132044</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640715</xdr:colOff>
      <xdr:row>88</xdr:row>
      <xdr:rowOff>77203</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181276</xdr:rowOff>
    </xdr:from>
    <xdr:to>
      <xdr:col>5</xdr:col>
      <xdr:colOff>640715</xdr:colOff>
      <xdr:row>90</xdr:row>
      <xdr:rowOff>102215</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640715</xdr:colOff>
      <xdr:row>64</xdr:row>
      <xdr:rowOff>123213</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640715</xdr:colOff>
      <xdr:row>65</xdr:row>
      <xdr:rowOff>66478</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640715</xdr:colOff>
      <xdr:row>66</xdr:row>
      <xdr:rowOff>88860</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640715</xdr:colOff>
      <xdr:row>67</xdr:row>
      <xdr:rowOff>94833</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640715</xdr:colOff>
      <xdr:row>86</xdr:row>
      <xdr:rowOff>132044</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640715</xdr:colOff>
      <xdr:row>88</xdr:row>
      <xdr:rowOff>77203</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181276</xdr:rowOff>
    </xdr:from>
    <xdr:to>
      <xdr:col>5</xdr:col>
      <xdr:colOff>640715</xdr:colOff>
      <xdr:row>90</xdr:row>
      <xdr:rowOff>102215</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609600</xdr:colOff>
      <xdr:row>64</xdr:row>
      <xdr:rowOff>123213</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609600</xdr:colOff>
      <xdr:row>65</xdr:row>
      <xdr:rowOff>66478</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609600</xdr:colOff>
      <xdr:row>66</xdr:row>
      <xdr:rowOff>88860</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609600</xdr:colOff>
      <xdr:row>67</xdr:row>
      <xdr:rowOff>94833</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609600</xdr:colOff>
      <xdr:row>86</xdr:row>
      <xdr:rowOff>132044</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609600</xdr:colOff>
      <xdr:row>88</xdr:row>
      <xdr:rowOff>77203</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181276</xdr:rowOff>
    </xdr:from>
    <xdr:to>
      <xdr:col>5</xdr:col>
      <xdr:colOff>609600</xdr:colOff>
      <xdr:row>90</xdr:row>
      <xdr:rowOff>102215</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609600</xdr:colOff>
      <xdr:row>64</xdr:row>
      <xdr:rowOff>123213</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609600</xdr:colOff>
      <xdr:row>65</xdr:row>
      <xdr:rowOff>66478</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609600</xdr:colOff>
      <xdr:row>66</xdr:row>
      <xdr:rowOff>88860</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609600</xdr:colOff>
      <xdr:row>67</xdr:row>
      <xdr:rowOff>94833</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609600</xdr:colOff>
      <xdr:row>86</xdr:row>
      <xdr:rowOff>132044</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609600</xdr:colOff>
      <xdr:row>88</xdr:row>
      <xdr:rowOff>77203</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181276</xdr:rowOff>
    </xdr:from>
    <xdr:to>
      <xdr:col>5</xdr:col>
      <xdr:colOff>609600</xdr:colOff>
      <xdr:row>90</xdr:row>
      <xdr:rowOff>102215</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609600</xdr:colOff>
      <xdr:row>64</xdr:row>
      <xdr:rowOff>123213</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609600</xdr:colOff>
      <xdr:row>65</xdr:row>
      <xdr:rowOff>66478</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609600</xdr:colOff>
      <xdr:row>66</xdr:row>
      <xdr:rowOff>88860</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609600</xdr:colOff>
      <xdr:row>67</xdr:row>
      <xdr:rowOff>94833</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609600</xdr:colOff>
      <xdr:row>86</xdr:row>
      <xdr:rowOff>132044</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609600</xdr:colOff>
      <xdr:row>88</xdr:row>
      <xdr:rowOff>77203</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181276</xdr:rowOff>
    </xdr:from>
    <xdr:to>
      <xdr:col>5</xdr:col>
      <xdr:colOff>609600</xdr:colOff>
      <xdr:row>90</xdr:row>
      <xdr:rowOff>102215</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36864</xdr:rowOff>
    </xdr:from>
    <xdr:to>
      <xdr:col>6</xdr:col>
      <xdr:colOff>38100</xdr:colOff>
      <xdr:row>96</xdr:row>
      <xdr:rowOff>17430</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64001</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163344</xdr:rowOff>
    </xdr:from>
    <xdr:to>
      <xdr:col>5</xdr:col>
      <xdr:colOff>609600</xdr:colOff>
      <xdr:row>68</xdr:row>
      <xdr:rowOff>58519</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161006</xdr:rowOff>
    </xdr:from>
    <xdr:to>
      <xdr:col>5</xdr:col>
      <xdr:colOff>609600</xdr:colOff>
      <xdr:row>69</xdr:row>
      <xdr:rowOff>68303</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1486</xdr:rowOff>
    </xdr:from>
    <xdr:to>
      <xdr:col>5</xdr:col>
      <xdr:colOff>609600</xdr:colOff>
      <xdr:row>69</xdr:row>
      <xdr:rowOff>181156</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180870</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153164</xdr:rowOff>
    </xdr:from>
    <xdr:to>
      <xdr:col>5</xdr:col>
      <xdr:colOff>609600</xdr:colOff>
      <xdr:row>90</xdr:row>
      <xdr:rowOff>130714</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130714</xdr:rowOff>
    </xdr:from>
    <xdr:to>
      <xdr:col>5</xdr:col>
      <xdr:colOff>609600</xdr:colOff>
      <xdr:row>97</xdr:row>
      <xdr:rowOff>123949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130714</xdr:rowOff>
    </xdr:from>
    <xdr:to>
      <xdr:col>5</xdr:col>
      <xdr:colOff>609600</xdr:colOff>
      <xdr:row>96</xdr:row>
      <xdr:rowOff>130688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49707</xdr:rowOff>
    </xdr:from>
    <xdr:to>
      <xdr:col>6</xdr:col>
      <xdr:colOff>69215</xdr:colOff>
      <xdr:row>119</xdr:row>
      <xdr:rowOff>75769</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59652</xdr:rowOff>
    </xdr:from>
    <xdr:to>
      <xdr:col>5</xdr:col>
      <xdr:colOff>609600</xdr:colOff>
      <xdr:row>79</xdr:row>
      <xdr:rowOff>105536</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54949</xdr:rowOff>
    </xdr:from>
    <xdr:to>
      <xdr:col>5</xdr:col>
      <xdr:colOff>640715</xdr:colOff>
      <xdr:row>77</xdr:row>
      <xdr:rowOff>59248</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144532</xdr:rowOff>
    </xdr:from>
    <xdr:to>
      <xdr:col>5</xdr:col>
      <xdr:colOff>609600</xdr:colOff>
      <xdr:row>71</xdr:row>
      <xdr:rowOff>200774</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10054</xdr:rowOff>
    </xdr:from>
    <xdr:to>
      <xdr:col>5</xdr:col>
      <xdr:colOff>609600</xdr:colOff>
      <xdr:row>72</xdr:row>
      <xdr:rowOff>83696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160621</xdr:rowOff>
    </xdr:from>
    <xdr:to>
      <xdr:col>5</xdr:col>
      <xdr:colOff>609600</xdr:colOff>
      <xdr:row>72</xdr:row>
      <xdr:rowOff>238728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85</xdr:row>
      <xdr:rowOff>134132</xdr:rowOff>
    </xdr:from>
    <xdr:to>
      <xdr:col>5</xdr:col>
      <xdr:colOff>609600</xdr:colOff>
      <xdr:row>90</xdr:row>
      <xdr:rowOff>115613</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142943</xdr:rowOff>
    </xdr:from>
    <xdr:to>
      <xdr:col>5</xdr:col>
      <xdr:colOff>609600</xdr:colOff>
      <xdr:row>91</xdr:row>
      <xdr:rowOff>74388</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151727</xdr:rowOff>
    </xdr:from>
    <xdr:to>
      <xdr:col>5</xdr:col>
      <xdr:colOff>609600</xdr:colOff>
      <xdr:row>92</xdr:row>
      <xdr:rowOff>83678</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30042</xdr:rowOff>
    </xdr:from>
    <xdr:to>
      <xdr:col>5</xdr:col>
      <xdr:colOff>609600</xdr:colOff>
      <xdr:row>93</xdr:row>
      <xdr:rowOff>75804</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112</xdr:row>
      <xdr:rowOff>124398</xdr:rowOff>
    </xdr:from>
    <xdr:to>
      <xdr:col>5</xdr:col>
      <xdr:colOff>609600</xdr:colOff>
      <xdr:row>112</xdr:row>
      <xdr:rowOff>124482</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113</xdr:row>
      <xdr:rowOff>125194</xdr:rowOff>
    </xdr:from>
    <xdr:to>
      <xdr:col>5</xdr:col>
      <xdr:colOff>609600</xdr:colOff>
      <xdr:row>136</xdr:row>
      <xdr:rowOff>153196</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113</xdr:row>
      <xdr:rowOff>125194</xdr:rowOff>
    </xdr:from>
    <xdr:to>
      <xdr:col>5</xdr:col>
      <xdr:colOff>609600</xdr:colOff>
      <xdr:row>135</xdr:row>
      <xdr:rowOff>50748</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110</xdr:row>
      <xdr:rowOff>75463</xdr:rowOff>
    </xdr:from>
    <xdr:to>
      <xdr:col>6</xdr:col>
      <xdr:colOff>57150</xdr:colOff>
      <xdr:row>124</xdr:row>
      <xdr:rowOff>145970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77803</xdr:rowOff>
    </xdr:from>
    <xdr:to>
      <xdr:col>5</xdr:col>
      <xdr:colOff>628650</xdr:colOff>
      <xdr:row>82</xdr:row>
      <xdr:rowOff>31102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144532</xdr:rowOff>
    </xdr:from>
    <xdr:to>
      <xdr:col>5</xdr:col>
      <xdr:colOff>628650</xdr:colOff>
      <xdr:row>82</xdr:row>
      <xdr:rowOff>11017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170557</xdr:rowOff>
    </xdr:from>
    <xdr:to>
      <xdr:col>5</xdr:col>
      <xdr:colOff>628650</xdr:colOff>
      <xdr:row>73</xdr:row>
      <xdr:rowOff>122907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121015</xdr:rowOff>
    </xdr:from>
    <xdr:to>
      <xdr:col>5</xdr:col>
      <xdr:colOff>628650</xdr:colOff>
      <xdr:row>72</xdr:row>
      <xdr:rowOff>350379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101864</xdr:rowOff>
    </xdr:from>
    <xdr:to>
      <xdr:col>5</xdr:col>
      <xdr:colOff>609600</xdr:colOff>
      <xdr:row>77</xdr:row>
      <xdr:rowOff>79145</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91</xdr:row>
      <xdr:rowOff>18974</xdr:rowOff>
    </xdr:from>
    <xdr:to>
      <xdr:col>5</xdr:col>
      <xdr:colOff>609600</xdr:colOff>
      <xdr:row>95</xdr:row>
      <xdr:rowOff>60143</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12001</xdr:rowOff>
    </xdr:from>
    <xdr:to>
      <xdr:col>5</xdr:col>
      <xdr:colOff>609600</xdr:colOff>
      <xdr:row>96</xdr:row>
      <xdr:rowOff>46268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16433</xdr:rowOff>
    </xdr:from>
    <xdr:to>
      <xdr:col>5</xdr:col>
      <xdr:colOff>609600</xdr:colOff>
      <xdr:row>96</xdr:row>
      <xdr:rowOff>236102</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12675</xdr:rowOff>
    </xdr:from>
    <xdr:to>
      <xdr:col>5</xdr:col>
      <xdr:colOff>609600</xdr:colOff>
      <xdr:row>97</xdr:row>
      <xdr:rowOff>124982</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117</xdr:row>
      <xdr:rowOff>159241</xdr:rowOff>
    </xdr:from>
    <xdr:to>
      <xdr:col>5</xdr:col>
      <xdr:colOff>609600</xdr:colOff>
      <xdr:row>117</xdr:row>
      <xdr:rowOff>179107</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88845</xdr:rowOff>
    </xdr:from>
    <xdr:to>
      <xdr:col>5</xdr:col>
      <xdr:colOff>609600</xdr:colOff>
      <xdr:row>186</xdr:row>
      <xdr:rowOff>30175</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88845</xdr:rowOff>
    </xdr:from>
    <xdr:to>
      <xdr:col>5</xdr:col>
      <xdr:colOff>609600</xdr:colOff>
      <xdr:row>184</xdr:row>
      <xdr:rowOff>113247</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134821</xdr:rowOff>
    </xdr:from>
    <xdr:to>
      <xdr:col>6</xdr:col>
      <xdr:colOff>57150</xdr:colOff>
      <xdr:row>101</xdr:row>
      <xdr:rowOff>47912</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59</xdr:row>
      <xdr:rowOff>75211</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59</xdr:row>
      <xdr:rowOff>74859</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8851</xdr:rowOff>
    </xdr:from>
    <xdr:to>
      <xdr:col>5</xdr:col>
      <xdr:colOff>628650</xdr:colOff>
      <xdr:row>56</xdr:row>
      <xdr:rowOff>238044</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35261</xdr:rowOff>
    </xdr:from>
    <xdr:to>
      <xdr:col>5</xdr:col>
      <xdr:colOff>628650</xdr:colOff>
      <xdr:row>56</xdr:row>
      <xdr:rowOff>122503</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57</xdr:row>
      <xdr:rowOff>85223</xdr:rowOff>
    </xdr:from>
    <xdr:to>
      <xdr:col>5</xdr:col>
      <xdr:colOff>609600</xdr:colOff>
      <xdr:row>58</xdr:row>
      <xdr:rowOff>86165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85457</xdr:rowOff>
    </xdr:from>
    <xdr:to>
      <xdr:col>5</xdr:col>
      <xdr:colOff>609600</xdr:colOff>
      <xdr:row>73</xdr:row>
      <xdr:rowOff>122674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83543</xdr:rowOff>
    </xdr:from>
    <xdr:to>
      <xdr:col>5</xdr:col>
      <xdr:colOff>609600</xdr:colOff>
      <xdr:row>74</xdr:row>
      <xdr:rowOff>96982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7534</xdr:rowOff>
    </xdr:from>
    <xdr:to>
      <xdr:col>5</xdr:col>
      <xdr:colOff>609600</xdr:colOff>
      <xdr:row>75</xdr:row>
      <xdr:rowOff>123175</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193396</xdr:rowOff>
    </xdr:from>
    <xdr:to>
      <xdr:col>5</xdr:col>
      <xdr:colOff>609600</xdr:colOff>
      <xdr:row>76</xdr:row>
      <xdr:rowOff>123176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97</xdr:row>
      <xdr:rowOff>19795</xdr:rowOff>
    </xdr:from>
    <xdr:to>
      <xdr:col>5</xdr:col>
      <xdr:colOff>609600</xdr:colOff>
      <xdr:row>97</xdr:row>
      <xdr:rowOff>95722</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97</xdr:row>
      <xdr:rowOff>187898</xdr:rowOff>
    </xdr:from>
    <xdr:to>
      <xdr:col>5</xdr:col>
      <xdr:colOff>609600</xdr:colOff>
      <xdr:row>119</xdr:row>
      <xdr:rowOff>149879</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97</xdr:row>
      <xdr:rowOff>187898</xdr:rowOff>
    </xdr:from>
    <xdr:to>
      <xdr:col>5</xdr:col>
      <xdr:colOff>609600</xdr:colOff>
      <xdr:row>118</xdr:row>
      <xdr:rowOff>111463</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180677</xdr:rowOff>
    </xdr:from>
    <xdr:to>
      <xdr:col>6</xdr:col>
      <xdr:colOff>38100</xdr:colOff>
      <xdr:row>94</xdr:row>
      <xdr:rowOff>69056</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37684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334857</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106002</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7746</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87330</xdr:rowOff>
    </xdr:from>
    <xdr:to>
      <xdr:col>5</xdr:col>
      <xdr:colOff>609600</xdr:colOff>
      <xdr:row>92</xdr:row>
      <xdr:rowOff>146003</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77075</xdr:rowOff>
    </xdr:from>
    <xdr:to>
      <xdr:col>5</xdr:col>
      <xdr:colOff>609600</xdr:colOff>
      <xdr:row>119</xdr:row>
      <xdr:rowOff>55489</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77075</xdr:rowOff>
    </xdr:from>
    <xdr:to>
      <xdr:col>5</xdr:col>
      <xdr:colOff>609600</xdr:colOff>
      <xdr:row>119</xdr:row>
      <xdr:rowOff>55489</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180677</xdr:rowOff>
    </xdr:from>
    <xdr:to>
      <xdr:col>6</xdr:col>
      <xdr:colOff>38100</xdr:colOff>
      <xdr:row>94</xdr:row>
      <xdr:rowOff>69056</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57485</xdr:rowOff>
    </xdr:from>
    <xdr:to>
      <xdr:col>5</xdr:col>
      <xdr:colOff>609600</xdr:colOff>
      <xdr:row>92</xdr:row>
      <xdr:rowOff>126477</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180677</xdr:rowOff>
    </xdr:from>
    <xdr:to>
      <xdr:col>6</xdr:col>
      <xdr:colOff>38100</xdr:colOff>
      <xdr:row>94</xdr:row>
      <xdr:rowOff>69056</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57485</xdr:rowOff>
    </xdr:from>
    <xdr:to>
      <xdr:col>5</xdr:col>
      <xdr:colOff>609600</xdr:colOff>
      <xdr:row>92</xdr:row>
      <xdr:rowOff>126477</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30246</xdr:rowOff>
    </xdr:from>
    <xdr:to>
      <xdr:col>6</xdr:col>
      <xdr:colOff>38100</xdr:colOff>
      <xdr:row>193</xdr:row>
      <xdr:rowOff>143647</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47931</xdr:rowOff>
    </xdr:from>
    <xdr:to>
      <xdr:col>5</xdr:col>
      <xdr:colOff>609600</xdr:colOff>
      <xdr:row>191</xdr:row>
      <xdr:rowOff>48484</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97</xdr:row>
      <xdr:rowOff>201868</xdr:rowOff>
    </xdr:from>
    <xdr:to>
      <xdr:col>5</xdr:col>
      <xdr:colOff>621665</xdr:colOff>
      <xdr:row>98</xdr:row>
      <xdr:rowOff>227117</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98</xdr:row>
      <xdr:rowOff>105147</xdr:rowOff>
    </xdr:from>
    <xdr:to>
      <xdr:col>5</xdr:col>
      <xdr:colOff>621665</xdr:colOff>
      <xdr:row>100</xdr:row>
      <xdr:rowOff>103496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121575</xdr:rowOff>
    </xdr:from>
    <xdr:to>
      <xdr:col>5</xdr:col>
      <xdr:colOff>621665</xdr:colOff>
      <xdr:row>103</xdr:row>
      <xdr:rowOff>117061</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68479</xdr:rowOff>
    </xdr:from>
    <xdr:to>
      <xdr:col>5</xdr:col>
      <xdr:colOff>621665</xdr:colOff>
      <xdr:row>104</xdr:row>
      <xdr:rowOff>102185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27671</xdr:rowOff>
    </xdr:from>
    <xdr:to>
      <xdr:col>5</xdr:col>
      <xdr:colOff>621665</xdr:colOff>
      <xdr:row>93</xdr:row>
      <xdr:rowOff>75805</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50065</xdr:rowOff>
    </xdr:from>
    <xdr:to>
      <xdr:col>5</xdr:col>
      <xdr:colOff>621665</xdr:colOff>
      <xdr:row>94</xdr:row>
      <xdr:rowOff>58473</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54644</xdr:rowOff>
    </xdr:from>
    <xdr:to>
      <xdr:col>5</xdr:col>
      <xdr:colOff>621665</xdr:colOff>
      <xdr:row>95</xdr:row>
      <xdr:rowOff>79193</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31051</xdr:rowOff>
    </xdr:from>
    <xdr:to>
      <xdr:col>5</xdr:col>
      <xdr:colOff>621665</xdr:colOff>
      <xdr:row>96</xdr:row>
      <xdr:rowOff>46268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30246</xdr:rowOff>
    </xdr:from>
    <xdr:to>
      <xdr:col>6</xdr:col>
      <xdr:colOff>38100</xdr:colOff>
      <xdr:row>193</xdr:row>
      <xdr:rowOff>143647</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47931</xdr:rowOff>
    </xdr:from>
    <xdr:to>
      <xdr:col>5</xdr:col>
      <xdr:colOff>609600</xdr:colOff>
      <xdr:row>191</xdr:row>
      <xdr:rowOff>48484</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97</xdr:row>
      <xdr:rowOff>201868</xdr:rowOff>
    </xdr:from>
    <xdr:to>
      <xdr:col>5</xdr:col>
      <xdr:colOff>621665</xdr:colOff>
      <xdr:row>98</xdr:row>
      <xdr:rowOff>227117</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98</xdr:row>
      <xdr:rowOff>105147</xdr:rowOff>
    </xdr:from>
    <xdr:to>
      <xdr:col>5</xdr:col>
      <xdr:colOff>621665</xdr:colOff>
      <xdr:row>100</xdr:row>
      <xdr:rowOff>103496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121575</xdr:rowOff>
    </xdr:from>
    <xdr:to>
      <xdr:col>5</xdr:col>
      <xdr:colOff>621665</xdr:colOff>
      <xdr:row>103</xdr:row>
      <xdr:rowOff>117061</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68479</xdr:rowOff>
    </xdr:from>
    <xdr:to>
      <xdr:col>5</xdr:col>
      <xdr:colOff>621665</xdr:colOff>
      <xdr:row>104</xdr:row>
      <xdr:rowOff>102185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27671</xdr:rowOff>
    </xdr:from>
    <xdr:to>
      <xdr:col>5</xdr:col>
      <xdr:colOff>621665</xdr:colOff>
      <xdr:row>93</xdr:row>
      <xdr:rowOff>75805</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50065</xdr:rowOff>
    </xdr:from>
    <xdr:to>
      <xdr:col>5</xdr:col>
      <xdr:colOff>621665</xdr:colOff>
      <xdr:row>94</xdr:row>
      <xdr:rowOff>58473</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54644</xdr:rowOff>
    </xdr:from>
    <xdr:to>
      <xdr:col>5</xdr:col>
      <xdr:colOff>621665</xdr:colOff>
      <xdr:row>95</xdr:row>
      <xdr:rowOff>79193</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31051</xdr:rowOff>
    </xdr:from>
    <xdr:to>
      <xdr:col>5</xdr:col>
      <xdr:colOff>621665</xdr:colOff>
      <xdr:row>96</xdr:row>
      <xdr:rowOff>46268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30246</xdr:rowOff>
    </xdr:from>
    <xdr:to>
      <xdr:col>6</xdr:col>
      <xdr:colOff>38100</xdr:colOff>
      <xdr:row>193</xdr:row>
      <xdr:rowOff>143647</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47931</xdr:rowOff>
    </xdr:from>
    <xdr:to>
      <xdr:col>5</xdr:col>
      <xdr:colOff>609600</xdr:colOff>
      <xdr:row>191</xdr:row>
      <xdr:rowOff>48484</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97</xdr:row>
      <xdr:rowOff>201868</xdr:rowOff>
    </xdr:from>
    <xdr:to>
      <xdr:col>5</xdr:col>
      <xdr:colOff>621665</xdr:colOff>
      <xdr:row>98</xdr:row>
      <xdr:rowOff>227117</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98</xdr:row>
      <xdr:rowOff>105147</xdr:rowOff>
    </xdr:from>
    <xdr:to>
      <xdr:col>5</xdr:col>
      <xdr:colOff>621665</xdr:colOff>
      <xdr:row>100</xdr:row>
      <xdr:rowOff>103496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121575</xdr:rowOff>
    </xdr:from>
    <xdr:to>
      <xdr:col>5</xdr:col>
      <xdr:colOff>621665</xdr:colOff>
      <xdr:row>103</xdr:row>
      <xdr:rowOff>117061</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68479</xdr:rowOff>
    </xdr:from>
    <xdr:to>
      <xdr:col>5</xdr:col>
      <xdr:colOff>621665</xdr:colOff>
      <xdr:row>104</xdr:row>
      <xdr:rowOff>102185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27671</xdr:rowOff>
    </xdr:from>
    <xdr:to>
      <xdr:col>5</xdr:col>
      <xdr:colOff>621665</xdr:colOff>
      <xdr:row>93</xdr:row>
      <xdr:rowOff>75805</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50065</xdr:rowOff>
    </xdr:from>
    <xdr:to>
      <xdr:col>5</xdr:col>
      <xdr:colOff>621665</xdr:colOff>
      <xdr:row>94</xdr:row>
      <xdr:rowOff>58473</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54644</xdr:rowOff>
    </xdr:from>
    <xdr:to>
      <xdr:col>5</xdr:col>
      <xdr:colOff>621665</xdr:colOff>
      <xdr:row>95</xdr:row>
      <xdr:rowOff>79193</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31051</xdr:rowOff>
    </xdr:from>
    <xdr:to>
      <xdr:col>5</xdr:col>
      <xdr:colOff>621665</xdr:colOff>
      <xdr:row>96</xdr:row>
      <xdr:rowOff>46268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48411</xdr:rowOff>
    </xdr:from>
    <xdr:to>
      <xdr:col>6</xdr:col>
      <xdr:colOff>38100</xdr:colOff>
      <xdr:row>193</xdr:row>
      <xdr:rowOff>143647</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620395</xdr:colOff>
      <xdr:row>98</xdr:row>
      <xdr:rowOff>227117</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620395</xdr:colOff>
      <xdr:row>100</xdr:row>
      <xdr:rowOff>103814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620395</xdr:colOff>
      <xdr:row>103</xdr:row>
      <xdr:rowOff>117061</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620395</xdr:colOff>
      <xdr:row>104</xdr:row>
      <xdr:rowOff>102185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620395</xdr:colOff>
      <xdr:row>93</xdr:row>
      <xdr:rowOff>75805</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620395</xdr:colOff>
      <xdr:row>94</xdr:row>
      <xdr:rowOff>58473</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620395</xdr:colOff>
      <xdr:row>95</xdr:row>
      <xdr:rowOff>79193</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620395</xdr:colOff>
      <xdr:row>96</xdr:row>
      <xdr:rowOff>46268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48411</xdr:rowOff>
    </xdr:from>
    <xdr:to>
      <xdr:col>6</xdr:col>
      <xdr:colOff>38100</xdr:colOff>
      <xdr:row>193</xdr:row>
      <xdr:rowOff>143647</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620395</xdr:colOff>
      <xdr:row>98</xdr:row>
      <xdr:rowOff>227117</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620395</xdr:colOff>
      <xdr:row>100</xdr:row>
      <xdr:rowOff>103814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620395</xdr:colOff>
      <xdr:row>103</xdr:row>
      <xdr:rowOff>117061</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620395</xdr:colOff>
      <xdr:row>104</xdr:row>
      <xdr:rowOff>102185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620395</xdr:colOff>
      <xdr:row>93</xdr:row>
      <xdr:rowOff>75805</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620395</xdr:colOff>
      <xdr:row>94</xdr:row>
      <xdr:rowOff>58473</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620395</xdr:colOff>
      <xdr:row>95</xdr:row>
      <xdr:rowOff>79193</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620395</xdr:colOff>
      <xdr:row>96</xdr:row>
      <xdr:rowOff>46268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48411</xdr:rowOff>
    </xdr:from>
    <xdr:to>
      <xdr:col>6</xdr:col>
      <xdr:colOff>38100</xdr:colOff>
      <xdr:row>193</xdr:row>
      <xdr:rowOff>143647</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620395</xdr:colOff>
      <xdr:row>98</xdr:row>
      <xdr:rowOff>227117</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620395</xdr:colOff>
      <xdr:row>100</xdr:row>
      <xdr:rowOff>103814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620395</xdr:colOff>
      <xdr:row>103</xdr:row>
      <xdr:rowOff>117061</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620395</xdr:colOff>
      <xdr:row>104</xdr:row>
      <xdr:rowOff>102185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620395</xdr:colOff>
      <xdr:row>93</xdr:row>
      <xdr:rowOff>75805</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620395</xdr:colOff>
      <xdr:row>94</xdr:row>
      <xdr:rowOff>58473</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620395</xdr:colOff>
      <xdr:row>95</xdr:row>
      <xdr:rowOff>79193</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620395</xdr:colOff>
      <xdr:row>96</xdr:row>
      <xdr:rowOff>46268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20706</xdr:rowOff>
    </xdr:from>
    <xdr:to>
      <xdr:col>6</xdr:col>
      <xdr:colOff>38100</xdr:colOff>
      <xdr:row>193</xdr:row>
      <xdr:rowOff>143647</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609600</xdr:colOff>
      <xdr:row>98</xdr:row>
      <xdr:rowOff>227117</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609600</xdr:colOff>
      <xdr:row>100</xdr:row>
      <xdr:rowOff>103814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609600</xdr:colOff>
      <xdr:row>103</xdr:row>
      <xdr:rowOff>117061</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609600</xdr:colOff>
      <xdr:row>104</xdr:row>
      <xdr:rowOff>102185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609600</xdr:colOff>
      <xdr:row>93</xdr:row>
      <xdr:rowOff>75805</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609600</xdr:colOff>
      <xdr:row>94</xdr:row>
      <xdr:rowOff>58473</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609600</xdr:colOff>
      <xdr:row>95</xdr:row>
      <xdr:rowOff>79193</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609600</xdr:colOff>
      <xdr:row>96</xdr:row>
      <xdr:rowOff>46268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132115</xdr:rowOff>
    </xdr:from>
    <xdr:to>
      <xdr:col>6</xdr:col>
      <xdr:colOff>38100</xdr:colOff>
      <xdr:row>94</xdr:row>
      <xdr:rowOff>69268</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113710</xdr:rowOff>
    </xdr:from>
    <xdr:to>
      <xdr:col>5</xdr:col>
      <xdr:colOff>609600</xdr:colOff>
      <xdr:row>91</xdr:row>
      <xdr:rowOff>28609</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145402</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145402</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87662</xdr:rowOff>
    </xdr:from>
    <xdr:to>
      <xdr:col>5</xdr:col>
      <xdr:colOff>609600</xdr:colOff>
      <xdr:row>193</xdr:row>
      <xdr:rowOff>18064</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50048</xdr:rowOff>
    </xdr:from>
    <xdr:to>
      <xdr:col>5</xdr:col>
      <xdr:colOff>609600</xdr:colOff>
      <xdr:row>193</xdr:row>
      <xdr:rowOff>88137</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17915</xdr:rowOff>
    </xdr:from>
    <xdr:to>
      <xdr:col>5</xdr:col>
      <xdr:colOff>609600</xdr:colOff>
      <xdr:row>196</xdr:row>
      <xdr:rowOff>143830</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17429</xdr:rowOff>
    </xdr:from>
    <xdr:to>
      <xdr:col>5</xdr:col>
      <xdr:colOff>609600</xdr:colOff>
      <xdr:row>197</xdr:row>
      <xdr:rowOff>145100</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133</xdr:row>
      <xdr:rowOff>125445</xdr:rowOff>
    </xdr:from>
    <xdr:to>
      <xdr:col>5</xdr:col>
      <xdr:colOff>609600</xdr:colOff>
      <xdr:row>139</xdr:row>
      <xdr:rowOff>76970</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126806</xdr:rowOff>
    </xdr:from>
    <xdr:to>
      <xdr:col>5</xdr:col>
      <xdr:colOff>609600</xdr:colOff>
      <xdr:row>184</xdr:row>
      <xdr:rowOff>55501</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126080</xdr:rowOff>
    </xdr:from>
    <xdr:to>
      <xdr:col>5</xdr:col>
      <xdr:colOff>609600</xdr:colOff>
      <xdr:row>184</xdr:row>
      <xdr:rowOff>136147</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126079</xdr:rowOff>
    </xdr:from>
    <xdr:to>
      <xdr:col>5</xdr:col>
      <xdr:colOff>609600</xdr:colOff>
      <xdr:row>186</xdr:row>
      <xdr:rowOff>1536</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58548</xdr:rowOff>
    </xdr:from>
    <xdr:to>
      <xdr:col>6</xdr:col>
      <xdr:colOff>38100</xdr:colOff>
      <xdr:row>94</xdr:row>
      <xdr:rowOff>39423</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72</xdr:row>
      <xdr:rowOff>255309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115615</xdr:rowOff>
    </xdr:from>
    <xdr:to>
      <xdr:col>5</xdr:col>
      <xdr:colOff>609600</xdr:colOff>
      <xdr:row>91</xdr:row>
      <xdr:rowOff>521</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146037</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146037</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67511</xdr:rowOff>
    </xdr:from>
    <xdr:to>
      <xdr:col>5</xdr:col>
      <xdr:colOff>609600</xdr:colOff>
      <xdr:row>193</xdr:row>
      <xdr:rowOff>18064</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49403</xdr:rowOff>
    </xdr:from>
    <xdr:to>
      <xdr:col>5</xdr:col>
      <xdr:colOff>609600</xdr:colOff>
      <xdr:row>193</xdr:row>
      <xdr:rowOff>83813</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49402</xdr:rowOff>
    </xdr:from>
    <xdr:to>
      <xdr:col>5</xdr:col>
      <xdr:colOff>609600</xdr:colOff>
      <xdr:row>196</xdr:row>
      <xdr:rowOff>125415</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2359</xdr:rowOff>
    </xdr:from>
    <xdr:to>
      <xdr:col>5</xdr:col>
      <xdr:colOff>609600</xdr:colOff>
      <xdr:row>197</xdr:row>
      <xdr:rowOff>144465</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133</xdr:row>
      <xdr:rowOff>124810</xdr:rowOff>
    </xdr:from>
    <xdr:to>
      <xdr:col>5</xdr:col>
      <xdr:colOff>609600</xdr:colOff>
      <xdr:row>139</xdr:row>
      <xdr:rowOff>76970</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126806</xdr:rowOff>
    </xdr:from>
    <xdr:to>
      <xdr:col>5</xdr:col>
      <xdr:colOff>609600</xdr:colOff>
      <xdr:row>184</xdr:row>
      <xdr:rowOff>56136</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126807</xdr:rowOff>
    </xdr:from>
    <xdr:to>
      <xdr:col>5</xdr:col>
      <xdr:colOff>609600</xdr:colOff>
      <xdr:row>184</xdr:row>
      <xdr:rowOff>113286</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126807</xdr:rowOff>
    </xdr:from>
    <xdr:to>
      <xdr:col>5</xdr:col>
      <xdr:colOff>609600</xdr:colOff>
      <xdr:row>186</xdr:row>
      <xdr:rowOff>1536</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113867</xdr:rowOff>
    </xdr:from>
    <xdr:to>
      <xdr:col>6</xdr:col>
      <xdr:colOff>38100</xdr:colOff>
      <xdr:row>95</xdr:row>
      <xdr:rowOff>60143</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112111</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112111</xdr:rowOff>
    </xdr:from>
    <xdr:to>
      <xdr:col>5</xdr:col>
      <xdr:colOff>609600</xdr:colOff>
      <xdr:row>56</xdr:row>
      <xdr:rowOff>514711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70</xdr:row>
      <xdr:rowOff>65877</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198688</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73</xdr:row>
      <xdr:rowOff>25927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159421</xdr:rowOff>
    </xdr:from>
    <xdr:to>
      <xdr:col>5</xdr:col>
      <xdr:colOff>609600</xdr:colOff>
      <xdr:row>73</xdr:row>
      <xdr:rowOff>25927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107895</xdr:rowOff>
    </xdr:from>
    <xdr:to>
      <xdr:col>5</xdr:col>
      <xdr:colOff>609600</xdr:colOff>
      <xdr:row>91</xdr:row>
      <xdr:rowOff>126945</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49403</xdr:rowOff>
    </xdr:from>
    <xdr:to>
      <xdr:col>5</xdr:col>
      <xdr:colOff>609600</xdr:colOff>
      <xdr:row>194</xdr:row>
      <xdr:rowOff>143645</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49402</xdr:rowOff>
    </xdr:from>
    <xdr:to>
      <xdr:col>5</xdr:col>
      <xdr:colOff>609600</xdr:colOff>
      <xdr:row>194</xdr:row>
      <xdr:rowOff>102833</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18064</xdr:rowOff>
    </xdr:from>
    <xdr:to>
      <xdr:col>5</xdr:col>
      <xdr:colOff>609600</xdr:colOff>
      <xdr:row>197</xdr:row>
      <xdr:rowOff>125415</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161875</xdr:rowOff>
    </xdr:from>
    <xdr:to>
      <xdr:col>5</xdr:col>
      <xdr:colOff>609600</xdr:colOff>
      <xdr:row>198</xdr:row>
      <xdr:rowOff>125416</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102752</xdr:rowOff>
    </xdr:from>
    <xdr:to>
      <xdr:col>5</xdr:col>
      <xdr:colOff>609600</xdr:colOff>
      <xdr:row>184</xdr:row>
      <xdr:rowOff>180515</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126807</xdr:rowOff>
    </xdr:from>
    <xdr:to>
      <xdr:col>5</xdr:col>
      <xdr:colOff>609600</xdr:colOff>
      <xdr:row>185</xdr:row>
      <xdr:rowOff>50580</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126807</xdr:rowOff>
    </xdr:from>
    <xdr:to>
      <xdr:col>5</xdr:col>
      <xdr:colOff>609600</xdr:colOff>
      <xdr:row>185</xdr:row>
      <xdr:rowOff>104555</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126807</xdr:rowOff>
    </xdr:from>
    <xdr:to>
      <xdr:col>5</xdr:col>
      <xdr:colOff>609600</xdr:colOff>
      <xdr:row>186</xdr:row>
      <xdr:rowOff>174164</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113867</xdr:rowOff>
    </xdr:from>
    <xdr:to>
      <xdr:col>6</xdr:col>
      <xdr:colOff>38100</xdr:colOff>
      <xdr:row>95</xdr:row>
      <xdr:rowOff>60143</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112111</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112111</xdr:rowOff>
    </xdr:from>
    <xdr:to>
      <xdr:col>5</xdr:col>
      <xdr:colOff>609600</xdr:colOff>
      <xdr:row>56</xdr:row>
      <xdr:rowOff>514711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70</xdr:row>
      <xdr:rowOff>65877</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198688</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180622</xdr:rowOff>
    </xdr:from>
    <xdr:to>
      <xdr:col>5</xdr:col>
      <xdr:colOff>609600</xdr:colOff>
      <xdr:row>73</xdr:row>
      <xdr:rowOff>25927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159421</xdr:rowOff>
    </xdr:from>
    <xdr:to>
      <xdr:col>5</xdr:col>
      <xdr:colOff>609600</xdr:colOff>
      <xdr:row>73</xdr:row>
      <xdr:rowOff>25927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107895</xdr:rowOff>
    </xdr:from>
    <xdr:to>
      <xdr:col>5</xdr:col>
      <xdr:colOff>609600</xdr:colOff>
      <xdr:row>91</xdr:row>
      <xdr:rowOff>126945</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49403</xdr:rowOff>
    </xdr:from>
    <xdr:to>
      <xdr:col>5</xdr:col>
      <xdr:colOff>609600</xdr:colOff>
      <xdr:row>194</xdr:row>
      <xdr:rowOff>143645</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49402</xdr:rowOff>
    </xdr:from>
    <xdr:to>
      <xdr:col>5</xdr:col>
      <xdr:colOff>609600</xdr:colOff>
      <xdr:row>194</xdr:row>
      <xdr:rowOff>102833</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18064</xdr:rowOff>
    </xdr:from>
    <xdr:to>
      <xdr:col>5</xdr:col>
      <xdr:colOff>609600</xdr:colOff>
      <xdr:row>197</xdr:row>
      <xdr:rowOff>125415</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161875</xdr:rowOff>
    </xdr:from>
    <xdr:to>
      <xdr:col>5</xdr:col>
      <xdr:colOff>609600</xdr:colOff>
      <xdr:row>198</xdr:row>
      <xdr:rowOff>125416</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102752</xdr:rowOff>
    </xdr:from>
    <xdr:to>
      <xdr:col>5</xdr:col>
      <xdr:colOff>609600</xdr:colOff>
      <xdr:row>184</xdr:row>
      <xdr:rowOff>180515</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126807</xdr:rowOff>
    </xdr:from>
    <xdr:to>
      <xdr:col>5</xdr:col>
      <xdr:colOff>609600</xdr:colOff>
      <xdr:row>185</xdr:row>
      <xdr:rowOff>50580</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126807</xdr:rowOff>
    </xdr:from>
    <xdr:to>
      <xdr:col>5</xdr:col>
      <xdr:colOff>609600</xdr:colOff>
      <xdr:row>185</xdr:row>
      <xdr:rowOff>104555</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126807</xdr:rowOff>
    </xdr:from>
    <xdr:to>
      <xdr:col>5</xdr:col>
      <xdr:colOff>609600</xdr:colOff>
      <xdr:row>186</xdr:row>
      <xdr:rowOff>174164</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47022</xdr:rowOff>
    </xdr:from>
    <xdr:to>
      <xdr:col>5</xdr:col>
      <xdr:colOff>609600</xdr:colOff>
      <xdr:row>236</xdr:row>
      <xdr:rowOff>54165</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20444</xdr:rowOff>
    </xdr:from>
    <xdr:to>
      <xdr:col>5</xdr:col>
      <xdr:colOff>609600</xdr:colOff>
      <xdr:row>235</xdr:row>
      <xdr:rowOff>143619</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164255</xdr:rowOff>
    </xdr:from>
    <xdr:to>
      <xdr:col>5</xdr:col>
      <xdr:colOff>609600</xdr:colOff>
      <xdr:row>237</xdr:row>
      <xdr:rowOff>54165</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164255</xdr:rowOff>
    </xdr:from>
    <xdr:to>
      <xdr:col>5</xdr:col>
      <xdr:colOff>609600</xdr:colOff>
      <xdr:row>224</xdr:row>
      <xdr:rowOff>164255</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161874</xdr:rowOff>
    </xdr:from>
    <xdr:to>
      <xdr:col>5</xdr:col>
      <xdr:colOff>609600</xdr:colOff>
      <xdr:row>201</xdr:row>
      <xdr:rowOff>143619</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17028</xdr:rowOff>
    </xdr:from>
    <xdr:to>
      <xdr:col>5</xdr:col>
      <xdr:colOff>609600</xdr:colOff>
      <xdr:row>203</xdr:row>
      <xdr:rowOff>1395</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11474</xdr:rowOff>
    </xdr:from>
    <xdr:to>
      <xdr:col>5</xdr:col>
      <xdr:colOff>609600</xdr:colOff>
      <xdr:row>204</xdr:row>
      <xdr:rowOff>54165</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164256</xdr:rowOff>
    </xdr:from>
    <xdr:to>
      <xdr:col>5</xdr:col>
      <xdr:colOff>609600</xdr:colOff>
      <xdr:row>211</xdr:row>
      <xdr:rowOff>20444</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56</xdr:row>
      <xdr:rowOff>334872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19226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35288</xdr:rowOff>
    </xdr:from>
    <xdr:to>
      <xdr:col>5</xdr:col>
      <xdr:colOff>628650</xdr:colOff>
      <xdr:row>57</xdr:row>
      <xdr:rowOff>226181</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57</xdr:row>
      <xdr:rowOff>39281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58649</xdr:rowOff>
    </xdr:from>
    <xdr:to>
      <xdr:col>5</xdr:col>
      <xdr:colOff>628650</xdr:colOff>
      <xdr:row>58</xdr:row>
      <xdr:rowOff>389898</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391190</xdr:rowOff>
    </xdr:from>
    <xdr:to>
      <xdr:col>5</xdr:col>
      <xdr:colOff>628650</xdr:colOff>
      <xdr:row>58</xdr:row>
      <xdr:rowOff>221042</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65318</xdr:rowOff>
    </xdr:from>
    <xdr:to>
      <xdr:col>5</xdr:col>
      <xdr:colOff>628650</xdr:colOff>
      <xdr:row>60</xdr:row>
      <xdr:rowOff>135587</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249760</xdr:rowOff>
    </xdr:from>
    <xdr:to>
      <xdr:col>5</xdr:col>
      <xdr:colOff>628650</xdr:colOff>
      <xdr:row>59</xdr:row>
      <xdr:rowOff>164686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35992</xdr:rowOff>
    </xdr:from>
    <xdr:to>
      <xdr:col>5</xdr:col>
      <xdr:colOff>628650</xdr:colOff>
      <xdr:row>62</xdr:row>
      <xdr:rowOff>160150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283188</xdr:rowOff>
    </xdr:from>
    <xdr:to>
      <xdr:col>5</xdr:col>
      <xdr:colOff>628650</xdr:colOff>
      <xdr:row>61</xdr:row>
      <xdr:rowOff>155314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142099</xdr:rowOff>
    </xdr:from>
    <xdr:to>
      <xdr:col>5</xdr:col>
      <xdr:colOff>628650</xdr:colOff>
      <xdr:row>80</xdr:row>
      <xdr:rowOff>142234</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152802</xdr:rowOff>
    </xdr:from>
    <xdr:to>
      <xdr:col>5</xdr:col>
      <xdr:colOff>628650</xdr:colOff>
      <xdr:row>79</xdr:row>
      <xdr:rowOff>151759</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97566</xdr:rowOff>
    </xdr:from>
    <xdr:to>
      <xdr:col>5</xdr:col>
      <xdr:colOff>628650</xdr:colOff>
      <xdr:row>81</xdr:row>
      <xdr:rowOff>115475</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122556</xdr:rowOff>
    </xdr:from>
    <xdr:to>
      <xdr:col>5</xdr:col>
      <xdr:colOff>628650</xdr:colOff>
      <xdr:row>80</xdr:row>
      <xdr:rowOff>333741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76353</xdr:rowOff>
    </xdr:from>
    <xdr:to>
      <xdr:col>5</xdr:col>
      <xdr:colOff>628650</xdr:colOff>
      <xdr:row>83</xdr:row>
      <xdr:rowOff>94728</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94610</xdr:rowOff>
    </xdr:from>
    <xdr:to>
      <xdr:col>5</xdr:col>
      <xdr:colOff>628650</xdr:colOff>
      <xdr:row>82</xdr:row>
      <xdr:rowOff>124096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76581</xdr:rowOff>
    </xdr:from>
    <xdr:to>
      <xdr:col>5</xdr:col>
      <xdr:colOff>628650</xdr:colOff>
      <xdr:row>85</xdr:row>
      <xdr:rowOff>87585</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276590</xdr:rowOff>
    </xdr:from>
    <xdr:to>
      <xdr:col>5</xdr:col>
      <xdr:colOff>628650</xdr:colOff>
      <xdr:row>84</xdr:row>
      <xdr:rowOff>82822</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59182</xdr:rowOff>
    </xdr:from>
    <xdr:to>
      <xdr:col>5</xdr:col>
      <xdr:colOff>628650</xdr:colOff>
      <xdr:row>108</xdr:row>
      <xdr:rowOff>262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102</xdr:row>
      <xdr:rowOff>64329</xdr:rowOff>
    </xdr:from>
    <xdr:to>
      <xdr:col>5</xdr:col>
      <xdr:colOff>628650</xdr:colOff>
      <xdr:row>106</xdr:row>
      <xdr:rowOff>179799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93078</xdr:rowOff>
    </xdr:from>
    <xdr:to>
      <xdr:col>5</xdr:col>
      <xdr:colOff>628650</xdr:colOff>
      <xdr:row>109</xdr:row>
      <xdr:rowOff>162048</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47046</xdr:rowOff>
    </xdr:from>
    <xdr:to>
      <xdr:col>5</xdr:col>
      <xdr:colOff>628650</xdr:colOff>
      <xdr:row>108</xdr:row>
      <xdr:rowOff>130764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82954</xdr:rowOff>
    </xdr:from>
    <xdr:to>
      <xdr:col>5</xdr:col>
      <xdr:colOff>628650</xdr:colOff>
      <xdr:row>111</xdr:row>
      <xdr:rowOff>56452</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104948</xdr:rowOff>
    </xdr:from>
    <xdr:to>
      <xdr:col>5</xdr:col>
      <xdr:colOff>628650</xdr:colOff>
      <xdr:row>110</xdr:row>
      <xdr:rowOff>39785</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85990</xdr:rowOff>
    </xdr:from>
    <xdr:to>
      <xdr:col>5</xdr:col>
      <xdr:colOff>628650</xdr:colOff>
      <xdr:row>113</xdr:row>
      <xdr:rowOff>58370</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93600</xdr:rowOff>
    </xdr:from>
    <xdr:to>
      <xdr:col>5</xdr:col>
      <xdr:colOff>628650</xdr:colOff>
      <xdr:row>112</xdr:row>
      <xdr:rowOff>57576</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47022</xdr:rowOff>
    </xdr:from>
    <xdr:to>
      <xdr:col>5</xdr:col>
      <xdr:colOff>609600</xdr:colOff>
      <xdr:row>236</xdr:row>
      <xdr:rowOff>54165</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20444</xdr:rowOff>
    </xdr:from>
    <xdr:to>
      <xdr:col>5</xdr:col>
      <xdr:colOff>609600</xdr:colOff>
      <xdr:row>235</xdr:row>
      <xdr:rowOff>143619</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164255</xdr:rowOff>
    </xdr:from>
    <xdr:to>
      <xdr:col>5</xdr:col>
      <xdr:colOff>609600</xdr:colOff>
      <xdr:row>237</xdr:row>
      <xdr:rowOff>54165</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164255</xdr:rowOff>
    </xdr:from>
    <xdr:to>
      <xdr:col>5</xdr:col>
      <xdr:colOff>609600</xdr:colOff>
      <xdr:row>224</xdr:row>
      <xdr:rowOff>164255</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161874</xdr:rowOff>
    </xdr:from>
    <xdr:to>
      <xdr:col>5</xdr:col>
      <xdr:colOff>609600</xdr:colOff>
      <xdr:row>201</xdr:row>
      <xdr:rowOff>143619</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17028</xdr:rowOff>
    </xdr:from>
    <xdr:to>
      <xdr:col>5</xdr:col>
      <xdr:colOff>609600</xdr:colOff>
      <xdr:row>203</xdr:row>
      <xdr:rowOff>1395</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11474</xdr:rowOff>
    </xdr:from>
    <xdr:to>
      <xdr:col>5</xdr:col>
      <xdr:colOff>609600</xdr:colOff>
      <xdr:row>204</xdr:row>
      <xdr:rowOff>54165</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164256</xdr:rowOff>
    </xdr:from>
    <xdr:to>
      <xdr:col>5</xdr:col>
      <xdr:colOff>609600</xdr:colOff>
      <xdr:row>211</xdr:row>
      <xdr:rowOff>20444</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56</xdr:row>
      <xdr:rowOff>334872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19226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35288</xdr:rowOff>
    </xdr:from>
    <xdr:to>
      <xdr:col>5</xdr:col>
      <xdr:colOff>628650</xdr:colOff>
      <xdr:row>57</xdr:row>
      <xdr:rowOff>226181</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57</xdr:row>
      <xdr:rowOff>39281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58649</xdr:rowOff>
    </xdr:from>
    <xdr:to>
      <xdr:col>5</xdr:col>
      <xdr:colOff>628650</xdr:colOff>
      <xdr:row>58</xdr:row>
      <xdr:rowOff>389898</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391190</xdr:rowOff>
    </xdr:from>
    <xdr:to>
      <xdr:col>5</xdr:col>
      <xdr:colOff>628650</xdr:colOff>
      <xdr:row>58</xdr:row>
      <xdr:rowOff>221042</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65318</xdr:rowOff>
    </xdr:from>
    <xdr:to>
      <xdr:col>5</xdr:col>
      <xdr:colOff>628650</xdr:colOff>
      <xdr:row>60</xdr:row>
      <xdr:rowOff>135587</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249760</xdr:rowOff>
    </xdr:from>
    <xdr:to>
      <xdr:col>5</xdr:col>
      <xdr:colOff>628650</xdr:colOff>
      <xdr:row>59</xdr:row>
      <xdr:rowOff>164686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35992</xdr:rowOff>
    </xdr:from>
    <xdr:to>
      <xdr:col>5</xdr:col>
      <xdr:colOff>628650</xdr:colOff>
      <xdr:row>62</xdr:row>
      <xdr:rowOff>160150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283188</xdr:rowOff>
    </xdr:from>
    <xdr:to>
      <xdr:col>5</xdr:col>
      <xdr:colOff>628650</xdr:colOff>
      <xdr:row>61</xdr:row>
      <xdr:rowOff>155314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142099</xdr:rowOff>
    </xdr:from>
    <xdr:to>
      <xdr:col>5</xdr:col>
      <xdr:colOff>628650</xdr:colOff>
      <xdr:row>80</xdr:row>
      <xdr:rowOff>142234</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152802</xdr:rowOff>
    </xdr:from>
    <xdr:to>
      <xdr:col>5</xdr:col>
      <xdr:colOff>628650</xdr:colOff>
      <xdr:row>79</xdr:row>
      <xdr:rowOff>151759</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97566</xdr:rowOff>
    </xdr:from>
    <xdr:to>
      <xdr:col>5</xdr:col>
      <xdr:colOff>628650</xdr:colOff>
      <xdr:row>81</xdr:row>
      <xdr:rowOff>115475</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122556</xdr:rowOff>
    </xdr:from>
    <xdr:to>
      <xdr:col>5</xdr:col>
      <xdr:colOff>628650</xdr:colOff>
      <xdr:row>80</xdr:row>
      <xdr:rowOff>333741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76353</xdr:rowOff>
    </xdr:from>
    <xdr:to>
      <xdr:col>5</xdr:col>
      <xdr:colOff>628650</xdr:colOff>
      <xdr:row>83</xdr:row>
      <xdr:rowOff>94728</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94610</xdr:rowOff>
    </xdr:from>
    <xdr:to>
      <xdr:col>5</xdr:col>
      <xdr:colOff>628650</xdr:colOff>
      <xdr:row>82</xdr:row>
      <xdr:rowOff>124096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76581</xdr:rowOff>
    </xdr:from>
    <xdr:to>
      <xdr:col>5</xdr:col>
      <xdr:colOff>628650</xdr:colOff>
      <xdr:row>85</xdr:row>
      <xdr:rowOff>87585</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276590</xdr:rowOff>
    </xdr:from>
    <xdr:to>
      <xdr:col>5</xdr:col>
      <xdr:colOff>628650</xdr:colOff>
      <xdr:row>84</xdr:row>
      <xdr:rowOff>82822</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59182</xdr:rowOff>
    </xdr:from>
    <xdr:to>
      <xdr:col>5</xdr:col>
      <xdr:colOff>628650</xdr:colOff>
      <xdr:row>108</xdr:row>
      <xdr:rowOff>262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102</xdr:row>
      <xdr:rowOff>64329</xdr:rowOff>
    </xdr:from>
    <xdr:to>
      <xdr:col>5</xdr:col>
      <xdr:colOff>628650</xdr:colOff>
      <xdr:row>106</xdr:row>
      <xdr:rowOff>179799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93078</xdr:rowOff>
    </xdr:from>
    <xdr:to>
      <xdr:col>5</xdr:col>
      <xdr:colOff>628650</xdr:colOff>
      <xdr:row>109</xdr:row>
      <xdr:rowOff>162048</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47046</xdr:rowOff>
    </xdr:from>
    <xdr:to>
      <xdr:col>5</xdr:col>
      <xdr:colOff>628650</xdr:colOff>
      <xdr:row>108</xdr:row>
      <xdr:rowOff>130764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82954</xdr:rowOff>
    </xdr:from>
    <xdr:to>
      <xdr:col>5</xdr:col>
      <xdr:colOff>628650</xdr:colOff>
      <xdr:row>111</xdr:row>
      <xdr:rowOff>56452</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104948</xdr:rowOff>
    </xdr:from>
    <xdr:to>
      <xdr:col>5</xdr:col>
      <xdr:colOff>628650</xdr:colOff>
      <xdr:row>110</xdr:row>
      <xdr:rowOff>39785</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85990</xdr:rowOff>
    </xdr:from>
    <xdr:to>
      <xdr:col>5</xdr:col>
      <xdr:colOff>628650</xdr:colOff>
      <xdr:row>113</xdr:row>
      <xdr:rowOff>58370</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93600</xdr:rowOff>
    </xdr:from>
    <xdr:to>
      <xdr:col>5</xdr:col>
      <xdr:colOff>628650</xdr:colOff>
      <xdr:row>112</xdr:row>
      <xdr:rowOff>57576</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47022</xdr:rowOff>
    </xdr:from>
    <xdr:to>
      <xdr:col>5</xdr:col>
      <xdr:colOff>609600</xdr:colOff>
      <xdr:row>236</xdr:row>
      <xdr:rowOff>54165</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20444</xdr:rowOff>
    </xdr:from>
    <xdr:to>
      <xdr:col>5</xdr:col>
      <xdr:colOff>609600</xdr:colOff>
      <xdr:row>235</xdr:row>
      <xdr:rowOff>143619</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164255</xdr:rowOff>
    </xdr:from>
    <xdr:to>
      <xdr:col>5</xdr:col>
      <xdr:colOff>609600</xdr:colOff>
      <xdr:row>237</xdr:row>
      <xdr:rowOff>54165</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164255</xdr:rowOff>
    </xdr:from>
    <xdr:to>
      <xdr:col>5</xdr:col>
      <xdr:colOff>609600</xdr:colOff>
      <xdr:row>224</xdr:row>
      <xdr:rowOff>164255</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161874</xdr:rowOff>
    </xdr:from>
    <xdr:to>
      <xdr:col>5</xdr:col>
      <xdr:colOff>609600</xdr:colOff>
      <xdr:row>201</xdr:row>
      <xdr:rowOff>143619</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17028</xdr:rowOff>
    </xdr:from>
    <xdr:to>
      <xdr:col>5</xdr:col>
      <xdr:colOff>609600</xdr:colOff>
      <xdr:row>203</xdr:row>
      <xdr:rowOff>1395</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11474</xdr:rowOff>
    </xdr:from>
    <xdr:to>
      <xdr:col>5</xdr:col>
      <xdr:colOff>609600</xdr:colOff>
      <xdr:row>204</xdr:row>
      <xdr:rowOff>54165</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164256</xdr:rowOff>
    </xdr:from>
    <xdr:to>
      <xdr:col>5</xdr:col>
      <xdr:colOff>609600</xdr:colOff>
      <xdr:row>211</xdr:row>
      <xdr:rowOff>20444</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56</xdr:row>
      <xdr:rowOff>334872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19226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35288</xdr:rowOff>
    </xdr:from>
    <xdr:to>
      <xdr:col>5</xdr:col>
      <xdr:colOff>628650</xdr:colOff>
      <xdr:row>57</xdr:row>
      <xdr:rowOff>226181</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57</xdr:row>
      <xdr:rowOff>39281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58649</xdr:rowOff>
    </xdr:from>
    <xdr:to>
      <xdr:col>5</xdr:col>
      <xdr:colOff>628650</xdr:colOff>
      <xdr:row>58</xdr:row>
      <xdr:rowOff>389898</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391190</xdr:rowOff>
    </xdr:from>
    <xdr:to>
      <xdr:col>5</xdr:col>
      <xdr:colOff>628650</xdr:colOff>
      <xdr:row>58</xdr:row>
      <xdr:rowOff>221042</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65318</xdr:rowOff>
    </xdr:from>
    <xdr:to>
      <xdr:col>5</xdr:col>
      <xdr:colOff>628650</xdr:colOff>
      <xdr:row>60</xdr:row>
      <xdr:rowOff>135587</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249760</xdr:rowOff>
    </xdr:from>
    <xdr:to>
      <xdr:col>5</xdr:col>
      <xdr:colOff>628650</xdr:colOff>
      <xdr:row>59</xdr:row>
      <xdr:rowOff>164686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35992</xdr:rowOff>
    </xdr:from>
    <xdr:to>
      <xdr:col>5</xdr:col>
      <xdr:colOff>628650</xdr:colOff>
      <xdr:row>62</xdr:row>
      <xdr:rowOff>160150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283188</xdr:rowOff>
    </xdr:from>
    <xdr:to>
      <xdr:col>5</xdr:col>
      <xdr:colOff>628650</xdr:colOff>
      <xdr:row>61</xdr:row>
      <xdr:rowOff>155314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142099</xdr:rowOff>
    </xdr:from>
    <xdr:to>
      <xdr:col>5</xdr:col>
      <xdr:colOff>628650</xdr:colOff>
      <xdr:row>80</xdr:row>
      <xdr:rowOff>142234</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152802</xdr:rowOff>
    </xdr:from>
    <xdr:to>
      <xdr:col>5</xdr:col>
      <xdr:colOff>628650</xdr:colOff>
      <xdr:row>79</xdr:row>
      <xdr:rowOff>151759</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97566</xdr:rowOff>
    </xdr:from>
    <xdr:to>
      <xdr:col>5</xdr:col>
      <xdr:colOff>628650</xdr:colOff>
      <xdr:row>81</xdr:row>
      <xdr:rowOff>115475</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122556</xdr:rowOff>
    </xdr:from>
    <xdr:to>
      <xdr:col>5</xdr:col>
      <xdr:colOff>628650</xdr:colOff>
      <xdr:row>80</xdr:row>
      <xdr:rowOff>333741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76353</xdr:rowOff>
    </xdr:from>
    <xdr:to>
      <xdr:col>5</xdr:col>
      <xdr:colOff>628650</xdr:colOff>
      <xdr:row>83</xdr:row>
      <xdr:rowOff>94728</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94610</xdr:rowOff>
    </xdr:from>
    <xdr:to>
      <xdr:col>5</xdr:col>
      <xdr:colOff>628650</xdr:colOff>
      <xdr:row>82</xdr:row>
      <xdr:rowOff>124096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76581</xdr:rowOff>
    </xdr:from>
    <xdr:to>
      <xdr:col>5</xdr:col>
      <xdr:colOff>628650</xdr:colOff>
      <xdr:row>85</xdr:row>
      <xdr:rowOff>87585</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276590</xdr:rowOff>
    </xdr:from>
    <xdr:to>
      <xdr:col>5</xdr:col>
      <xdr:colOff>628650</xdr:colOff>
      <xdr:row>84</xdr:row>
      <xdr:rowOff>82822</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59182</xdr:rowOff>
    </xdr:from>
    <xdr:to>
      <xdr:col>5</xdr:col>
      <xdr:colOff>628650</xdr:colOff>
      <xdr:row>108</xdr:row>
      <xdr:rowOff>262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102</xdr:row>
      <xdr:rowOff>64329</xdr:rowOff>
    </xdr:from>
    <xdr:to>
      <xdr:col>5</xdr:col>
      <xdr:colOff>628650</xdr:colOff>
      <xdr:row>106</xdr:row>
      <xdr:rowOff>179799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93078</xdr:rowOff>
    </xdr:from>
    <xdr:to>
      <xdr:col>5</xdr:col>
      <xdr:colOff>628650</xdr:colOff>
      <xdr:row>109</xdr:row>
      <xdr:rowOff>162048</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47046</xdr:rowOff>
    </xdr:from>
    <xdr:to>
      <xdr:col>5</xdr:col>
      <xdr:colOff>628650</xdr:colOff>
      <xdr:row>108</xdr:row>
      <xdr:rowOff>130764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82954</xdr:rowOff>
    </xdr:from>
    <xdr:to>
      <xdr:col>5</xdr:col>
      <xdr:colOff>628650</xdr:colOff>
      <xdr:row>111</xdr:row>
      <xdr:rowOff>56452</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104948</xdr:rowOff>
    </xdr:from>
    <xdr:to>
      <xdr:col>5</xdr:col>
      <xdr:colOff>628650</xdr:colOff>
      <xdr:row>110</xdr:row>
      <xdr:rowOff>39785</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85990</xdr:rowOff>
    </xdr:from>
    <xdr:to>
      <xdr:col>5</xdr:col>
      <xdr:colOff>628650</xdr:colOff>
      <xdr:row>113</xdr:row>
      <xdr:rowOff>58370</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93600</xdr:rowOff>
    </xdr:from>
    <xdr:to>
      <xdr:col>5</xdr:col>
      <xdr:colOff>628650</xdr:colOff>
      <xdr:row>112</xdr:row>
      <xdr:rowOff>57576</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54112</xdr:rowOff>
    </xdr:from>
    <xdr:to>
      <xdr:col>5</xdr:col>
      <xdr:colOff>609600</xdr:colOff>
      <xdr:row>223</xdr:row>
      <xdr:rowOff>48555</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9278</xdr:rowOff>
    </xdr:from>
    <xdr:to>
      <xdr:col>5</xdr:col>
      <xdr:colOff>609600</xdr:colOff>
      <xdr:row>222</xdr:row>
      <xdr:rowOff>143806</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164827</xdr:rowOff>
    </xdr:from>
    <xdr:to>
      <xdr:col>5</xdr:col>
      <xdr:colOff>609600</xdr:colOff>
      <xdr:row>224</xdr:row>
      <xdr:rowOff>48555</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164826</xdr:rowOff>
    </xdr:from>
    <xdr:to>
      <xdr:col>5</xdr:col>
      <xdr:colOff>609600</xdr:colOff>
      <xdr:row>211</xdr:row>
      <xdr:rowOff>162062</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168411</xdr:rowOff>
    </xdr:from>
    <xdr:to>
      <xdr:col>5</xdr:col>
      <xdr:colOff>609600</xdr:colOff>
      <xdr:row>189</xdr:row>
      <xdr:rowOff>87448</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19981</xdr:rowOff>
    </xdr:from>
    <xdr:to>
      <xdr:col>5</xdr:col>
      <xdr:colOff>609600</xdr:colOff>
      <xdr:row>190</xdr:row>
      <xdr:rowOff>86654</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162445</xdr:rowOff>
    </xdr:from>
    <xdr:to>
      <xdr:col>5</xdr:col>
      <xdr:colOff>609600</xdr:colOff>
      <xdr:row>191</xdr:row>
      <xdr:rowOff>104912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105295</xdr:rowOff>
    </xdr:from>
    <xdr:to>
      <xdr:col>5</xdr:col>
      <xdr:colOff>609600</xdr:colOff>
      <xdr:row>198</xdr:row>
      <xdr:rowOff>49350</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19226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56</xdr:row>
      <xdr:rowOff>201574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19226</xdr:rowOff>
    </xdr:from>
    <xdr:to>
      <xdr:col>5</xdr:col>
      <xdr:colOff>628650</xdr:colOff>
      <xdr:row>57</xdr:row>
      <xdr:rowOff>187725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201574</xdr:rowOff>
    </xdr:from>
    <xdr:to>
      <xdr:col>5</xdr:col>
      <xdr:colOff>628650</xdr:colOff>
      <xdr:row>58</xdr:row>
      <xdr:rowOff>41086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380318</xdr:rowOff>
    </xdr:from>
    <xdr:to>
      <xdr:col>5</xdr:col>
      <xdr:colOff>628650</xdr:colOff>
      <xdr:row>58</xdr:row>
      <xdr:rowOff>190756</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209280</xdr:rowOff>
    </xdr:from>
    <xdr:to>
      <xdr:col>5</xdr:col>
      <xdr:colOff>628650</xdr:colOff>
      <xdr:row>75</xdr:row>
      <xdr:rowOff>22136</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172466</xdr:rowOff>
    </xdr:from>
    <xdr:to>
      <xdr:col>5</xdr:col>
      <xdr:colOff>628650</xdr:colOff>
      <xdr:row>76</xdr:row>
      <xdr:rowOff>3085</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349559</xdr:rowOff>
    </xdr:from>
    <xdr:to>
      <xdr:col>5</xdr:col>
      <xdr:colOff>628650</xdr:colOff>
      <xdr:row>77</xdr:row>
      <xdr:rowOff>1799</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145844</xdr:rowOff>
    </xdr:from>
    <xdr:to>
      <xdr:col>5</xdr:col>
      <xdr:colOff>628650</xdr:colOff>
      <xdr:row>77</xdr:row>
      <xdr:rowOff>179598</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94</xdr:row>
      <xdr:rowOff>49626</xdr:rowOff>
    </xdr:from>
    <xdr:to>
      <xdr:col>5</xdr:col>
      <xdr:colOff>628650</xdr:colOff>
      <xdr:row>98</xdr:row>
      <xdr:rowOff>7448</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39773</xdr:rowOff>
    </xdr:from>
    <xdr:to>
      <xdr:col>5</xdr:col>
      <xdr:colOff>628650</xdr:colOff>
      <xdr:row>98</xdr:row>
      <xdr:rowOff>143009</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36599</xdr:rowOff>
    </xdr:from>
    <xdr:to>
      <xdr:col>5</xdr:col>
      <xdr:colOff>628650</xdr:colOff>
      <xdr:row>99</xdr:row>
      <xdr:rowOff>104644</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28492</xdr:rowOff>
    </xdr:from>
    <xdr:to>
      <xdr:col>5</xdr:col>
      <xdr:colOff>628650</xdr:colOff>
      <xdr:row>99</xdr:row>
      <xdr:rowOff>159466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46968</xdr:rowOff>
    </xdr:from>
    <xdr:to>
      <xdr:col>5</xdr:col>
      <xdr:colOff>609600</xdr:colOff>
      <xdr:row>223</xdr:row>
      <xdr:rowOff>18804</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163649</xdr:rowOff>
    </xdr:from>
    <xdr:to>
      <xdr:col>5</xdr:col>
      <xdr:colOff>609600</xdr:colOff>
      <xdr:row>222</xdr:row>
      <xdr:rowOff>125550</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163649</xdr:rowOff>
    </xdr:from>
    <xdr:to>
      <xdr:col>5</xdr:col>
      <xdr:colOff>609600</xdr:colOff>
      <xdr:row>224</xdr:row>
      <xdr:rowOff>18803</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163649</xdr:rowOff>
    </xdr:from>
    <xdr:to>
      <xdr:col>5</xdr:col>
      <xdr:colOff>609600</xdr:colOff>
      <xdr:row>211</xdr:row>
      <xdr:rowOff>125549</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125549</xdr:rowOff>
    </xdr:from>
    <xdr:to>
      <xdr:col>5</xdr:col>
      <xdr:colOff>609600</xdr:colOff>
      <xdr:row>189</xdr:row>
      <xdr:rowOff>87449</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48556</xdr:rowOff>
    </xdr:from>
    <xdr:to>
      <xdr:col>5</xdr:col>
      <xdr:colOff>609600</xdr:colOff>
      <xdr:row>190</xdr:row>
      <xdr:rowOff>86654</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92212</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107292</xdr:rowOff>
    </xdr:from>
    <xdr:to>
      <xdr:col>5</xdr:col>
      <xdr:colOff>609600</xdr:colOff>
      <xdr:row>198</xdr:row>
      <xdr:rowOff>16422</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82636</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19226</xdr:rowOff>
    </xdr:from>
    <xdr:to>
      <xdr:col>5</xdr:col>
      <xdr:colOff>609600</xdr:colOff>
      <xdr:row>57</xdr:row>
      <xdr:rowOff>363029</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200926</xdr:rowOff>
    </xdr:from>
    <xdr:to>
      <xdr:col>5</xdr:col>
      <xdr:colOff>609600</xdr:colOff>
      <xdr:row>59</xdr:row>
      <xdr:rowOff>145753</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380318</xdr:rowOff>
    </xdr:from>
    <xdr:to>
      <xdr:col>5</xdr:col>
      <xdr:colOff>609600</xdr:colOff>
      <xdr:row>61</xdr:row>
      <xdr:rowOff>111831</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6983</xdr:rowOff>
    </xdr:from>
    <xdr:to>
      <xdr:col>5</xdr:col>
      <xdr:colOff>609600</xdr:colOff>
      <xdr:row>75</xdr:row>
      <xdr:rowOff>22136</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163735</xdr:rowOff>
    </xdr:from>
    <xdr:to>
      <xdr:col>5</xdr:col>
      <xdr:colOff>609600</xdr:colOff>
      <xdr:row>76</xdr:row>
      <xdr:rowOff>3085</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331303</xdr:rowOff>
    </xdr:from>
    <xdr:to>
      <xdr:col>5</xdr:col>
      <xdr:colOff>609600</xdr:colOff>
      <xdr:row>77</xdr:row>
      <xdr:rowOff>1799</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122442</xdr:rowOff>
    </xdr:from>
    <xdr:to>
      <xdr:col>5</xdr:col>
      <xdr:colOff>609600</xdr:colOff>
      <xdr:row>77</xdr:row>
      <xdr:rowOff>179598</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39308</xdr:rowOff>
    </xdr:from>
    <xdr:to>
      <xdr:col>5</xdr:col>
      <xdr:colOff>609600</xdr:colOff>
      <xdr:row>98</xdr:row>
      <xdr:rowOff>77448</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38979</xdr:rowOff>
    </xdr:from>
    <xdr:to>
      <xdr:col>5</xdr:col>
      <xdr:colOff>609600</xdr:colOff>
      <xdr:row>98</xdr:row>
      <xdr:rowOff>77448</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35805</xdr:rowOff>
    </xdr:from>
    <xdr:to>
      <xdr:col>5</xdr:col>
      <xdr:colOff>609600</xdr:colOff>
      <xdr:row>98</xdr:row>
      <xdr:rowOff>208597</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8584</xdr:rowOff>
    </xdr:from>
    <xdr:to>
      <xdr:col>5</xdr:col>
      <xdr:colOff>609600</xdr:colOff>
      <xdr:row>99</xdr:row>
      <xdr:rowOff>56225</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47761</xdr:rowOff>
    </xdr:from>
    <xdr:to>
      <xdr:col>5</xdr:col>
      <xdr:colOff>609600</xdr:colOff>
      <xdr:row>224</xdr:row>
      <xdr:rowOff>18803</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163649</xdr:rowOff>
    </xdr:from>
    <xdr:to>
      <xdr:col>5</xdr:col>
      <xdr:colOff>609600</xdr:colOff>
      <xdr:row>223</xdr:row>
      <xdr:rowOff>125549</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163649</xdr:rowOff>
    </xdr:from>
    <xdr:to>
      <xdr:col>5</xdr:col>
      <xdr:colOff>609600</xdr:colOff>
      <xdr:row>225</xdr:row>
      <xdr:rowOff>18803</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163650</xdr:rowOff>
    </xdr:from>
    <xdr:to>
      <xdr:col>5</xdr:col>
      <xdr:colOff>609600</xdr:colOff>
      <xdr:row>212</xdr:row>
      <xdr:rowOff>125549</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126343</xdr:rowOff>
    </xdr:from>
    <xdr:to>
      <xdr:col>5</xdr:col>
      <xdr:colOff>609600</xdr:colOff>
      <xdr:row>190</xdr:row>
      <xdr:rowOff>47760</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181905</xdr:rowOff>
    </xdr:from>
    <xdr:to>
      <xdr:col>5</xdr:col>
      <xdr:colOff>609600</xdr:colOff>
      <xdr:row>191</xdr:row>
      <xdr:rowOff>54112</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149362</xdr:rowOff>
    </xdr:from>
    <xdr:to>
      <xdr:col>5</xdr:col>
      <xdr:colOff>609600</xdr:colOff>
      <xdr:row>192</xdr:row>
      <xdr:rowOff>67606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86654</xdr:rowOff>
    </xdr:from>
    <xdr:to>
      <xdr:col>5</xdr:col>
      <xdr:colOff>609600</xdr:colOff>
      <xdr:row>199</xdr:row>
      <xdr:rowOff>16422</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104605</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200926</xdr:rowOff>
    </xdr:from>
    <xdr:to>
      <xdr:col>5</xdr:col>
      <xdr:colOff>609600</xdr:colOff>
      <xdr:row>58</xdr:row>
      <xdr:rowOff>171706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352388</xdr:rowOff>
    </xdr:from>
    <xdr:to>
      <xdr:col>5</xdr:col>
      <xdr:colOff>609600</xdr:colOff>
      <xdr:row>60</xdr:row>
      <xdr:rowOff>68207</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47865</xdr:rowOff>
    </xdr:from>
    <xdr:to>
      <xdr:col>5</xdr:col>
      <xdr:colOff>609600</xdr:colOff>
      <xdr:row>62</xdr:row>
      <xdr:rowOff>84459</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163735</xdr:rowOff>
    </xdr:from>
    <xdr:to>
      <xdr:col>5</xdr:col>
      <xdr:colOff>609600</xdr:colOff>
      <xdr:row>76</xdr:row>
      <xdr:rowOff>3085</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331303</xdr:rowOff>
    </xdr:from>
    <xdr:to>
      <xdr:col>5</xdr:col>
      <xdr:colOff>609600</xdr:colOff>
      <xdr:row>77</xdr:row>
      <xdr:rowOff>1799</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122442</xdr:rowOff>
    </xdr:from>
    <xdr:to>
      <xdr:col>5</xdr:col>
      <xdr:colOff>609600</xdr:colOff>
      <xdr:row>77</xdr:row>
      <xdr:rowOff>179598</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96747</xdr:rowOff>
    </xdr:from>
    <xdr:to>
      <xdr:col>5</xdr:col>
      <xdr:colOff>609600</xdr:colOff>
      <xdr:row>78</xdr:row>
      <xdr:rowOff>180009</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38979</xdr:rowOff>
    </xdr:from>
    <xdr:to>
      <xdr:col>5</xdr:col>
      <xdr:colOff>609600</xdr:colOff>
      <xdr:row>99</xdr:row>
      <xdr:rowOff>102316</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35805</xdr:rowOff>
    </xdr:from>
    <xdr:to>
      <xdr:col>5</xdr:col>
      <xdr:colOff>609600</xdr:colOff>
      <xdr:row>99</xdr:row>
      <xdr:rowOff>102316</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237802</xdr:rowOff>
    </xdr:from>
    <xdr:to>
      <xdr:col>5</xdr:col>
      <xdr:colOff>609600</xdr:colOff>
      <xdr:row>99</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197881</xdr:rowOff>
    </xdr:from>
    <xdr:to>
      <xdr:col>5</xdr:col>
      <xdr:colOff>609600</xdr:colOff>
      <xdr:row>99</xdr:row>
      <xdr:rowOff>226291</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119</xdr:row>
      <xdr:rowOff>95413</xdr:rowOff>
    </xdr:from>
    <xdr:to>
      <xdr:col>21</xdr:col>
      <xdr:colOff>445294</xdr:colOff>
      <xdr:row>123</xdr:row>
      <xdr:rowOff>145420</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18804</xdr:rowOff>
    </xdr:from>
    <xdr:to>
      <xdr:col>5</xdr:col>
      <xdr:colOff>609600</xdr:colOff>
      <xdr:row>249</xdr:row>
      <xdr:rowOff>18803</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227</xdr:row>
      <xdr:rowOff>163649</xdr:rowOff>
    </xdr:from>
    <xdr:to>
      <xdr:col>5</xdr:col>
      <xdr:colOff>609600</xdr:colOff>
      <xdr:row>248</xdr:row>
      <xdr:rowOff>125549</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163649</xdr:rowOff>
    </xdr:from>
    <xdr:to>
      <xdr:col>5</xdr:col>
      <xdr:colOff>609600</xdr:colOff>
      <xdr:row>250</xdr:row>
      <xdr:rowOff>18803</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231</xdr:row>
      <xdr:rowOff>163649</xdr:rowOff>
    </xdr:from>
    <xdr:to>
      <xdr:col>5</xdr:col>
      <xdr:colOff>609600</xdr:colOff>
      <xdr:row>237</xdr:row>
      <xdr:rowOff>125549</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87449</xdr:rowOff>
    </xdr:from>
    <xdr:to>
      <xdr:col>5</xdr:col>
      <xdr:colOff>609600</xdr:colOff>
      <xdr:row>214</xdr:row>
      <xdr:rowOff>125549</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163649</xdr:rowOff>
    </xdr:from>
    <xdr:to>
      <xdr:col>5</xdr:col>
      <xdr:colOff>609600</xdr:colOff>
      <xdr:row>215</xdr:row>
      <xdr:rowOff>163649</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163649</xdr:rowOff>
    </xdr:from>
    <xdr:to>
      <xdr:col>5</xdr:col>
      <xdr:colOff>609600</xdr:colOff>
      <xdr:row>217</xdr:row>
      <xdr:rowOff>18803</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163649</xdr:rowOff>
    </xdr:from>
    <xdr:to>
      <xdr:col>5</xdr:col>
      <xdr:colOff>609600</xdr:colOff>
      <xdr:row>223</xdr:row>
      <xdr:rowOff>163649</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149813</xdr:rowOff>
    </xdr:from>
    <xdr:to>
      <xdr:col>5</xdr:col>
      <xdr:colOff>609600</xdr:colOff>
      <xdr:row>77</xdr:row>
      <xdr:rowOff>78559</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149813</xdr:rowOff>
    </xdr:from>
    <xdr:to>
      <xdr:col>5</xdr:col>
      <xdr:colOff>609600</xdr:colOff>
      <xdr:row>78</xdr:row>
      <xdr:rowOff>154609</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79052</xdr:rowOff>
    </xdr:from>
    <xdr:to>
      <xdr:col>5</xdr:col>
      <xdr:colOff>609600</xdr:colOff>
      <xdr:row>79</xdr:row>
      <xdr:rowOff>74659</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85402</xdr:rowOff>
    </xdr:from>
    <xdr:to>
      <xdr:col>5</xdr:col>
      <xdr:colOff>609600</xdr:colOff>
      <xdr:row>81</xdr:row>
      <xdr:rowOff>77268</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17510</xdr:rowOff>
    </xdr:from>
    <xdr:to>
      <xdr:col>5</xdr:col>
      <xdr:colOff>609600</xdr:colOff>
      <xdr:row>87</xdr:row>
      <xdr:rowOff>10484</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141701</xdr:rowOff>
    </xdr:from>
    <xdr:to>
      <xdr:col>5</xdr:col>
      <xdr:colOff>609600</xdr:colOff>
      <xdr:row>98</xdr:row>
      <xdr:rowOff>114194</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135023</xdr:rowOff>
    </xdr:from>
    <xdr:to>
      <xdr:col>5</xdr:col>
      <xdr:colOff>609600</xdr:colOff>
      <xdr:row>99</xdr:row>
      <xdr:rowOff>48341</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135024</xdr:rowOff>
    </xdr:from>
    <xdr:to>
      <xdr:col>5</xdr:col>
      <xdr:colOff>609600</xdr:colOff>
      <xdr:row>100</xdr:row>
      <xdr:rowOff>9475</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59810</xdr:rowOff>
    </xdr:from>
    <xdr:to>
      <xdr:col>5</xdr:col>
      <xdr:colOff>609600</xdr:colOff>
      <xdr:row>101</xdr:row>
      <xdr:rowOff>7505</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111879</xdr:rowOff>
    </xdr:from>
    <xdr:to>
      <xdr:col>5</xdr:col>
      <xdr:colOff>609600</xdr:colOff>
      <xdr:row>123</xdr:row>
      <xdr:rowOff>131926</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95413</xdr:rowOff>
    </xdr:from>
    <xdr:to>
      <xdr:col>5</xdr:col>
      <xdr:colOff>609600</xdr:colOff>
      <xdr:row>123</xdr:row>
      <xdr:rowOff>131926</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69220</xdr:rowOff>
    </xdr:from>
    <xdr:to>
      <xdr:col>5</xdr:col>
      <xdr:colOff>609600</xdr:colOff>
      <xdr:row>123</xdr:row>
      <xdr:rowOff>131926</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48582</xdr:rowOff>
    </xdr:from>
    <xdr:to>
      <xdr:col>5</xdr:col>
      <xdr:colOff>609600</xdr:colOff>
      <xdr:row>123</xdr:row>
      <xdr:rowOff>131926</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144</xdr:row>
      <xdr:rowOff>35882</xdr:rowOff>
    </xdr:from>
    <xdr:to>
      <xdr:col>21</xdr:col>
      <xdr:colOff>445294</xdr:colOff>
      <xdr:row>148</xdr:row>
      <xdr:rowOff>73983</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2929</xdr:rowOff>
    </xdr:from>
    <xdr:to>
      <xdr:col>5</xdr:col>
      <xdr:colOff>609600</xdr:colOff>
      <xdr:row>245</xdr:row>
      <xdr:rowOff>2929</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150949</xdr:rowOff>
    </xdr:from>
    <xdr:to>
      <xdr:col>5</xdr:col>
      <xdr:colOff>609600</xdr:colOff>
      <xdr:row>244</xdr:row>
      <xdr:rowOff>112849</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150949</xdr:rowOff>
    </xdr:from>
    <xdr:to>
      <xdr:col>5</xdr:col>
      <xdr:colOff>609600</xdr:colOff>
      <xdr:row>246</xdr:row>
      <xdr:rowOff>2928</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227</xdr:row>
      <xdr:rowOff>150949</xdr:rowOff>
    </xdr:from>
    <xdr:to>
      <xdr:col>5</xdr:col>
      <xdr:colOff>609600</xdr:colOff>
      <xdr:row>233</xdr:row>
      <xdr:rowOff>112849</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74749</xdr:rowOff>
    </xdr:from>
    <xdr:to>
      <xdr:col>5</xdr:col>
      <xdr:colOff>609600</xdr:colOff>
      <xdr:row>210</xdr:row>
      <xdr:rowOff>112849</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150950</xdr:rowOff>
    </xdr:from>
    <xdr:to>
      <xdr:col>5</xdr:col>
      <xdr:colOff>609600</xdr:colOff>
      <xdr:row>211</xdr:row>
      <xdr:rowOff>169999</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150949</xdr:rowOff>
    </xdr:from>
    <xdr:to>
      <xdr:col>5</xdr:col>
      <xdr:colOff>609600</xdr:colOff>
      <xdr:row>213</xdr:row>
      <xdr:rowOff>2929</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150949</xdr:rowOff>
    </xdr:from>
    <xdr:to>
      <xdr:col>5</xdr:col>
      <xdr:colOff>609600</xdr:colOff>
      <xdr:row>219</xdr:row>
      <xdr:rowOff>169999</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935</xdr:rowOff>
    </xdr:from>
    <xdr:to>
      <xdr:col>5</xdr:col>
      <xdr:colOff>609600</xdr:colOff>
      <xdr:row>73</xdr:row>
      <xdr:rowOff>103952</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935</xdr:rowOff>
    </xdr:from>
    <xdr:to>
      <xdr:col>5</xdr:col>
      <xdr:colOff>609600</xdr:colOff>
      <xdr:row>74</xdr:row>
      <xdr:rowOff>168569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103888</xdr:rowOff>
    </xdr:from>
    <xdr:to>
      <xdr:col>5</xdr:col>
      <xdr:colOff>609600</xdr:colOff>
      <xdr:row>75</xdr:row>
      <xdr:rowOff>121354</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64694</xdr:rowOff>
    </xdr:from>
    <xdr:to>
      <xdr:col>5</xdr:col>
      <xdr:colOff>609600</xdr:colOff>
      <xdr:row>78</xdr:row>
      <xdr:rowOff>143497</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41186</xdr:rowOff>
    </xdr:from>
    <xdr:to>
      <xdr:col>5</xdr:col>
      <xdr:colOff>609600</xdr:colOff>
      <xdr:row>83</xdr:row>
      <xdr:rowOff>8103</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958</xdr:rowOff>
    </xdr:from>
    <xdr:to>
      <xdr:col>5</xdr:col>
      <xdr:colOff>609600</xdr:colOff>
      <xdr:row>95</xdr:row>
      <xdr:rowOff>38979</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161513</xdr:rowOff>
    </xdr:from>
    <xdr:to>
      <xdr:col>5</xdr:col>
      <xdr:colOff>609600</xdr:colOff>
      <xdr:row>96</xdr:row>
      <xdr:rowOff>35805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133529</xdr:rowOff>
    </xdr:from>
    <xdr:to>
      <xdr:col>5</xdr:col>
      <xdr:colOff>609600</xdr:colOff>
      <xdr:row>96</xdr:row>
      <xdr:rowOff>237802</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122979</xdr:rowOff>
    </xdr:from>
    <xdr:to>
      <xdr:col>5</xdr:col>
      <xdr:colOff>609600</xdr:colOff>
      <xdr:row>97</xdr:row>
      <xdr:rowOff>168936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126196</xdr:rowOff>
    </xdr:from>
    <xdr:to>
      <xdr:col>5</xdr:col>
      <xdr:colOff>609600</xdr:colOff>
      <xdr:row>119</xdr:row>
      <xdr:rowOff>131926</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122199</xdr:rowOff>
    </xdr:from>
    <xdr:to>
      <xdr:col>5</xdr:col>
      <xdr:colOff>609600</xdr:colOff>
      <xdr:row>119</xdr:row>
      <xdr:rowOff>131926</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107118</xdr:rowOff>
    </xdr:from>
    <xdr:to>
      <xdr:col>5</xdr:col>
      <xdr:colOff>609600</xdr:colOff>
      <xdr:row>119</xdr:row>
      <xdr:rowOff>131926</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69018</xdr:rowOff>
    </xdr:from>
    <xdr:to>
      <xdr:col>5</xdr:col>
      <xdr:colOff>609600</xdr:colOff>
      <xdr:row>119</xdr:row>
      <xdr:rowOff>131926</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140</xdr:row>
      <xdr:rowOff>25564</xdr:rowOff>
    </xdr:from>
    <xdr:to>
      <xdr:col>21</xdr:col>
      <xdr:colOff>445294</xdr:colOff>
      <xdr:row>144</xdr:row>
      <xdr:rowOff>58107</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67606</xdr:rowOff>
    </xdr:from>
    <xdr:to>
      <xdr:col>5</xdr:col>
      <xdr:colOff>609600</xdr:colOff>
      <xdr:row>222</xdr:row>
      <xdr:rowOff>46969</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18803</xdr:rowOff>
    </xdr:from>
    <xdr:to>
      <xdr:col>5</xdr:col>
      <xdr:colOff>609600</xdr:colOff>
      <xdr:row>221</xdr:row>
      <xdr:rowOff>161268</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6897</xdr:rowOff>
    </xdr:from>
    <xdr:to>
      <xdr:col>5</xdr:col>
      <xdr:colOff>609600</xdr:colOff>
      <xdr:row>223</xdr:row>
      <xdr:rowOff>46968</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161268</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87449</xdr:rowOff>
    </xdr:from>
    <xdr:to>
      <xdr:col>5</xdr:col>
      <xdr:colOff>609600</xdr:colOff>
      <xdr:row>188</xdr:row>
      <xdr:rowOff>111262</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169206</xdr:rowOff>
    </xdr:from>
    <xdr:to>
      <xdr:col>5</xdr:col>
      <xdr:colOff>609600</xdr:colOff>
      <xdr:row>189</xdr:row>
      <xdr:rowOff>125549</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181905</xdr:rowOff>
    </xdr:from>
    <xdr:to>
      <xdr:col>5</xdr:col>
      <xdr:colOff>609600</xdr:colOff>
      <xdr:row>190</xdr:row>
      <xdr:rowOff>112056</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149362</xdr:rowOff>
    </xdr:from>
    <xdr:to>
      <xdr:col>5</xdr:col>
      <xdr:colOff>609600</xdr:colOff>
      <xdr:row>197</xdr:row>
      <xdr:rowOff>63637</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113833</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101989</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57</xdr:row>
      <xdr:rowOff>344005</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237293</xdr:rowOff>
    </xdr:from>
    <xdr:to>
      <xdr:col>5</xdr:col>
      <xdr:colOff>609600</xdr:colOff>
      <xdr:row>62</xdr:row>
      <xdr:rowOff>9612</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163470</xdr:rowOff>
    </xdr:from>
    <xdr:to>
      <xdr:col>5</xdr:col>
      <xdr:colOff>609600</xdr:colOff>
      <xdr:row>72</xdr:row>
      <xdr:rowOff>351940</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178362</xdr:rowOff>
    </xdr:from>
    <xdr:to>
      <xdr:col>5</xdr:col>
      <xdr:colOff>609600</xdr:colOff>
      <xdr:row>97</xdr:row>
      <xdr:rowOff>140921</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179999</xdr:rowOff>
    </xdr:from>
    <xdr:to>
      <xdr:col>5</xdr:col>
      <xdr:colOff>609600</xdr:colOff>
      <xdr:row>97</xdr:row>
      <xdr:rowOff>140921</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97</xdr:row>
      <xdr:rowOff>140921</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121857</xdr:rowOff>
    </xdr:from>
    <xdr:to>
      <xdr:col>5</xdr:col>
      <xdr:colOff>609600</xdr:colOff>
      <xdr:row>97</xdr:row>
      <xdr:rowOff>140921</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117</xdr:row>
      <xdr:rowOff>106323</xdr:rowOff>
    </xdr:from>
    <xdr:to>
      <xdr:col>21</xdr:col>
      <xdr:colOff>445294</xdr:colOff>
      <xdr:row>121</xdr:row>
      <xdr:rowOff>139865</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121</xdr:row>
      <xdr:rowOff>93034</xdr:rowOff>
    </xdr:from>
    <xdr:to>
      <xdr:col>22</xdr:col>
      <xdr:colOff>616744</xdr:colOff>
      <xdr:row>125</xdr:row>
      <xdr:rowOff>83508</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49349</xdr:rowOff>
    </xdr:from>
    <xdr:to>
      <xdr:col>5</xdr:col>
      <xdr:colOff>609600</xdr:colOff>
      <xdr:row>223</xdr:row>
      <xdr:rowOff>46968</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6897</xdr:rowOff>
    </xdr:from>
    <xdr:to>
      <xdr:col>5</xdr:col>
      <xdr:colOff>609600</xdr:colOff>
      <xdr:row>222</xdr:row>
      <xdr:rowOff>161269</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224</xdr:row>
      <xdr:rowOff>46968</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6898</xdr:rowOff>
    </xdr:from>
    <xdr:to>
      <xdr:col>5</xdr:col>
      <xdr:colOff>609600</xdr:colOff>
      <xdr:row>211</xdr:row>
      <xdr:rowOff>161268</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87449</xdr:rowOff>
    </xdr:from>
    <xdr:to>
      <xdr:col>5</xdr:col>
      <xdr:colOff>609600</xdr:colOff>
      <xdr:row>189</xdr:row>
      <xdr:rowOff>68399</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10866</xdr:rowOff>
    </xdr:from>
    <xdr:to>
      <xdr:col>5</xdr:col>
      <xdr:colOff>609600</xdr:colOff>
      <xdr:row>190</xdr:row>
      <xdr:rowOff>112963</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106500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106499</xdr:rowOff>
    </xdr:from>
    <xdr:to>
      <xdr:col>5</xdr:col>
      <xdr:colOff>609600</xdr:colOff>
      <xdr:row>198</xdr:row>
      <xdr:rowOff>63637</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140820</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56</xdr:row>
      <xdr:rowOff>399367</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64620</xdr:rowOff>
    </xdr:from>
    <xdr:to>
      <xdr:col>5</xdr:col>
      <xdr:colOff>609600</xdr:colOff>
      <xdr:row>57</xdr:row>
      <xdr:rowOff>161557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102720</xdr:rowOff>
    </xdr:from>
    <xdr:to>
      <xdr:col>5</xdr:col>
      <xdr:colOff>609600</xdr:colOff>
      <xdr:row>59</xdr:row>
      <xdr:rowOff>107653</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418417</xdr:rowOff>
    </xdr:from>
    <xdr:to>
      <xdr:col>5</xdr:col>
      <xdr:colOff>609600</xdr:colOff>
      <xdr:row>63</xdr:row>
      <xdr:rowOff>11816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255280</xdr:rowOff>
    </xdr:from>
    <xdr:to>
      <xdr:col>5</xdr:col>
      <xdr:colOff>609600</xdr:colOff>
      <xdr:row>77</xdr:row>
      <xdr:rowOff>7355</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179999</xdr:rowOff>
    </xdr:from>
    <xdr:to>
      <xdr:col>5</xdr:col>
      <xdr:colOff>609600</xdr:colOff>
      <xdr:row>98</xdr:row>
      <xdr:rowOff>86179</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98</xdr:row>
      <xdr:rowOff>86179</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162804</xdr:rowOff>
    </xdr:from>
    <xdr:to>
      <xdr:col>5</xdr:col>
      <xdr:colOff>609600</xdr:colOff>
      <xdr:row>98</xdr:row>
      <xdr:rowOff>86179</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115179</xdr:rowOff>
    </xdr:from>
    <xdr:to>
      <xdr:col>5</xdr:col>
      <xdr:colOff>609600</xdr:colOff>
      <xdr:row>98</xdr:row>
      <xdr:rowOff>86179</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88067</xdr:rowOff>
    </xdr:from>
    <xdr:to>
      <xdr:col>21</xdr:col>
      <xdr:colOff>445294</xdr:colOff>
      <xdr:row>122</xdr:row>
      <xdr:rowOff>139864</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122</xdr:row>
      <xdr:rowOff>93033</xdr:rowOff>
    </xdr:from>
    <xdr:to>
      <xdr:col>22</xdr:col>
      <xdr:colOff>616744</xdr:colOff>
      <xdr:row>126</xdr:row>
      <xdr:rowOff>73983</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49349</xdr:rowOff>
    </xdr:from>
    <xdr:to>
      <xdr:col>5</xdr:col>
      <xdr:colOff>609600</xdr:colOff>
      <xdr:row>223</xdr:row>
      <xdr:rowOff>46968</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6897</xdr:rowOff>
    </xdr:from>
    <xdr:to>
      <xdr:col>5</xdr:col>
      <xdr:colOff>609600</xdr:colOff>
      <xdr:row>222</xdr:row>
      <xdr:rowOff>161269</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224</xdr:row>
      <xdr:rowOff>46968</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6898</xdr:rowOff>
    </xdr:from>
    <xdr:to>
      <xdr:col>5</xdr:col>
      <xdr:colOff>609600</xdr:colOff>
      <xdr:row>211</xdr:row>
      <xdr:rowOff>161268</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87449</xdr:rowOff>
    </xdr:from>
    <xdr:to>
      <xdr:col>5</xdr:col>
      <xdr:colOff>609600</xdr:colOff>
      <xdr:row>189</xdr:row>
      <xdr:rowOff>68399</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10866</xdr:rowOff>
    </xdr:from>
    <xdr:to>
      <xdr:col>5</xdr:col>
      <xdr:colOff>609600</xdr:colOff>
      <xdr:row>190</xdr:row>
      <xdr:rowOff>112963</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106500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106499</xdr:rowOff>
    </xdr:from>
    <xdr:to>
      <xdr:col>5</xdr:col>
      <xdr:colOff>609600</xdr:colOff>
      <xdr:row>198</xdr:row>
      <xdr:rowOff>63637</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140820</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56</xdr:row>
      <xdr:rowOff>399367</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64620</xdr:rowOff>
    </xdr:from>
    <xdr:to>
      <xdr:col>5</xdr:col>
      <xdr:colOff>609600</xdr:colOff>
      <xdr:row>57</xdr:row>
      <xdr:rowOff>161557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102720</xdr:rowOff>
    </xdr:from>
    <xdr:to>
      <xdr:col>5</xdr:col>
      <xdr:colOff>609600</xdr:colOff>
      <xdr:row>59</xdr:row>
      <xdr:rowOff>107653</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418417</xdr:rowOff>
    </xdr:from>
    <xdr:to>
      <xdr:col>5</xdr:col>
      <xdr:colOff>609600</xdr:colOff>
      <xdr:row>63</xdr:row>
      <xdr:rowOff>11816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255280</xdr:rowOff>
    </xdr:from>
    <xdr:to>
      <xdr:col>5</xdr:col>
      <xdr:colOff>609600</xdr:colOff>
      <xdr:row>77</xdr:row>
      <xdr:rowOff>7355</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179999</xdr:rowOff>
    </xdr:from>
    <xdr:to>
      <xdr:col>5</xdr:col>
      <xdr:colOff>609600</xdr:colOff>
      <xdr:row>98</xdr:row>
      <xdr:rowOff>86179</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98</xdr:row>
      <xdr:rowOff>86179</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162804</xdr:rowOff>
    </xdr:from>
    <xdr:to>
      <xdr:col>5</xdr:col>
      <xdr:colOff>609600</xdr:colOff>
      <xdr:row>98</xdr:row>
      <xdr:rowOff>86179</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115179</xdr:rowOff>
    </xdr:from>
    <xdr:to>
      <xdr:col>5</xdr:col>
      <xdr:colOff>609600</xdr:colOff>
      <xdr:row>98</xdr:row>
      <xdr:rowOff>86179</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88067</xdr:rowOff>
    </xdr:from>
    <xdr:to>
      <xdr:col>21</xdr:col>
      <xdr:colOff>445294</xdr:colOff>
      <xdr:row>122</xdr:row>
      <xdr:rowOff>139864</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122</xdr:row>
      <xdr:rowOff>93033</xdr:rowOff>
    </xdr:from>
    <xdr:to>
      <xdr:col>22</xdr:col>
      <xdr:colOff>616744</xdr:colOff>
      <xdr:row>126</xdr:row>
      <xdr:rowOff>73983</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49349</xdr:rowOff>
    </xdr:from>
    <xdr:to>
      <xdr:col>5</xdr:col>
      <xdr:colOff>609600</xdr:colOff>
      <xdr:row>223</xdr:row>
      <xdr:rowOff>46968</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6897</xdr:rowOff>
    </xdr:from>
    <xdr:to>
      <xdr:col>5</xdr:col>
      <xdr:colOff>609600</xdr:colOff>
      <xdr:row>222</xdr:row>
      <xdr:rowOff>161269</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224</xdr:row>
      <xdr:rowOff>46968</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6898</xdr:rowOff>
    </xdr:from>
    <xdr:to>
      <xdr:col>5</xdr:col>
      <xdr:colOff>609600</xdr:colOff>
      <xdr:row>211</xdr:row>
      <xdr:rowOff>161268</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87449</xdr:rowOff>
    </xdr:from>
    <xdr:to>
      <xdr:col>5</xdr:col>
      <xdr:colOff>609600</xdr:colOff>
      <xdr:row>189</xdr:row>
      <xdr:rowOff>68399</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10866</xdr:rowOff>
    </xdr:from>
    <xdr:to>
      <xdr:col>5</xdr:col>
      <xdr:colOff>609600</xdr:colOff>
      <xdr:row>190</xdr:row>
      <xdr:rowOff>112963</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106500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106499</xdr:rowOff>
    </xdr:from>
    <xdr:to>
      <xdr:col>5</xdr:col>
      <xdr:colOff>609600</xdr:colOff>
      <xdr:row>198</xdr:row>
      <xdr:rowOff>63637</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140820</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56</xdr:row>
      <xdr:rowOff>399367</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64620</xdr:rowOff>
    </xdr:from>
    <xdr:to>
      <xdr:col>5</xdr:col>
      <xdr:colOff>609600</xdr:colOff>
      <xdr:row>57</xdr:row>
      <xdr:rowOff>161557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102720</xdr:rowOff>
    </xdr:from>
    <xdr:to>
      <xdr:col>5</xdr:col>
      <xdr:colOff>609600</xdr:colOff>
      <xdr:row>59</xdr:row>
      <xdr:rowOff>107653</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418417</xdr:rowOff>
    </xdr:from>
    <xdr:to>
      <xdr:col>5</xdr:col>
      <xdr:colOff>609600</xdr:colOff>
      <xdr:row>63</xdr:row>
      <xdr:rowOff>11816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255280</xdr:rowOff>
    </xdr:from>
    <xdr:to>
      <xdr:col>5</xdr:col>
      <xdr:colOff>609600</xdr:colOff>
      <xdr:row>77</xdr:row>
      <xdr:rowOff>7355</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179999</xdr:rowOff>
    </xdr:from>
    <xdr:to>
      <xdr:col>5</xdr:col>
      <xdr:colOff>609600</xdr:colOff>
      <xdr:row>98</xdr:row>
      <xdr:rowOff>86179</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98</xdr:row>
      <xdr:rowOff>86179</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162804</xdr:rowOff>
    </xdr:from>
    <xdr:to>
      <xdr:col>5</xdr:col>
      <xdr:colOff>609600</xdr:colOff>
      <xdr:row>98</xdr:row>
      <xdr:rowOff>86179</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115179</xdr:rowOff>
    </xdr:from>
    <xdr:to>
      <xdr:col>5</xdr:col>
      <xdr:colOff>609600</xdr:colOff>
      <xdr:row>98</xdr:row>
      <xdr:rowOff>86179</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88067</xdr:rowOff>
    </xdr:from>
    <xdr:to>
      <xdr:col>21</xdr:col>
      <xdr:colOff>445294</xdr:colOff>
      <xdr:row>122</xdr:row>
      <xdr:rowOff>139864</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122</xdr:row>
      <xdr:rowOff>93033</xdr:rowOff>
    </xdr:from>
    <xdr:to>
      <xdr:col>22</xdr:col>
      <xdr:colOff>616744</xdr:colOff>
      <xdr:row>126</xdr:row>
      <xdr:rowOff>73983</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164443</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164443</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17217</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124329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143379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113553</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80</xdr:row>
      <xdr:rowOff>381642</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82</xdr:row>
      <xdr:rowOff>11385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145420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654050</xdr:colOff>
      <xdr:row>131</xdr:row>
      <xdr:rowOff>180728</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161268</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161268</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10867</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130679</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149729</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88153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80</xdr:row>
      <xdr:rowOff>381642</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81</xdr:row>
      <xdr:rowOff>178456</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151770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647700</xdr:colOff>
      <xdr:row>131</xdr:row>
      <xdr:rowOff>180728</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161268</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161268</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10867</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130679</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149729</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88153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80</xdr:row>
      <xdr:rowOff>381642</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81</xdr:row>
      <xdr:rowOff>178456</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151770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647700</xdr:colOff>
      <xdr:row>131</xdr:row>
      <xdr:rowOff>180728</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161268</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161268</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10867</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130679</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149729</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88153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80</xdr:row>
      <xdr:rowOff>381642</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81</xdr:row>
      <xdr:rowOff>178456</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151770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647700</xdr:colOff>
      <xdr:row>131</xdr:row>
      <xdr:rowOff>180728</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127</xdr:row>
      <xdr:rowOff>151770</xdr:rowOff>
    </xdr:from>
    <xdr:to>
      <xdr:col>25</xdr:col>
      <xdr:colOff>654050</xdr:colOff>
      <xdr:row>131</xdr:row>
      <xdr:rowOff>150182</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243</xdr:row>
      <xdr:rowOff>46968</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6898</xdr:rowOff>
    </xdr:from>
    <xdr:to>
      <xdr:col>5</xdr:col>
      <xdr:colOff>609600</xdr:colOff>
      <xdr:row>242</xdr:row>
      <xdr:rowOff>161268</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6897</xdr:rowOff>
    </xdr:from>
    <xdr:to>
      <xdr:col>5</xdr:col>
      <xdr:colOff>609600</xdr:colOff>
      <xdr:row>244</xdr:row>
      <xdr:rowOff>46968</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6898</xdr:rowOff>
    </xdr:from>
    <xdr:to>
      <xdr:col>5</xdr:col>
      <xdr:colOff>609600</xdr:colOff>
      <xdr:row>231</xdr:row>
      <xdr:rowOff>161268</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123168</xdr:rowOff>
    </xdr:from>
    <xdr:to>
      <xdr:col>5</xdr:col>
      <xdr:colOff>609600</xdr:colOff>
      <xdr:row>208</xdr:row>
      <xdr:rowOff>161268</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25948</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211</xdr:row>
      <xdr:rowOff>46968</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6898</xdr:rowOff>
    </xdr:from>
    <xdr:to>
      <xdr:col>5</xdr:col>
      <xdr:colOff>609600</xdr:colOff>
      <xdr:row>218</xdr:row>
      <xdr:rowOff>25947</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69</xdr:row>
      <xdr:rowOff>143532</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82878</xdr:rowOff>
    </xdr:from>
    <xdr:to>
      <xdr:col>5</xdr:col>
      <xdr:colOff>628650</xdr:colOff>
      <xdr:row>85</xdr:row>
      <xdr:rowOff>35089</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85</xdr:row>
      <xdr:rowOff>45408</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162582</xdr:rowOff>
    </xdr:from>
    <xdr:to>
      <xdr:col>5</xdr:col>
      <xdr:colOff>609600</xdr:colOff>
      <xdr:row>85</xdr:row>
      <xdr:rowOff>64458</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8593</xdr:rowOff>
    </xdr:from>
    <xdr:to>
      <xdr:col>5</xdr:col>
      <xdr:colOff>609600</xdr:colOff>
      <xdr:row>88</xdr:row>
      <xdr:rowOff>958</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958</xdr:rowOff>
    </xdr:from>
    <xdr:to>
      <xdr:col>5</xdr:col>
      <xdr:colOff>609600</xdr:colOff>
      <xdr:row>95</xdr:row>
      <xdr:rowOff>141451</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77952</xdr:rowOff>
    </xdr:from>
    <xdr:to>
      <xdr:col>5</xdr:col>
      <xdr:colOff>609600</xdr:colOff>
      <xdr:row>94</xdr:row>
      <xdr:rowOff>178347</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30326</xdr:rowOff>
    </xdr:from>
    <xdr:to>
      <xdr:col>5</xdr:col>
      <xdr:colOff>609600</xdr:colOff>
      <xdr:row>95</xdr:row>
      <xdr:rowOff>74776</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27946</xdr:rowOff>
    </xdr:from>
    <xdr:to>
      <xdr:col>5</xdr:col>
      <xdr:colOff>609600</xdr:colOff>
      <xdr:row>96</xdr:row>
      <xdr:rowOff>93827</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112</xdr:row>
      <xdr:rowOff>162387</xdr:rowOff>
    </xdr:from>
    <xdr:to>
      <xdr:col>5</xdr:col>
      <xdr:colOff>609600</xdr:colOff>
      <xdr:row>121</xdr:row>
      <xdr:rowOff>35884</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56549</xdr:rowOff>
    </xdr:from>
    <xdr:to>
      <xdr:col>5</xdr:col>
      <xdr:colOff>609600</xdr:colOff>
      <xdr:row>119</xdr:row>
      <xdr:rowOff>139864</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45408</xdr:rowOff>
    </xdr:from>
    <xdr:to>
      <xdr:col>5</xdr:col>
      <xdr:colOff>609600</xdr:colOff>
      <xdr:row>119</xdr:row>
      <xdr:rowOff>35089</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7308</xdr:rowOff>
    </xdr:from>
    <xdr:to>
      <xdr:col>5</xdr:col>
      <xdr:colOff>609600</xdr:colOff>
      <xdr:row>119</xdr:row>
      <xdr:rowOff>92239</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138</xdr:row>
      <xdr:rowOff>73982</xdr:rowOff>
    </xdr:from>
    <xdr:to>
      <xdr:col>21</xdr:col>
      <xdr:colOff>438150</xdr:colOff>
      <xdr:row>142</xdr:row>
      <xdr:rowOff>112083</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142</xdr:row>
      <xdr:rowOff>93033</xdr:rowOff>
    </xdr:from>
    <xdr:to>
      <xdr:col>22</xdr:col>
      <xdr:colOff>609600</xdr:colOff>
      <xdr:row>146</xdr:row>
      <xdr:rowOff>68427</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142</xdr:row>
      <xdr:rowOff>93033</xdr:rowOff>
    </xdr:from>
    <xdr:to>
      <xdr:col>24</xdr:col>
      <xdr:colOff>647700</xdr:colOff>
      <xdr:row>146</xdr:row>
      <xdr:rowOff>178347</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142</xdr:row>
      <xdr:rowOff>112083</xdr:rowOff>
    </xdr:from>
    <xdr:to>
      <xdr:col>25</xdr:col>
      <xdr:colOff>647700</xdr:colOff>
      <xdr:row>146</xdr:row>
      <xdr:rowOff>144627</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243</xdr:row>
      <xdr:rowOff>46968</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6898</xdr:rowOff>
    </xdr:from>
    <xdr:to>
      <xdr:col>5</xdr:col>
      <xdr:colOff>609600</xdr:colOff>
      <xdr:row>242</xdr:row>
      <xdr:rowOff>161268</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6897</xdr:rowOff>
    </xdr:from>
    <xdr:to>
      <xdr:col>5</xdr:col>
      <xdr:colOff>609600</xdr:colOff>
      <xdr:row>244</xdr:row>
      <xdr:rowOff>46968</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6898</xdr:rowOff>
    </xdr:from>
    <xdr:to>
      <xdr:col>5</xdr:col>
      <xdr:colOff>609600</xdr:colOff>
      <xdr:row>231</xdr:row>
      <xdr:rowOff>161268</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123168</xdr:rowOff>
    </xdr:from>
    <xdr:to>
      <xdr:col>5</xdr:col>
      <xdr:colOff>609600</xdr:colOff>
      <xdr:row>208</xdr:row>
      <xdr:rowOff>161268</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25948</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211</xdr:row>
      <xdr:rowOff>46968</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6898</xdr:rowOff>
    </xdr:from>
    <xdr:to>
      <xdr:col>5</xdr:col>
      <xdr:colOff>609600</xdr:colOff>
      <xdr:row>218</xdr:row>
      <xdr:rowOff>25947</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69</xdr:row>
      <xdr:rowOff>143532</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82878</xdr:rowOff>
    </xdr:from>
    <xdr:to>
      <xdr:col>5</xdr:col>
      <xdr:colOff>628650</xdr:colOff>
      <xdr:row>85</xdr:row>
      <xdr:rowOff>35089</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85</xdr:row>
      <xdr:rowOff>45408</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162582</xdr:rowOff>
    </xdr:from>
    <xdr:to>
      <xdr:col>5</xdr:col>
      <xdr:colOff>609600</xdr:colOff>
      <xdr:row>85</xdr:row>
      <xdr:rowOff>64458</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8593</xdr:rowOff>
    </xdr:from>
    <xdr:to>
      <xdr:col>5</xdr:col>
      <xdr:colOff>609600</xdr:colOff>
      <xdr:row>88</xdr:row>
      <xdr:rowOff>958</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958</xdr:rowOff>
    </xdr:from>
    <xdr:to>
      <xdr:col>5</xdr:col>
      <xdr:colOff>609600</xdr:colOff>
      <xdr:row>95</xdr:row>
      <xdr:rowOff>141451</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77952</xdr:rowOff>
    </xdr:from>
    <xdr:to>
      <xdr:col>5</xdr:col>
      <xdr:colOff>609600</xdr:colOff>
      <xdr:row>94</xdr:row>
      <xdr:rowOff>178347</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30326</xdr:rowOff>
    </xdr:from>
    <xdr:to>
      <xdr:col>5</xdr:col>
      <xdr:colOff>609600</xdr:colOff>
      <xdr:row>95</xdr:row>
      <xdr:rowOff>74776</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27946</xdr:rowOff>
    </xdr:from>
    <xdr:to>
      <xdr:col>5</xdr:col>
      <xdr:colOff>609600</xdr:colOff>
      <xdr:row>96</xdr:row>
      <xdr:rowOff>93827</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112</xdr:row>
      <xdr:rowOff>162387</xdr:rowOff>
    </xdr:from>
    <xdr:to>
      <xdr:col>5</xdr:col>
      <xdr:colOff>609600</xdr:colOff>
      <xdr:row>121</xdr:row>
      <xdr:rowOff>35884</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56549</xdr:rowOff>
    </xdr:from>
    <xdr:to>
      <xdr:col>5</xdr:col>
      <xdr:colOff>609600</xdr:colOff>
      <xdr:row>119</xdr:row>
      <xdr:rowOff>139864</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45408</xdr:rowOff>
    </xdr:from>
    <xdr:to>
      <xdr:col>5</xdr:col>
      <xdr:colOff>609600</xdr:colOff>
      <xdr:row>119</xdr:row>
      <xdr:rowOff>35089</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7308</xdr:rowOff>
    </xdr:from>
    <xdr:to>
      <xdr:col>5</xdr:col>
      <xdr:colOff>609600</xdr:colOff>
      <xdr:row>119</xdr:row>
      <xdr:rowOff>92239</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138</xdr:row>
      <xdr:rowOff>73982</xdr:rowOff>
    </xdr:from>
    <xdr:to>
      <xdr:col>21</xdr:col>
      <xdr:colOff>438150</xdr:colOff>
      <xdr:row>142</xdr:row>
      <xdr:rowOff>112083</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142</xdr:row>
      <xdr:rowOff>93033</xdr:rowOff>
    </xdr:from>
    <xdr:to>
      <xdr:col>22</xdr:col>
      <xdr:colOff>609600</xdr:colOff>
      <xdr:row>146</xdr:row>
      <xdr:rowOff>68427</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142</xdr:row>
      <xdr:rowOff>93033</xdr:rowOff>
    </xdr:from>
    <xdr:to>
      <xdr:col>24</xdr:col>
      <xdr:colOff>647700</xdr:colOff>
      <xdr:row>146</xdr:row>
      <xdr:rowOff>178347</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142</xdr:row>
      <xdr:rowOff>112083</xdr:rowOff>
    </xdr:from>
    <xdr:to>
      <xdr:col>25</xdr:col>
      <xdr:colOff>647700</xdr:colOff>
      <xdr:row>146</xdr:row>
      <xdr:rowOff>144627</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243</xdr:row>
      <xdr:rowOff>46968</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6898</xdr:rowOff>
    </xdr:from>
    <xdr:to>
      <xdr:col>5</xdr:col>
      <xdr:colOff>609600</xdr:colOff>
      <xdr:row>242</xdr:row>
      <xdr:rowOff>161268</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6897</xdr:rowOff>
    </xdr:from>
    <xdr:to>
      <xdr:col>5</xdr:col>
      <xdr:colOff>609600</xdr:colOff>
      <xdr:row>244</xdr:row>
      <xdr:rowOff>46968</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6898</xdr:rowOff>
    </xdr:from>
    <xdr:to>
      <xdr:col>5</xdr:col>
      <xdr:colOff>609600</xdr:colOff>
      <xdr:row>231</xdr:row>
      <xdr:rowOff>161268</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123168</xdr:rowOff>
    </xdr:from>
    <xdr:to>
      <xdr:col>5</xdr:col>
      <xdr:colOff>609600</xdr:colOff>
      <xdr:row>208</xdr:row>
      <xdr:rowOff>161268</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25948</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211</xdr:row>
      <xdr:rowOff>46968</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6898</xdr:rowOff>
    </xdr:from>
    <xdr:to>
      <xdr:col>5</xdr:col>
      <xdr:colOff>609600</xdr:colOff>
      <xdr:row>218</xdr:row>
      <xdr:rowOff>25947</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69</xdr:row>
      <xdr:rowOff>143532</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82878</xdr:rowOff>
    </xdr:from>
    <xdr:to>
      <xdr:col>5</xdr:col>
      <xdr:colOff>628650</xdr:colOff>
      <xdr:row>85</xdr:row>
      <xdr:rowOff>35089</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85</xdr:row>
      <xdr:rowOff>45408</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162582</xdr:rowOff>
    </xdr:from>
    <xdr:to>
      <xdr:col>5</xdr:col>
      <xdr:colOff>609600</xdr:colOff>
      <xdr:row>85</xdr:row>
      <xdr:rowOff>64458</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8593</xdr:rowOff>
    </xdr:from>
    <xdr:to>
      <xdr:col>5</xdr:col>
      <xdr:colOff>609600</xdr:colOff>
      <xdr:row>88</xdr:row>
      <xdr:rowOff>958</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958</xdr:rowOff>
    </xdr:from>
    <xdr:to>
      <xdr:col>5</xdr:col>
      <xdr:colOff>609600</xdr:colOff>
      <xdr:row>95</xdr:row>
      <xdr:rowOff>141451</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77952</xdr:rowOff>
    </xdr:from>
    <xdr:to>
      <xdr:col>5</xdr:col>
      <xdr:colOff>609600</xdr:colOff>
      <xdr:row>94</xdr:row>
      <xdr:rowOff>178347</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30326</xdr:rowOff>
    </xdr:from>
    <xdr:to>
      <xdr:col>5</xdr:col>
      <xdr:colOff>609600</xdr:colOff>
      <xdr:row>95</xdr:row>
      <xdr:rowOff>74776</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27946</xdr:rowOff>
    </xdr:from>
    <xdr:to>
      <xdr:col>5</xdr:col>
      <xdr:colOff>609600</xdr:colOff>
      <xdr:row>96</xdr:row>
      <xdr:rowOff>93827</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112</xdr:row>
      <xdr:rowOff>162387</xdr:rowOff>
    </xdr:from>
    <xdr:to>
      <xdr:col>5</xdr:col>
      <xdr:colOff>609600</xdr:colOff>
      <xdr:row>121</xdr:row>
      <xdr:rowOff>35884</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56549</xdr:rowOff>
    </xdr:from>
    <xdr:to>
      <xdr:col>5</xdr:col>
      <xdr:colOff>609600</xdr:colOff>
      <xdr:row>119</xdr:row>
      <xdr:rowOff>139864</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45408</xdr:rowOff>
    </xdr:from>
    <xdr:to>
      <xdr:col>5</xdr:col>
      <xdr:colOff>609600</xdr:colOff>
      <xdr:row>119</xdr:row>
      <xdr:rowOff>35089</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7308</xdr:rowOff>
    </xdr:from>
    <xdr:to>
      <xdr:col>5</xdr:col>
      <xdr:colOff>609600</xdr:colOff>
      <xdr:row>119</xdr:row>
      <xdr:rowOff>92239</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138</xdr:row>
      <xdr:rowOff>73982</xdr:rowOff>
    </xdr:from>
    <xdr:to>
      <xdr:col>21</xdr:col>
      <xdr:colOff>438150</xdr:colOff>
      <xdr:row>142</xdr:row>
      <xdr:rowOff>112083</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142</xdr:row>
      <xdr:rowOff>93033</xdr:rowOff>
    </xdr:from>
    <xdr:to>
      <xdr:col>22</xdr:col>
      <xdr:colOff>609600</xdr:colOff>
      <xdr:row>146</xdr:row>
      <xdr:rowOff>68427</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142</xdr:row>
      <xdr:rowOff>93033</xdr:rowOff>
    </xdr:from>
    <xdr:to>
      <xdr:col>24</xdr:col>
      <xdr:colOff>647700</xdr:colOff>
      <xdr:row>146</xdr:row>
      <xdr:rowOff>178347</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142</xdr:row>
      <xdr:rowOff>112083</xdr:rowOff>
    </xdr:from>
    <xdr:to>
      <xdr:col>25</xdr:col>
      <xdr:colOff>647700</xdr:colOff>
      <xdr:row>146</xdr:row>
      <xdr:rowOff>144627</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85068</xdr:rowOff>
    </xdr:from>
    <xdr:to>
      <xdr:col>5</xdr:col>
      <xdr:colOff>609600</xdr:colOff>
      <xdr:row>237</xdr:row>
      <xdr:rowOff>85068</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46968</xdr:rowOff>
    </xdr:from>
    <xdr:to>
      <xdr:col>5</xdr:col>
      <xdr:colOff>609600</xdr:colOff>
      <xdr:row>236</xdr:row>
      <xdr:rowOff>180318</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46968</xdr:rowOff>
    </xdr:from>
    <xdr:to>
      <xdr:col>5</xdr:col>
      <xdr:colOff>609600</xdr:colOff>
      <xdr:row>238</xdr:row>
      <xdr:rowOff>85069</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225</xdr:row>
      <xdr:rowOff>180318</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161268</xdr:rowOff>
    </xdr:from>
    <xdr:to>
      <xdr:col>5</xdr:col>
      <xdr:colOff>609600</xdr:colOff>
      <xdr:row>202</xdr:row>
      <xdr:rowOff>180318</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46968</xdr:rowOff>
    </xdr:from>
    <xdr:to>
      <xdr:col>5</xdr:col>
      <xdr:colOff>609600</xdr:colOff>
      <xdr:row>204</xdr:row>
      <xdr:rowOff>85068</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46968</xdr:rowOff>
    </xdr:from>
    <xdr:to>
      <xdr:col>5</xdr:col>
      <xdr:colOff>609600</xdr:colOff>
      <xdr:row>205</xdr:row>
      <xdr:rowOff>85068</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46968</xdr:rowOff>
    </xdr:from>
    <xdr:to>
      <xdr:col>5</xdr:col>
      <xdr:colOff>609600</xdr:colOff>
      <xdr:row>212</xdr:row>
      <xdr:rowOff>85068</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62</xdr:row>
      <xdr:rowOff>45051</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170848</xdr:rowOff>
    </xdr:from>
    <xdr:to>
      <xdr:col>5</xdr:col>
      <xdr:colOff>628650</xdr:colOff>
      <xdr:row>83</xdr:row>
      <xdr:rowOff>170027</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82</xdr:row>
      <xdr:rowOff>87476</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64101</xdr:rowOff>
    </xdr:from>
    <xdr:to>
      <xdr:col>5</xdr:col>
      <xdr:colOff>609600</xdr:colOff>
      <xdr:row>82</xdr:row>
      <xdr:rowOff>125576</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77980</xdr:rowOff>
    </xdr:from>
    <xdr:to>
      <xdr:col>5</xdr:col>
      <xdr:colOff>609600</xdr:colOff>
      <xdr:row>86</xdr:row>
      <xdr:rowOff>11277</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163677</xdr:rowOff>
    </xdr:from>
    <xdr:to>
      <xdr:col>5</xdr:col>
      <xdr:colOff>609600</xdr:colOff>
      <xdr:row>95</xdr:row>
      <xdr:rowOff>17626</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87476</xdr:rowOff>
    </xdr:from>
    <xdr:to>
      <xdr:col>5</xdr:col>
      <xdr:colOff>609600</xdr:colOff>
      <xdr:row>94</xdr:row>
      <xdr:rowOff>1752</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36677</xdr:rowOff>
    </xdr:from>
    <xdr:to>
      <xdr:col>5</xdr:col>
      <xdr:colOff>609600</xdr:colOff>
      <xdr:row>94</xdr:row>
      <xdr:rowOff>87477</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96</xdr:row>
      <xdr:rowOff>55727</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106</xdr:row>
      <xdr:rowOff>163677</xdr:rowOff>
    </xdr:from>
    <xdr:to>
      <xdr:col>5</xdr:col>
      <xdr:colOff>609600</xdr:colOff>
      <xdr:row>116</xdr:row>
      <xdr:rowOff>163677</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30327</xdr:rowOff>
    </xdr:from>
    <xdr:to>
      <xdr:col>5</xdr:col>
      <xdr:colOff>609600</xdr:colOff>
      <xdr:row>114</xdr:row>
      <xdr:rowOff>178941</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113</xdr:row>
      <xdr:rowOff>179963</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178348</xdr:rowOff>
    </xdr:from>
    <xdr:to>
      <xdr:col>5</xdr:col>
      <xdr:colOff>609600</xdr:colOff>
      <xdr:row>114</xdr:row>
      <xdr:rowOff>63692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132</xdr:row>
      <xdr:rowOff>106527</xdr:rowOff>
    </xdr:from>
    <xdr:to>
      <xdr:col>21</xdr:col>
      <xdr:colOff>438150</xdr:colOff>
      <xdr:row>136</xdr:row>
      <xdr:rowOff>125577</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136</xdr:row>
      <xdr:rowOff>125577</xdr:rowOff>
    </xdr:from>
    <xdr:to>
      <xdr:col>22</xdr:col>
      <xdr:colOff>609600</xdr:colOff>
      <xdr:row>140</xdr:row>
      <xdr:rowOff>106527</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136</xdr:row>
      <xdr:rowOff>125577</xdr:rowOff>
    </xdr:from>
    <xdr:to>
      <xdr:col>24</xdr:col>
      <xdr:colOff>647700</xdr:colOff>
      <xdr:row>141</xdr:row>
      <xdr:rowOff>30326</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136</xdr:row>
      <xdr:rowOff>144627</xdr:rowOff>
    </xdr:from>
    <xdr:to>
      <xdr:col>25</xdr:col>
      <xdr:colOff>647700</xdr:colOff>
      <xdr:row>140</xdr:row>
      <xdr:rowOff>178347</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85068</xdr:rowOff>
    </xdr:from>
    <xdr:to>
      <xdr:col>5</xdr:col>
      <xdr:colOff>609600</xdr:colOff>
      <xdr:row>237</xdr:row>
      <xdr:rowOff>85068</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46968</xdr:rowOff>
    </xdr:from>
    <xdr:to>
      <xdr:col>5</xdr:col>
      <xdr:colOff>609600</xdr:colOff>
      <xdr:row>236</xdr:row>
      <xdr:rowOff>180318</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46968</xdr:rowOff>
    </xdr:from>
    <xdr:to>
      <xdr:col>5</xdr:col>
      <xdr:colOff>609600</xdr:colOff>
      <xdr:row>238</xdr:row>
      <xdr:rowOff>85069</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225</xdr:row>
      <xdr:rowOff>180318</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161268</xdr:rowOff>
    </xdr:from>
    <xdr:to>
      <xdr:col>5</xdr:col>
      <xdr:colOff>609600</xdr:colOff>
      <xdr:row>202</xdr:row>
      <xdr:rowOff>180318</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46968</xdr:rowOff>
    </xdr:from>
    <xdr:to>
      <xdr:col>5</xdr:col>
      <xdr:colOff>609600</xdr:colOff>
      <xdr:row>204</xdr:row>
      <xdr:rowOff>85068</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46968</xdr:rowOff>
    </xdr:from>
    <xdr:to>
      <xdr:col>5</xdr:col>
      <xdr:colOff>609600</xdr:colOff>
      <xdr:row>205</xdr:row>
      <xdr:rowOff>85068</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46968</xdr:rowOff>
    </xdr:from>
    <xdr:to>
      <xdr:col>5</xdr:col>
      <xdr:colOff>609600</xdr:colOff>
      <xdr:row>212</xdr:row>
      <xdr:rowOff>85068</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62</xdr:row>
      <xdr:rowOff>45051</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170848</xdr:rowOff>
    </xdr:from>
    <xdr:to>
      <xdr:col>5</xdr:col>
      <xdr:colOff>628650</xdr:colOff>
      <xdr:row>83</xdr:row>
      <xdr:rowOff>170027</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82</xdr:row>
      <xdr:rowOff>87476</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64101</xdr:rowOff>
    </xdr:from>
    <xdr:to>
      <xdr:col>5</xdr:col>
      <xdr:colOff>609600</xdr:colOff>
      <xdr:row>82</xdr:row>
      <xdr:rowOff>125576</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77980</xdr:rowOff>
    </xdr:from>
    <xdr:to>
      <xdr:col>5</xdr:col>
      <xdr:colOff>609600</xdr:colOff>
      <xdr:row>86</xdr:row>
      <xdr:rowOff>11277</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163677</xdr:rowOff>
    </xdr:from>
    <xdr:to>
      <xdr:col>5</xdr:col>
      <xdr:colOff>609600</xdr:colOff>
      <xdr:row>95</xdr:row>
      <xdr:rowOff>17626</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87476</xdr:rowOff>
    </xdr:from>
    <xdr:to>
      <xdr:col>5</xdr:col>
      <xdr:colOff>609600</xdr:colOff>
      <xdr:row>94</xdr:row>
      <xdr:rowOff>1752</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36677</xdr:rowOff>
    </xdr:from>
    <xdr:to>
      <xdr:col>5</xdr:col>
      <xdr:colOff>609600</xdr:colOff>
      <xdr:row>94</xdr:row>
      <xdr:rowOff>87477</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96</xdr:row>
      <xdr:rowOff>55727</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106</xdr:row>
      <xdr:rowOff>163677</xdr:rowOff>
    </xdr:from>
    <xdr:to>
      <xdr:col>5</xdr:col>
      <xdr:colOff>609600</xdr:colOff>
      <xdr:row>116</xdr:row>
      <xdr:rowOff>163677</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30327</xdr:rowOff>
    </xdr:from>
    <xdr:to>
      <xdr:col>5</xdr:col>
      <xdr:colOff>609600</xdr:colOff>
      <xdr:row>114</xdr:row>
      <xdr:rowOff>178941</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113</xdr:row>
      <xdr:rowOff>179963</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178348</xdr:rowOff>
    </xdr:from>
    <xdr:to>
      <xdr:col>5</xdr:col>
      <xdr:colOff>609600</xdr:colOff>
      <xdr:row>114</xdr:row>
      <xdr:rowOff>63692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132</xdr:row>
      <xdr:rowOff>106527</xdr:rowOff>
    </xdr:from>
    <xdr:to>
      <xdr:col>21</xdr:col>
      <xdr:colOff>438150</xdr:colOff>
      <xdr:row>136</xdr:row>
      <xdr:rowOff>125577</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136</xdr:row>
      <xdr:rowOff>125577</xdr:rowOff>
    </xdr:from>
    <xdr:to>
      <xdr:col>22</xdr:col>
      <xdr:colOff>609600</xdr:colOff>
      <xdr:row>140</xdr:row>
      <xdr:rowOff>106527</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136</xdr:row>
      <xdr:rowOff>125577</xdr:rowOff>
    </xdr:from>
    <xdr:to>
      <xdr:col>24</xdr:col>
      <xdr:colOff>647700</xdr:colOff>
      <xdr:row>141</xdr:row>
      <xdr:rowOff>30326</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136</xdr:row>
      <xdr:rowOff>144627</xdr:rowOff>
    </xdr:from>
    <xdr:to>
      <xdr:col>25</xdr:col>
      <xdr:colOff>647700</xdr:colOff>
      <xdr:row>140</xdr:row>
      <xdr:rowOff>178347</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85068</xdr:rowOff>
    </xdr:from>
    <xdr:to>
      <xdr:col>5</xdr:col>
      <xdr:colOff>609600</xdr:colOff>
      <xdr:row>237</xdr:row>
      <xdr:rowOff>85068</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46968</xdr:rowOff>
    </xdr:from>
    <xdr:to>
      <xdr:col>5</xdr:col>
      <xdr:colOff>609600</xdr:colOff>
      <xdr:row>236</xdr:row>
      <xdr:rowOff>180318</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46968</xdr:rowOff>
    </xdr:from>
    <xdr:to>
      <xdr:col>5</xdr:col>
      <xdr:colOff>609600</xdr:colOff>
      <xdr:row>238</xdr:row>
      <xdr:rowOff>85069</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225</xdr:row>
      <xdr:rowOff>180318</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161268</xdr:rowOff>
    </xdr:from>
    <xdr:to>
      <xdr:col>5</xdr:col>
      <xdr:colOff>609600</xdr:colOff>
      <xdr:row>202</xdr:row>
      <xdr:rowOff>180318</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46968</xdr:rowOff>
    </xdr:from>
    <xdr:to>
      <xdr:col>5</xdr:col>
      <xdr:colOff>609600</xdr:colOff>
      <xdr:row>204</xdr:row>
      <xdr:rowOff>85068</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46968</xdr:rowOff>
    </xdr:from>
    <xdr:to>
      <xdr:col>5</xdr:col>
      <xdr:colOff>609600</xdr:colOff>
      <xdr:row>205</xdr:row>
      <xdr:rowOff>85068</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46968</xdr:rowOff>
    </xdr:from>
    <xdr:to>
      <xdr:col>5</xdr:col>
      <xdr:colOff>609600</xdr:colOff>
      <xdr:row>212</xdr:row>
      <xdr:rowOff>85068</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62</xdr:row>
      <xdr:rowOff>45051</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170848</xdr:rowOff>
    </xdr:from>
    <xdr:to>
      <xdr:col>5</xdr:col>
      <xdr:colOff>628650</xdr:colOff>
      <xdr:row>83</xdr:row>
      <xdr:rowOff>170027</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82</xdr:row>
      <xdr:rowOff>87476</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64101</xdr:rowOff>
    </xdr:from>
    <xdr:to>
      <xdr:col>5</xdr:col>
      <xdr:colOff>609600</xdr:colOff>
      <xdr:row>82</xdr:row>
      <xdr:rowOff>125576</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77980</xdr:rowOff>
    </xdr:from>
    <xdr:to>
      <xdr:col>5</xdr:col>
      <xdr:colOff>609600</xdr:colOff>
      <xdr:row>86</xdr:row>
      <xdr:rowOff>11277</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163677</xdr:rowOff>
    </xdr:from>
    <xdr:to>
      <xdr:col>5</xdr:col>
      <xdr:colOff>609600</xdr:colOff>
      <xdr:row>95</xdr:row>
      <xdr:rowOff>17626</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87476</xdr:rowOff>
    </xdr:from>
    <xdr:to>
      <xdr:col>5</xdr:col>
      <xdr:colOff>609600</xdr:colOff>
      <xdr:row>94</xdr:row>
      <xdr:rowOff>1752</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36677</xdr:rowOff>
    </xdr:from>
    <xdr:to>
      <xdr:col>5</xdr:col>
      <xdr:colOff>609600</xdr:colOff>
      <xdr:row>94</xdr:row>
      <xdr:rowOff>87477</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96</xdr:row>
      <xdr:rowOff>55727</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106</xdr:row>
      <xdr:rowOff>163677</xdr:rowOff>
    </xdr:from>
    <xdr:to>
      <xdr:col>5</xdr:col>
      <xdr:colOff>609600</xdr:colOff>
      <xdr:row>116</xdr:row>
      <xdr:rowOff>163677</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30327</xdr:rowOff>
    </xdr:from>
    <xdr:to>
      <xdr:col>5</xdr:col>
      <xdr:colOff>609600</xdr:colOff>
      <xdr:row>114</xdr:row>
      <xdr:rowOff>178941</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113</xdr:row>
      <xdr:rowOff>179963</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178348</xdr:rowOff>
    </xdr:from>
    <xdr:to>
      <xdr:col>5</xdr:col>
      <xdr:colOff>609600</xdr:colOff>
      <xdr:row>114</xdr:row>
      <xdr:rowOff>63692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132</xdr:row>
      <xdr:rowOff>106527</xdr:rowOff>
    </xdr:from>
    <xdr:to>
      <xdr:col>21</xdr:col>
      <xdr:colOff>438150</xdr:colOff>
      <xdr:row>136</xdr:row>
      <xdr:rowOff>125577</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136</xdr:row>
      <xdr:rowOff>125577</xdr:rowOff>
    </xdr:from>
    <xdr:to>
      <xdr:col>22</xdr:col>
      <xdr:colOff>609600</xdr:colOff>
      <xdr:row>140</xdr:row>
      <xdr:rowOff>106527</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136</xdr:row>
      <xdr:rowOff>125577</xdr:rowOff>
    </xdr:from>
    <xdr:to>
      <xdr:col>24</xdr:col>
      <xdr:colOff>647700</xdr:colOff>
      <xdr:row>141</xdr:row>
      <xdr:rowOff>30326</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136</xdr:row>
      <xdr:rowOff>144627</xdr:rowOff>
    </xdr:from>
    <xdr:to>
      <xdr:col>25</xdr:col>
      <xdr:colOff>647700</xdr:colOff>
      <xdr:row>140</xdr:row>
      <xdr:rowOff>178347</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869" name="Text Box 37" hidden="1">
          <a:extLst>
            <a:ext uri="{FF2B5EF4-FFF2-40B4-BE49-F238E27FC236}">
              <a16:creationId xmlns:a16="http://schemas.microsoft.com/office/drawing/2014/main" id="{145549B7-3A5D-AEE4-6A21-E33FC3BDE9D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85068</xdr:rowOff>
    </xdr:from>
    <xdr:to>
      <xdr:col>5</xdr:col>
      <xdr:colOff>609600</xdr:colOff>
      <xdr:row>238</xdr:row>
      <xdr:rowOff>66019</xdr:rowOff>
    </xdr:to>
    <xdr:sp macro="" textlink="">
      <xdr:nvSpPr>
        <xdr:cNvPr id="376868" name="Text Box 36" hidden="1">
          <a:extLst>
            <a:ext uri="{FF2B5EF4-FFF2-40B4-BE49-F238E27FC236}">
              <a16:creationId xmlns:a16="http://schemas.microsoft.com/office/drawing/2014/main" id="{E8EE6838-26D2-5E5B-BAB6-0A6D7760F8AB}"/>
            </a:ext>
          </a:extLst>
        </xdr:cNvPr>
        <xdr:cNvSpPr txBox="1">
          <a:spLocks noChangeArrowheads="1"/>
        </xdr:cNvSpPr>
      </xdr:nvSpPr>
      <xdr:spPr bwMode="auto">
        <a:xfrm>
          <a:off x="3994150" y="42519600"/>
          <a:ext cx="1314450" cy="421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46968</xdr:rowOff>
    </xdr:from>
    <xdr:to>
      <xdr:col>5</xdr:col>
      <xdr:colOff>609600</xdr:colOff>
      <xdr:row>237</xdr:row>
      <xdr:rowOff>180318</xdr:rowOff>
    </xdr:to>
    <xdr:sp macro="" textlink="">
      <xdr:nvSpPr>
        <xdr:cNvPr id="376867" name="Text Box 35" hidden="1">
          <a:extLst>
            <a:ext uri="{FF2B5EF4-FFF2-40B4-BE49-F238E27FC236}">
              <a16:creationId xmlns:a16="http://schemas.microsoft.com/office/drawing/2014/main" id="{AD94417A-C3FE-F55E-8FDA-092574A81918}"/>
            </a:ext>
          </a:extLst>
        </xdr:cNvPr>
        <xdr:cNvSpPr txBox="1">
          <a:spLocks noChangeArrowheads="1"/>
        </xdr:cNvSpPr>
      </xdr:nvSpPr>
      <xdr:spPr bwMode="auto">
        <a:xfrm>
          <a:off x="3994150" y="4284980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239</xdr:row>
      <xdr:rowOff>66018</xdr:rowOff>
    </xdr:to>
    <xdr:sp macro="" textlink="">
      <xdr:nvSpPr>
        <xdr:cNvPr id="376866" name="Text Box 34" hidden="1">
          <a:extLst>
            <a:ext uri="{FF2B5EF4-FFF2-40B4-BE49-F238E27FC236}">
              <a16:creationId xmlns:a16="http://schemas.microsoft.com/office/drawing/2014/main" id="{DC638EA5-91FA-1DD7-1550-339E9D59BE5F}"/>
            </a:ext>
          </a:extLst>
        </xdr:cNvPr>
        <xdr:cNvSpPr txBox="1">
          <a:spLocks noChangeArrowheads="1"/>
        </xdr:cNvSpPr>
      </xdr:nvSpPr>
      <xdr:spPr bwMode="auto">
        <a:xfrm>
          <a:off x="3994150" y="43402250"/>
          <a:ext cx="1314450" cy="351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46968</xdr:rowOff>
    </xdr:from>
    <xdr:to>
      <xdr:col>5</xdr:col>
      <xdr:colOff>609600</xdr:colOff>
      <xdr:row>226</xdr:row>
      <xdr:rowOff>180318</xdr:rowOff>
    </xdr:to>
    <xdr:sp macro="" textlink="">
      <xdr:nvSpPr>
        <xdr:cNvPr id="376865" name="Text Box 33" hidden="1">
          <a:extLst>
            <a:ext uri="{FF2B5EF4-FFF2-40B4-BE49-F238E27FC236}">
              <a16:creationId xmlns:a16="http://schemas.microsoft.com/office/drawing/2014/main" id="{231A6E3E-8E6B-2A1E-34EC-BC538DB18C1A}"/>
            </a:ext>
          </a:extLst>
        </xdr:cNvPr>
        <xdr:cNvSpPr txBox="1">
          <a:spLocks noChangeArrowheads="1"/>
        </xdr:cNvSpPr>
      </xdr:nvSpPr>
      <xdr:spPr bwMode="auto">
        <a:xfrm>
          <a:off x="3994150" y="4358640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161268</xdr:rowOff>
    </xdr:from>
    <xdr:to>
      <xdr:col>5</xdr:col>
      <xdr:colOff>609600</xdr:colOff>
      <xdr:row>203</xdr:row>
      <xdr:rowOff>180318</xdr:rowOff>
    </xdr:to>
    <xdr:sp macro="" textlink="">
      <xdr:nvSpPr>
        <xdr:cNvPr id="376864" name="Text Box 32" hidden="1">
          <a:extLst>
            <a:ext uri="{FF2B5EF4-FFF2-40B4-BE49-F238E27FC236}">
              <a16:creationId xmlns:a16="http://schemas.microsoft.com/office/drawing/2014/main" id="{33AAFAD0-EAB1-3FB1-15A6-D2822190F5A5}"/>
            </a:ext>
          </a:extLst>
        </xdr:cNvPr>
        <xdr:cNvSpPr txBox="1">
          <a:spLocks noChangeArrowheads="1"/>
        </xdr:cNvSpPr>
      </xdr:nvSpPr>
      <xdr:spPr bwMode="auto">
        <a:xfrm>
          <a:off x="3994150" y="3928110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46968</xdr:rowOff>
    </xdr:from>
    <xdr:to>
      <xdr:col>5</xdr:col>
      <xdr:colOff>609600</xdr:colOff>
      <xdr:row>205</xdr:row>
      <xdr:rowOff>66018</xdr:rowOff>
    </xdr:to>
    <xdr:sp macro="" textlink="">
      <xdr:nvSpPr>
        <xdr:cNvPr id="376863" name="Text Box 31" hidden="1">
          <a:extLst>
            <a:ext uri="{FF2B5EF4-FFF2-40B4-BE49-F238E27FC236}">
              <a16:creationId xmlns:a16="http://schemas.microsoft.com/office/drawing/2014/main" id="{629393EA-56C0-E401-7E67-5157B382608B}"/>
            </a:ext>
          </a:extLst>
        </xdr:cNvPr>
        <xdr:cNvSpPr txBox="1">
          <a:spLocks noChangeArrowheads="1"/>
        </xdr:cNvSpPr>
      </xdr:nvSpPr>
      <xdr:spPr bwMode="auto">
        <a:xfrm>
          <a:off x="3994150" y="397192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46968</xdr:rowOff>
    </xdr:from>
    <xdr:to>
      <xdr:col>5</xdr:col>
      <xdr:colOff>609600</xdr:colOff>
      <xdr:row>206</xdr:row>
      <xdr:rowOff>66019</xdr:rowOff>
    </xdr:to>
    <xdr:sp macro="" textlink="">
      <xdr:nvSpPr>
        <xdr:cNvPr id="376862" name="Text Box 30" hidden="1">
          <a:extLst>
            <a:ext uri="{FF2B5EF4-FFF2-40B4-BE49-F238E27FC236}">
              <a16:creationId xmlns:a16="http://schemas.microsoft.com/office/drawing/2014/main" id="{03C3DB7E-3DF2-8AAE-1278-5E18A2457BE1}"/>
            </a:ext>
          </a:extLst>
        </xdr:cNvPr>
        <xdr:cNvSpPr txBox="1">
          <a:spLocks noChangeArrowheads="1"/>
        </xdr:cNvSpPr>
      </xdr:nvSpPr>
      <xdr:spPr bwMode="auto">
        <a:xfrm>
          <a:off x="3994150" y="400875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46968</xdr:rowOff>
    </xdr:from>
    <xdr:to>
      <xdr:col>5</xdr:col>
      <xdr:colOff>609600</xdr:colOff>
      <xdr:row>213</xdr:row>
      <xdr:rowOff>66018</xdr:rowOff>
    </xdr:to>
    <xdr:sp macro="" textlink="">
      <xdr:nvSpPr>
        <xdr:cNvPr id="376861" name="Text Box 29" hidden="1">
          <a:extLst>
            <a:ext uri="{FF2B5EF4-FFF2-40B4-BE49-F238E27FC236}">
              <a16:creationId xmlns:a16="http://schemas.microsoft.com/office/drawing/2014/main" id="{0343956E-393C-1F80-E9D7-36AF65C96F21}"/>
            </a:ext>
          </a:extLst>
        </xdr:cNvPr>
        <xdr:cNvSpPr txBox="1">
          <a:spLocks noChangeArrowheads="1"/>
        </xdr:cNvSpPr>
      </xdr:nvSpPr>
      <xdr:spPr bwMode="auto">
        <a:xfrm>
          <a:off x="3994150" y="404558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64</xdr:row>
      <xdr:rowOff>2518</xdr:rowOff>
    </xdr:from>
    <xdr:to>
      <xdr:col>5</xdr:col>
      <xdr:colOff>609600</xdr:colOff>
      <xdr:row>64</xdr:row>
      <xdr:rowOff>2518</xdr:rowOff>
    </xdr:to>
    <xdr:sp macro="" textlink="">
      <xdr:nvSpPr>
        <xdr:cNvPr id="376860" name="Text Box 28" hidden="1">
          <a:extLst>
            <a:ext uri="{FF2B5EF4-FFF2-40B4-BE49-F238E27FC236}">
              <a16:creationId xmlns:a16="http://schemas.microsoft.com/office/drawing/2014/main" id="{21FD6705-EB88-42DD-E85B-3FB27411242B}"/>
            </a:ext>
          </a:extLst>
        </xdr:cNvPr>
        <xdr:cNvSpPr txBox="1">
          <a:spLocks noChangeArrowheads="1"/>
        </xdr:cNvSpPr>
      </xdr:nvSpPr>
      <xdr:spPr bwMode="auto">
        <a:xfrm>
          <a:off x="3994150" y="138303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164881</xdr:rowOff>
    </xdr:from>
    <xdr:to>
      <xdr:col>5</xdr:col>
      <xdr:colOff>628650</xdr:colOff>
      <xdr:row>87</xdr:row>
      <xdr:rowOff>11277</xdr:rowOff>
    </xdr:to>
    <xdr:sp macro="" textlink="">
      <xdr:nvSpPr>
        <xdr:cNvPr id="376859" name="Text Box 27" hidden="1">
          <a:extLst>
            <a:ext uri="{FF2B5EF4-FFF2-40B4-BE49-F238E27FC236}">
              <a16:creationId xmlns:a16="http://schemas.microsoft.com/office/drawing/2014/main" id="{BE1E8DC1-6846-6BB2-03F3-BC5789186C68}"/>
            </a:ext>
          </a:extLst>
        </xdr:cNvPr>
        <xdr:cNvSpPr txBox="1">
          <a:spLocks noChangeArrowheads="1"/>
        </xdr:cNvSpPr>
      </xdr:nvSpPr>
      <xdr:spPr bwMode="auto">
        <a:xfrm>
          <a:off x="4013200" y="13989050"/>
          <a:ext cx="1314450" cy="454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64</xdr:row>
      <xdr:rowOff>2518</xdr:rowOff>
    </xdr:from>
    <xdr:to>
      <xdr:col>5</xdr:col>
      <xdr:colOff>609600</xdr:colOff>
      <xdr:row>84</xdr:row>
      <xdr:rowOff>125577</xdr:rowOff>
    </xdr:to>
    <xdr:sp macro="" textlink="">
      <xdr:nvSpPr>
        <xdr:cNvPr id="376858" name="Text Box 26" hidden="1">
          <a:extLst>
            <a:ext uri="{FF2B5EF4-FFF2-40B4-BE49-F238E27FC236}">
              <a16:creationId xmlns:a16="http://schemas.microsoft.com/office/drawing/2014/main" id="{0700B06C-8488-DC43-9135-421ABD3F382A}"/>
            </a:ext>
          </a:extLst>
        </xdr:cNvPr>
        <xdr:cNvSpPr txBox="1">
          <a:spLocks noChangeArrowheads="1"/>
        </xdr:cNvSpPr>
      </xdr:nvSpPr>
      <xdr:spPr bwMode="auto">
        <a:xfrm>
          <a:off x="3994150" y="13830300"/>
          <a:ext cx="1314450" cy="426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64</xdr:row>
      <xdr:rowOff>21568</xdr:rowOff>
    </xdr:from>
    <xdr:to>
      <xdr:col>5</xdr:col>
      <xdr:colOff>609600</xdr:colOff>
      <xdr:row>84</xdr:row>
      <xdr:rowOff>163677</xdr:rowOff>
    </xdr:to>
    <xdr:sp macro="" textlink="">
      <xdr:nvSpPr>
        <xdr:cNvPr id="376857" name="Text Box 25" hidden="1">
          <a:extLst>
            <a:ext uri="{FF2B5EF4-FFF2-40B4-BE49-F238E27FC236}">
              <a16:creationId xmlns:a16="http://schemas.microsoft.com/office/drawing/2014/main" id="{3A621DFD-6007-8D9C-E6F1-6174BD459B7F}"/>
            </a:ext>
          </a:extLst>
        </xdr:cNvPr>
        <xdr:cNvSpPr txBox="1">
          <a:spLocks noChangeArrowheads="1"/>
        </xdr:cNvSpPr>
      </xdr:nvSpPr>
      <xdr:spPr bwMode="auto">
        <a:xfrm>
          <a:off x="3994150" y="13849350"/>
          <a:ext cx="1314450" cy="4286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76857</xdr:rowOff>
    </xdr:from>
    <xdr:to>
      <xdr:col>5</xdr:col>
      <xdr:colOff>609600</xdr:colOff>
      <xdr:row>87</xdr:row>
      <xdr:rowOff>49377</xdr:rowOff>
    </xdr:to>
    <xdr:sp macro="" textlink="">
      <xdr:nvSpPr>
        <xdr:cNvPr id="376856" name="Text Box 24" hidden="1">
          <a:extLst>
            <a:ext uri="{FF2B5EF4-FFF2-40B4-BE49-F238E27FC236}">
              <a16:creationId xmlns:a16="http://schemas.microsoft.com/office/drawing/2014/main" id="{7DC1DE39-DC8C-0E7B-BC85-CE2E93BD3259}"/>
            </a:ext>
          </a:extLst>
        </xdr:cNvPr>
        <xdr:cNvSpPr txBox="1">
          <a:spLocks noChangeArrowheads="1"/>
        </xdr:cNvSpPr>
      </xdr:nvSpPr>
      <xdr:spPr bwMode="auto">
        <a:xfrm>
          <a:off x="3994150" y="14871700"/>
          <a:ext cx="1314450" cy="370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163676</xdr:rowOff>
    </xdr:from>
    <xdr:to>
      <xdr:col>5</xdr:col>
      <xdr:colOff>609600</xdr:colOff>
      <xdr:row>96</xdr:row>
      <xdr:rowOff>8102</xdr:rowOff>
    </xdr:to>
    <xdr:sp macro="" textlink="">
      <xdr:nvSpPr>
        <xdr:cNvPr id="376855" name="Text Box 23" hidden="1">
          <a:extLst>
            <a:ext uri="{FF2B5EF4-FFF2-40B4-BE49-F238E27FC236}">
              <a16:creationId xmlns:a16="http://schemas.microsoft.com/office/drawing/2014/main" id="{4A1B5561-33EE-8F25-B818-366FEB142683}"/>
            </a:ext>
          </a:extLst>
        </xdr:cNvPr>
        <xdr:cNvSpPr txBox="1">
          <a:spLocks noChangeArrowheads="1"/>
        </xdr:cNvSpPr>
      </xdr:nvSpPr>
      <xdr:spPr bwMode="auto">
        <a:xfrm>
          <a:off x="3994150" y="17767300"/>
          <a:ext cx="1314450" cy="2425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93827</xdr:rowOff>
    </xdr:from>
    <xdr:to>
      <xdr:col>5</xdr:col>
      <xdr:colOff>609600</xdr:colOff>
      <xdr:row>94</xdr:row>
      <xdr:rowOff>178347</xdr:rowOff>
    </xdr:to>
    <xdr:sp macro="" textlink="">
      <xdr:nvSpPr>
        <xdr:cNvPr id="376854" name="Text Box 22" hidden="1">
          <a:extLst>
            <a:ext uri="{FF2B5EF4-FFF2-40B4-BE49-F238E27FC236}">
              <a16:creationId xmlns:a16="http://schemas.microsoft.com/office/drawing/2014/main" id="{0FDD5B7A-560B-7B3B-149F-E735F3A233D4}"/>
            </a:ext>
          </a:extLst>
        </xdr:cNvPr>
        <xdr:cNvSpPr txBox="1">
          <a:spLocks noChangeArrowheads="1"/>
        </xdr:cNvSpPr>
      </xdr:nvSpPr>
      <xdr:spPr bwMode="auto">
        <a:xfrm>
          <a:off x="3994150" y="1787525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95</xdr:row>
      <xdr:rowOff>74776</xdr:rowOff>
    </xdr:to>
    <xdr:sp macro="" textlink="">
      <xdr:nvSpPr>
        <xdr:cNvPr id="376853" name="Text Box 21" hidden="1">
          <a:extLst>
            <a:ext uri="{FF2B5EF4-FFF2-40B4-BE49-F238E27FC236}">
              <a16:creationId xmlns:a16="http://schemas.microsoft.com/office/drawing/2014/main" id="{9AE191C3-1E10-DC58-C44B-66F917300B01}"/>
            </a:ext>
          </a:extLst>
        </xdr:cNvPr>
        <xdr:cNvSpPr txBox="1">
          <a:spLocks noChangeArrowheads="1"/>
        </xdr:cNvSpPr>
      </xdr:nvSpPr>
      <xdr:spPr bwMode="auto">
        <a:xfrm>
          <a:off x="3994150" y="1800225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30327</xdr:rowOff>
    </xdr:from>
    <xdr:to>
      <xdr:col>5</xdr:col>
      <xdr:colOff>609600</xdr:colOff>
      <xdr:row>96</xdr:row>
      <xdr:rowOff>238673</xdr:rowOff>
    </xdr:to>
    <xdr:sp macro="" textlink="">
      <xdr:nvSpPr>
        <xdr:cNvPr id="376852" name="Text Box 20" hidden="1">
          <a:extLst>
            <a:ext uri="{FF2B5EF4-FFF2-40B4-BE49-F238E27FC236}">
              <a16:creationId xmlns:a16="http://schemas.microsoft.com/office/drawing/2014/main" id="{E62398EC-3C25-C629-FFEE-B447B6FAA1B1}"/>
            </a:ext>
          </a:extLst>
        </xdr:cNvPr>
        <xdr:cNvSpPr txBox="1">
          <a:spLocks noChangeArrowheads="1"/>
        </xdr:cNvSpPr>
      </xdr:nvSpPr>
      <xdr:spPr bwMode="auto">
        <a:xfrm>
          <a:off x="3994150" y="1818640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163676</xdr:rowOff>
    </xdr:from>
    <xdr:to>
      <xdr:col>5</xdr:col>
      <xdr:colOff>609600</xdr:colOff>
      <xdr:row>117</xdr:row>
      <xdr:rowOff>163677</xdr:rowOff>
    </xdr:to>
    <xdr:sp macro="" textlink="">
      <xdr:nvSpPr>
        <xdr:cNvPr id="376851" name="Text Box 19" hidden="1">
          <a:extLst>
            <a:ext uri="{FF2B5EF4-FFF2-40B4-BE49-F238E27FC236}">
              <a16:creationId xmlns:a16="http://schemas.microsoft.com/office/drawing/2014/main" id="{0D9D8116-CC69-3447-1D53-57DD2654B4A1}"/>
            </a:ext>
          </a:extLst>
        </xdr:cNvPr>
        <xdr:cNvSpPr txBox="1">
          <a:spLocks noChangeArrowheads="1"/>
        </xdr:cNvSpPr>
      </xdr:nvSpPr>
      <xdr:spPr bwMode="auto">
        <a:xfrm>
          <a:off x="3994150" y="2260600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115</xdr:row>
      <xdr:rowOff>49376</xdr:rowOff>
    </xdr:to>
    <xdr:sp macro="" textlink="">
      <xdr:nvSpPr>
        <xdr:cNvPr id="376850" name="Text Box 18" hidden="1">
          <a:extLst>
            <a:ext uri="{FF2B5EF4-FFF2-40B4-BE49-F238E27FC236}">
              <a16:creationId xmlns:a16="http://schemas.microsoft.com/office/drawing/2014/main" id="{FF6FB21D-5596-AA72-B4A0-B2D88388A70F}"/>
            </a:ext>
          </a:extLst>
        </xdr:cNvPr>
        <xdr:cNvSpPr txBox="1">
          <a:spLocks noChangeArrowheads="1"/>
        </xdr:cNvSpPr>
      </xdr:nvSpPr>
      <xdr:spPr bwMode="auto">
        <a:xfrm>
          <a:off x="3994150" y="22840950"/>
          <a:ext cx="1314450" cy="117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216448</xdr:rowOff>
    </xdr:from>
    <xdr:to>
      <xdr:col>5</xdr:col>
      <xdr:colOff>609600</xdr:colOff>
      <xdr:row>114</xdr:row>
      <xdr:rowOff>178347</xdr:rowOff>
    </xdr:to>
    <xdr:sp macro="" textlink="">
      <xdr:nvSpPr>
        <xdr:cNvPr id="376849" name="Text Box 17" hidden="1">
          <a:extLst>
            <a:ext uri="{FF2B5EF4-FFF2-40B4-BE49-F238E27FC236}">
              <a16:creationId xmlns:a16="http://schemas.microsoft.com/office/drawing/2014/main" id="{746FD96A-BF81-F69D-28EB-E0C7126C6BD1}"/>
            </a:ext>
          </a:extLst>
        </xdr:cNvPr>
        <xdr:cNvSpPr txBox="1">
          <a:spLocks noChangeArrowheads="1"/>
        </xdr:cNvSpPr>
      </xdr:nvSpPr>
      <xdr:spPr bwMode="auto">
        <a:xfrm>
          <a:off x="3994150" y="2302510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178348</xdr:rowOff>
    </xdr:from>
    <xdr:to>
      <xdr:col>5</xdr:col>
      <xdr:colOff>609600</xdr:colOff>
      <xdr:row>114</xdr:row>
      <xdr:rowOff>178347</xdr:rowOff>
    </xdr:to>
    <xdr:sp macro="" textlink="">
      <xdr:nvSpPr>
        <xdr:cNvPr id="376848" name="Text Box 16" hidden="1">
          <a:extLst>
            <a:ext uri="{FF2B5EF4-FFF2-40B4-BE49-F238E27FC236}">
              <a16:creationId xmlns:a16="http://schemas.microsoft.com/office/drawing/2014/main" id="{CD4EF107-3F06-D104-801B-553EBB062875}"/>
            </a:ext>
          </a:extLst>
        </xdr:cNvPr>
        <xdr:cNvSpPr txBox="1">
          <a:spLocks noChangeArrowheads="1"/>
        </xdr:cNvSpPr>
      </xdr:nvSpPr>
      <xdr:spPr bwMode="auto">
        <a:xfrm>
          <a:off x="3994150" y="22987000"/>
          <a:ext cx="1314450"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106527</xdr:rowOff>
    </xdr:from>
    <xdr:to>
      <xdr:col>21</xdr:col>
      <xdr:colOff>438150</xdr:colOff>
      <xdr:row>137</xdr:row>
      <xdr:rowOff>125577</xdr:rowOff>
    </xdr:to>
    <xdr:sp macro="" textlink="">
      <xdr:nvSpPr>
        <xdr:cNvPr id="376847" name="Text Box 15" hidden="1">
          <a:extLst>
            <a:ext uri="{FF2B5EF4-FFF2-40B4-BE49-F238E27FC236}">
              <a16:creationId xmlns:a16="http://schemas.microsoft.com/office/drawing/2014/main" id="{30EFDDD4-7F95-E699-F117-E947A6943A90}"/>
            </a:ext>
          </a:extLst>
        </xdr:cNvPr>
        <xdr:cNvSpPr txBox="1">
          <a:spLocks noChangeArrowheads="1"/>
        </xdr:cNvSpPr>
      </xdr:nvSpPr>
      <xdr:spPr bwMode="auto">
        <a:xfrm>
          <a:off x="17513300" y="273875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846" name="Text Box 14" hidden="1">
          <a:extLst>
            <a:ext uri="{FF2B5EF4-FFF2-40B4-BE49-F238E27FC236}">
              <a16:creationId xmlns:a16="http://schemas.microsoft.com/office/drawing/2014/main" id="{ADD85B21-34BC-CE8C-32A7-94A4B97856B9}"/>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845" name="Text Box 13" hidden="1">
          <a:extLst>
            <a:ext uri="{FF2B5EF4-FFF2-40B4-BE49-F238E27FC236}">
              <a16:creationId xmlns:a16="http://schemas.microsoft.com/office/drawing/2014/main" id="{A77E8A31-3567-4C97-AE1C-66441FEFFF9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125577</xdr:rowOff>
    </xdr:from>
    <xdr:to>
      <xdr:col>22</xdr:col>
      <xdr:colOff>609600</xdr:colOff>
      <xdr:row>141</xdr:row>
      <xdr:rowOff>106526</xdr:rowOff>
    </xdr:to>
    <xdr:sp macro="" textlink="">
      <xdr:nvSpPr>
        <xdr:cNvPr id="376844" name="Text Box 12" hidden="1">
          <a:extLst>
            <a:ext uri="{FF2B5EF4-FFF2-40B4-BE49-F238E27FC236}">
              <a16:creationId xmlns:a16="http://schemas.microsoft.com/office/drawing/2014/main" id="{BA0D968D-C020-A02C-06B1-E747A16E4E7C}"/>
            </a:ext>
          </a:extLst>
        </xdr:cNvPr>
        <xdr:cNvSpPr txBox="1">
          <a:spLocks noChangeArrowheads="1"/>
        </xdr:cNvSpPr>
      </xdr:nvSpPr>
      <xdr:spPr bwMode="auto">
        <a:xfrm>
          <a:off x="18332450" y="281432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33</xdr:row>
      <xdr:rowOff>95250</xdr:rowOff>
    </xdr:from>
    <xdr:to>
      <xdr:col>11</xdr:col>
      <xdr:colOff>1409700</xdr:colOff>
      <xdr:row>38</xdr:row>
      <xdr:rowOff>19050</xdr:rowOff>
    </xdr:to>
    <xdr:sp macro="" textlink="">
      <xdr:nvSpPr>
        <xdr:cNvPr id="376843" name="Text Box 11" hidden="1">
          <a:extLst>
            <a:ext uri="{FF2B5EF4-FFF2-40B4-BE49-F238E27FC236}">
              <a16:creationId xmlns:a16="http://schemas.microsoft.com/office/drawing/2014/main" id="{23CC21BF-493B-DF2F-D17A-267F9FF6B62F}"/>
            </a:ext>
          </a:extLst>
        </xdr:cNvPr>
        <xdr:cNvSpPr txBox="1">
          <a:spLocks noChangeArrowheads="1"/>
        </xdr:cNvSpPr>
      </xdr:nvSpPr>
      <xdr:spPr bwMode="auto">
        <a:xfrm>
          <a:off x="9359900" y="74041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842" name="Text Box 10" hidden="1">
          <a:extLst>
            <a:ext uri="{FF2B5EF4-FFF2-40B4-BE49-F238E27FC236}">
              <a16:creationId xmlns:a16="http://schemas.microsoft.com/office/drawing/2014/main" id="{CA694832-E025-ED1D-D008-24E07DFCBBB8}"/>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841" name="Text Box 9" hidden="1">
          <a:extLst>
            <a:ext uri="{FF2B5EF4-FFF2-40B4-BE49-F238E27FC236}">
              <a16:creationId xmlns:a16="http://schemas.microsoft.com/office/drawing/2014/main" id="{4E9D0161-C9C4-F1EF-5A8F-BCAA1FA7E527}"/>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125577</xdr:rowOff>
    </xdr:from>
    <xdr:to>
      <xdr:col>24</xdr:col>
      <xdr:colOff>647700</xdr:colOff>
      <xdr:row>142</xdr:row>
      <xdr:rowOff>11277</xdr:rowOff>
    </xdr:to>
    <xdr:sp macro="" textlink="">
      <xdr:nvSpPr>
        <xdr:cNvPr id="376840" name="Text Box 8" hidden="1">
          <a:extLst>
            <a:ext uri="{FF2B5EF4-FFF2-40B4-BE49-F238E27FC236}">
              <a16:creationId xmlns:a16="http://schemas.microsoft.com/office/drawing/2014/main" id="{8BA181D4-0C20-B9D3-37A2-0EB8F79C793F}"/>
            </a:ext>
          </a:extLst>
        </xdr:cNvPr>
        <xdr:cNvSpPr txBox="1">
          <a:spLocks noChangeArrowheads="1"/>
        </xdr:cNvSpPr>
      </xdr:nvSpPr>
      <xdr:spPr bwMode="auto">
        <a:xfrm>
          <a:off x="20027900" y="2814320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839" name="Text Box 7" hidden="1">
          <a:extLst>
            <a:ext uri="{FF2B5EF4-FFF2-40B4-BE49-F238E27FC236}">
              <a16:creationId xmlns:a16="http://schemas.microsoft.com/office/drawing/2014/main" id="{3A2A7D03-9C87-2D2C-C11D-9F703B304948}"/>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838" name="Text Box 6" hidden="1">
          <a:extLst>
            <a:ext uri="{FF2B5EF4-FFF2-40B4-BE49-F238E27FC236}">
              <a16:creationId xmlns:a16="http://schemas.microsoft.com/office/drawing/2014/main" id="{7E4FBE26-09D1-69B0-CD90-9B4A7649C9B1}"/>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144627</xdr:rowOff>
    </xdr:from>
    <xdr:to>
      <xdr:col>25</xdr:col>
      <xdr:colOff>647700</xdr:colOff>
      <xdr:row>141</xdr:row>
      <xdr:rowOff>178347</xdr:rowOff>
    </xdr:to>
    <xdr:sp macro="" textlink="">
      <xdr:nvSpPr>
        <xdr:cNvPr id="376837" name="Text Box 5" hidden="1">
          <a:extLst>
            <a:ext uri="{FF2B5EF4-FFF2-40B4-BE49-F238E27FC236}">
              <a16:creationId xmlns:a16="http://schemas.microsoft.com/office/drawing/2014/main" id="{447DE201-B8B6-E745-AB93-2EADDFAC95C1}"/>
            </a:ext>
          </a:extLst>
        </xdr:cNvPr>
        <xdr:cNvSpPr txBox="1">
          <a:spLocks noChangeArrowheads="1"/>
        </xdr:cNvSpPr>
      </xdr:nvSpPr>
      <xdr:spPr bwMode="auto">
        <a:xfrm>
          <a:off x="20789900" y="281622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37</xdr:row>
      <xdr:rowOff>76200</xdr:rowOff>
    </xdr:from>
    <xdr:to>
      <xdr:col>11</xdr:col>
      <xdr:colOff>1485900</xdr:colOff>
      <xdr:row>41</xdr:row>
      <xdr:rowOff>114300</xdr:rowOff>
    </xdr:to>
    <xdr:sp macro="" textlink="">
      <xdr:nvSpPr>
        <xdr:cNvPr id="376836" name="Text Box 4" hidden="1">
          <a:extLst>
            <a:ext uri="{FF2B5EF4-FFF2-40B4-BE49-F238E27FC236}">
              <a16:creationId xmlns:a16="http://schemas.microsoft.com/office/drawing/2014/main" id="{434DCAD9-A99A-4CD7-7BAA-5CE69182ECA6}"/>
            </a:ext>
          </a:extLst>
        </xdr:cNvPr>
        <xdr:cNvSpPr txBox="1">
          <a:spLocks noChangeArrowheads="1"/>
        </xdr:cNvSpPr>
      </xdr:nvSpPr>
      <xdr:spPr bwMode="auto">
        <a:xfrm>
          <a:off x="9398000" y="8121650"/>
          <a:ext cx="13525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37</xdr:row>
      <xdr:rowOff>76200</xdr:rowOff>
    </xdr:from>
    <xdr:to>
      <xdr:col>13</xdr:col>
      <xdr:colOff>666750</xdr:colOff>
      <xdr:row>41</xdr:row>
      <xdr:rowOff>114300</xdr:rowOff>
    </xdr:to>
    <xdr:sp macro="" textlink="">
      <xdr:nvSpPr>
        <xdr:cNvPr id="376835" name="Text Box 3" hidden="1">
          <a:extLst>
            <a:ext uri="{FF2B5EF4-FFF2-40B4-BE49-F238E27FC236}">
              <a16:creationId xmlns:a16="http://schemas.microsoft.com/office/drawing/2014/main" id="{1C043BD1-2041-D5D1-84DF-1E66495B4DAB}"/>
            </a:ext>
          </a:extLst>
        </xdr:cNvPr>
        <xdr:cNvSpPr txBox="1">
          <a:spLocks noChangeArrowheads="1"/>
        </xdr:cNvSpPr>
      </xdr:nvSpPr>
      <xdr:spPr bwMode="auto">
        <a:xfrm>
          <a:off x="11125200" y="812165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19</xdr:row>
      <xdr:rowOff>466725</xdr:rowOff>
    </xdr:from>
    <xdr:to>
      <xdr:col>30</xdr:col>
      <xdr:colOff>647700</xdr:colOff>
      <xdr:row>24</xdr:row>
      <xdr:rowOff>0</xdr:rowOff>
    </xdr:to>
    <xdr:sp macro="" textlink="">
      <xdr:nvSpPr>
        <xdr:cNvPr id="376834" name="Text Box 2" hidden="1">
          <a:extLst>
            <a:ext uri="{FF2B5EF4-FFF2-40B4-BE49-F238E27FC236}">
              <a16:creationId xmlns:a16="http://schemas.microsoft.com/office/drawing/2014/main" id="{BABCEF68-2AA1-1BD2-C3EF-1EEC0CD23C30}"/>
            </a:ext>
          </a:extLst>
        </xdr:cNvPr>
        <xdr:cNvSpPr txBox="1">
          <a:spLocks noChangeArrowheads="1"/>
        </xdr:cNvSpPr>
      </xdr:nvSpPr>
      <xdr:spPr bwMode="auto">
        <a:xfrm>
          <a:off x="24599900" y="48387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95250</xdr:rowOff>
    </xdr:from>
    <xdr:to>
      <xdr:col>27</xdr:col>
      <xdr:colOff>647700</xdr:colOff>
      <xdr:row>28</xdr:row>
      <xdr:rowOff>0</xdr:rowOff>
    </xdr:to>
    <xdr:sp macro="" textlink="">
      <xdr:nvSpPr>
        <xdr:cNvPr id="376833" name="Text Box 1" hidden="1">
          <a:extLst>
            <a:ext uri="{FF2B5EF4-FFF2-40B4-BE49-F238E27FC236}">
              <a16:creationId xmlns:a16="http://schemas.microsoft.com/office/drawing/2014/main" id="{6A30B42E-64FB-DA90-F398-63D48D5B54B5}"/>
            </a:ext>
          </a:extLst>
        </xdr:cNvPr>
        <xdr:cNvSpPr txBox="1">
          <a:spLocks noChangeArrowheads="1"/>
        </xdr:cNvSpPr>
      </xdr:nvSpPr>
      <xdr:spPr bwMode="auto">
        <a:xfrm>
          <a:off x="22313900" y="55626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6906" name="Text Box 74" hidden="1">
          <a:extLst>
            <a:ext uri="{FF2B5EF4-FFF2-40B4-BE49-F238E27FC236}">
              <a16:creationId xmlns:a16="http://schemas.microsoft.com/office/drawing/2014/main" id="{9611A285-2281-9494-8BAE-24DEAD8A23A8}"/>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19159</xdr:rowOff>
    </xdr:from>
    <xdr:to>
      <xdr:col>5</xdr:col>
      <xdr:colOff>609600</xdr:colOff>
      <xdr:row>56</xdr:row>
      <xdr:rowOff>19159</xdr:rowOff>
    </xdr:to>
    <xdr:sp macro="" textlink="">
      <xdr:nvSpPr>
        <xdr:cNvPr id="376897" name="Text Box 65" hidden="1">
          <a:extLst>
            <a:ext uri="{FF2B5EF4-FFF2-40B4-BE49-F238E27FC236}">
              <a16:creationId xmlns:a16="http://schemas.microsoft.com/office/drawing/2014/main" id="{4AAC5021-AC39-EF52-0099-5594971EBA5E}"/>
            </a:ext>
          </a:extLst>
        </xdr:cNvPr>
        <xdr:cNvSpPr txBox="1">
          <a:spLocks noChangeArrowheads="1"/>
        </xdr:cNvSpPr>
      </xdr:nvSpPr>
      <xdr:spPr bwMode="auto">
        <a:xfrm>
          <a:off x="3994150" y="115633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57259</xdr:rowOff>
    </xdr:from>
    <xdr:to>
      <xdr:col>5</xdr:col>
      <xdr:colOff>628650</xdr:colOff>
      <xdr:row>76</xdr:row>
      <xdr:rowOff>152400</xdr:rowOff>
    </xdr:to>
    <xdr:sp macro="" textlink="">
      <xdr:nvSpPr>
        <xdr:cNvPr id="376896" name="Text Box 64" hidden="1">
          <a:extLst>
            <a:ext uri="{FF2B5EF4-FFF2-40B4-BE49-F238E27FC236}">
              <a16:creationId xmlns:a16="http://schemas.microsoft.com/office/drawing/2014/main" id="{7E2FD3A6-062F-9024-E49E-C4B0F4FBE9C4}"/>
            </a:ext>
          </a:extLst>
        </xdr:cNvPr>
        <xdr:cNvSpPr txBox="1">
          <a:spLocks noChangeArrowheads="1"/>
        </xdr:cNvSpPr>
      </xdr:nvSpPr>
      <xdr:spPr bwMode="auto">
        <a:xfrm>
          <a:off x="4013200" y="11601450"/>
          <a:ext cx="1314450" cy="485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19159</xdr:rowOff>
    </xdr:from>
    <xdr:to>
      <xdr:col>5</xdr:col>
      <xdr:colOff>609600</xdr:colOff>
      <xdr:row>74</xdr:row>
      <xdr:rowOff>73025</xdr:rowOff>
    </xdr:to>
    <xdr:sp macro="" textlink="">
      <xdr:nvSpPr>
        <xdr:cNvPr id="376895" name="Text Box 63" hidden="1">
          <a:extLst>
            <a:ext uri="{FF2B5EF4-FFF2-40B4-BE49-F238E27FC236}">
              <a16:creationId xmlns:a16="http://schemas.microsoft.com/office/drawing/2014/main" id="{C0EE46E0-0151-13E2-7601-C4AAF9F413A3}"/>
            </a:ext>
          </a:extLst>
        </xdr:cNvPr>
        <xdr:cNvSpPr txBox="1">
          <a:spLocks noChangeArrowheads="1"/>
        </xdr:cNvSpPr>
      </xdr:nvSpPr>
      <xdr:spPr bwMode="auto">
        <a:xfrm>
          <a:off x="3994150" y="11563350"/>
          <a:ext cx="1314450" cy="445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19159</xdr:rowOff>
    </xdr:from>
    <xdr:to>
      <xdr:col>5</xdr:col>
      <xdr:colOff>609600</xdr:colOff>
      <xdr:row>74</xdr:row>
      <xdr:rowOff>111125</xdr:rowOff>
    </xdr:to>
    <xdr:sp macro="" textlink="">
      <xdr:nvSpPr>
        <xdr:cNvPr id="376894" name="Text Box 62" hidden="1">
          <a:extLst>
            <a:ext uri="{FF2B5EF4-FFF2-40B4-BE49-F238E27FC236}">
              <a16:creationId xmlns:a16="http://schemas.microsoft.com/office/drawing/2014/main" id="{2A474C24-02BD-A050-3855-06C0446ADA8A}"/>
            </a:ext>
          </a:extLst>
        </xdr:cNvPr>
        <xdr:cNvSpPr txBox="1">
          <a:spLocks noChangeArrowheads="1"/>
        </xdr:cNvSpPr>
      </xdr:nvSpPr>
      <xdr:spPr bwMode="auto">
        <a:xfrm>
          <a:off x="3994150" y="11563350"/>
          <a:ext cx="1314450" cy="4489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7226</xdr:rowOff>
    </xdr:from>
    <xdr:to>
      <xdr:col>5</xdr:col>
      <xdr:colOff>609600</xdr:colOff>
      <xdr:row>79</xdr:row>
      <xdr:rowOff>125248</xdr:rowOff>
    </xdr:to>
    <xdr:sp macro="" textlink="">
      <xdr:nvSpPr>
        <xdr:cNvPr id="376893" name="Text Box 61" hidden="1">
          <a:extLst>
            <a:ext uri="{FF2B5EF4-FFF2-40B4-BE49-F238E27FC236}">
              <a16:creationId xmlns:a16="http://schemas.microsoft.com/office/drawing/2014/main" id="{04A4B739-14AC-D18D-289E-883F861B1A59}"/>
            </a:ext>
          </a:extLst>
        </xdr:cNvPr>
        <xdr:cNvSpPr txBox="1">
          <a:spLocks noChangeArrowheads="1"/>
        </xdr:cNvSpPr>
      </xdr:nvSpPr>
      <xdr:spPr bwMode="auto">
        <a:xfrm>
          <a:off x="3994150" y="12858750"/>
          <a:ext cx="1314450" cy="4127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82550</xdr:rowOff>
    </xdr:from>
    <xdr:to>
      <xdr:col>5</xdr:col>
      <xdr:colOff>609600</xdr:colOff>
      <xdr:row>88</xdr:row>
      <xdr:rowOff>19050</xdr:rowOff>
    </xdr:to>
    <xdr:sp macro="" textlink="">
      <xdr:nvSpPr>
        <xdr:cNvPr id="376892" name="Text Box 60" hidden="1">
          <a:extLst>
            <a:ext uri="{FF2B5EF4-FFF2-40B4-BE49-F238E27FC236}">
              <a16:creationId xmlns:a16="http://schemas.microsoft.com/office/drawing/2014/main" id="{5C5B126C-08DD-7E61-CA06-497AC8ACEE36}"/>
            </a:ext>
          </a:extLst>
        </xdr:cNvPr>
        <xdr:cNvSpPr txBox="1">
          <a:spLocks noChangeArrowheads="1"/>
        </xdr:cNvSpPr>
      </xdr:nvSpPr>
      <xdr:spPr bwMode="auto">
        <a:xfrm>
          <a:off x="3994150" y="15830550"/>
          <a:ext cx="1314450" cy="2901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179770</xdr:rowOff>
    </xdr:from>
    <xdr:to>
      <xdr:col>5</xdr:col>
      <xdr:colOff>609600</xdr:colOff>
      <xdr:row>87</xdr:row>
      <xdr:rowOff>19050</xdr:rowOff>
    </xdr:to>
    <xdr:sp macro="" textlink="">
      <xdr:nvSpPr>
        <xdr:cNvPr id="376891" name="Text Box 59" hidden="1">
          <a:extLst>
            <a:ext uri="{FF2B5EF4-FFF2-40B4-BE49-F238E27FC236}">
              <a16:creationId xmlns:a16="http://schemas.microsoft.com/office/drawing/2014/main" id="{1A992DDD-F45A-F16D-4409-472EAFCD74D9}"/>
            </a:ext>
          </a:extLst>
        </xdr:cNvPr>
        <xdr:cNvSpPr txBox="1">
          <a:spLocks noChangeArrowheads="1"/>
        </xdr:cNvSpPr>
      </xdr:nvSpPr>
      <xdr:spPr bwMode="auto">
        <a:xfrm>
          <a:off x="3994150" y="1593850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111125</xdr:rowOff>
    </xdr:from>
    <xdr:to>
      <xdr:col>5</xdr:col>
      <xdr:colOff>609600</xdr:colOff>
      <xdr:row>87</xdr:row>
      <xdr:rowOff>114300</xdr:rowOff>
    </xdr:to>
    <xdr:sp macro="" textlink="">
      <xdr:nvSpPr>
        <xdr:cNvPr id="376890" name="Text Box 58" hidden="1">
          <a:extLst>
            <a:ext uri="{FF2B5EF4-FFF2-40B4-BE49-F238E27FC236}">
              <a16:creationId xmlns:a16="http://schemas.microsoft.com/office/drawing/2014/main" id="{94913A76-79F6-EAC5-B993-5120D011788B}"/>
            </a:ext>
          </a:extLst>
        </xdr:cNvPr>
        <xdr:cNvSpPr txBox="1">
          <a:spLocks noChangeArrowheads="1"/>
        </xdr:cNvSpPr>
      </xdr:nvSpPr>
      <xdr:spPr bwMode="auto">
        <a:xfrm>
          <a:off x="3994150" y="16052800"/>
          <a:ext cx="1314450" cy="259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120650</xdr:rowOff>
    </xdr:from>
    <xdr:to>
      <xdr:col>5</xdr:col>
      <xdr:colOff>609600</xdr:colOff>
      <xdr:row>89</xdr:row>
      <xdr:rowOff>95250</xdr:rowOff>
    </xdr:to>
    <xdr:sp macro="" textlink="">
      <xdr:nvSpPr>
        <xdr:cNvPr id="376889" name="Text Box 57" hidden="1">
          <a:extLst>
            <a:ext uri="{FF2B5EF4-FFF2-40B4-BE49-F238E27FC236}">
              <a16:creationId xmlns:a16="http://schemas.microsoft.com/office/drawing/2014/main" id="{B6139A6C-650F-AE56-F331-DEACEAAD4207}"/>
            </a:ext>
          </a:extLst>
        </xdr:cNvPr>
        <xdr:cNvSpPr txBox="1">
          <a:spLocks noChangeArrowheads="1"/>
        </xdr:cNvSpPr>
      </xdr:nvSpPr>
      <xdr:spPr bwMode="auto">
        <a:xfrm>
          <a:off x="3994150" y="16236950"/>
          <a:ext cx="1314450" cy="2755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183274</xdr:rowOff>
    </xdr:from>
    <xdr:to>
      <xdr:col>5</xdr:col>
      <xdr:colOff>609600</xdr:colOff>
      <xdr:row>108</xdr:row>
      <xdr:rowOff>1971</xdr:rowOff>
    </xdr:to>
    <xdr:sp macro="" textlink="">
      <xdr:nvSpPr>
        <xdr:cNvPr id="376888" name="Text Box 56" hidden="1">
          <a:extLst>
            <a:ext uri="{FF2B5EF4-FFF2-40B4-BE49-F238E27FC236}">
              <a16:creationId xmlns:a16="http://schemas.microsoft.com/office/drawing/2014/main" id="{75328656-1A7E-F78F-A4C4-DE6AF6828F3E}"/>
            </a:ext>
          </a:extLst>
        </xdr:cNvPr>
        <xdr:cNvSpPr txBox="1">
          <a:spLocks noChangeArrowheads="1"/>
        </xdr:cNvSpPr>
      </xdr:nvSpPr>
      <xdr:spPr bwMode="auto">
        <a:xfrm>
          <a:off x="3994150" y="20624800"/>
          <a:ext cx="1314450" cy="200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188858</xdr:rowOff>
    </xdr:from>
    <xdr:to>
      <xdr:col>5</xdr:col>
      <xdr:colOff>609600</xdr:colOff>
      <xdr:row>105</xdr:row>
      <xdr:rowOff>47625</xdr:rowOff>
    </xdr:to>
    <xdr:sp macro="" textlink="">
      <xdr:nvSpPr>
        <xdr:cNvPr id="376887" name="Text Box 55" hidden="1">
          <a:extLst>
            <a:ext uri="{FF2B5EF4-FFF2-40B4-BE49-F238E27FC236}">
              <a16:creationId xmlns:a16="http://schemas.microsoft.com/office/drawing/2014/main" id="{F0FB9549-4BE4-C187-711B-6521EDD5D938}"/>
            </a:ext>
          </a:extLst>
        </xdr:cNvPr>
        <xdr:cNvSpPr txBox="1">
          <a:spLocks noChangeArrowheads="1"/>
        </xdr:cNvSpPr>
      </xdr:nvSpPr>
      <xdr:spPr bwMode="auto">
        <a:xfrm>
          <a:off x="3994150" y="20866100"/>
          <a:ext cx="1314450" cy="1257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140466</xdr:rowOff>
    </xdr:from>
    <xdr:to>
      <xdr:col>5</xdr:col>
      <xdr:colOff>609600</xdr:colOff>
      <xdr:row>105</xdr:row>
      <xdr:rowOff>47625</xdr:rowOff>
    </xdr:to>
    <xdr:sp macro="" textlink="">
      <xdr:nvSpPr>
        <xdr:cNvPr id="376886" name="Text Box 54" hidden="1">
          <a:extLst>
            <a:ext uri="{FF2B5EF4-FFF2-40B4-BE49-F238E27FC236}">
              <a16:creationId xmlns:a16="http://schemas.microsoft.com/office/drawing/2014/main" id="{70CCDB1A-C036-F055-879E-BA9568DB70CB}"/>
            </a:ext>
          </a:extLst>
        </xdr:cNvPr>
        <xdr:cNvSpPr txBox="1">
          <a:spLocks noChangeArrowheads="1"/>
        </xdr:cNvSpPr>
      </xdr:nvSpPr>
      <xdr:spPr bwMode="auto">
        <a:xfrm>
          <a:off x="3994150" y="21050250"/>
          <a:ext cx="1314450" cy="1073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102366</xdr:rowOff>
    </xdr:from>
    <xdr:to>
      <xdr:col>5</xdr:col>
      <xdr:colOff>609600</xdr:colOff>
      <xdr:row>105</xdr:row>
      <xdr:rowOff>47625</xdr:rowOff>
    </xdr:to>
    <xdr:sp macro="" textlink="">
      <xdr:nvSpPr>
        <xdr:cNvPr id="376885" name="Text Box 53" hidden="1">
          <a:extLst>
            <a:ext uri="{FF2B5EF4-FFF2-40B4-BE49-F238E27FC236}">
              <a16:creationId xmlns:a16="http://schemas.microsoft.com/office/drawing/2014/main" id="{19F8ECB3-80CA-FFF8-A6A7-119452F996C6}"/>
            </a:ext>
          </a:extLst>
        </xdr:cNvPr>
        <xdr:cNvSpPr txBox="1">
          <a:spLocks noChangeArrowheads="1"/>
        </xdr:cNvSpPr>
      </xdr:nvSpPr>
      <xdr:spPr bwMode="auto">
        <a:xfrm>
          <a:off x="3994150" y="21012150"/>
          <a:ext cx="1314450" cy="1111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0</xdr:rowOff>
    </xdr:from>
    <xdr:to>
      <xdr:col>21</xdr:col>
      <xdr:colOff>438150</xdr:colOff>
      <xdr:row>127</xdr:row>
      <xdr:rowOff>19050</xdr:rowOff>
    </xdr:to>
    <xdr:sp macro="" textlink="">
      <xdr:nvSpPr>
        <xdr:cNvPr id="376884" name="Text Box 52" hidden="1">
          <a:extLst>
            <a:ext uri="{FF2B5EF4-FFF2-40B4-BE49-F238E27FC236}">
              <a16:creationId xmlns:a16="http://schemas.microsoft.com/office/drawing/2014/main" id="{D9A0F09F-0450-6840-88EE-560D6F895059}"/>
            </a:ext>
          </a:extLst>
        </xdr:cNvPr>
        <xdr:cNvSpPr txBox="1">
          <a:spLocks noChangeArrowheads="1"/>
        </xdr:cNvSpPr>
      </xdr:nvSpPr>
      <xdr:spPr bwMode="auto">
        <a:xfrm>
          <a:off x="17513300" y="254444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883" name="Text Box 51" hidden="1">
          <a:extLst>
            <a:ext uri="{FF2B5EF4-FFF2-40B4-BE49-F238E27FC236}">
              <a16:creationId xmlns:a16="http://schemas.microsoft.com/office/drawing/2014/main" id="{F1FF0681-B4CA-3E65-08FE-7FF70AC04DA7}"/>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882" name="Text Box 50" hidden="1">
          <a:extLst>
            <a:ext uri="{FF2B5EF4-FFF2-40B4-BE49-F238E27FC236}">
              <a16:creationId xmlns:a16="http://schemas.microsoft.com/office/drawing/2014/main" id="{FE6A8E8C-19C2-D4FF-3A5F-42B6D53ECA5A}"/>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19050</xdr:rowOff>
    </xdr:from>
    <xdr:to>
      <xdr:col>22</xdr:col>
      <xdr:colOff>609600</xdr:colOff>
      <xdr:row>131</xdr:row>
      <xdr:rowOff>0</xdr:rowOff>
    </xdr:to>
    <xdr:sp macro="" textlink="">
      <xdr:nvSpPr>
        <xdr:cNvPr id="376881" name="Text Box 49" hidden="1">
          <a:extLst>
            <a:ext uri="{FF2B5EF4-FFF2-40B4-BE49-F238E27FC236}">
              <a16:creationId xmlns:a16="http://schemas.microsoft.com/office/drawing/2014/main" id="{3F799C1D-6D96-3E08-D393-724D1842401F}"/>
            </a:ext>
          </a:extLst>
        </xdr:cNvPr>
        <xdr:cNvSpPr txBox="1">
          <a:spLocks noChangeArrowheads="1"/>
        </xdr:cNvSpPr>
      </xdr:nvSpPr>
      <xdr:spPr bwMode="auto">
        <a:xfrm>
          <a:off x="18332450" y="262001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33</xdr:row>
      <xdr:rowOff>95250</xdr:rowOff>
    </xdr:from>
    <xdr:to>
      <xdr:col>11</xdr:col>
      <xdr:colOff>1409700</xdr:colOff>
      <xdr:row>38</xdr:row>
      <xdr:rowOff>19050</xdr:rowOff>
    </xdr:to>
    <xdr:sp macro="" textlink="">
      <xdr:nvSpPr>
        <xdr:cNvPr id="376880" name="Text Box 48" hidden="1">
          <a:extLst>
            <a:ext uri="{FF2B5EF4-FFF2-40B4-BE49-F238E27FC236}">
              <a16:creationId xmlns:a16="http://schemas.microsoft.com/office/drawing/2014/main" id="{E77D9521-44ED-CFB2-27B3-B8D88151C5C4}"/>
            </a:ext>
          </a:extLst>
        </xdr:cNvPr>
        <xdr:cNvSpPr txBox="1">
          <a:spLocks noChangeArrowheads="1"/>
        </xdr:cNvSpPr>
      </xdr:nvSpPr>
      <xdr:spPr bwMode="auto">
        <a:xfrm>
          <a:off x="9359900" y="74041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879" name="Text Box 47" hidden="1">
          <a:extLst>
            <a:ext uri="{FF2B5EF4-FFF2-40B4-BE49-F238E27FC236}">
              <a16:creationId xmlns:a16="http://schemas.microsoft.com/office/drawing/2014/main" id="{E93BDD93-773E-6A8A-4AF7-4B80D6F8C633}"/>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878" name="Text Box 46" hidden="1">
          <a:extLst>
            <a:ext uri="{FF2B5EF4-FFF2-40B4-BE49-F238E27FC236}">
              <a16:creationId xmlns:a16="http://schemas.microsoft.com/office/drawing/2014/main" id="{2CBAD194-42F9-E920-7D2F-8DA4192D54C4}"/>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19050</xdr:rowOff>
    </xdr:from>
    <xdr:to>
      <xdr:col>24</xdr:col>
      <xdr:colOff>647700</xdr:colOff>
      <xdr:row>131</xdr:row>
      <xdr:rowOff>95250</xdr:rowOff>
    </xdr:to>
    <xdr:sp macro="" textlink="">
      <xdr:nvSpPr>
        <xdr:cNvPr id="376877" name="Text Box 45" hidden="1">
          <a:extLst>
            <a:ext uri="{FF2B5EF4-FFF2-40B4-BE49-F238E27FC236}">
              <a16:creationId xmlns:a16="http://schemas.microsoft.com/office/drawing/2014/main" id="{5E3DEC50-B549-50CB-6E94-E71492AE9E1F}"/>
            </a:ext>
          </a:extLst>
        </xdr:cNvPr>
        <xdr:cNvSpPr txBox="1">
          <a:spLocks noChangeArrowheads="1"/>
        </xdr:cNvSpPr>
      </xdr:nvSpPr>
      <xdr:spPr bwMode="auto">
        <a:xfrm>
          <a:off x="20027900" y="262001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6876" name="Text Box 44" hidden="1">
          <a:extLst>
            <a:ext uri="{FF2B5EF4-FFF2-40B4-BE49-F238E27FC236}">
              <a16:creationId xmlns:a16="http://schemas.microsoft.com/office/drawing/2014/main" id="{B37EA2C3-326C-B7AB-2699-257073505B98}"/>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6875" name="Text Box 43" hidden="1">
          <a:extLst>
            <a:ext uri="{FF2B5EF4-FFF2-40B4-BE49-F238E27FC236}">
              <a16:creationId xmlns:a16="http://schemas.microsoft.com/office/drawing/2014/main" id="{2DA0C7F5-2725-A208-B69A-226B2908361B}"/>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127</xdr:row>
      <xdr:rowOff>57150</xdr:rowOff>
    </xdr:from>
    <xdr:to>
      <xdr:col>25</xdr:col>
      <xdr:colOff>647700</xdr:colOff>
      <xdr:row>131</xdr:row>
      <xdr:rowOff>95250</xdr:rowOff>
    </xdr:to>
    <xdr:sp macro="" textlink="">
      <xdr:nvSpPr>
        <xdr:cNvPr id="376874" name="Text Box 42" hidden="1">
          <a:extLst>
            <a:ext uri="{FF2B5EF4-FFF2-40B4-BE49-F238E27FC236}">
              <a16:creationId xmlns:a16="http://schemas.microsoft.com/office/drawing/2014/main" id="{B25801DF-3F28-69C5-4962-3287471AFC73}"/>
            </a:ext>
          </a:extLst>
        </xdr:cNvPr>
        <xdr:cNvSpPr txBox="1">
          <a:spLocks noChangeArrowheads="1"/>
        </xdr:cNvSpPr>
      </xdr:nvSpPr>
      <xdr:spPr bwMode="auto">
        <a:xfrm>
          <a:off x="20789900" y="262382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37</xdr:row>
      <xdr:rowOff>76200</xdr:rowOff>
    </xdr:from>
    <xdr:to>
      <xdr:col>11</xdr:col>
      <xdr:colOff>1485900</xdr:colOff>
      <xdr:row>41</xdr:row>
      <xdr:rowOff>95250</xdr:rowOff>
    </xdr:to>
    <xdr:sp macro="" textlink="">
      <xdr:nvSpPr>
        <xdr:cNvPr id="376873" name="Text Box 41" hidden="1">
          <a:extLst>
            <a:ext uri="{FF2B5EF4-FFF2-40B4-BE49-F238E27FC236}">
              <a16:creationId xmlns:a16="http://schemas.microsoft.com/office/drawing/2014/main" id="{6FA56BEA-3A16-B934-A2B0-C06F0A7D7B53}"/>
            </a:ext>
          </a:extLst>
        </xdr:cNvPr>
        <xdr:cNvSpPr txBox="1">
          <a:spLocks noChangeArrowheads="1"/>
        </xdr:cNvSpPr>
      </xdr:nvSpPr>
      <xdr:spPr bwMode="auto">
        <a:xfrm>
          <a:off x="9398000" y="81216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37</xdr:row>
      <xdr:rowOff>76200</xdr:rowOff>
    </xdr:from>
    <xdr:to>
      <xdr:col>13</xdr:col>
      <xdr:colOff>666750</xdr:colOff>
      <xdr:row>41</xdr:row>
      <xdr:rowOff>95250</xdr:rowOff>
    </xdr:to>
    <xdr:sp macro="" textlink="">
      <xdr:nvSpPr>
        <xdr:cNvPr id="376872" name="Text Box 40" hidden="1">
          <a:extLst>
            <a:ext uri="{FF2B5EF4-FFF2-40B4-BE49-F238E27FC236}">
              <a16:creationId xmlns:a16="http://schemas.microsoft.com/office/drawing/2014/main" id="{0FFCC677-D171-57FD-8064-CBBE3EDD7ABB}"/>
            </a:ext>
          </a:extLst>
        </xdr:cNvPr>
        <xdr:cNvSpPr txBox="1">
          <a:spLocks noChangeArrowheads="1"/>
        </xdr:cNvSpPr>
      </xdr:nvSpPr>
      <xdr:spPr bwMode="auto">
        <a:xfrm>
          <a:off x="11125200" y="81216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9525</xdr:rowOff>
    </xdr:from>
    <xdr:to>
      <xdr:col>30</xdr:col>
      <xdr:colOff>647700</xdr:colOff>
      <xdr:row>27</xdr:row>
      <xdr:rowOff>57150</xdr:rowOff>
    </xdr:to>
    <xdr:sp macro="" textlink="">
      <xdr:nvSpPr>
        <xdr:cNvPr id="376871" name="Text Box 39" hidden="1">
          <a:extLst>
            <a:ext uri="{FF2B5EF4-FFF2-40B4-BE49-F238E27FC236}">
              <a16:creationId xmlns:a16="http://schemas.microsoft.com/office/drawing/2014/main" id="{8E65DAC2-52BC-CDB6-C18F-7054AB00C363}"/>
            </a:ext>
          </a:extLst>
        </xdr:cNvPr>
        <xdr:cNvSpPr txBox="1">
          <a:spLocks noChangeArrowheads="1"/>
        </xdr:cNvSpPr>
      </xdr:nvSpPr>
      <xdr:spPr bwMode="auto">
        <a:xfrm>
          <a:off x="24599900" y="4914900"/>
          <a:ext cx="1314450" cy="134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95250</xdr:rowOff>
    </xdr:from>
    <xdr:to>
      <xdr:col>27</xdr:col>
      <xdr:colOff>647700</xdr:colOff>
      <xdr:row>28</xdr:row>
      <xdr:rowOff>0</xdr:rowOff>
    </xdr:to>
    <xdr:sp macro="" textlink="">
      <xdr:nvSpPr>
        <xdr:cNvPr id="376870" name="Text Box 38" hidden="1">
          <a:extLst>
            <a:ext uri="{FF2B5EF4-FFF2-40B4-BE49-F238E27FC236}">
              <a16:creationId xmlns:a16="http://schemas.microsoft.com/office/drawing/2014/main" id="{C3C99520-2DB9-F5EA-4968-47B97E3BE243}"/>
            </a:ext>
          </a:extLst>
        </xdr:cNvPr>
        <xdr:cNvSpPr txBox="1">
          <a:spLocks noChangeArrowheads="1"/>
        </xdr:cNvSpPr>
      </xdr:nvSpPr>
      <xdr:spPr bwMode="auto">
        <a:xfrm>
          <a:off x="22313900" y="55626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56</xdr:row>
      <xdr:rowOff>114409</xdr:rowOff>
    </xdr:from>
    <xdr:to>
      <xdr:col>14</xdr:col>
      <xdr:colOff>571500</xdr:colOff>
      <xdr:row>57</xdr:row>
      <xdr:rowOff>277210</xdr:rowOff>
    </xdr:to>
    <xdr:sp macro="" textlink="">
      <xdr:nvSpPr>
        <xdr:cNvPr id="376907" name="Text Box 75" hidden="1">
          <a:extLst>
            <a:ext uri="{FF2B5EF4-FFF2-40B4-BE49-F238E27FC236}">
              <a16:creationId xmlns:a16="http://schemas.microsoft.com/office/drawing/2014/main" id="{8FC89825-020C-AD3B-CC63-37F557206705}"/>
            </a:ext>
          </a:extLst>
        </xdr:cNvPr>
        <xdr:cNvSpPr txBox="1">
          <a:spLocks noChangeArrowheads="1"/>
        </xdr:cNvSpPr>
      </xdr:nvSpPr>
      <xdr:spPr bwMode="auto">
        <a:xfrm>
          <a:off x="11957050" y="11658600"/>
          <a:ext cx="1416050" cy="679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58</xdr:row>
      <xdr:rowOff>312464</xdr:rowOff>
    </xdr:from>
    <xdr:to>
      <xdr:col>14</xdr:col>
      <xdr:colOff>609600</xdr:colOff>
      <xdr:row>62</xdr:row>
      <xdr:rowOff>65689</xdr:rowOff>
    </xdr:to>
    <xdr:sp macro="" textlink="">
      <xdr:nvSpPr>
        <xdr:cNvPr id="376910" name="Text Box 78" hidden="1">
          <a:extLst>
            <a:ext uri="{FF2B5EF4-FFF2-40B4-BE49-F238E27FC236}">
              <a16:creationId xmlns:a16="http://schemas.microsoft.com/office/drawing/2014/main" id="{CBBFCE7B-6E42-0700-99E9-0C52587E52D5}"/>
            </a:ext>
          </a:extLst>
        </xdr:cNvPr>
        <xdr:cNvSpPr txBox="1">
          <a:spLocks noChangeArrowheads="1"/>
        </xdr:cNvSpPr>
      </xdr:nvSpPr>
      <xdr:spPr bwMode="auto">
        <a:xfrm>
          <a:off x="11995150" y="12763500"/>
          <a:ext cx="14160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37</xdr:row>
      <xdr:rowOff>76200</xdr:rowOff>
    </xdr:from>
    <xdr:to>
      <xdr:col>14</xdr:col>
      <xdr:colOff>609600</xdr:colOff>
      <xdr:row>41</xdr:row>
      <xdr:rowOff>95250</xdr:rowOff>
    </xdr:to>
    <xdr:sp macro="" textlink="">
      <xdr:nvSpPr>
        <xdr:cNvPr id="376913" name="Text Box 81" hidden="1">
          <a:extLst>
            <a:ext uri="{FF2B5EF4-FFF2-40B4-BE49-F238E27FC236}">
              <a16:creationId xmlns:a16="http://schemas.microsoft.com/office/drawing/2014/main" id="{76EE71BA-DE5E-0A08-1508-D522AC20302D}"/>
            </a:ext>
          </a:extLst>
        </xdr:cNvPr>
        <xdr:cNvSpPr txBox="1">
          <a:spLocks noChangeArrowheads="1"/>
        </xdr:cNvSpPr>
      </xdr:nvSpPr>
      <xdr:spPr bwMode="auto">
        <a:xfrm>
          <a:off x="11995150" y="81216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145393</xdr:rowOff>
    </xdr:from>
    <xdr:to>
      <xdr:col>6</xdr:col>
      <xdr:colOff>47625</xdr:colOff>
      <xdr:row>59</xdr:row>
      <xdr:rowOff>126343</xdr:rowOff>
    </xdr:to>
    <xdr:sp macro="" textlink="">
      <xdr:nvSpPr>
        <xdr:cNvPr id="376914" name="Text Box 82" hidden="1">
          <a:extLst>
            <a:ext uri="{FF2B5EF4-FFF2-40B4-BE49-F238E27FC236}">
              <a16:creationId xmlns:a16="http://schemas.microsoft.com/office/drawing/2014/main" id="{05F8CDFF-F661-6114-51D5-31168286F391}"/>
            </a:ext>
          </a:extLst>
        </xdr:cNvPr>
        <xdr:cNvSpPr txBox="1">
          <a:spLocks noChangeArrowheads="1"/>
        </xdr:cNvSpPr>
      </xdr:nvSpPr>
      <xdr:spPr bwMode="auto">
        <a:xfrm>
          <a:off x="4057650" y="122110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6947" name="Text Box 115" hidden="1">
          <a:extLst>
            <a:ext uri="{FF2B5EF4-FFF2-40B4-BE49-F238E27FC236}">
              <a16:creationId xmlns:a16="http://schemas.microsoft.com/office/drawing/2014/main" id="{3A650873-FB51-911C-D776-E2B221D52AD7}"/>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9634</xdr:rowOff>
    </xdr:from>
    <xdr:to>
      <xdr:col>5</xdr:col>
      <xdr:colOff>609600</xdr:colOff>
      <xdr:row>56</xdr:row>
      <xdr:rowOff>9634</xdr:rowOff>
    </xdr:to>
    <xdr:sp macro="" textlink="">
      <xdr:nvSpPr>
        <xdr:cNvPr id="376946" name="Text Box 114" hidden="1">
          <a:extLst>
            <a:ext uri="{FF2B5EF4-FFF2-40B4-BE49-F238E27FC236}">
              <a16:creationId xmlns:a16="http://schemas.microsoft.com/office/drawing/2014/main" id="{BF6DCAE5-D00D-F81A-252C-79DAC827998A}"/>
            </a:ext>
          </a:extLst>
        </xdr:cNvPr>
        <xdr:cNvSpPr txBox="1">
          <a:spLocks noChangeArrowheads="1"/>
        </xdr:cNvSpPr>
      </xdr:nvSpPr>
      <xdr:spPr bwMode="auto">
        <a:xfrm>
          <a:off x="3994150" y="115633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47734</xdr:rowOff>
    </xdr:from>
    <xdr:to>
      <xdr:col>5</xdr:col>
      <xdr:colOff>628650</xdr:colOff>
      <xdr:row>77</xdr:row>
      <xdr:rowOff>96455</xdr:rowOff>
    </xdr:to>
    <xdr:sp macro="" textlink="">
      <xdr:nvSpPr>
        <xdr:cNvPr id="376945" name="Text Box 113" hidden="1">
          <a:extLst>
            <a:ext uri="{FF2B5EF4-FFF2-40B4-BE49-F238E27FC236}">
              <a16:creationId xmlns:a16="http://schemas.microsoft.com/office/drawing/2014/main" id="{5CE0BDA9-5ED6-E859-E81E-7F29EEAEB71F}"/>
            </a:ext>
          </a:extLst>
        </xdr:cNvPr>
        <xdr:cNvSpPr txBox="1">
          <a:spLocks noChangeArrowheads="1"/>
        </xdr:cNvSpPr>
      </xdr:nvSpPr>
      <xdr:spPr bwMode="auto">
        <a:xfrm>
          <a:off x="4013200" y="11601450"/>
          <a:ext cx="1314450" cy="499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9634</xdr:rowOff>
    </xdr:from>
    <xdr:to>
      <xdr:col>5</xdr:col>
      <xdr:colOff>609600</xdr:colOff>
      <xdr:row>76</xdr:row>
      <xdr:rowOff>28575</xdr:rowOff>
    </xdr:to>
    <xdr:sp macro="" textlink="">
      <xdr:nvSpPr>
        <xdr:cNvPr id="376944" name="Text Box 112" hidden="1">
          <a:extLst>
            <a:ext uri="{FF2B5EF4-FFF2-40B4-BE49-F238E27FC236}">
              <a16:creationId xmlns:a16="http://schemas.microsoft.com/office/drawing/2014/main" id="{45097DC3-0A15-7225-6897-4BB2FD5F2316}"/>
            </a:ext>
          </a:extLst>
        </xdr:cNvPr>
        <xdr:cNvSpPr txBox="1">
          <a:spLocks noChangeArrowheads="1"/>
        </xdr:cNvSpPr>
      </xdr:nvSpPr>
      <xdr:spPr bwMode="auto">
        <a:xfrm>
          <a:off x="3994150" y="11563350"/>
          <a:ext cx="1314450" cy="476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9634</xdr:rowOff>
    </xdr:from>
    <xdr:to>
      <xdr:col>5</xdr:col>
      <xdr:colOff>609600</xdr:colOff>
      <xdr:row>76</xdr:row>
      <xdr:rowOff>66675</xdr:rowOff>
    </xdr:to>
    <xdr:sp macro="" textlink="">
      <xdr:nvSpPr>
        <xdr:cNvPr id="376943" name="Text Box 111" hidden="1">
          <a:extLst>
            <a:ext uri="{FF2B5EF4-FFF2-40B4-BE49-F238E27FC236}">
              <a16:creationId xmlns:a16="http://schemas.microsoft.com/office/drawing/2014/main" id="{0F825A8F-13BA-FF36-DE18-403413837D04}"/>
            </a:ext>
          </a:extLst>
        </xdr:cNvPr>
        <xdr:cNvSpPr txBox="1">
          <a:spLocks noChangeArrowheads="1"/>
        </xdr:cNvSpPr>
      </xdr:nvSpPr>
      <xdr:spPr bwMode="auto">
        <a:xfrm>
          <a:off x="3994150" y="11563350"/>
          <a:ext cx="1314450" cy="480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7226</xdr:rowOff>
    </xdr:from>
    <xdr:to>
      <xdr:col>5</xdr:col>
      <xdr:colOff>609600</xdr:colOff>
      <xdr:row>79</xdr:row>
      <xdr:rowOff>87148</xdr:rowOff>
    </xdr:to>
    <xdr:sp macro="" textlink="">
      <xdr:nvSpPr>
        <xdr:cNvPr id="376942" name="Text Box 110" hidden="1">
          <a:extLst>
            <a:ext uri="{FF2B5EF4-FFF2-40B4-BE49-F238E27FC236}">
              <a16:creationId xmlns:a16="http://schemas.microsoft.com/office/drawing/2014/main" id="{DFACE48E-766F-B019-D336-6D53A01A4EDB}"/>
            </a:ext>
          </a:extLst>
        </xdr:cNvPr>
        <xdr:cNvSpPr txBox="1">
          <a:spLocks noChangeArrowheads="1"/>
        </xdr:cNvSpPr>
      </xdr:nvSpPr>
      <xdr:spPr bwMode="auto">
        <a:xfrm>
          <a:off x="3994150" y="12858750"/>
          <a:ext cx="1314450" cy="4089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82550</xdr:rowOff>
    </xdr:from>
    <xdr:to>
      <xdr:col>5</xdr:col>
      <xdr:colOff>609600</xdr:colOff>
      <xdr:row>88</xdr:row>
      <xdr:rowOff>19050</xdr:rowOff>
    </xdr:to>
    <xdr:sp macro="" textlink="">
      <xdr:nvSpPr>
        <xdr:cNvPr id="376941" name="Text Box 109" hidden="1">
          <a:extLst>
            <a:ext uri="{FF2B5EF4-FFF2-40B4-BE49-F238E27FC236}">
              <a16:creationId xmlns:a16="http://schemas.microsoft.com/office/drawing/2014/main" id="{7ED4EDBE-CEEF-8ABF-C0CF-A0011B255DA9}"/>
            </a:ext>
          </a:extLst>
        </xdr:cNvPr>
        <xdr:cNvSpPr txBox="1">
          <a:spLocks noChangeArrowheads="1"/>
        </xdr:cNvSpPr>
      </xdr:nvSpPr>
      <xdr:spPr bwMode="auto">
        <a:xfrm>
          <a:off x="3994150" y="15830550"/>
          <a:ext cx="1314450" cy="2901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179770</xdr:rowOff>
    </xdr:from>
    <xdr:to>
      <xdr:col>5</xdr:col>
      <xdr:colOff>609600</xdr:colOff>
      <xdr:row>87</xdr:row>
      <xdr:rowOff>19050</xdr:rowOff>
    </xdr:to>
    <xdr:sp macro="" textlink="">
      <xdr:nvSpPr>
        <xdr:cNvPr id="376940" name="Text Box 108" hidden="1">
          <a:extLst>
            <a:ext uri="{FF2B5EF4-FFF2-40B4-BE49-F238E27FC236}">
              <a16:creationId xmlns:a16="http://schemas.microsoft.com/office/drawing/2014/main" id="{3696872A-1017-C289-375A-2A9CB62D3C5E}"/>
            </a:ext>
          </a:extLst>
        </xdr:cNvPr>
        <xdr:cNvSpPr txBox="1">
          <a:spLocks noChangeArrowheads="1"/>
        </xdr:cNvSpPr>
      </xdr:nvSpPr>
      <xdr:spPr bwMode="auto">
        <a:xfrm>
          <a:off x="3994150" y="1593850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111125</xdr:rowOff>
    </xdr:from>
    <xdr:to>
      <xdr:col>5</xdr:col>
      <xdr:colOff>609600</xdr:colOff>
      <xdr:row>87</xdr:row>
      <xdr:rowOff>95250</xdr:rowOff>
    </xdr:to>
    <xdr:sp macro="" textlink="">
      <xdr:nvSpPr>
        <xdr:cNvPr id="376939" name="Text Box 107" hidden="1">
          <a:extLst>
            <a:ext uri="{FF2B5EF4-FFF2-40B4-BE49-F238E27FC236}">
              <a16:creationId xmlns:a16="http://schemas.microsoft.com/office/drawing/2014/main" id="{2BEE84AB-C5F0-B24E-A0F7-7DB75E2263CD}"/>
            </a:ext>
          </a:extLst>
        </xdr:cNvPr>
        <xdr:cNvSpPr txBox="1">
          <a:spLocks noChangeArrowheads="1"/>
        </xdr:cNvSpPr>
      </xdr:nvSpPr>
      <xdr:spPr bwMode="auto">
        <a:xfrm>
          <a:off x="3994150" y="16052800"/>
          <a:ext cx="1314450" cy="257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120650</xdr:rowOff>
    </xdr:from>
    <xdr:to>
      <xdr:col>5</xdr:col>
      <xdr:colOff>609600</xdr:colOff>
      <xdr:row>89</xdr:row>
      <xdr:rowOff>95250</xdr:rowOff>
    </xdr:to>
    <xdr:sp macro="" textlink="">
      <xdr:nvSpPr>
        <xdr:cNvPr id="376938" name="Text Box 106" hidden="1">
          <a:extLst>
            <a:ext uri="{FF2B5EF4-FFF2-40B4-BE49-F238E27FC236}">
              <a16:creationId xmlns:a16="http://schemas.microsoft.com/office/drawing/2014/main" id="{2963FAAA-9C77-E027-EC27-8C5D09DDFFA6}"/>
            </a:ext>
          </a:extLst>
        </xdr:cNvPr>
        <xdr:cNvSpPr txBox="1">
          <a:spLocks noChangeArrowheads="1"/>
        </xdr:cNvSpPr>
      </xdr:nvSpPr>
      <xdr:spPr bwMode="auto">
        <a:xfrm>
          <a:off x="3994150" y="16236950"/>
          <a:ext cx="1314450" cy="2755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183274</xdr:rowOff>
    </xdr:from>
    <xdr:to>
      <xdr:col>5</xdr:col>
      <xdr:colOff>609600</xdr:colOff>
      <xdr:row>108</xdr:row>
      <xdr:rowOff>1971</xdr:rowOff>
    </xdr:to>
    <xdr:sp macro="" textlink="">
      <xdr:nvSpPr>
        <xdr:cNvPr id="376937" name="Text Box 105" hidden="1">
          <a:extLst>
            <a:ext uri="{FF2B5EF4-FFF2-40B4-BE49-F238E27FC236}">
              <a16:creationId xmlns:a16="http://schemas.microsoft.com/office/drawing/2014/main" id="{E3D64EA8-287F-73B2-63EE-842CA030549F}"/>
            </a:ext>
          </a:extLst>
        </xdr:cNvPr>
        <xdr:cNvSpPr txBox="1">
          <a:spLocks noChangeArrowheads="1"/>
        </xdr:cNvSpPr>
      </xdr:nvSpPr>
      <xdr:spPr bwMode="auto">
        <a:xfrm>
          <a:off x="3994150" y="20624800"/>
          <a:ext cx="1314450" cy="200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188858</xdr:rowOff>
    </xdr:from>
    <xdr:to>
      <xdr:col>5</xdr:col>
      <xdr:colOff>609600</xdr:colOff>
      <xdr:row>105</xdr:row>
      <xdr:rowOff>76200</xdr:rowOff>
    </xdr:to>
    <xdr:sp macro="" textlink="">
      <xdr:nvSpPr>
        <xdr:cNvPr id="376936" name="Text Box 104" hidden="1">
          <a:extLst>
            <a:ext uri="{FF2B5EF4-FFF2-40B4-BE49-F238E27FC236}">
              <a16:creationId xmlns:a16="http://schemas.microsoft.com/office/drawing/2014/main" id="{BA515E52-06AA-0ACF-FDD3-36B607F29FCE}"/>
            </a:ext>
          </a:extLst>
        </xdr:cNvPr>
        <xdr:cNvSpPr txBox="1">
          <a:spLocks noChangeArrowheads="1"/>
        </xdr:cNvSpPr>
      </xdr:nvSpPr>
      <xdr:spPr bwMode="auto">
        <a:xfrm>
          <a:off x="3994150" y="208661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140466</xdr:rowOff>
    </xdr:from>
    <xdr:to>
      <xdr:col>5</xdr:col>
      <xdr:colOff>609600</xdr:colOff>
      <xdr:row>105</xdr:row>
      <xdr:rowOff>76200</xdr:rowOff>
    </xdr:to>
    <xdr:sp macro="" textlink="">
      <xdr:nvSpPr>
        <xdr:cNvPr id="376935" name="Text Box 103" hidden="1">
          <a:extLst>
            <a:ext uri="{FF2B5EF4-FFF2-40B4-BE49-F238E27FC236}">
              <a16:creationId xmlns:a16="http://schemas.microsoft.com/office/drawing/2014/main" id="{CF4F60E8-CB90-3D6D-78A8-7A8EAE6CBB07}"/>
            </a:ext>
          </a:extLst>
        </xdr:cNvPr>
        <xdr:cNvSpPr txBox="1">
          <a:spLocks noChangeArrowheads="1"/>
        </xdr:cNvSpPr>
      </xdr:nvSpPr>
      <xdr:spPr bwMode="auto">
        <a:xfrm>
          <a:off x="3994150" y="2105025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102366</xdr:rowOff>
    </xdr:from>
    <xdr:to>
      <xdr:col>5</xdr:col>
      <xdr:colOff>609600</xdr:colOff>
      <xdr:row>105</xdr:row>
      <xdr:rowOff>76200</xdr:rowOff>
    </xdr:to>
    <xdr:sp macro="" textlink="">
      <xdr:nvSpPr>
        <xdr:cNvPr id="376934" name="Text Box 102" hidden="1">
          <a:extLst>
            <a:ext uri="{FF2B5EF4-FFF2-40B4-BE49-F238E27FC236}">
              <a16:creationId xmlns:a16="http://schemas.microsoft.com/office/drawing/2014/main" id="{B7C1BDC3-50D6-4742-CC2A-2DADB9A08B1E}"/>
            </a:ext>
          </a:extLst>
        </xdr:cNvPr>
        <xdr:cNvSpPr txBox="1">
          <a:spLocks noChangeArrowheads="1"/>
        </xdr:cNvSpPr>
      </xdr:nvSpPr>
      <xdr:spPr bwMode="auto">
        <a:xfrm>
          <a:off x="3994150" y="210121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0</xdr:rowOff>
    </xdr:from>
    <xdr:to>
      <xdr:col>21</xdr:col>
      <xdr:colOff>438150</xdr:colOff>
      <xdr:row>127</xdr:row>
      <xdr:rowOff>19050</xdr:rowOff>
    </xdr:to>
    <xdr:sp macro="" textlink="">
      <xdr:nvSpPr>
        <xdr:cNvPr id="376933" name="Text Box 101" hidden="1">
          <a:extLst>
            <a:ext uri="{FF2B5EF4-FFF2-40B4-BE49-F238E27FC236}">
              <a16:creationId xmlns:a16="http://schemas.microsoft.com/office/drawing/2014/main" id="{503CDD37-7640-B9A7-7A70-FE551DDF9BDB}"/>
            </a:ext>
          </a:extLst>
        </xdr:cNvPr>
        <xdr:cNvSpPr txBox="1">
          <a:spLocks noChangeArrowheads="1"/>
        </xdr:cNvSpPr>
      </xdr:nvSpPr>
      <xdr:spPr bwMode="auto">
        <a:xfrm>
          <a:off x="17513300" y="254444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932" name="Text Box 100" hidden="1">
          <a:extLst>
            <a:ext uri="{FF2B5EF4-FFF2-40B4-BE49-F238E27FC236}">
              <a16:creationId xmlns:a16="http://schemas.microsoft.com/office/drawing/2014/main" id="{1B2CB7FA-0E80-C509-472D-46700CF9206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931" name="Text Box 99" hidden="1">
          <a:extLst>
            <a:ext uri="{FF2B5EF4-FFF2-40B4-BE49-F238E27FC236}">
              <a16:creationId xmlns:a16="http://schemas.microsoft.com/office/drawing/2014/main" id="{E18FCAF1-30E0-E89F-F4F0-37907961AE07}"/>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19050</xdr:rowOff>
    </xdr:from>
    <xdr:to>
      <xdr:col>22</xdr:col>
      <xdr:colOff>609600</xdr:colOff>
      <xdr:row>131</xdr:row>
      <xdr:rowOff>0</xdr:rowOff>
    </xdr:to>
    <xdr:sp macro="" textlink="">
      <xdr:nvSpPr>
        <xdr:cNvPr id="376930" name="Text Box 98" hidden="1">
          <a:extLst>
            <a:ext uri="{FF2B5EF4-FFF2-40B4-BE49-F238E27FC236}">
              <a16:creationId xmlns:a16="http://schemas.microsoft.com/office/drawing/2014/main" id="{364DBB66-FEA0-8CBA-1D5C-D4FD33F20098}"/>
            </a:ext>
          </a:extLst>
        </xdr:cNvPr>
        <xdr:cNvSpPr txBox="1">
          <a:spLocks noChangeArrowheads="1"/>
        </xdr:cNvSpPr>
      </xdr:nvSpPr>
      <xdr:spPr bwMode="auto">
        <a:xfrm>
          <a:off x="18332450" y="262001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33</xdr:row>
      <xdr:rowOff>95250</xdr:rowOff>
    </xdr:from>
    <xdr:to>
      <xdr:col>11</xdr:col>
      <xdr:colOff>1409700</xdr:colOff>
      <xdr:row>38</xdr:row>
      <xdr:rowOff>19050</xdr:rowOff>
    </xdr:to>
    <xdr:sp macro="" textlink="">
      <xdr:nvSpPr>
        <xdr:cNvPr id="376929" name="Text Box 97" hidden="1">
          <a:extLst>
            <a:ext uri="{FF2B5EF4-FFF2-40B4-BE49-F238E27FC236}">
              <a16:creationId xmlns:a16="http://schemas.microsoft.com/office/drawing/2014/main" id="{E785080A-821F-7596-B638-B988BEF9794F}"/>
            </a:ext>
          </a:extLst>
        </xdr:cNvPr>
        <xdr:cNvSpPr txBox="1">
          <a:spLocks noChangeArrowheads="1"/>
        </xdr:cNvSpPr>
      </xdr:nvSpPr>
      <xdr:spPr bwMode="auto">
        <a:xfrm>
          <a:off x="9359900" y="74041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928" name="Text Box 96" hidden="1">
          <a:extLst>
            <a:ext uri="{FF2B5EF4-FFF2-40B4-BE49-F238E27FC236}">
              <a16:creationId xmlns:a16="http://schemas.microsoft.com/office/drawing/2014/main" id="{973717ED-7539-0C75-691A-DC7980A52B7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927" name="Text Box 95" hidden="1">
          <a:extLst>
            <a:ext uri="{FF2B5EF4-FFF2-40B4-BE49-F238E27FC236}">
              <a16:creationId xmlns:a16="http://schemas.microsoft.com/office/drawing/2014/main" id="{E202CFB6-C41C-94C4-F822-EE4F0DA50609}"/>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19050</xdr:rowOff>
    </xdr:from>
    <xdr:to>
      <xdr:col>24</xdr:col>
      <xdr:colOff>647700</xdr:colOff>
      <xdr:row>131</xdr:row>
      <xdr:rowOff>95250</xdr:rowOff>
    </xdr:to>
    <xdr:sp macro="" textlink="">
      <xdr:nvSpPr>
        <xdr:cNvPr id="376926" name="Text Box 94" hidden="1">
          <a:extLst>
            <a:ext uri="{FF2B5EF4-FFF2-40B4-BE49-F238E27FC236}">
              <a16:creationId xmlns:a16="http://schemas.microsoft.com/office/drawing/2014/main" id="{AE4CA1EF-F864-B839-E0B2-D67C780A1852}"/>
            </a:ext>
          </a:extLst>
        </xdr:cNvPr>
        <xdr:cNvSpPr txBox="1">
          <a:spLocks noChangeArrowheads="1"/>
        </xdr:cNvSpPr>
      </xdr:nvSpPr>
      <xdr:spPr bwMode="auto">
        <a:xfrm>
          <a:off x="20027900" y="262001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6925" name="Text Box 93" hidden="1">
          <a:extLst>
            <a:ext uri="{FF2B5EF4-FFF2-40B4-BE49-F238E27FC236}">
              <a16:creationId xmlns:a16="http://schemas.microsoft.com/office/drawing/2014/main" id="{0B0804D4-9293-79DD-C886-ADFE72B15564}"/>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6924" name="Text Box 92" hidden="1">
          <a:extLst>
            <a:ext uri="{FF2B5EF4-FFF2-40B4-BE49-F238E27FC236}">
              <a16:creationId xmlns:a16="http://schemas.microsoft.com/office/drawing/2014/main" id="{E77C36A1-1FF9-E3E2-5CB5-FA0E0A43DD83}"/>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127</xdr:row>
      <xdr:rowOff>57150</xdr:rowOff>
    </xdr:from>
    <xdr:to>
      <xdr:col>25</xdr:col>
      <xdr:colOff>647700</xdr:colOff>
      <xdr:row>131</xdr:row>
      <xdr:rowOff>95250</xdr:rowOff>
    </xdr:to>
    <xdr:sp macro="" textlink="">
      <xdr:nvSpPr>
        <xdr:cNvPr id="376923" name="Text Box 91" hidden="1">
          <a:extLst>
            <a:ext uri="{FF2B5EF4-FFF2-40B4-BE49-F238E27FC236}">
              <a16:creationId xmlns:a16="http://schemas.microsoft.com/office/drawing/2014/main" id="{F988A973-F7B1-9B14-0555-D8F43B060F66}"/>
            </a:ext>
          </a:extLst>
        </xdr:cNvPr>
        <xdr:cNvSpPr txBox="1">
          <a:spLocks noChangeArrowheads="1"/>
        </xdr:cNvSpPr>
      </xdr:nvSpPr>
      <xdr:spPr bwMode="auto">
        <a:xfrm>
          <a:off x="20789900" y="262382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37</xdr:row>
      <xdr:rowOff>76200</xdr:rowOff>
    </xdr:from>
    <xdr:to>
      <xdr:col>11</xdr:col>
      <xdr:colOff>1485900</xdr:colOff>
      <xdr:row>41</xdr:row>
      <xdr:rowOff>95250</xdr:rowOff>
    </xdr:to>
    <xdr:sp macro="" textlink="">
      <xdr:nvSpPr>
        <xdr:cNvPr id="376922" name="Text Box 90" hidden="1">
          <a:extLst>
            <a:ext uri="{FF2B5EF4-FFF2-40B4-BE49-F238E27FC236}">
              <a16:creationId xmlns:a16="http://schemas.microsoft.com/office/drawing/2014/main" id="{1C576D50-0051-F0AE-3F89-D33BEB30D1FD}"/>
            </a:ext>
          </a:extLst>
        </xdr:cNvPr>
        <xdr:cNvSpPr txBox="1">
          <a:spLocks noChangeArrowheads="1"/>
        </xdr:cNvSpPr>
      </xdr:nvSpPr>
      <xdr:spPr bwMode="auto">
        <a:xfrm>
          <a:off x="9398000" y="81216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37</xdr:row>
      <xdr:rowOff>76200</xdr:rowOff>
    </xdr:from>
    <xdr:to>
      <xdr:col>13</xdr:col>
      <xdr:colOff>666750</xdr:colOff>
      <xdr:row>41</xdr:row>
      <xdr:rowOff>95250</xdr:rowOff>
    </xdr:to>
    <xdr:sp macro="" textlink="">
      <xdr:nvSpPr>
        <xdr:cNvPr id="376921" name="Text Box 89" hidden="1">
          <a:extLst>
            <a:ext uri="{FF2B5EF4-FFF2-40B4-BE49-F238E27FC236}">
              <a16:creationId xmlns:a16="http://schemas.microsoft.com/office/drawing/2014/main" id="{5205828C-6242-61F7-5121-6C1D53C43494}"/>
            </a:ext>
          </a:extLst>
        </xdr:cNvPr>
        <xdr:cNvSpPr txBox="1">
          <a:spLocks noChangeArrowheads="1"/>
        </xdr:cNvSpPr>
      </xdr:nvSpPr>
      <xdr:spPr bwMode="auto">
        <a:xfrm>
          <a:off x="11125200" y="81216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0</xdr:rowOff>
    </xdr:from>
    <xdr:to>
      <xdr:col>30</xdr:col>
      <xdr:colOff>647700</xdr:colOff>
      <xdr:row>29</xdr:row>
      <xdr:rowOff>19050</xdr:rowOff>
    </xdr:to>
    <xdr:sp macro="" textlink="">
      <xdr:nvSpPr>
        <xdr:cNvPr id="376920" name="Text Box 88" hidden="1">
          <a:extLst>
            <a:ext uri="{FF2B5EF4-FFF2-40B4-BE49-F238E27FC236}">
              <a16:creationId xmlns:a16="http://schemas.microsoft.com/office/drawing/2014/main" id="{488AF3B8-0D39-3E39-C687-21BDA5598DFD}"/>
            </a:ext>
          </a:extLst>
        </xdr:cNvPr>
        <xdr:cNvSpPr txBox="1">
          <a:spLocks noChangeArrowheads="1"/>
        </xdr:cNvSpPr>
      </xdr:nvSpPr>
      <xdr:spPr bwMode="auto">
        <a:xfrm>
          <a:off x="24599900" y="49149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56</xdr:row>
      <xdr:rowOff>104884</xdr:rowOff>
    </xdr:from>
    <xdr:to>
      <xdr:col>14</xdr:col>
      <xdr:colOff>571500</xdr:colOff>
      <xdr:row>57</xdr:row>
      <xdr:rowOff>391510</xdr:rowOff>
    </xdr:to>
    <xdr:sp macro="" textlink="">
      <xdr:nvSpPr>
        <xdr:cNvPr id="376918" name="Text Box 86" hidden="1">
          <a:extLst>
            <a:ext uri="{FF2B5EF4-FFF2-40B4-BE49-F238E27FC236}">
              <a16:creationId xmlns:a16="http://schemas.microsoft.com/office/drawing/2014/main" id="{B48B6B3F-007F-0687-13E6-42E8862E4A80}"/>
            </a:ext>
          </a:extLst>
        </xdr:cNvPr>
        <xdr:cNvSpPr txBox="1">
          <a:spLocks noChangeArrowheads="1"/>
        </xdr:cNvSpPr>
      </xdr:nvSpPr>
      <xdr:spPr bwMode="auto">
        <a:xfrm>
          <a:off x="11957050" y="11658600"/>
          <a:ext cx="14160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58</xdr:row>
      <xdr:rowOff>312464</xdr:rowOff>
    </xdr:from>
    <xdr:to>
      <xdr:col>14</xdr:col>
      <xdr:colOff>609600</xdr:colOff>
      <xdr:row>62</xdr:row>
      <xdr:rowOff>25618</xdr:rowOff>
    </xdr:to>
    <xdr:sp macro="" textlink="">
      <xdr:nvSpPr>
        <xdr:cNvPr id="376917" name="Text Box 85" hidden="1">
          <a:extLst>
            <a:ext uri="{FF2B5EF4-FFF2-40B4-BE49-F238E27FC236}">
              <a16:creationId xmlns:a16="http://schemas.microsoft.com/office/drawing/2014/main" id="{8B479591-C141-C61A-3517-BE74AAC05F1F}"/>
            </a:ext>
          </a:extLst>
        </xdr:cNvPr>
        <xdr:cNvSpPr txBox="1">
          <a:spLocks noChangeArrowheads="1"/>
        </xdr:cNvSpPr>
      </xdr:nvSpPr>
      <xdr:spPr bwMode="auto">
        <a:xfrm>
          <a:off x="11995150" y="12763500"/>
          <a:ext cx="1416050" cy="704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37</xdr:row>
      <xdr:rowOff>76200</xdr:rowOff>
    </xdr:from>
    <xdr:to>
      <xdr:col>14</xdr:col>
      <xdr:colOff>609600</xdr:colOff>
      <xdr:row>41</xdr:row>
      <xdr:rowOff>95250</xdr:rowOff>
    </xdr:to>
    <xdr:sp macro="" textlink="">
      <xdr:nvSpPr>
        <xdr:cNvPr id="376916" name="Text Box 84" hidden="1">
          <a:extLst>
            <a:ext uri="{FF2B5EF4-FFF2-40B4-BE49-F238E27FC236}">
              <a16:creationId xmlns:a16="http://schemas.microsoft.com/office/drawing/2014/main" id="{E0ACF4D6-6D95-8A29-8BA5-89E2CEF5DCE7}"/>
            </a:ext>
          </a:extLst>
        </xdr:cNvPr>
        <xdr:cNvSpPr txBox="1">
          <a:spLocks noChangeArrowheads="1"/>
        </xdr:cNvSpPr>
      </xdr:nvSpPr>
      <xdr:spPr bwMode="auto">
        <a:xfrm>
          <a:off x="11995150" y="81216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57</xdr:row>
      <xdr:rowOff>135868</xdr:rowOff>
    </xdr:from>
    <xdr:to>
      <xdr:col>6</xdr:col>
      <xdr:colOff>19050</xdr:colOff>
      <xdr:row>60</xdr:row>
      <xdr:rowOff>97768</xdr:rowOff>
    </xdr:to>
    <xdr:sp macro="" textlink="">
      <xdr:nvSpPr>
        <xdr:cNvPr id="376915" name="Text Box 83" hidden="1">
          <a:extLst>
            <a:ext uri="{FF2B5EF4-FFF2-40B4-BE49-F238E27FC236}">
              <a16:creationId xmlns:a16="http://schemas.microsoft.com/office/drawing/2014/main" id="{72AAADBE-D86B-BE87-6872-2CF78013E7AE}"/>
            </a:ext>
          </a:extLst>
        </xdr:cNvPr>
        <xdr:cNvSpPr txBox="1">
          <a:spLocks noChangeArrowheads="1"/>
        </xdr:cNvSpPr>
      </xdr:nvSpPr>
      <xdr:spPr bwMode="auto">
        <a:xfrm>
          <a:off x="4051300" y="12204700"/>
          <a:ext cx="14287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14</xdr:row>
      <xdr:rowOff>123825</xdr:rowOff>
    </xdr:from>
    <xdr:to>
      <xdr:col>26</xdr:col>
      <xdr:colOff>666750</xdr:colOff>
      <xdr:row>18</xdr:row>
      <xdr:rowOff>152400</xdr:rowOff>
    </xdr:to>
    <xdr:sp macro="" textlink="">
      <xdr:nvSpPr>
        <xdr:cNvPr id="376948" name="Text Box 116" hidden="1">
          <a:extLst>
            <a:ext uri="{FF2B5EF4-FFF2-40B4-BE49-F238E27FC236}">
              <a16:creationId xmlns:a16="http://schemas.microsoft.com/office/drawing/2014/main" id="{46EA1715-9867-7B30-06B8-0BE462B639D3}"/>
            </a:ext>
          </a:extLst>
        </xdr:cNvPr>
        <xdr:cNvSpPr txBox="1">
          <a:spLocks noChangeArrowheads="1"/>
        </xdr:cNvSpPr>
      </xdr:nvSpPr>
      <xdr:spPr bwMode="auto">
        <a:xfrm>
          <a:off x="21551900" y="35814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23</xdr:row>
      <xdr:rowOff>123825</xdr:rowOff>
    </xdr:from>
    <xdr:to>
      <xdr:col>26</xdr:col>
      <xdr:colOff>666750</xdr:colOff>
      <xdr:row>27</xdr:row>
      <xdr:rowOff>152400</xdr:rowOff>
    </xdr:to>
    <xdr:sp macro="" textlink="">
      <xdr:nvSpPr>
        <xdr:cNvPr id="376949" name="Text Box 117" hidden="1">
          <a:extLst>
            <a:ext uri="{FF2B5EF4-FFF2-40B4-BE49-F238E27FC236}">
              <a16:creationId xmlns:a16="http://schemas.microsoft.com/office/drawing/2014/main" id="{766354D8-9714-A604-4FBE-1DB1C5087706}"/>
            </a:ext>
          </a:extLst>
        </xdr:cNvPr>
        <xdr:cNvSpPr txBox="1">
          <a:spLocks noChangeArrowheads="1"/>
        </xdr:cNvSpPr>
      </xdr:nvSpPr>
      <xdr:spPr bwMode="auto">
        <a:xfrm>
          <a:off x="21551900" y="5588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129</xdr:row>
      <xdr:rowOff>123825</xdr:rowOff>
    </xdr:from>
    <xdr:to>
      <xdr:col>26</xdr:col>
      <xdr:colOff>666750</xdr:colOff>
      <xdr:row>133</xdr:row>
      <xdr:rowOff>152400</xdr:rowOff>
    </xdr:to>
    <xdr:sp macro="" textlink="">
      <xdr:nvSpPr>
        <xdr:cNvPr id="376950" name="Text Box 118" hidden="1">
          <a:extLst>
            <a:ext uri="{FF2B5EF4-FFF2-40B4-BE49-F238E27FC236}">
              <a16:creationId xmlns:a16="http://schemas.microsoft.com/office/drawing/2014/main" id="{E8E591A6-6375-F6E1-32C5-0CB55AC286EF}"/>
            </a:ext>
          </a:extLst>
        </xdr:cNvPr>
        <xdr:cNvSpPr txBox="1">
          <a:spLocks noChangeArrowheads="1"/>
        </xdr:cNvSpPr>
      </xdr:nvSpPr>
      <xdr:spPr bwMode="auto">
        <a:xfrm>
          <a:off x="21551900" y="26670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6985" name="Text Box 153" hidden="1">
          <a:extLst>
            <a:ext uri="{FF2B5EF4-FFF2-40B4-BE49-F238E27FC236}">
              <a16:creationId xmlns:a16="http://schemas.microsoft.com/office/drawing/2014/main" id="{44DCB956-DBA0-4A5F-7F75-144A250DF7E7}"/>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58</xdr:row>
      <xdr:rowOff>158750</xdr:rowOff>
    </xdr:to>
    <xdr:sp macro="" textlink="">
      <xdr:nvSpPr>
        <xdr:cNvPr id="376984" name="Text Box 152" hidden="1">
          <a:extLst>
            <a:ext uri="{FF2B5EF4-FFF2-40B4-BE49-F238E27FC236}">
              <a16:creationId xmlns:a16="http://schemas.microsoft.com/office/drawing/2014/main" id="{BEFD1A72-C41A-DAC3-C246-E53F566DAAF4}"/>
            </a:ext>
          </a:extLst>
        </xdr:cNvPr>
        <xdr:cNvSpPr txBox="1">
          <a:spLocks noChangeArrowheads="1"/>
        </xdr:cNvSpPr>
      </xdr:nvSpPr>
      <xdr:spPr bwMode="auto">
        <a:xfrm>
          <a:off x="3994150" y="12611100"/>
          <a:ext cx="1314450" cy="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152400</xdr:rowOff>
    </xdr:from>
    <xdr:to>
      <xdr:col>5</xdr:col>
      <xdr:colOff>628650</xdr:colOff>
      <xdr:row>83</xdr:row>
      <xdr:rowOff>19050</xdr:rowOff>
    </xdr:to>
    <xdr:sp macro="" textlink="">
      <xdr:nvSpPr>
        <xdr:cNvPr id="376983" name="Text Box 151" hidden="1">
          <a:extLst>
            <a:ext uri="{FF2B5EF4-FFF2-40B4-BE49-F238E27FC236}">
              <a16:creationId xmlns:a16="http://schemas.microsoft.com/office/drawing/2014/main" id="{2346A909-1B9C-A343-B9B8-4DCBA2A15FF1}"/>
            </a:ext>
          </a:extLst>
        </xdr:cNvPr>
        <xdr:cNvSpPr txBox="1">
          <a:spLocks noChangeArrowheads="1"/>
        </xdr:cNvSpPr>
      </xdr:nvSpPr>
      <xdr:spPr bwMode="auto">
        <a:xfrm>
          <a:off x="4013200" y="12611100"/>
          <a:ext cx="1314450" cy="5200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0</xdr:rowOff>
    </xdr:to>
    <xdr:sp macro="" textlink="">
      <xdr:nvSpPr>
        <xdr:cNvPr id="376982" name="Text Box 150" hidden="1">
          <a:extLst>
            <a:ext uri="{FF2B5EF4-FFF2-40B4-BE49-F238E27FC236}">
              <a16:creationId xmlns:a16="http://schemas.microsoft.com/office/drawing/2014/main" id="{DF6694F6-E223-DA76-1A4D-DF9683D54D02}"/>
            </a:ext>
          </a:extLst>
        </xdr:cNvPr>
        <xdr:cNvSpPr txBox="1">
          <a:spLocks noChangeArrowheads="1"/>
        </xdr:cNvSpPr>
      </xdr:nvSpPr>
      <xdr:spPr bwMode="auto">
        <a:xfrm>
          <a:off x="3994150" y="12611100"/>
          <a:ext cx="1314450" cy="499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44450</xdr:rowOff>
    </xdr:to>
    <xdr:sp macro="" textlink="">
      <xdr:nvSpPr>
        <xdr:cNvPr id="376981" name="Text Box 149" hidden="1">
          <a:extLst>
            <a:ext uri="{FF2B5EF4-FFF2-40B4-BE49-F238E27FC236}">
              <a16:creationId xmlns:a16="http://schemas.microsoft.com/office/drawing/2014/main" id="{FFEBE2E0-3B34-E040-B81C-0E3F0F142295}"/>
            </a:ext>
          </a:extLst>
        </xdr:cNvPr>
        <xdr:cNvSpPr txBox="1">
          <a:spLocks noChangeArrowheads="1"/>
        </xdr:cNvSpPr>
      </xdr:nvSpPr>
      <xdr:spPr bwMode="auto">
        <a:xfrm>
          <a:off x="3994150" y="12611100"/>
          <a:ext cx="1314450" cy="5041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19050</xdr:rowOff>
    </xdr:from>
    <xdr:to>
      <xdr:col>5</xdr:col>
      <xdr:colOff>609600</xdr:colOff>
      <xdr:row>85</xdr:row>
      <xdr:rowOff>101600</xdr:rowOff>
    </xdr:to>
    <xdr:sp macro="" textlink="">
      <xdr:nvSpPr>
        <xdr:cNvPr id="376980" name="Text Box 148" hidden="1">
          <a:extLst>
            <a:ext uri="{FF2B5EF4-FFF2-40B4-BE49-F238E27FC236}">
              <a16:creationId xmlns:a16="http://schemas.microsoft.com/office/drawing/2014/main" id="{A0462A27-23F1-5190-AC3C-FE490402A83C}"/>
            </a:ext>
          </a:extLst>
        </xdr:cNvPr>
        <xdr:cNvSpPr txBox="1">
          <a:spLocks noChangeArrowheads="1"/>
        </xdr:cNvSpPr>
      </xdr:nvSpPr>
      <xdr:spPr bwMode="auto">
        <a:xfrm>
          <a:off x="3994150" y="13652500"/>
          <a:ext cx="1314450" cy="461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76200</xdr:rowOff>
    </xdr:from>
    <xdr:to>
      <xdr:col>5</xdr:col>
      <xdr:colOff>609600</xdr:colOff>
      <xdr:row>94</xdr:row>
      <xdr:rowOff>95250</xdr:rowOff>
    </xdr:to>
    <xdr:sp macro="" textlink="">
      <xdr:nvSpPr>
        <xdr:cNvPr id="376979" name="Text Box 147" hidden="1">
          <a:extLst>
            <a:ext uri="{FF2B5EF4-FFF2-40B4-BE49-F238E27FC236}">
              <a16:creationId xmlns:a16="http://schemas.microsoft.com/office/drawing/2014/main" id="{92700D5F-C2CD-751F-9797-D64DEE7333F9}"/>
            </a:ext>
          </a:extLst>
        </xdr:cNvPr>
        <xdr:cNvSpPr txBox="1">
          <a:spLocks noChangeArrowheads="1"/>
        </xdr:cNvSpPr>
      </xdr:nvSpPr>
      <xdr:spPr bwMode="auto">
        <a:xfrm>
          <a:off x="3994150" y="16751300"/>
          <a:ext cx="1314450" cy="316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0</xdr:rowOff>
    </xdr:from>
    <xdr:to>
      <xdr:col>5</xdr:col>
      <xdr:colOff>609600</xdr:colOff>
      <xdr:row>92</xdr:row>
      <xdr:rowOff>158750</xdr:rowOff>
    </xdr:to>
    <xdr:sp macro="" textlink="">
      <xdr:nvSpPr>
        <xdr:cNvPr id="376978" name="Text Box 146" hidden="1">
          <a:extLst>
            <a:ext uri="{FF2B5EF4-FFF2-40B4-BE49-F238E27FC236}">
              <a16:creationId xmlns:a16="http://schemas.microsoft.com/office/drawing/2014/main" id="{77A3E207-325E-9916-F511-702CC6BB4A9D}"/>
            </a:ext>
          </a:extLst>
        </xdr:cNvPr>
        <xdr:cNvSpPr txBox="1">
          <a:spLocks noChangeArrowheads="1"/>
        </xdr:cNvSpPr>
      </xdr:nvSpPr>
      <xdr:spPr bwMode="auto">
        <a:xfrm>
          <a:off x="3994150" y="16859250"/>
          <a:ext cx="1314450" cy="2749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93</xdr:row>
      <xdr:rowOff>63500</xdr:rowOff>
    </xdr:to>
    <xdr:sp macro="" textlink="">
      <xdr:nvSpPr>
        <xdr:cNvPr id="376977" name="Text Box 145" hidden="1">
          <a:extLst>
            <a:ext uri="{FF2B5EF4-FFF2-40B4-BE49-F238E27FC236}">
              <a16:creationId xmlns:a16="http://schemas.microsoft.com/office/drawing/2014/main" id="{700C1BDE-EE04-712C-8D97-92C243FD8C7A}"/>
            </a:ext>
          </a:extLst>
        </xdr:cNvPr>
        <xdr:cNvSpPr txBox="1">
          <a:spLocks noChangeArrowheads="1"/>
        </xdr:cNvSpPr>
      </xdr:nvSpPr>
      <xdr:spPr bwMode="auto">
        <a:xfrm>
          <a:off x="3994150" y="16973550"/>
          <a:ext cx="131445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120650</xdr:rowOff>
    </xdr:from>
    <xdr:to>
      <xdr:col>5</xdr:col>
      <xdr:colOff>609600</xdr:colOff>
      <xdr:row>96</xdr:row>
      <xdr:rowOff>6350</xdr:rowOff>
    </xdr:to>
    <xdr:sp macro="" textlink="">
      <xdr:nvSpPr>
        <xdr:cNvPr id="376976" name="Text Box 144" hidden="1">
          <a:extLst>
            <a:ext uri="{FF2B5EF4-FFF2-40B4-BE49-F238E27FC236}">
              <a16:creationId xmlns:a16="http://schemas.microsoft.com/office/drawing/2014/main" id="{178B2557-737B-843B-4107-14B3752BACAD}"/>
            </a:ext>
          </a:extLst>
        </xdr:cNvPr>
        <xdr:cNvSpPr txBox="1">
          <a:spLocks noChangeArrowheads="1"/>
        </xdr:cNvSpPr>
      </xdr:nvSpPr>
      <xdr:spPr bwMode="auto">
        <a:xfrm>
          <a:off x="3994150" y="17164050"/>
          <a:ext cx="1314450" cy="3028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19050</xdr:rowOff>
    </xdr:from>
    <xdr:to>
      <xdr:col>5</xdr:col>
      <xdr:colOff>609600</xdr:colOff>
      <xdr:row>113</xdr:row>
      <xdr:rowOff>95250</xdr:rowOff>
    </xdr:to>
    <xdr:sp macro="" textlink="">
      <xdr:nvSpPr>
        <xdr:cNvPr id="376975" name="Text Box 143" hidden="1">
          <a:extLst>
            <a:ext uri="{FF2B5EF4-FFF2-40B4-BE49-F238E27FC236}">
              <a16:creationId xmlns:a16="http://schemas.microsoft.com/office/drawing/2014/main" id="{55FBE2DB-984C-B146-E146-EA8FD1E629DF}"/>
            </a:ext>
          </a:extLst>
        </xdr:cNvPr>
        <xdr:cNvSpPr txBox="1">
          <a:spLocks noChangeArrowheads="1"/>
        </xdr:cNvSpPr>
      </xdr:nvSpPr>
      <xdr:spPr bwMode="auto">
        <a:xfrm>
          <a:off x="3994150" y="21361400"/>
          <a:ext cx="1314450" cy="233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19050</xdr:rowOff>
    </xdr:from>
    <xdr:to>
      <xdr:col>5</xdr:col>
      <xdr:colOff>609600</xdr:colOff>
      <xdr:row>110</xdr:row>
      <xdr:rowOff>120650</xdr:rowOff>
    </xdr:to>
    <xdr:sp macro="" textlink="">
      <xdr:nvSpPr>
        <xdr:cNvPr id="376974" name="Text Box 142" hidden="1">
          <a:extLst>
            <a:ext uri="{FF2B5EF4-FFF2-40B4-BE49-F238E27FC236}">
              <a16:creationId xmlns:a16="http://schemas.microsoft.com/office/drawing/2014/main" id="{0E5682DF-CC00-7B1A-33FF-C28ACD1AC650}"/>
            </a:ext>
          </a:extLst>
        </xdr:cNvPr>
        <xdr:cNvSpPr txBox="1">
          <a:spLocks noChangeArrowheads="1"/>
        </xdr:cNvSpPr>
      </xdr:nvSpPr>
      <xdr:spPr bwMode="auto">
        <a:xfrm>
          <a:off x="3994150" y="21545550"/>
          <a:ext cx="1314450" cy="162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57150</xdr:rowOff>
    </xdr:from>
    <xdr:to>
      <xdr:col>5</xdr:col>
      <xdr:colOff>609600</xdr:colOff>
      <xdr:row>110</xdr:row>
      <xdr:rowOff>57150</xdr:rowOff>
    </xdr:to>
    <xdr:sp macro="" textlink="">
      <xdr:nvSpPr>
        <xdr:cNvPr id="376973" name="Text Box 141" hidden="1">
          <a:extLst>
            <a:ext uri="{FF2B5EF4-FFF2-40B4-BE49-F238E27FC236}">
              <a16:creationId xmlns:a16="http://schemas.microsoft.com/office/drawing/2014/main" id="{6905FF60-89C0-71F7-D5A7-13E25DBEAC20}"/>
            </a:ext>
          </a:extLst>
        </xdr:cNvPr>
        <xdr:cNvSpPr txBox="1">
          <a:spLocks noChangeArrowheads="1"/>
        </xdr:cNvSpPr>
      </xdr:nvSpPr>
      <xdr:spPr bwMode="auto">
        <a:xfrm>
          <a:off x="3994150" y="21767800"/>
          <a:ext cx="1314450" cy="133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19050</xdr:rowOff>
    </xdr:from>
    <xdr:to>
      <xdr:col>5</xdr:col>
      <xdr:colOff>609600</xdr:colOff>
      <xdr:row>110</xdr:row>
      <xdr:rowOff>57150</xdr:rowOff>
    </xdr:to>
    <xdr:sp macro="" textlink="">
      <xdr:nvSpPr>
        <xdr:cNvPr id="376972" name="Text Box 140" hidden="1">
          <a:extLst>
            <a:ext uri="{FF2B5EF4-FFF2-40B4-BE49-F238E27FC236}">
              <a16:creationId xmlns:a16="http://schemas.microsoft.com/office/drawing/2014/main" id="{DB4AF483-5A37-8543-F5E5-ED7E7D2E65AA}"/>
            </a:ext>
          </a:extLst>
        </xdr:cNvPr>
        <xdr:cNvSpPr txBox="1">
          <a:spLocks noChangeArrowheads="1"/>
        </xdr:cNvSpPr>
      </xdr:nvSpPr>
      <xdr:spPr bwMode="auto">
        <a:xfrm>
          <a:off x="3994150" y="21729700"/>
          <a:ext cx="131445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127</xdr:row>
      <xdr:rowOff>0</xdr:rowOff>
    </xdr:from>
    <xdr:to>
      <xdr:col>21</xdr:col>
      <xdr:colOff>438150</xdr:colOff>
      <xdr:row>131</xdr:row>
      <xdr:rowOff>19050</xdr:rowOff>
    </xdr:to>
    <xdr:sp macro="" textlink="">
      <xdr:nvSpPr>
        <xdr:cNvPr id="376971" name="Text Box 139" hidden="1">
          <a:extLst>
            <a:ext uri="{FF2B5EF4-FFF2-40B4-BE49-F238E27FC236}">
              <a16:creationId xmlns:a16="http://schemas.microsoft.com/office/drawing/2014/main" id="{4960B6E5-3EE8-AFF3-B319-2D3A99F0F56F}"/>
            </a:ext>
          </a:extLst>
        </xdr:cNvPr>
        <xdr:cNvSpPr txBox="1">
          <a:spLocks noChangeArrowheads="1"/>
        </xdr:cNvSpPr>
      </xdr:nvSpPr>
      <xdr:spPr bwMode="auto">
        <a:xfrm>
          <a:off x="17513300" y="261810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970" name="Text Box 138" hidden="1">
          <a:extLst>
            <a:ext uri="{FF2B5EF4-FFF2-40B4-BE49-F238E27FC236}">
              <a16:creationId xmlns:a16="http://schemas.microsoft.com/office/drawing/2014/main" id="{8FEDDC51-58E6-D243-C6AB-B321B9B6A502}"/>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969" name="Text Box 137" hidden="1">
          <a:extLst>
            <a:ext uri="{FF2B5EF4-FFF2-40B4-BE49-F238E27FC236}">
              <a16:creationId xmlns:a16="http://schemas.microsoft.com/office/drawing/2014/main" id="{730E4222-CEFB-538C-CBC2-9843D69E90A2}"/>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131</xdr:row>
      <xdr:rowOff>19050</xdr:rowOff>
    </xdr:from>
    <xdr:to>
      <xdr:col>22</xdr:col>
      <xdr:colOff>609600</xdr:colOff>
      <xdr:row>135</xdr:row>
      <xdr:rowOff>0</xdr:rowOff>
    </xdr:to>
    <xdr:sp macro="" textlink="">
      <xdr:nvSpPr>
        <xdr:cNvPr id="376968" name="Text Box 136" hidden="1">
          <a:extLst>
            <a:ext uri="{FF2B5EF4-FFF2-40B4-BE49-F238E27FC236}">
              <a16:creationId xmlns:a16="http://schemas.microsoft.com/office/drawing/2014/main" id="{443B88C3-C31A-7551-8908-5A3D41B4F494}"/>
            </a:ext>
          </a:extLst>
        </xdr:cNvPr>
        <xdr:cNvSpPr txBox="1">
          <a:spLocks noChangeArrowheads="1"/>
        </xdr:cNvSpPr>
      </xdr:nvSpPr>
      <xdr:spPr bwMode="auto">
        <a:xfrm>
          <a:off x="18332450" y="269367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37</xdr:row>
      <xdr:rowOff>95250</xdr:rowOff>
    </xdr:from>
    <xdr:to>
      <xdr:col>11</xdr:col>
      <xdr:colOff>1409700</xdr:colOff>
      <xdr:row>42</xdr:row>
      <xdr:rowOff>19050</xdr:rowOff>
    </xdr:to>
    <xdr:sp macro="" textlink="">
      <xdr:nvSpPr>
        <xdr:cNvPr id="376967" name="Text Box 135" hidden="1">
          <a:extLst>
            <a:ext uri="{FF2B5EF4-FFF2-40B4-BE49-F238E27FC236}">
              <a16:creationId xmlns:a16="http://schemas.microsoft.com/office/drawing/2014/main" id="{EE7D8B69-8A88-7928-E241-62FB0996E2AB}"/>
            </a:ext>
          </a:extLst>
        </xdr:cNvPr>
        <xdr:cNvSpPr txBox="1">
          <a:spLocks noChangeArrowheads="1"/>
        </xdr:cNvSpPr>
      </xdr:nvSpPr>
      <xdr:spPr bwMode="auto">
        <a:xfrm>
          <a:off x="9359900" y="81407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966" name="Text Box 134" hidden="1">
          <a:extLst>
            <a:ext uri="{FF2B5EF4-FFF2-40B4-BE49-F238E27FC236}">
              <a16:creationId xmlns:a16="http://schemas.microsoft.com/office/drawing/2014/main" id="{D982CF94-7F5A-EFC8-95AF-A59868BA66AE}"/>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965" name="Text Box 133" hidden="1">
          <a:extLst>
            <a:ext uri="{FF2B5EF4-FFF2-40B4-BE49-F238E27FC236}">
              <a16:creationId xmlns:a16="http://schemas.microsoft.com/office/drawing/2014/main" id="{1C8964B8-25C6-84F3-1018-9E5DA85AE1CA}"/>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131</xdr:row>
      <xdr:rowOff>19050</xdr:rowOff>
    </xdr:from>
    <xdr:to>
      <xdr:col>24</xdr:col>
      <xdr:colOff>647700</xdr:colOff>
      <xdr:row>135</xdr:row>
      <xdr:rowOff>95250</xdr:rowOff>
    </xdr:to>
    <xdr:sp macro="" textlink="">
      <xdr:nvSpPr>
        <xdr:cNvPr id="376964" name="Text Box 132" hidden="1">
          <a:extLst>
            <a:ext uri="{FF2B5EF4-FFF2-40B4-BE49-F238E27FC236}">
              <a16:creationId xmlns:a16="http://schemas.microsoft.com/office/drawing/2014/main" id="{A077140B-B856-244F-19CE-CD6120759B6B}"/>
            </a:ext>
          </a:extLst>
        </xdr:cNvPr>
        <xdr:cNvSpPr txBox="1">
          <a:spLocks noChangeArrowheads="1"/>
        </xdr:cNvSpPr>
      </xdr:nvSpPr>
      <xdr:spPr bwMode="auto">
        <a:xfrm>
          <a:off x="20027900" y="269367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6963" name="Text Box 131" hidden="1">
          <a:extLst>
            <a:ext uri="{FF2B5EF4-FFF2-40B4-BE49-F238E27FC236}">
              <a16:creationId xmlns:a16="http://schemas.microsoft.com/office/drawing/2014/main" id="{35B0B00F-1635-34D0-0BA2-8D2434217D1D}"/>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6962" name="Text Box 130" hidden="1">
          <a:extLst>
            <a:ext uri="{FF2B5EF4-FFF2-40B4-BE49-F238E27FC236}">
              <a16:creationId xmlns:a16="http://schemas.microsoft.com/office/drawing/2014/main" id="{EAC6AD22-AE29-FA4D-5D5A-0CBCF515498A}"/>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131</xdr:row>
      <xdr:rowOff>57150</xdr:rowOff>
    </xdr:from>
    <xdr:to>
      <xdr:col>25</xdr:col>
      <xdr:colOff>647700</xdr:colOff>
      <xdr:row>135</xdr:row>
      <xdr:rowOff>95250</xdr:rowOff>
    </xdr:to>
    <xdr:sp macro="" textlink="">
      <xdr:nvSpPr>
        <xdr:cNvPr id="376961" name="Text Box 129" hidden="1">
          <a:extLst>
            <a:ext uri="{FF2B5EF4-FFF2-40B4-BE49-F238E27FC236}">
              <a16:creationId xmlns:a16="http://schemas.microsoft.com/office/drawing/2014/main" id="{3145EEA3-5829-2B24-BB1E-27C9E9C19021}"/>
            </a:ext>
          </a:extLst>
        </xdr:cNvPr>
        <xdr:cNvSpPr txBox="1">
          <a:spLocks noChangeArrowheads="1"/>
        </xdr:cNvSpPr>
      </xdr:nvSpPr>
      <xdr:spPr bwMode="auto">
        <a:xfrm>
          <a:off x="20789900" y="269748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41</xdr:row>
      <xdr:rowOff>76200</xdr:rowOff>
    </xdr:from>
    <xdr:to>
      <xdr:col>11</xdr:col>
      <xdr:colOff>1485900</xdr:colOff>
      <xdr:row>45</xdr:row>
      <xdr:rowOff>95250</xdr:rowOff>
    </xdr:to>
    <xdr:sp macro="" textlink="">
      <xdr:nvSpPr>
        <xdr:cNvPr id="376960" name="Text Box 128" hidden="1">
          <a:extLst>
            <a:ext uri="{FF2B5EF4-FFF2-40B4-BE49-F238E27FC236}">
              <a16:creationId xmlns:a16="http://schemas.microsoft.com/office/drawing/2014/main" id="{8199DEEC-C134-5E0F-9BAE-2C09EFFC6130}"/>
            </a:ext>
          </a:extLst>
        </xdr:cNvPr>
        <xdr:cNvSpPr txBox="1">
          <a:spLocks noChangeArrowheads="1"/>
        </xdr:cNvSpPr>
      </xdr:nvSpPr>
      <xdr:spPr bwMode="auto">
        <a:xfrm>
          <a:off x="9398000" y="88582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41</xdr:row>
      <xdr:rowOff>76200</xdr:rowOff>
    </xdr:from>
    <xdr:to>
      <xdr:col>13</xdr:col>
      <xdr:colOff>666750</xdr:colOff>
      <xdr:row>45</xdr:row>
      <xdr:rowOff>95250</xdr:rowOff>
    </xdr:to>
    <xdr:sp macro="" textlink="">
      <xdr:nvSpPr>
        <xdr:cNvPr id="376959" name="Text Box 127" hidden="1">
          <a:extLst>
            <a:ext uri="{FF2B5EF4-FFF2-40B4-BE49-F238E27FC236}">
              <a16:creationId xmlns:a16="http://schemas.microsoft.com/office/drawing/2014/main" id="{11903504-5EC4-78B7-6D4D-A91826874F87}"/>
            </a:ext>
          </a:extLst>
        </xdr:cNvPr>
        <xdr:cNvSpPr txBox="1">
          <a:spLocks noChangeArrowheads="1"/>
        </xdr:cNvSpPr>
      </xdr:nvSpPr>
      <xdr:spPr bwMode="auto">
        <a:xfrm>
          <a:off x="11125200" y="88582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0</xdr:rowOff>
    </xdr:from>
    <xdr:to>
      <xdr:col>30</xdr:col>
      <xdr:colOff>647700</xdr:colOff>
      <xdr:row>29</xdr:row>
      <xdr:rowOff>19050</xdr:rowOff>
    </xdr:to>
    <xdr:sp macro="" textlink="">
      <xdr:nvSpPr>
        <xdr:cNvPr id="376958" name="Text Box 126" hidden="1">
          <a:extLst>
            <a:ext uri="{FF2B5EF4-FFF2-40B4-BE49-F238E27FC236}">
              <a16:creationId xmlns:a16="http://schemas.microsoft.com/office/drawing/2014/main" id="{015B8F39-CA08-DACF-C582-ED3496D628EB}"/>
            </a:ext>
          </a:extLst>
        </xdr:cNvPr>
        <xdr:cNvSpPr txBox="1">
          <a:spLocks noChangeArrowheads="1"/>
        </xdr:cNvSpPr>
      </xdr:nvSpPr>
      <xdr:spPr bwMode="auto">
        <a:xfrm>
          <a:off x="24599900" y="49149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58</xdr:row>
      <xdr:rowOff>152400</xdr:rowOff>
    </xdr:from>
    <xdr:to>
      <xdr:col>14</xdr:col>
      <xdr:colOff>571500</xdr:colOff>
      <xdr:row>58</xdr:row>
      <xdr:rowOff>215900</xdr:rowOff>
    </xdr:to>
    <xdr:sp macro="" textlink="">
      <xdr:nvSpPr>
        <xdr:cNvPr id="376957" name="Text Box 125" hidden="1">
          <a:extLst>
            <a:ext uri="{FF2B5EF4-FFF2-40B4-BE49-F238E27FC236}">
              <a16:creationId xmlns:a16="http://schemas.microsoft.com/office/drawing/2014/main" id="{F9FEA4D5-C2B5-867D-6FE7-7441CFA0D9D7}"/>
            </a:ext>
          </a:extLst>
        </xdr:cNvPr>
        <xdr:cNvSpPr txBox="1">
          <a:spLocks noChangeArrowheads="1"/>
        </xdr:cNvSpPr>
      </xdr:nvSpPr>
      <xdr:spPr bwMode="auto">
        <a:xfrm>
          <a:off x="11957050" y="12611100"/>
          <a:ext cx="141605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62</xdr:row>
      <xdr:rowOff>152400</xdr:rowOff>
    </xdr:from>
    <xdr:to>
      <xdr:col>14</xdr:col>
      <xdr:colOff>609600</xdr:colOff>
      <xdr:row>72</xdr:row>
      <xdr:rowOff>133350</xdr:rowOff>
    </xdr:to>
    <xdr:sp macro="" textlink="">
      <xdr:nvSpPr>
        <xdr:cNvPr id="376956" name="Text Box 124" hidden="1">
          <a:extLst>
            <a:ext uri="{FF2B5EF4-FFF2-40B4-BE49-F238E27FC236}">
              <a16:creationId xmlns:a16="http://schemas.microsoft.com/office/drawing/2014/main" id="{1B64F1F3-1D49-52C7-865B-270EB3AFA8CD}"/>
            </a:ext>
          </a:extLst>
        </xdr:cNvPr>
        <xdr:cNvSpPr txBox="1">
          <a:spLocks noChangeArrowheads="1"/>
        </xdr:cNvSpPr>
      </xdr:nvSpPr>
      <xdr:spPr bwMode="auto">
        <a:xfrm>
          <a:off x="11995150" y="13576300"/>
          <a:ext cx="1416050" cy="193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41</xdr:row>
      <xdr:rowOff>76200</xdr:rowOff>
    </xdr:from>
    <xdr:to>
      <xdr:col>14</xdr:col>
      <xdr:colOff>609600</xdr:colOff>
      <xdr:row>45</xdr:row>
      <xdr:rowOff>95250</xdr:rowOff>
    </xdr:to>
    <xdr:sp macro="" textlink="">
      <xdr:nvSpPr>
        <xdr:cNvPr id="376955" name="Text Box 123" hidden="1">
          <a:extLst>
            <a:ext uri="{FF2B5EF4-FFF2-40B4-BE49-F238E27FC236}">
              <a16:creationId xmlns:a16="http://schemas.microsoft.com/office/drawing/2014/main" id="{B8DC45D8-412D-1841-0724-C815DA554BD5}"/>
            </a:ext>
          </a:extLst>
        </xdr:cNvPr>
        <xdr:cNvSpPr txBox="1">
          <a:spLocks noChangeArrowheads="1"/>
        </xdr:cNvSpPr>
      </xdr:nvSpPr>
      <xdr:spPr bwMode="auto">
        <a:xfrm>
          <a:off x="11995150" y="88582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59</xdr:row>
      <xdr:rowOff>158750</xdr:rowOff>
    </xdr:from>
    <xdr:to>
      <xdr:col>6</xdr:col>
      <xdr:colOff>19050</xdr:colOff>
      <xdr:row>70</xdr:row>
      <xdr:rowOff>76200</xdr:rowOff>
    </xdr:to>
    <xdr:sp macro="" textlink="">
      <xdr:nvSpPr>
        <xdr:cNvPr id="376954" name="Text Box 122" hidden="1">
          <a:extLst>
            <a:ext uri="{FF2B5EF4-FFF2-40B4-BE49-F238E27FC236}">
              <a16:creationId xmlns:a16="http://schemas.microsoft.com/office/drawing/2014/main" id="{9DAFBE76-D96B-5BF5-6E1F-F1A38474940F}"/>
            </a:ext>
          </a:extLst>
        </xdr:cNvPr>
        <xdr:cNvSpPr txBox="1">
          <a:spLocks noChangeArrowheads="1"/>
        </xdr:cNvSpPr>
      </xdr:nvSpPr>
      <xdr:spPr bwMode="auto">
        <a:xfrm>
          <a:off x="4051300" y="13004800"/>
          <a:ext cx="1428750" cy="204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14</xdr:row>
      <xdr:rowOff>95250</xdr:rowOff>
    </xdr:from>
    <xdr:to>
      <xdr:col>26</xdr:col>
      <xdr:colOff>666750</xdr:colOff>
      <xdr:row>18</xdr:row>
      <xdr:rowOff>152400</xdr:rowOff>
    </xdr:to>
    <xdr:sp macro="" textlink="">
      <xdr:nvSpPr>
        <xdr:cNvPr id="376953" name="Text Box 121" hidden="1">
          <a:extLst>
            <a:ext uri="{FF2B5EF4-FFF2-40B4-BE49-F238E27FC236}">
              <a16:creationId xmlns:a16="http://schemas.microsoft.com/office/drawing/2014/main" id="{00E8AAC8-FCC2-E797-4DE9-7121AB43FE30}"/>
            </a:ext>
          </a:extLst>
        </xdr:cNvPr>
        <xdr:cNvSpPr txBox="1">
          <a:spLocks noChangeArrowheads="1"/>
        </xdr:cNvSpPr>
      </xdr:nvSpPr>
      <xdr:spPr bwMode="auto">
        <a:xfrm>
          <a:off x="21551900" y="35560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23</xdr:row>
      <xdr:rowOff>95250</xdr:rowOff>
    </xdr:from>
    <xdr:to>
      <xdr:col>26</xdr:col>
      <xdr:colOff>666750</xdr:colOff>
      <xdr:row>27</xdr:row>
      <xdr:rowOff>152400</xdr:rowOff>
    </xdr:to>
    <xdr:sp macro="" textlink="">
      <xdr:nvSpPr>
        <xdr:cNvPr id="376952" name="Text Box 120" hidden="1">
          <a:extLst>
            <a:ext uri="{FF2B5EF4-FFF2-40B4-BE49-F238E27FC236}">
              <a16:creationId xmlns:a16="http://schemas.microsoft.com/office/drawing/2014/main" id="{1AEAE76C-FC74-ED72-8FA8-E9E130D30F71}"/>
            </a:ext>
          </a:extLst>
        </xdr:cNvPr>
        <xdr:cNvSpPr txBox="1">
          <a:spLocks noChangeArrowheads="1"/>
        </xdr:cNvSpPr>
      </xdr:nvSpPr>
      <xdr:spPr bwMode="auto">
        <a:xfrm>
          <a:off x="21551900" y="55626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133</xdr:row>
      <xdr:rowOff>114300</xdr:rowOff>
    </xdr:from>
    <xdr:to>
      <xdr:col>26</xdr:col>
      <xdr:colOff>666750</xdr:colOff>
      <xdr:row>137</xdr:row>
      <xdr:rowOff>152400</xdr:rowOff>
    </xdr:to>
    <xdr:sp macro="" textlink="">
      <xdr:nvSpPr>
        <xdr:cNvPr id="376951" name="Text Box 119" hidden="1">
          <a:extLst>
            <a:ext uri="{FF2B5EF4-FFF2-40B4-BE49-F238E27FC236}">
              <a16:creationId xmlns:a16="http://schemas.microsoft.com/office/drawing/2014/main" id="{4C1EC6A4-AB5A-19E1-1DBA-BECC8ADCF536}"/>
            </a:ext>
          </a:extLst>
        </xdr:cNvPr>
        <xdr:cNvSpPr txBox="1">
          <a:spLocks noChangeArrowheads="1"/>
        </xdr:cNvSpPr>
      </xdr:nvSpPr>
      <xdr:spPr bwMode="auto">
        <a:xfrm>
          <a:off x="21551900" y="274002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14</xdr:row>
      <xdr:rowOff>120650</xdr:rowOff>
    </xdr:from>
    <xdr:to>
      <xdr:col>27</xdr:col>
      <xdr:colOff>666750</xdr:colOff>
      <xdr:row>18</xdr:row>
      <xdr:rowOff>152400</xdr:rowOff>
    </xdr:to>
    <xdr:sp macro="" textlink="">
      <xdr:nvSpPr>
        <xdr:cNvPr id="376986" name="Text Box 154" hidden="1">
          <a:extLst>
            <a:ext uri="{FF2B5EF4-FFF2-40B4-BE49-F238E27FC236}">
              <a16:creationId xmlns:a16="http://schemas.microsoft.com/office/drawing/2014/main" id="{336A74DA-3CD1-995D-5981-6AC38DF51D4B}"/>
            </a:ext>
          </a:extLst>
        </xdr:cNvPr>
        <xdr:cNvSpPr txBox="1">
          <a:spLocks noChangeArrowheads="1"/>
        </xdr:cNvSpPr>
      </xdr:nvSpPr>
      <xdr:spPr bwMode="auto">
        <a:xfrm>
          <a:off x="22313900" y="35814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120650</xdr:rowOff>
    </xdr:from>
    <xdr:to>
      <xdr:col>27</xdr:col>
      <xdr:colOff>666750</xdr:colOff>
      <xdr:row>27</xdr:row>
      <xdr:rowOff>152400</xdr:rowOff>
    </xdr:to>
    <xdr:sp macro="" textlink="">
      <xdr:nvSpPr>
        <xdr:cNvPr id="376987" name="Text Box 155" hidden="1">
          <a:extLst>
            <a:ext uri="{FF2B5EF4-FFF2-40B4-BE49-F238E27FC236}">
              <a16:creationId xmlns:a16="http://schemas.microsoft.com/office/drawing/2014/main" id="{C5908CED-5DD3-2254-B3AF-FF806DC46A92}"/>
            </a:ext>
          </a:extLst>
        </xdr:cNvPr>
        <xdr:cNvSpPr txBox="1">
          <a:spLocks noChangeArrowheads="1"/>
        </xdr:cNvSpPr>
      </xdr:nvSpPr>
      <xdr:spPr bwMode="auto">
        <a:xfrm>
          <a:off x="22313900" y="5588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133</xdr:row>
      <xdr:rowOff>120650</xdr:rowOff>
    </xdr:from>
    <xdr:to>
      <xdr:col>27</xdr:col>
      <xdr:colOff>666750</xdr:colOff>
      <xdr:row>137</xdr:row>
      <xdr:rowOff>152400</xdr:rowOff>
    </xdr:to>
    <xdr:sp macro="" textlink="">
      <xdr:nvSpPr>
        <xdr:cNvPr id="376988" name="Text Box 156" hidden="1">
          <a:extLst>
            <a:ext uri="{FF2B5EF4-FFF2-40B4-BE49-F238E27FC236}">
              <a16:creationId xmlns:a16="http://schemas.microsoft.com/office/drawing/2014/main" id="{65FFD7BE-4133-E139-F36A-821F21816524}"/>
            </a:ext>
          </a:extLst>
        </xdr:cNvPr>
        <xdr:cNvSpPr txBox="1">
          <a:spLocks noChangeArrowheads="1"/>
        </xdr:cNvSpPr>
      </xdr:nvSpPr>
      <xdr:spPr bwMode="auto">
        <a:xfrm>
          <a:off x="22313900" y="274066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1901972</xdr:colOff>
      <xdr:row>53</xdr:row>
      <xdr:rowOff>549</xdr:rowOff>
    </xdr:from>
    <xdr:to>
      <xdr:col>2</xdr:col>
      <xdr:colOff>809458</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1894987</xdr:colOff>
      <xdr:row>53</xdr:row>
      <xdr:rowOff>549</xdr:rowOff>
    </xdr:from>
    <xdr:to>
      <xdr:col>2</xdr:col>
      <xdr:colOff>792948</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53</xdr:row>
      <xdr:rowOff>549</xdr:rowOff>
    </xdr:from>
    <xdr:to>
      <xdr:col>2</xdr:col>
      <xdr:colOff>773898</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53</xdr:row>
      <xdr:rowOff>549</xdr:rowOff>
    </xdr:from>
    <xdr:to>
      <xdr:col>2</xdr:col>
      <xdr:colOff>773898</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57</xdr:row>
      <xdr:rowOff>154015</xdr:rowOff>
    </xdr:from>
    <xdr:to>
      <xdr:col>2</xdr:col>
      <xdr:colOff>773898</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57</xdr:row>
      <xdr:rowOff>154015</xdr:rowOff>
    </xdr:from>
    <xdr:to>
      <xdr:col>2</xdr:col>
      <xdr:colOff>773898</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57</xdr:row>
      <xdr:rowOff>154015</xdr:rowOff>
    </xdr:from>
    <xdr:to>
      <xdr:col>2</xdr:col>
      <xdr:colOff>773898</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57</xdr:row>
      <xdr:rowOff>154015</xdr:rowOff>
    </xdr:from>
    <xdr:to>
      <xdr:col>2</xdr:col>
      <xdr:colOff>773898</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57</xdr:row>
      <xdr:rowOff>154015</xdr:rowOff>
    </xdr:from>
    <xdr:to>
      <xdr:col>2</xdr:col>
      <xdr:colOff>773898</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57</xdr:row>
      <xdr:rowOff>154015</xdr:rowOff>
    </xdr:from>
    <xdr:to>
      <xdr:col>2</xdr:col>
      <xdr:colOff>773898</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53</xdr:row>
      <xdr:rowOff>107008</xdr:rowOff>
    </xdr:from>
    <xdr:to>
      <xdr:col>2</xdr:col>
      <xdr:colOff>659598</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55</xdr:row>
      <xdr:rowOff>83701</xdr:rowOff>
    </xdr:from>
    <xdr:to>
      <xdr:col>2</xdr:col>
      <xdr:colOff>659598</xdr:colOff>
      <xdr:row>59</xdr:row>
      <xdr:rowOff>121836</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57</xdr:row>
      <xdr:rowOff>57359</xdr:rowOff>
    </xdr:from>
    <xdr:to>
      <xdr:col>2</xdr:col>
      <xdr:colOff>659598</xdr:colOff>
      <xdr:row>61</xdr:row>
      <xdr:rowOff>104077</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59</xdr:row>
      <xdr:rowOff>18666</xdr:rowOff>
    </xdr:from>
    <xdr:to>
      <xdr:col>2</xdr:col>
      <xdr:colOff>659598</xdr:colOff>
      <xdr:row>62</xdr:row>
      <xdr:rowOff>48567</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60</xdr:row>
      <xdr:rowOff>172496</xdr:rowOff>
    </xdr:from>
    <xdr:to>
      <xdr:col>2</xdr:col>
      <xdr:colOff>659598</xdr:colOff>
      <xdr:row>63</xdr:row>
      <xdr:rowOff>198281</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61</xdr:row>
      <xdr:rowOff>323152</xdr:rowOff>
    </xdr:from>
    <xdr:to>
      <xdr:col>2</xdr:col>
      <xdr:colOff>659598</xdr:colOff>
      <xdr:row>64</xdr:row>
      <xdr:rowOff>164298</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53</xdr:row>
      <xdr:rowOff>107008</xdr:rowOff>
    </xdr:from>
    <xdr:to>
      <xdr:col>2</xdr:col>
      <xdr:colOff>659598</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55</xdr:row>
      <xdr:rowOff>83701</xdr:rowOff>
    </xdr:from>
    <xdr:to>
      <xdr:col>2</xdr:col>
      <xdr:colOff>659598</xdr:colOff>
      <xdr:row>59</xdr:row>
      <xdr:rowOff>121836</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57</xdr:row>
      <xdr:rowOff>57359</xdr:rowOff>
    </xdr:from>
    <xdr:to>
      <xdr:col>2</xdr:col>
      <xdr:colOff>659598</xdr:colOff>
      <xdr:row>61</xdr:row>
      <xdr:rowOff>104077</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59</xdr:row>
      <xdr:rowOff>18666</xdr:rowOff>
    </xdr:from>
    <xdr:to>
      <xdr:col>2</xdr:col>
      <xdr:colOff>659598</xdr:colOff>
      <xdr:row>62</xdr:row>
      <xdr:rowOff>48567</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60</xdr:row>
      <xdr:rowOff>172496</xdr:rowOff>
    </xdr:from>
    <xdr:to>
      <xdr:col>2</xdr:col>
      <xdr:colOff>659598</xdr:colOff>
      <xdr:row>63</xdr:row>
      <xdr:rowOff>198281</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61</xdr:row>
      <xdr:rowOff>323152</xdr:rowOff>
    </xdr:from>
    <xdr:to>
      <xdr:col>2</xdr:col>
      <xdr:colOff>659598</xdr:colOff>
      <xdr:row>64</xdr:row>
      <xdr:rowOff>164298</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53</xdr:row>
      <xdr:rowOff>107008</xdr:rowOff>
    </xdr:from>
    <xdr:to>
      <xdr:col>2</xdr:col>
      <xdr:colOff>659598</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55</xdr:row>
      <xdr:rowOff>83701</xdr:rowOff>
    </xdr:from>
    <xdr:to>
      <xdr:col>2</xdr:col>
      <xdr:colOff>659598</xdr:colOff>
      <xdr:row>59</xdr:row>
      <xdr:rowOff>121836</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57</xdr:row>
      <xdr:rowOff>57359</xdr:rowOff>
    </xdr:from>
    <xdr:to>
      <xdr:col>2</xdr:col>
      <xdr:colOff>659598</xdr:colOff>
      <xdr:row>61</xdr:row>
      <xdr:rowOff>104077</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59</xdr:row>
      <xdr:rowOff>18666</xdr:rowOff>
    </xdr:from>
    <xdr:to>
      <xdr:col>2</xdr:col>
      <xdr:colOff>659598</xdr:colOff>
      <xdr:row>62</xdr:row>
      <xdr:rowOff>48567</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60</xdr:row>
      <xdr:rowOff>172496</xdr:rowOff>
    </xdr:from>
    <xdr:to>
      <xdr:col>2</xdr:col>
      <xdr:colOff>659598</xdr:colOff>
      <xdr:row>63</xdr:row>
      <xdr:rowOff>198281</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61</xdr:row>
      <xdr:rowOff>323152</xdr:rowOff>
    </xdr:from>
    <xdr:to>
      <xdr:col>2</xdr:col>
      <xdr:colOff>659598</xdr:colOff>
      <xdr:row>64</xdr:row>
      <xdr:rowOff>164298</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53</xdr:row>
      <xdr:rowOff>107008</xdr:rowOff>
    </xdr:from>
    <xdr:to>
      <xdr:col>2</xdr:col>
      <xdr:colOff>659598</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55</xdr:row>
      <xdr:rowOff>83701</xdr:rowOff>
    </xdr:from>
    <xdr:to>
      <xdr:col>2</xdr:col>
      <xdr:colOff>659598</xdr:colOff>
      <xdr:row>59</xdr:row>
      <xdr:rowOff>121836</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57</xdr:row>
      <xdr:rowOff>57359</xdr:rowOff>
    </xdr:from>
    <xdr:to>
      <xdr:col>2</xdr:col>
      <xdr:colOff>659598</xdr:colOff>
      <xdr:row>61</xdr:row>
      <xdr:rowOff>104077</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59</xdr:row>
      <xdr:rowOff>18666</xdr:rowOff>
    </xdr:from>
    <xdr:to>
      <xdr:col>2</xdr:col>
      <xdr:colOff>659598</xdr:colOff>
      <xdr:row>62</xdr:row>
      <xdr:rowOff>48567</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60</xdr:row>
      <xdr:rowOff>172496</xdr:rowOff>
    </xdr:from>
    <xdr:to>
      <xdr:col>2</xdr:col>
      <xdr:colOff>659598</xdr:colOff>
      <xdr:row>63</xdr:row>
      <xdr:rowOff>198281</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61</xdr:row>
      <xdr:rowOff>323152</xdr:rowOff>
    </xdr:from>
    <xdr:to>
      <xdr:col>2</xdr:col>
      <xdr:colOff>659598</xdr:colOff>
      <xdr:row>64</xdr:row>
      <xdr:rowOff>164298</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63</xdr:row>
      <xdr:rowOff>160180</xdr:rowOff>
    </xdr:from>
    <xdr:to>
      <xdr:col>2</xdr:col>
      <xdr:colOff>773898</xdr:colOff>
      <xdr:row>63</xdr:row>
      <xdr:rowOff>160180</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53</xdr:row>
      <xdr:rowOff>107008</xdr:rowOff>
    </xdr:from>
    <xdr:to>
      <xdr:col>2</xdr:col>
      <xdr:colOff>659598</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55</xdr:row>
      <xdr:rowOff>83701</xdr:rowOff>
    </xdr:from>
    <xdr:to>
      <xdr:col>2</xdr:col>
      <xdr:colOff>659598</xdr:colOff>
      <xdr:row>59</xdr:row>
      <xdr:rowOff>121836</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57</xdr:row>
      <xdr:rowOff>57359</xdr:rowOff>
    </xdr:from>
    <xdr:to>
      <xdr:col>2</xdr:col>
      <xdr:colOff>659598</xdr:colOff>
      <xdr:row>61</xdr:row>
      <xdr:rowOff>104077</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59</xdr:row>
      <xdr:rowOff>18666</xdr:rowOff>
    </xdr:from>
    <xdr:to>
      <xdr:col>2</xdr:col>
      <xdr:colOff>659598</xdr:colOff>
      <xdr:row>62</xdr:row>
      <xdr:rowOff>48567</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60</xdr:row>
      <xdr:rowOff>172496</xdr:rowOff>
    </xdr:from>
    <xdr:to>
      <xdr:col>2</xdr:col>
      <xdr:colOff>659598</xdr:colOff>
      <xdr:row>63</xdr:row>
      <xdr:rowOff>198281</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61</xdr:row>
      <xdr:rowOff>323152</xdr:rowOff>
    </xdr:from>
    <xdr:to>
      <xdr:col>2</xdr:col>
      <xdr:colOff>659598</xdr:colOff>
      <xdr:row>64</xdr:row>
      <xdr:rowOff>164298</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67</xdr:row>
      <xdr:rowOff>107846</xdr:rowOff>
    </xdr:from>
    <xdr:to>
      <xdr:col>2</xdr:col>
      <xdr:colOff>773898</xdr:colOff>
      <xdr:row>67</xdr:row>
      <xdr:rowOff>107846</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63</xdr:row>
      <xdr:rowOff>235439</xdr:rowOff>
    </xdr:from>
    <xdr:to>
      <xdr:col>2</xdr:col>
      <xdr:colOff>659598</xdr:colOff>
      <xdr:row>64</xdr:row>
      <xdr:rowOff>159588</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64</xdr:row>
      <xdr:rowOff>159588</xdr:rowOff>
    </xdr:from>
    <xdr:to>
      <xdr:col>2</xdr:col>
      <xdr:colOff>659598</xdr:colOff>
      <xdr:row>65</xdr:row>
      <xdr:rowOff>8792</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8792</xdr:rowOff>
    </xdr:from>
    <xdr:to>
      <xdr:col>2</xdr:col>
      <xdr:colOff>659598</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188162</xdr:rowOff>
    </xdr:from>
    <xdr:to>
      <xdr:col>2</xdr:col>
      <xdr:colOff>659598</xdr:colOff>
      <xdr:row>66</xdr:row>
      <xdr:rowOff>46892</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46892</xdr:rowOff>
    </xdr:from>
    <xdr:to>
      <xdr:col>2</xdr:col>
      <xdr:colOff>659598</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245313</xdr:rowOff>
    </xdr:from>
    <xdr:to>
      <xdr:col>2</xdr:col>
      <xdr:colOff>659598</xdr:colOff>
      <xdr:row>67</xdr:row>
      <xdr:rowOff>180871</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67</xdr:row>
      <xdr:rowOff>107846</xdr:rowOff>
    </xdr:from>
    <xdr:to>
      <xdr:col>2</xdr:col>
      <xdr:colOff>773898</xdr:colOff>
      <xdr:row>67</xdr:row>
      <xdr:rowOff>107846</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63</xdr:row>
      <xdr:rowOff>235439</xdr:rowOff>
    </xdr:from>
    <xdr:to>
      <xdr:col>2</xdr:col>
      <xdr:colOff>659598</xdr:colOff>
      <xdr:row>64</xdr:row>
      <xdr:rowOff>159588</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64</xdr:row>
      <xdr:rowOff>159588</xdr:rowOff>
    </xdr:from>
    <xdr:to>
      <xdr:col>2</xdr:col>
      <xdr:colOff>659598</xdr:colOff>
      <xdr:row>65</xdr:row>
      <xdr:rowOff>8792</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8792</xdr:rowOff>
    </xdr:from>
    <xdr:to>
      <xdr:col>2</xdr:col>
      <xdr:colOff>659598</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188162</xdr:rowOff>
    </xdr:from>
    <xdr:to>
      <xdr:col>2</xdr:col>
      <xdr:colOff>659598</xdr:colOff>
      <xdr:row>66</xdr:row>
      <xdr:rowOff>46892</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46892</xdr:rowOff>
    </xdr:from>
    <xdr:to>
      <xdr:col>2</xdr:col>
      <xdr:colOff>659598</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245313</xdr:rowOff>
    </xdr:from>
    <xdr:to>
      <xdr:col>2</xdr:col>
      <xdr:colOff>659598</xdr:colOff>
      <xdr:row>67</xdr:row>
      <xdr:rowOff>180871</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67</xdr:row>
      <xdr:rowOff>107846</xdr:rowOff>
    </xdr:from>
    <xdr:to>
      <xdr:col>2</xdr:col>
      <xdr:colOff>773898</xdr:colOff>
      <xdr:row>67</xdr:row>
      <xdr:rowOff>107846</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63</xdr:row>
      <xdr:rowOff>235439</xdr:rowOff>
    </xdr:from>
    <xdr:to>
      <xdr:col>2</xdr:col>
      <xdr:colOff>659598</xdr:colOff>
      <xdr:row>64</xdr:row>
      <xdr:rowOff>159588</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64</xdr:row>
      <xdr:rowOff>159588</xdr:rowOff>
    </xdr:from>
    <xdr:to>
      <xdr:col>2</xdr:col>
      <xdr:colOff>659598</xdr:colOff>
      <xdr:row>65</xdr:row>
      <xdr:rowOff>8792</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8792</xdr:rowOff>
    </xdr:from>
    <xdr:to>
      <xdr:col>2</xdr:col>
      <xdr:colOff>659598</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188162</xdr:rowOff>
    </xdr:from>
    <xdr:to>
      <xdr:col>2</xdr:col>
      <xdr:colOff>659598</xdr:colOff>
      <xdr:row>66</xdr:row>
      <xdr:rowOff>46892</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46892</xdr:rowOff>
    </xdr:from>
    <xdr:to>
      <xdr:col>2</xdr:col>
      <xdr:colOff>659598</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245313</xdr:rowOff>
    </xdr:from>
    <xdr:to>
      <xdr:col>2</xdr:col>
      <xdr:colOff>659598</xdr:colOff>
      <xdr:row>67</xdr:row>
      <xdr:rowOff>180871</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67</xdr:row>
      <xdr:rowOff>107846</xdr:rowOff>
    </xdr:from>
    <xdr:to>
      <xdr:col>2</xdr:col>
      <xdr:colOff>773898</xdr:colOff>
      <xdr:row>67</xdr:row>
      <xdr:rowOff>107846</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63</xdr:row>
      <xdr:rowOff>235439</xdr:rowOff>
    </xdr:from>
    <xdr:to>
      <xdr:col>2</xdr:col>
      <xdr:colOff>659598</xdr:colOff>
      <xdr:row>64</xdr:row>
      <xdr:rowOff>159588</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64</xdr:row>
      <xdr:rowOff>159588</xdr:rowOff>
    </xdr:from>
    <xdr:to>
      <xdr:col>2</xdr:col>
      <xdr:colOff>659598</xdr:colOff>
      <xdr:row>65</xdr:row>
      <xdr:rowOff>8792</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8792</xdr:rowOff>
    </xdr:from>
    <xdr:to>
      <xdr:col>2</xdr:col>
      <xdr:colOff>659598</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188162</xdr:rowOff>
    </xdr:from>
    <xdr:to>
      <xdr:col>2</xdr:col>
      <xdr:colOff>659598</xdr:colOff>
      <xdr:row>66</xdr:row>
      <xdr:rowOff>46892</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46892</xdr:rowOff>
    </xdr:from>
    <xdr:to>
      <xdr:col>2</xdr:col>
      <xdr:colOff>659598</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245313</xdr:rowOff>
    </xdr:from>
    <xdr:to>
      <xdr:col>2</xdr:col>
      <xdr:colOff>659598</xdr:colOff>
      <xdr:row>67</xdr:row>
      <xdr:rowOff>180871</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67</xdr:row>
      <xdr:rowOff>107846</xdr:rowOff>
    </xdr:from>
    <xdr:to>
      <xdr:col>2</xdr:col>
      <xdr:colOff>773898</xdr:colOff>
      <xdr:row>67</xdr:row>
      <xdr:rowOff>107846</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63</xdr:row>
      <xdr:rowOff>235439</xdr:rowOff>
    </xdr:from>
    <xdr:to>
      <xdr:col>2</xdr:col>
      <xdr:colOff>659598</xdr:colOff>
      <xdr:row>64</xdr:row>
      <xdr:rowOff>159588</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64</xdr:row>
      <xdr:rowOff>159588</xdr:rowOff>
    </xdr:from>
    <xdr:to>
      <xdr:col>2</xdr:col>
      <xdr:colOff>659598</xdr:colOff>
      <xdr:row>65</xdr:row>
      <xdr:rowOff>8792</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8792</xdr:rowOff>
    </xdr:from>
    <xdr:to>
      <xdr:col>2</xdr:col>
      <xdr:colOff>659598</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188162</xdr:rowOff>
    </xdr:from>
    <xdr:to>
      <xdr:col>2</xdr:col>
      <xdr:colOff>659598</xdr:colOff>
      <xdr:row>66</xdr:row>
      <xdr:rowOff>46892</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46892</xdr:rowOff>
    </xdr:from>
    <xdr:to>
      <xdr:col>2</xdr:col>
      <xdr:colOff>659598</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245313</xdr:rowOff>
    </xdr:from>
    <xdr:to>
      <xdr:col>2</xdr:col>
      <xdr:colOff>659598</xdr:colOff>
      <xdr:row>67</xdr:row>
      <xdr:rowOff>180871</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67</xdr:row>
      <xdr:rowOff>107846</xdr:rowOff>
    </xdr:from>
    <xdr:to>
      <xdr:col>2</xdr:col>
      <xdr:colOff>773898</xdr:colOff>
      <xdr:row>67</xdr:row>
      <xdr:rowOff>107846</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63</xdr:row>
      <xdr:rowOff>235439</xdr:rowOff>
    </xdr:from>
    <xdr:to>
      <xdr:col>2</xdr:col>
      <xdr:colOff>659598</xdr:colOff>
      <xdr:row>64</xdr:row>
      <xdr:rowOff>159588</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64</xdr:row>
      <xdr:rowOff>159588</xdr:rowOff>
    </xdr:from>
    <xdr:to>
      <xdr:col>2</xdr:col>
      <xdr:colOff>659598</xdr:colOff>
      <xdr:row>65</xdr:row>
      <xdr:rowOff>8792</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8792</xdr:rowOff>
    </xdr:from>
    <xdr:to>
      <xdr:col>2</xdr:col>
      <xdr:colOff>659598</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188162</xdr:rowOff>
    </xdr:from>
    <xdr:to>
      <xdr:col>2</xdr:col>
      <xdr:colOff>659598</xdr:colOff>
      <xdr:row>66</xdr:row>
      <xdr:rowOff>46892</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46892</xdr:rowOff>
    </xdr:from>
    <xdr:to>
      <xdr:col>2</xdr:col>
      <xdr:colOff>659598</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245313</xdr:rowOff>
    </xdr:from>
    <xdr:to>
      <xdr:col>2</xdr:col>
      <xdr:colOff>659598</xdr:colOff>
      <xdr:row>67</xdr:row>
      <xdr:rowOff>180871</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68</xdr:row>
      <xdr:rowOff>160181</xdr:rowOff>
    </xdr:from>
    <xdr:to>
      <xdr:col>2</xdr:col>
      <xdr:colOff>773898</xdr:colOff>
      <xdr:row>68</xdr:row>
      <xdr:rowOff>160181</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198281</xdr:rowOff>
    </xdr:from>
    <xdr:to>
      <xdr:col>2</xdr:col>
      <xdr:colOff>659598</xdr:colOff>
      <xdr:row>66</xdr:row>
      <xdr:rowOff>179231</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142736</xdr:rowOff>
    </xdr:from>
    <xdr:to>
      <xdr:col>2</xdr:col>
      <xdr:colOff>659598</xdr:colOff>
      <xdr:row>67</xdr:row>
      <xdr:rowOff>489</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489</xdr:rowOff>
    </xdr:from>
    <xdr:to>
      <xdr:col>2</xdr:col>
      <xdr:colOff>659598</xdr:colOff>
      <xdr:row>67</xdr:row>
      <xdr:rowOff>179231</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179231</xdr:rowOff>
    </xdr:from>
    <xdr:to>
      <xdr:col>2</xdr:col>
      <xdr:colOff>659598</xdr:colOff>
      <xdr:row>67</xdr:row>
      <xdr:rowOff>293531</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293531</xdr:rowOff>
    </xdr:from>
    <xdr:to>
      <xdr:col>2</xdr:col>
      <xdr:colOff>659598</xdr:colOff>
      <xdr:row>68</xdr:row>
      <xdr:rowOff>66536</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68</xdr:row>
      <xdr:rowOff>66536</xdr:rowOff>
    </xdr:from>
    <xdr:to>
      <xdr:col>2</xdr:col>
      <xdr:colOff>659598</xdr:colOff>
      <xdr:row>68</xdr:row>
      <xdr:rowOff>236381</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68</xdr:row>
      <xdr:rowOff>160181</xdr:rowOff>
    </xdr:from>
    <xdr:to>
      <xdr:col>2</xdr:col>
      <xdr:colOff>773898</xdr:colOff>
      <xdr:row>68</xdr:row>
      <xdr:rowOff>160181</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65</xdr:row>
      <xdr:rowOff>198281</xdr:rowOff>
    </xdr:from>
    <xdr:to>
      <xdr:col>2</xdr:col>
      <xdr:colOff>659598</xdr:colOff>
      <xdr:row>66</xdr:row>
      <xdr:rowOff>179231</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142736</xdr:rowOff>
    </xdr:from>
    <xdr:to>
      <xdr:col>2</xdr:col>
      <xdr:colOff>659598</xdr:colOff>
      <xdr:row>67</xdr:row>
      <xdr:rowOff>489</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489</xdr:rowOff>
    </xdr:from>
    <xdr:to>
      <xdr:col>2</xdr:col>
      <xdr:colOff>659598</xdr:colOff>
      <xdr:row>67</xdr:row>
      <xdr:rowOff>179231</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179231</xdr:rowOff>
    </xdr:from>
    <xdr:to>
      <xdr:col>2</xdr:col>
      <xdr:colOff>659598</xdr:colOff>
      <xdr:row>67</xdr:row>
      <xdr:rowOff>293531</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293531</xdr:rowOff>
    </xdr:from>
    <xdr:to>
      <xdr:col>2</xdr:col>
      <xdr:colOff>659598</xdr:colOff>
      <xdr:row>68</xdr:row>
      <xdr:rowOff>66536</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68</xdr:row>
      <xdr:rowOff>66536</xdr:rowOff>
    </xdr:from>
    <xdr:to>
      <xdr:col>2</xdr:col>
      <xdr:colOff>659598</xdr:colOff>
      <xdr:row>68</xdr:row>
      <xdr:rowOff>236381</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1875937</xdr:colOff>
      <xdr:row>69</xdr:row>
      <xdr:rowOff>0</xdr:rowOff>
    </xdr:from>
    <xdr:to>
      <xdr:col>2</xdr:col>
      <xdr:colOff>773898</xdr:colOff>
      <xdr:row>69</xdr:row>
      <xdr:rowOff>0</xdr:rowOff>
    </xdr:to>
    <xdr:sp macro="" textlink="">
      <xdr:nvSpPr>
        <xdr:cNvPr id="377863" name="Text Box 7" hidden="1">
          <a:extLst>
            <a:ext uri="{FF2B5EF4-FFF2-40B4-BE49-F238E27FC236}">
              <a16:creationId xmlns:a16="http://schemas.microsoft.com/office/drawing/2014/main" id="{8BB22F0A-6C22-B387-FD71-B611F6DA7ADC}"/>
            </a:ext>
          </a:extLst>
        </xdr:cNvPr>
        <xdr:cNvSpPr txBox="1">
          <a:spLocks noChangeArrowheads="1"/>
        </xdr:cNvSpPr>
      </xdr:nvSpPr>
      <xdr:spPr bwMode="auto">
        <a:xfrm>
          <a:off x="2724150" y="1381125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66</xdr:row>
      <xdr:rowOff>171450</xdr:rowOff>
    </xdr:from>
    <xdr:to>
      <xdr:col>2</xdr:col>
      <xdr:colOff>659598</xdr:colOff>
      <xdr:row>67</xdr:row>
      <xdr:rowOff>152400</xdr:rowOff>
    </xdr:to>
    <xdr:sp macro="" textlink="">
      <xdr:nvSpPr>
        <xdr:cNvPr id="377862" name="Text Box 6" hidden="1">
          <a:extLst>
            <a:ext uri="{FF2B5EF4-FFF2-40B4-BE49-F238E27FC236}">
              <a16:creationId xmlns:a16="http://schemas.microsoft.com/office/drawing/2014/main" id="{C6700B10-2481-46CF-B87C-AD3B8E4A7959}"/>
            </a:ext>
          </a:extLst>
        </xdr:cNvPr>
        <xdr:cNvSpPr txBox="1">
          <a:spLocks noChangeArrowheads="1"/>
        </xdr:cNvSpPr>
      </xdr:nvSpPr>
      <xdr:spPr bwMode="auto">
        <a:xfrm>
          <a:off x="2705100" y="129921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133350</xdr:rowOff>
    </xdr:from>
    <xdr:to>
      <xdr:col>2</xdr:col>
      <xdr:colOff>659598</xdr:colOff>
      <xdr:row>67</xdr:row>
      <xdr:rowOff>304800</xdr:rowOff>
    </xdr:to>
    <xdr:sp macro="" textlink="">
      <xdr:nvSpPr>
        <xdr:cNvPr id="377861" name="Text Box 5" hidden="1">
          <a:extLst>
            <a:ext uri="{FF2B5EF4-FFF2-40B4-BE49-F238E27FC236}">
              <a16:creationId xmlns:a16="http://schemas.microsoft.com/office/drawing/2014/main" id="{B5A64647-06CD-D687-7C6B-842C1B28EA07}"/>
            </a:ext>
          </a:extLst>
        </xdr:cNvPr>
        <xdr:cNvSpPr txBox="1">
          <a:spLocks noChangeArrowheads="1"/>
        </xdr:cNvSpPr>
      </xdr:nvSpPr>
      <xdr:spPr bwMode="auto">
        <a:xfrm>
          <a:off x="2705100" y="13284200"/>
          <a:ext cx="132080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67</xdr:row>
      <xdr:rowOff>304800</xdr:rowOff>
    </xdr:from>
    <xdr:to>
      <xdr:col>2</xdr:col>
      <xdr:colOff>659598</xdr:colOff>
      <xdr:row>68</xdr:row>
      <xdr:rowOff>152400</xdr:rowOff>
    </xdr:to>
    <xdr:sp macro="" textlink="">
      <xdr:nvSpPr>
        <xdr:cNvPr id="377860" name="Text Box 4" hidden="1">
          <a:extLst>
            <a:ext uri="{FF2B5EF4-FFF2-40B4-BE49-F238E27FC236}">
              <a16:creationId xmlns:a16="http://schemas.microsoft.com/office/drawing/2014/main" id="{F36D56D0-C829-6497-83EF-9A1048D2058B}"/>
            </a:ext>
          </a:extLst>
        </xdr:cNvPr>
        <xdr:cNvSpPr txBox="1">
          <a:spLocks noChangeArrowheads="1"/>
        </xdr:cNvSpPr>
      </xdr:nvSpPr>
      <xdr:spPr bwMode="auto">
        <a:xfrm>
          <a:off x="2705100" y="134556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68</xdr:row>
      <xdr:rowOff>152400</xdr:rowOff>
    </xdr:from>
    <xdr:to>
      <xdr:col>2</xdr:col>
      <xdr:colOff>659598</xdr:colOff>
      <xdr:row>68</xdr:row>
      <xdr:rowOff>266700</xdr:rowOff>
    </xdr:to>
    <xdr:sp macro="" textlink="">
      <xdr:nvSpPr>
        <xdr:cNvPr id="377859" name="Text Box 3" hidden="1">
          <a:extLst>
            <a:ext uri="{FF2B5EF4-FFF2-40B4-BE49-F238E27FC236}">
              <a16:creationId xmlns:a16="http://schemas.microsoft.com/office/drawing/2014/main" id="{790B31AA-73EA-0FED-B469-127E1441C301}"/>
            </a:ext>
          </a:extLst>
        </xdr:cNvPr>
        <xdr:cNvSpPr txBox="1">
          <a:spLocks noChangeArrowheads="1"/>
        </xdr:cNvSpPr>
      </xdr:nvSpPr>
      <xdr:spPr bwMode="auto">
        <a:xfrm>
          <a:off x="2705100" y="136334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68</xdr:row>
      <xdr:rowOff>266700</xdr:rowOff>
    </xdr:from>
    <xdr:to>
      <xdr:col>2</xdr:col>
      <xdr:colOff>659598</xdr:colOff>
      <xdr:row>69</xdr:row>
      <xdr:rowOff>0</xdr:rowOff>
    </xdr:to>
    <xdr:sp macro="" textlink="">
      <xdr:nvSpPr>
        <xdr:cNvPr id="377858" name="Text Box 2" hidden="1">
          <a:extLst>
            <a:ext uri="{FF2B5EF4-FFF2-40B4-BE49-F238E27FC236}">
              <a16:creationId xmlns:a16="http://schemas.microsoft.com/office/drawing/2014/main" id="{B5A23781-FBD8-CF43-CD97-16D60463F32D}"/>
            </a:ext>
          </a:extLst>
        </xdr:cNvPr>
        <xdr:cNvSpPr txBox="1">
          <a:spLocks noChangeArrowheads="1"/>
        </xdr:cNvSpPr>
      </xdr:nvSpPr>
      <xdr:spPr bwMode="auto">
        <a:xfrm>
          <a:off x="2705100" y="13747750"/>
          <a:ext cx="132080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1856887</xdr:colOff>
      <xdr:row>69</xdr:row>
      <xdr:rowOff>0</xdr:rowOff>
    </xdr:from>
    <xdr:to>
      <xdr:col>2</xdr:col>
      <xdr:colOff>659598</xdr:colOff>
      <xdr:row>69</xdr:row>
      <xdr:rowOff>76200</xdr:rowOff>
    </xdr:to>
    <xdr:sp macro="" textlink="">
      <xdr:nvSpPr>
        <xdr:cNvPr id="377857" name="Text Box 1" hidden="1">
          <a:extLst>
            <a:ext uri="{FF2B5EF4-FFF2-40B4-BE49-F238E27FC236}">
              <a16:creationId xmlns:a16="http://schemas.microsoft.com/office/drawing/2014/main" id="{0AAF2612-B8CA-EFA0-3514-D7A7EA8827C8}"/>
            </a:ext>
          </a:extLst>
        </xdr:cNvPr>
        <xdr:cNvSpPr txBox="1">
          <a:spLocks noChangeArrowheads="1"/>
        </xdr:cNvSpPr>
      </xdr:nvSpPr>
      <xdr:spPr bwMode="auto">
        <a:xfrm>
          <a:off x="2705100" y="13811250"/>
          <a:ext cx="132080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7870" name="Text Box 14" hidden="1">
          <a:extLst>
            <a:ext uri="{FF2B5EF4-FFF2-40B4-BE49-F238E27FC236}">
              <a16:creationId xmlns:a16="http://schemas.microsoft.com/office/drawing/2014/main" id="{F30896FF-F291-0412-DAC6-89DA32F9BBAE}"/>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7869" name="Text Box 13" hidden="1">
          <a:extLst>
            <a:ext uri="{FF2B5EF4-FFF2-40B4-BE49-F238E27FC236}">
              <a16:creationId xmlns:a16="http://schemas.microsoft.com/office/drawing/2014/main" id="{3A18388C-5032-DCF9-5FF7-E850FC18CBA0}"/>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7868" name="Text Box 12" hidden="1">
          <a:extLst>
            <a:ext uri="{FF2B5EF4-FFF2-40B4-BE49-F238E27FC236}">
              <a16:creationId xmlns:a16="http://schemas.microsoft.com/office/drawing/2014/main" id="{ED522DCB-A347-241F-9396-D63837A63C4F}"/>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7867" name="Text Box 11" hidden="1">
          <a:extLst>
            <a:ext uri="{FF2B5EF4-FFF2-40B4-BE49-F238E27FC236}">
              <a16:creationId xmlns:a16="http://schemas.microsoft.com/office/drawing/2014/main" id="{E854FBB5-12C1-1524-C268-C22930F0AFF7}"/>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266700</xdr:rowOff>
    </xdr:to>
    <xdr:sp macro="" textlink="">
      <xdr:nvSpPr>
        <xdr:cNvPr id="377866" name="Text Box 10" hidden="1">
          <a:extLst>
            <a:ext uri="{FF2B5EF4-FFF2-40B4-BE49-F238E27FC236}">
              <a16:creationId xmlns:a16="http://schemas.microsoft.com/office/drawing/2014/main" id="{2D13C46A-DDCB-9A36-369D-652A85896E8E}"/>
            </a:ext>
          </a:extLst>
        </xdr:cNvPr>
        <xdr:cNvSpPr txBox="1">
          <a:spLocks noChangeArrowheads="1"/>
        </xdr:cNvSpPr>
      </xdr:nvSpPr>
      <xdr:spPr bwMode="auto">
        <a:xfrm>
          <a:off x="2609850" y="13633450"/>
          <a:ext cx="140335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266700</xdr:rowOff>
    </xdr:from>
    <xdr:to>
      <xdr:col>2</xdr:col>
      <xdr:colOff>666750</xdr:colOff>
      <xdr:row>69</xdr:row>
      <xdr:rowOff>0</xdr:rowOff>
    </xdr:to>
    <xdr:sp macro="" textlink="">
      <xdr:nvSpPr>
        <xdr:cNvPr id="377865" name="Text Box 9" hidden="1">
          <a:extLst>
            <a:ext uri="{FF2B5EF4-FFF2-40B4-BE49-F238E27FC236}">
              <a16:creationId xmlns:a16="http://schemas.microsoft.com/office/drawing/2014/main" id="{67665116-3AFD-E42D-108B-2A211B45D05C}"/>
            </a:ext>
          </a:extLst>
        </xdr:cNvPr>
        <xdr:cNvSpPr txBox="1">
          <a:spLocks noChangeArrowheads="1"/>
        </xdr:cNvSpPr>
      </xdr:nvSpPr>
      <xdr:spPr bwMode="auto">
        <a:xfrm>
          <a:off x="2609850" y="13747750"/>
          <a:ext cx="140335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67</xdr:row>
      <xdr:rowOff>234950</xdr:rowOff>
    </xdr:from>
    <xdr:to>
      <xdr:col>3</xdr:col>
      <xdr:colOff>552450</xdr:colOff>
      <xdr:row>67</xdr:row>
      <xdr:rowOff>311150</xdr:rowOff>
    </xdr:to>
    <xdr:sp macro="" textlink="">
      <xdr:nvSpPr>
        <xdr:cNvPr id="377864" name="Text Box 8" hidden="1">
          <a:extLst>
            <a:ext uri="{FF2B5EF4-FFF2-40B4-BE49-F238E27FC236}">
              <a16:creationId xmlns:a16="http://schemas.microsoft.com/office/drawing/2014/main" id="{E8AA7E18-0905-3AF1-831D-6353F99AA0FA}"/>
            </a:ext>
          </a:extLst>
        </xdr:cNvPr>
        <xdr:cNvSpPr txBox="1">
          <a:spLocks noChangeArrowheads="1"/>
        </xdr:cNvSpPr>
      </xdr:nvSpPr>
      <xdr:spPr bwMode="auto">
        <a:xfrm>
          <a:off x="3486150" y="13385800"/>
          <a:ext cx="133350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7877" name="Text Box 21" hidden="1">
          <a:extLst>
            <a:ext uri="{FF2B5EF4-FFF2-40B4-BE49-F238E27FC236}">
              <a16:creationId xmlns:a16="http://schemas.microsoft.com/office/drawing/2014/main" id="{FAC874E0-ECE4-97E6-A978-BC31269C0AF4}"/>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7876" name="Text Box 20" hidden="1">
          <a:extLst>
            <a:ext uri="{FF2B5EF4-FFF2-40B4-BE49-F238E27FC236}">
              <a16:creationId xmlns:a16="http://schemas.microsoft.com/office/drawing/2014/main" id="{402DD1F6-969C-5B86-F990-E52C3099334A}"/>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7875" name="Text Box 19" hidden="1">
          <a:extLst>
            <a:ext uri="{FF2B5EF4-FFF2-40B4-BE49-F238E27FC236}">
              <a16:creationId xmlns:a16="http://schemas.microsoft.com/office/drawing/2014/main" id="{BD043ED2-25D9-2778-DC96-98D3EFD01D33}"/>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7874" name="Text Box 18" hidden="1">
          <a:extLst>
            <a:ext uri="{FF2B5EF4-FFF2-40B4-BE49-F238E27FC236}">
              <a16:creationId xmlns:a16="http://schemas.microsoft.com/office/drawing/2014/main" id="{40B9FACE-7FAB-8746-2554-E68C8088340D}"/>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266700</xdr:rowOff>
    </xdr:to>
    <xdr:sp macro="" textlink="">
      <xdr:nvSpPr>
        <xdr:cNvPr id="377873" name="Text Box 17" hidden="1">
          <a:extLst>
            <a:ext uri="{FF2B5EF4-FFF2-40B4-BE49-F238E27FC236}">
              <a16:creationId xmlns:a16="http://schemas.microsoft.com/office/drawing/2014/main" id="{634587D1-EF12-60B6-F342-1EB5402E8554}"/>
            </a:ext>
          </a:extLst>
        </xdr:cNvPr>
        <xdr:cNvSpPr txBox="1">
          <a:spLocks noChangeArrowheads="1"/>
        </xdr:cNvSpPr>
      </xdr:nvSpPr>
      <xdr:spPr bwMode="auto">
        <a:xfrm>
          <a:off x="2609850" y="13633450"/>
          <a:ext cx="140335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266700</xdr:rowOff>
    </xdr:from>
    <xdr:to>
      <xdr:col>2</xdr:col>
      <xdr:colOff>666750</xdr:colOff>
      <xdr:row>69</xdr:row>
      <xdr:rowOff>0</xdr:rowOff>
    </xdr:to>
    <xdr:sp macro="" textlink="">
      <xdr:nvSpPr>
        <xdr:cNvPr id="377872" name="Text Box 16" hidden="1">
          <a:extLst>
            <a:ext uri="{FF2B5EF4-FFF2-40B4-BE49-F238E27FC236}">
              <a16:creationId xmlns:a16="http://schemas.microsoft.com/office/drawing/2014/main" id="{97D94F66-CCA2-90B3-6CD5-8328838C3EA5}"/>
            </a:ext>
          </a:extLst>
        </xdr:cNvPr>
        <xdr:cNvSpPr txBox="1">
          <a:spLocks noChangeArrowheads="1"/>
        </xdr:cNvSpPr>
      </xdr:nvSpPr>
      <xdr:spPr bwMode="auto">
        <a:xfrm>
          <a:off x="2609850" y="13747750"/>
          <a:ext cx="140335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67</xdr:row>
      <xdr:rowOff>228600</xdr:rowOff>
    </xdr:from>
    <xdr:to>
      <xdr:col>3</xdr:col>
      <xdr:colOff>552450</xdr:colOff>
      <xdr:row>67</xdr:row>
      <xdr:rowOff>304800</xdr:rowOff>
    </xdr:to>
    <xdr:sp macro="" textlink="">
      <xdr:nvSpPr>
        <xdr:cNvPr id="377871" name="Text Box 15" hidden="1">
          <a:extLst>
            <a:ext uri="{FF2B5EF4-FFF2-40B4-BE49-F238E27FC236}">
              <a16:creationId xmlns:a16="http://schemas.microsoft.com/office/drawing/2014/main" id="{B7348E55-A51C-BB36-C360-85EB31795D6B}"/>
            </a:ext>
          </a:extLst>
        </xdr:cNvPr>
        <xdr:cNvSpPr txBox="1">
          <a:spLocks noChangeArrowheads="1"/>
        </xdr:cNvSpPr>
      </xdr:nvSpPr>
      <xdr:spPr bwMode="auto">
        <a:xfrm>
          <a:off x="3479800" y="13379450"/>
          <a:ext cx="133985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7884" name="Text Box 28" hidden="1">
          <a:extLst>
            <a:ext uri="{FF2B5EF4-FFF2-40B4-BE49-F238E27FC236}">
              <a16:creationId xmlns:a16="http://schemas.microsoft.com/office/drawing/2014/main" id="{579A0ED0-EF19-2779-0A41-6DA44AE6A2EA}"/>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7883" name="Text Box 27" hidden="1">
          <a:extLst>
            <a:ext uri="{FF2B5EF4-FFF2-40B4-BE49-F238E27FC236}">
              <a16:creationId xmlns:a16="http://schemas.microsoft.com/office/drawing/2014/main" id="{F50A954E-4AE4-4BAC-AD41-2B753099D49B}"/>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7882" name="Text Box 26" hidden="1">
          <a:extLst>
            <a:ext uri="{FF2B5EF4-FFF2-40B4-BE49-F238E27FC236}">
              <a16:creationId xmlns:a16="http://schemas.microsoft.com/office/drawing/2014/main" id="{E593108E-280E-E601-05FA-B017F8D3C803}"/>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7881" name="Text Box 25" hidden="1">
          <a:extLst>
            <a:ext uri="{FF2B5EF4-FFF2-40B4-BE49-F238E27FC236}">
              <a16:creationId xmlns:a16="http://schemas.microsoft.com/office/drawing/2014/main" id="{4577CFBC-738D-1EEE-C23E-BA7563ADE075}"/>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247650</xdr:rowOff>
    </xdr:to>
    <xdr:sp macro="" textlink="">
      <xdr:nvSpPr>
        <xdr:cNvPr id="377880" name="Text Box 24" hidden="1">
          <a:extLst>
            <a:ext uri="{FF2B5EF4-FFF2-40B4-BE49-F238E27FC236}">
              <a16:creationId xmlns:a16="http://schemas.microsoft.com/office/drawing/2014/main" id="{E0FF1066-11A7-2E0E-53A7-D903DF606082}"/>
            </a:ext>
          </a:extLst>
        </xdr:cNvPr>
        <xdr:cNvSpPr txBox="1">
          <a:spLocks noChangeArrowheads="1"/>
        </xdr:cNvSpPr>
      </xdr:nvSpPr>
      <xdr:spPr bwMode="auto">
        <a:xfrm>
          <a:off x="2609850" y="13633450"/>
          <a:ext cx="1403350" cy="95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247650</xdr:rowOff>
    </xdr:from>
    <xdr:to>
      <xdr:col>2</xdr:col>
      <xdr:colOff>666750</xdr:colOff>
      <xdr:row>69</xdr:row>
      <xdr:rowOff>0</xdr:rowOff>
    </xdr:to>
    <xdr:sp macro="" textlink="">
      <xdr:nvSpPr>
        <xdr:cNvPr id="377879" name="Text Box 23" hidden="1">
          <a:extLst>
            <a:ext uri="{FF2B5EF4-FFF2-40B4-BE49-F238E27FC236}">
              <a16:creationId xmlns:a16="http://schemas.microsoft.com/office/drawing/2014/main" id="{A6A9ECB1-B701-29B7-7A12-6E6045845EA7}"/>
            </a:ext>
          </a:extLst>
        </xdr:cNvPr>
        <xdr:cNvSpPr txBox="1">
          <a:spLocks noChangeArrowheads="1"/>
        </xdr:cNvSpPr>
      </xdr:nvSpPr>
      <xdr:spPr bwMode="auto">
        <a:xfrm>
          <a:off x="2609850" y="13728700"/>
          <a:ext cx="1403350" cy="82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67</xdr:row>
      <xdr:rowOff>228600</xdr:rowOff>
    </xdr:from>
    <xdr:to>
      <xdr:col>3</xdr:col>
      <xdr:colOff>552450</xdr:colOff>
      <xdr:row>67</xdr:row>
      <xdr:rowOff>304800</xdr:rowOff>
    </xdr:to>
    <xdr:sp macro="" textlink="">
      <xdr:nvSpPr>
        <xdr:cNvPr id="377878" name="Text Box 22" hidden="1">
          <a:extLst>
            <a:ext uri="{FF2B5EF4-FFF2-40B4-BE49-F238E27FC236}">
              <a16:creationId xmlns:a16="http://schemas.microsoft.com/office/drawing/2014/main" id="{6D9650AD-5CAB-7F52-BD71-6E18A9D88A53}"/>
            </a:ext>
          </a:extLst>
        </xdr:cNvPr>
        <xdr:cNvSpPr txBox="1">
          <a:spLocks noChangeArrowheads="1"/>
        </xdr:cNvSpPr>
      </xdr:nvSpPr>
      <xdr:spPr bwMode="auto">
        <a:xfrm>
          <a:off x="3479800" y="13379450"/>
          <a:ext cx="133985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8.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2.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1" name="Text Box 9" hidden="1">
          <a:extLst>
            <a:ext uri="{FF2B5EF4-FFF2-40B4-BE49-F238E27FC236}">
              <a16:creationId xmlns:a16="http://schemas.microsoft.com/office/drawing/2014/main" id="{D2975039-EEF4-3238-EFE1-79EA89F6B9AA}"/>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2" name="Text Box 10" hidden="1">
          <a:extLst>
            <a:ext uri="{FF2B5EF4-FFF2-40B4-BE49-F238E27FC236}">
              <a16:creationId xmlns:a16="http://schemas.microsoft.com/office/drawing/2014/main" id="{C65F7316-C5A6-317C-70A4-0324540324D1}"/>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3" name="Text Box 11" hidden="1">
          <a:extLst>
            <a:ext uri="{FF2B5EF4-FFF2-40B4-BE49-F238E27FC236}">
              <a16:creationId xmlns:a16="http://schemas.microsoft.com/office/drawing/2014/main" id="{134E6C68-3696-543A-AEC0-4E39610EE867}"/>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4" name="Text Box 12" hidden="1">
          <a:extLst>
            <a:ext uri="{FF2B5EF4-FFF2-40B4-BE49-F238E27FC236}">
              <a16:creationId xmlns:a16="http://schemas.microsoft.com/office/drawing/2014/main" id="{C6363F84-6253-5C6A-5E2C-4BDFCBB632CA}"/>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3.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2" name="Text Box 16" hidden="1">
          <a:extLst>
            <a:ext uri="{FF2B5EF4-FFF2-40B4-BE49-F238E27FC236}">
              <a16:creationId xmlns:a16="http://schemas.microsoft.com/office/drawing/2014/main" id="{67455551-0025-C321-5FFF-72D6F384350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1" name="Text Box 15" hidden="1">
          <a:extLst>
            <a:ext uri="{FF2B5EF4-FFF2-40B4-BE49-F238E27FC236}">
              <a16:creationId xmlns:a16="http://schemas.microsoft.com/office/drawing/2014/main" id="{B140FA9D-B96F-C6A9-120C-3BA90F3CA92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4" name="Text Box 18" hidden="1">
          <a:extLst>
            <a:ext uri="{FF2B5EF4-FFF2-40B4-BE49-F238E27FC236}">
              <a16:creationId xmlns:a16="http://schemas.microsoft.com/office/drawing/2014/main" id="{456729A0-ACE8-2F55-3075-0E7FF69E3B9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3" name="Text Box 17" hidden="1">
          <a:extLst>
            <a:ext uri="{FF2B5EF4-FFF2-40B4-BE49-F238E27FC236}">
              <a16:creationId xmlns:a16="http://schemas.microsoft.com/office/drawing/2014/main" id="{9FF179F9-3B01-D70C-F2BD-85CBD6B94DA2}"/>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6" name="Text Box 20" hidden="1">
          <a:extLst>
            <a:ext uri="{FF2B5EF4-FFF2-40B4-BE49-F238E27FC236}">
              <a16:creationId xmlns:a16="http://schemas.microsoft.com/office/drawing/2014/main" id="{D62F3679-51A1-70AA-3F4B-DF016684550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5" name="Text Box 19" hidden="1">
          <a:extLst>
            <a:ext uri="{FF2B5EF4-FFF2-40B4-BE49-F238E27FC236}">
              <a16:creationId xmlns:a16="http://schemas.microsoft.com/office/drawing/2014/main" id="{F3F52110-02C8-CD74-1A90-0F9A15FFB08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8" name="Text Box 22" hidden="1">
          <a:extLst>
            <a:ext uri="{FF2B5EF4-FFF2-40B4-BE49-F238E27FC236}">
              <a16:creationId xmlns:a16="http://schemas.microsoft.com/office/drawing/2014/main" id="{554B96BE-1AF5-FA67-6C99-D21BF721A9A4}"/>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7" name="Text Box 21" hidden="1">
          <a:extLst>
            <a:ext uri="{FF2B5EF4-FFF2-40B4-BE49-F238E27FC236}">
              <a16:creationId xmlns:a16="http://schemas.microsoft.com/office/drawing/2014/main" id="{F0B185D4-0071-D902-1489-ED18906674D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B22" dT="2024-06-26T18:30:01.65" personId="{2C68A5A1-706F-4A3E-93A3-741BBABEC4EA}" id="{4C1BD790-6CA2-4A0A-903D-48C016B60253}" parentId="{D9A1C32B-382A-44CE-B60A-7CEFD093B9EC}">
    <text>This is now June 2024 CBO Economic Projections, Quarterly table row 68 from 2021 Q1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5" dT="2022-09-30T19:04:36.69" personId="{104078EE-2393-4C21-9029-18A325FBDB70}" id="{52B73EBC-59DE-4AFE-A4BC-5DCFD4E527B4}">
    <text>Add factor to match data</text>
  </threadedComment>
  <threadedComment ref="C53" dT="2021-06-14T11:28:38.43" personId="{58CF8BEC-4104-46F7-BE4F-2C9403635492}" id="{BB2BD600-D27D-45BD-8287-F361E12EE9C4}">
    <text>https://www.cbo.gov/system/files/2020-04/hr748.pdf</text>
  </threadedComment>
  <threadedComment ref="C54"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5" dT="2021-06-11T14:09:21.80" personId="{58CF8BEC-4104-46F7-BE4F-2C9403635492}" id="{57CD4897-BB4E-42F1-89BB-E63A5874F81B}">
    <text>Total provider relief fund is 100, but we assume that 27% is in the form of grants based on the BEA data that came in.</text>
  </threadedComment>
  <threadedComment ref="B79"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1" dT="2022-09-30T19:04:58.57" personId="{104078EE-2393-4C21-9029-18A325FBDB70}" id="{4D719FE1-A97C-46FC-9D71-7ECFBB4F6D87}">
    <text>Using data -- not a different spending pattern</text>
  </threadedComment>
  <threadedComment ref="AG81" dT="2023-08-18T20:32:02.72" personId="{2C68A5A1-706F-4A3E-93A3-741BBABEC4EA}" id="{91C8DEB0-37FF-4A76-9EDD-8709F55CAF73}">
    <text>Our "ARP Quarterly" sheet does not go farther than Q4 2025. our temporary fix is to make this equal to the preceding quarter.</text>
  </threadedComment>
  <threadedComment ref="AG83" dT="2023-08-18T20:31:55.12" personId="{2C68A5A1-706F-4A3E-93A3-741BBABEC4EA}" id="{ECD0E9C9-87A4-46F8-8BE1-5E2BEC9520B3}">
    <text>Our "ARP Quarterly" sheet does not go farther than Q4 2025.
Our temporary fix is to make this equal to the preceding quarter.</text>
  </threadedComment>
  <threadedComment ref="R94" dT="2022-07-28T17:27:50.97" personId="{104078EE-2393-4C21-9029-18A325FBDB70}" id="{E702D61C-4760-4164-BD3F-5AB302CA98ED}">
    <text>Using previous forecast because of reallocation by the BEA</text>
  </threadedComment>
  <threadedComment ref="S94" dT="2022-10-27T14:12:06.27" personId="{609654FB-393E-4954-B3A3-EDB231775774}" id="{776019CE-8128-450F-A25E-EF6C5707CFC6}">
    <text>Don't pull again</text>
  </threadedComment>
  <threadedComment ref="B95"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9" dT="2024-06-26T18:41:21.94" personId="{2C68A5A1-706F-4A3E-93A3-741BBABEC4EA}" id="{74EA8410-AE4F-463D-AA1C-7B843C4FD6DA}" parentId="{976B723C-4211-4969-882A-4B89C4902055}">
    <text>This is now June 2024 CBO Economic Projections Quarterly table row 129 from 2021 Q1 onward</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B10" dT="2024-06-26T18:42:24.26" personId="{2C68A5A1-706F-4A3E-93A3-741BBABEC4EA}" id="{206732D9-B230-42BD-890A-AC6D4948168E}" parentId="{02F35ABE-CA0E-4752-B4BE-50C4C795E703}">
    <text>This is now June 2024 CBO Economic Projections Quarterly table row 130 from 2021 Q1 onward.</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24" dT="2024-06-26T18:44:20.97" personId="{2C68A5A1-706F-4A3E-93A3-741BBABEC4EA}" id="{9A13A553-A958-4882-A266-2E3589681540}" parentId="{3D5BBFAC-4E76-4F2A-B34F-264D54111B07}">
    <text>This is now June 2024 CBO Economic Projections Quarterly table row 131 from 2021 Q1 onward.</text>
  </threadedComment>
  <threadedComment ref="B25" dT="2024-06-26T18:46:33.64" personId="{2C68A5A1-706F-4A3E-93A3-741BBABEC4EA}" id="{E7D459C7-D63C-4E4A-AE4E-B08D7B79CF4D}">
    <text>These data are from June 2024 CBO Economic Projections Quarterly table, row 132 from 2021 Q1 onward.</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B17" dT="2024-06-26T18:57:37.91" personId="{2C68A5A1-706F-4A3E-93A3-741BBABEC4EA}" id="{3266CE3F-B88B-41A5-AAF3-D02B9F4B66DF}" parentId="{C3958D6E-5D0B-4757-8548-DC4AB51469BE}">
    <text>This is now June 2024 CBO Budget Projections table table 1-4 Mandatory Outlays Adjusted to Exclude the Effect of Timing Shifts, row 15, starting from 2023</text>
  </threadedComment>
  <threadedComment ref="H20" dT="2024-06-27T21:00:39.81" personId="{09FAC3F1-DFDB-4CF8-9903-358701529E2B}" id="{5E572FF7-E343-4136-B9B8-D659D5E1B294}">
    <text>We are adding 0.01 because we don't know what CBO is thinking.</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B21" dT="2024-06-26T19:01:04.90" personId="{2C68A5A1-706F-4A3E-93A3-741BBABEC4EA}" id="{9265B547-6102-4D79-A653-063CF3ABE805}" parentId="{FBCF6AFF-3308-4DB2-931F-AB1BC267CB41}">
    <text>This is now June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W50" dT="2023-07-28T17:56:37.74" personId="{2C68A5A1-706F-4A3E-93A3-741BBABEC4EA}" id="{E1EEB2AC-C029-4C98-981E-E7577AACBA1F}">
    <text>We're assuming it will stay at 37.7 because of the new TFP</text>
  </threadedComment>
  <threadedComment ref="J66" dT="2021-11-02T13:23:36.94" personId="{58CF8BEC-4104-46F7-BE4F-2C9403635492}" id="{8624CBF8-0C25-4544-B55E-7210BBE07E41}">
    <text>Formula changes to grow by counterfactual pre-covid growth rate</text>
  </threadedComment>
  <threadedComment ref="M66" dT="2021-11-02T13:26:53.83" personId="{58CF8BEC-4104-46F7-BE4F-2C9403635492}" id="{B38BAE8E-DF30-49E2-9F96-90A1041E4DF0}">
    <text>Accounting for step up in social security</text>
  </threadedComment>
  <threadedComment ref="M66" dT="2022-07-28T10:16:22.56" personId="{104078EE-2393-4C21-9029-18A325FBDB70}" id="{E0C007BA-F33F-4062-A357-370316E1FFF4}" parentId="{B38BAE8E-DF30-49E2-9F96-90A1041E4DF0}">
    <text>every Q1</text>
  </threadedComment>
  <threadedComment ref="U66" dT="2022-10-28T13:56:35.19" personId="{609654FB-393E-4954-B3A3-EDB231775774}" id="{96427D88-0329-491C-A939-11D66B55F1C3}" done="1">
    <text>COLA adjustment questions.</text>
  </threadedComment>
  <threadedComment ref="Y66" dT="2022-10-28T13:56:35.19" personId="{609654FB-393E-4954-B3A3-EDB231775774}" id="{8AABB420-F73D-4E8A-8DF7-F245078D4E11}">
    <text>COLA adjustment questions.</text>
  </threadedComment>
  <threadedComment ref="AC66" dT="2022-10-28T13:56:35.19" personId="{609654FB-393E-4954-B3A3-EDB231775774}" id="{41707468-7438-4BC6-B704-F002DDD23F47}">
    <text>COLA adjustment questions.</text>
  </threadedComment>
  <threadedComment ref="AE72" dT="2024-04-26T20:27:17.35" personId="{09FAC3F1-DFDB-4CF8-9903-358701529E2B}" id="{BB43241A-632E-43CC-BA8F-93EFF045E9AE}">
    <text>We need to base this off of CBO.</text>
  </threadedComment>
  <threadedComment ref="U79" dT="2022-10-28T13:56:35.19" personId="{609654FB-393E-4954-B3A3-EDB231775774}" id="{768266C3-5F6F-4B4B-A0F2-5FE77F7C9D9D}" done="1">
    <text>COLA adjustment questions.</text>
  </threadedComment>
  <threadedComment ref="Y79" dT="2022-10-28T13:56:35.19" personId="{609654FB-393E-4954-B3A3-EDB231775774}" id="{CEF813AA-D4CC-411F-B865-86A64AC5EEB6}">
    <text>COLA adjustment questions.</text>
  </threadedComment>
  <threadedComment ref="AC79" dT="2022-10-28T13:56:35.19" personId="{609654FB-393E-4954-B3A3-EDB231775774}" id="{DDFF41A6-D6EC-4A60-A3F9-0AF92DDF8C11}">
    <text>COLA adjustment questions.</text>
  </threadedComment>
  <threadedComment ref="B91" dT="2023-02-24T16:39:02.09" personId="{104078EE-2393-4C21-9029-18A325FBDB70}" id="{6AF7CFB2-704D-4104-831C-CFDBBA2AEEEB}">
    <text>CBO Feb 2023 budget projections table 1-4, social security subtotal</text>
  </threadedComment>
  <threadedComment ref="B91" dT="2023-06-29T15:43:04.78" personId="{2C68A5A1-706F-4A3E-93A3-741BBABEC4EA}" id="{7DD95AD6-CB37-4E4C-85DB-D839D0D68392}" parentId="{6AF7CFB2-704D-4104-831C-CFDBBA2AEEEB}">
    <text>CBO May 2023 budget projections supplemental table 2, social security subtotal</text>
  </threadedComment>
  <threadedComment ref="B91"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 ref="B91" dT="2024-06-26T19:56:49.87" personId="{2C68A5A1-706F-4A3E-93A3-741BBABEC4EA}" id="{FDBFDF4C-1754-4260-AF98-D7434EC4EA69}" parentId="{6AF7CFB2-704D-4104-831C-CFDBBA2AEEEB}">
    <text>This is now June 2024 CBO budget projections Table 1-4 Adjusted for the Effects of Timing Shifts, row 12 social security subtotal from 2023 onward</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Y16" dT="2024-07-25T15:32:05.95" personId="{09FAC3F1-DFDB-4CF8-9903-358701529E2B}" id="{49FFCEA4-DB95-4205-AFF6-7460DD4E5BD6}">
    <text xml:space="preserve">Drag this forward in August 2024 because we get corporate taxes a month late. </text>
  </threadedComment>
  <threadedComment ref="Z16" dT="2024-08-29T14:13:41.39" personId="{09FAC3F1-DFDB-4CF8-9903-358701529E2B}" id="{532E12BD-0998-418E-B570-F87A746D9747}">
    <text xml:space="preserve">Drag this forward in November because we get taxes a month late. </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Y25" dT="2024-07-25T15:32:48.53" personId="{09FAC3F1-DFDB-4CF8-9903-358701529E2B}" id="{FA85206C-2107-4C24-ACB7-B7A58E6685DD}">
    <text>Drag this forward in August because we get corporate taxes a month late.</text>
  </threadedComment>
  <threadedComment ref="Z25" dT="2024-08-29T14:14:21.83" personId="{09FAC3F1-DFDB-4CF8-9903-358701529E2B}" id="{F748C468-F3C4-4E41-BF45-75E421D4EB9E}">
    <text>Drag this forward in November because we get taxes a month late.</text>
  </threadedComment>
  <threadedComment ref="K39" dT="2023-09-29T18:40:36.76" personId="{2C68A5A1-706F-4A3E-93A3-741BBABEC4EA}" id="{1065F4CB-52AB-4B92-B793-654578199E67}">
    <text>We adjusted these growth rates upward because CBO expected taxes to fall gradually but instead they fell quickly.</text>
  </threadedComment>
  <threadedComment ref="K43" dT="2024-02-29T21:02:38.53" personId="{4C0C5F85-AD1E-4C57-B372-003AF5B78A9F}" id="{6EA59173-A6A4-4520-BC55-CD373EBDD6E4}">
    <text>We reduced the CBO growth rate from 36% to 10% because it seemed anomolously high</text>
  </threadedComment>
  <threadedComment ref="L43" dT="2024-02-29T21:03:05.03" personId="{4C0C5F85-AD1E-4C57-B372-003AF5B78A9F}" id="{B7BB92B9-56AF-428A-90BE-8769E0F9A367}">
    <text>We increased the CBO growth rate to account for our large adjustment in the previous year</text>
  </threadedComment>
  <threadedComment ref="M43" dT="2024-05-30T19:58:14.22" personId="{2C68A5A1-706F-4A3E-93A3-741BBABEC4EA}" id="{F12C7BC9-1DAF-45BE-BFCA-781CDA4BC7CD}">
    <text>Another additional add factor, similar to comment to the left</text>
  </threadedComment>
  <threadedComment ref="D59" dT="2023-02-15T20:39:04.10" personId="{609654FB-393E-4954-B3A3-EDB231775774}" id="{54F6D9F3-8868-417E-999A-B95E2C1FC589}">
    <text>May 2023 CBO Budget Projections Table 1 Row 12</text>
  </threadedComment>
  <threadedComment ref="D59" dT="2024-02-22T14:31:10.89" personId="{09FAC3F1-DFDB-4CF8-9903-358701529E2B}" id="{5AD6BF73-9438-4F75-A02E-C3EAB6B7E7E0}" parentId="{54F6D9F3-8868-417E-999A-B95E2C1FC589}">
    <text>Feb 2024 CBO Budget Projections Table 1-1 Row 10</text>
  </threadedComment>
  <threadedComment ref="D59" dT="2024-06-27T14:27:47.87" personId="{2C68A5A1-706F-4A3E-93A3-741BBABEC4EA}" id="{B8639833-1036-486E-B271-B2B70A5F4327}" parentId="{54F6D9F3-8868-417E-999A-B95E2C1FC589}">
    <text>June 2024 CBO Budget Projections Table 1-1 Row 10</text>
  </threadedComment>
  <threadedComment ref="M59" dT="2024-05-30T19:30:52.33" personId="{2C68A5A1-706F-4A3E-93A3-741BBABEC4EA}" id="{8DA4ABCB-3EED-4DB4-A96F-296CD1D3D3EE}">
    <text>Added CBO estimate to counterfactual from TCJA NOT expiring in https://www.cbo.gov/publication/60271
We also subtracted an addition 30, which is roughly half of the 48+11 from investment.</text>
    <extLst>
      <x:ext xmlns:xltc2="http://schemas.microsoft.com/office/spreadsheetml/2020/threadedcomments2" uri="{F7C98A9C-CBB3-438F-8F68-D28B6AF4A901}">
        <xltc2:checksum>3732159924</xltc2:checksum>
        <xltc2:hyperlink startIndex="63" length="37" url="https://www.cbo.gov/publication/60271"/>
      </x:ext>
    </extLst>
  </threadedComment>
  <threadedComment ref="D60" dT="2023-02-15T20:40:59.29" personId="{609654FB-393E-4954-B3A3-EDB231775774}" id="{1FB99C5A-E921-4C2B-94A6-469F8368DE8C}">
    <text>February 2023 Budget Projections Table 1 Row 13</text>
  </threadedComment>
  <threadedComment ref="D60" dT="2023-07-27T18:42:32.97" personId="{609654FB-393E-4954-B3A3-EDB231775774}" id="{6C707ADF-070D-4A54-B1A8-849B2DDA53F5}" parentId="{1FB99C5A-E921-4C2B-94A6-469F8368DE8C}">
    <text>These are now May 2023 Budget Projections Table 1 row 13</text>
  </threadedComment>
  <threadedComment ref="D60" dT="2024-02-22T14:36:16.32" personId="{09FAC3F1-DFDB-4CF8-9903-358701529E2B}" id="{9F895A21-C5E6-4F14-982E-DE530E6FCE79}" parentId="{1FB99C5A-E921-4C2B-94A6-469F8368DE8C}">
    <text>February 2024 CBO Budget Projections Table 1-1 Row 11</text>
  </threadedComment>
  <threadedComment ref="D60" dT="2024-06-27T14:28:28.14" personId="{2C68A5A1-706F-4A3E-93A3-741BBABEC4EA}" id="{AAC1A7F3-5101-4D77-A002-FBE231A1A27C}" parentId="{1FB99C5A-E921-4C2B-94A6-469F8368DE8C}">
    <text>June 2024 CBO Budget Projections Table 1-1 Row 11</text>
  </threadedComment>
  <threadedComment ref="D61" dT="2024-06-27T14:31:36.26" personId="{2C68A5A1-706F-4A3E-93A3-741BBABEC4EA}" id="{71B63C0C-A14A-4CAA-AD37-D99BE7060ACF}">
    <text>Not updated June 2024. I could not find in the budget projections.</text>
  </threadedComment>
  <threadedComment ref="D62" dT="2023-02-15T20:49:24.23" personId="{609654FB-393E-4954-B3A3-EDB231775774}" id="{CE0F5DCB-3CCE-4E3D-A6E4-2AC8A4A5F19D}">
    <text>February 2023 CBO Budget Projections Table 1-6 Row 14</text>
  </threadedComment>
  <threadedComment ref="D62" dT="2024-02-22T14:44:59.03" personId="{09FAC3F1-DFDB-4CF8-9903-358701529E2B}" id="{570B49A8-6692-4986-87A6-4A3AB8B43DB9}" parentId="{CE0F5DCB-3CCE-4E3D-A6E4-2AC8A4A5F19D}">
    <text>February 2024 CBO Budget Projections Table 1-7 Row 14</text>
  </threadedComment>
  <threadedComment ref="D62" dT="2024-06-27T21:11:02.98" personId="{09FAC3F1-DFDB-4CF8-9903-358701529E2B}" id="{987C1579-7615-47DB-BE54-85464A342721}" parentId="{CE0F5DCB-3CCE-4E3D-A6E4-2AC8A4A5F19D}">
    <text>June 2024 CBO Revenue Projections by Category, Revenue Projections, Row 14</text>
  </threadedComment>
  <threadedComment ref="D63" dT="2023-02-15T20:50:01.14" personId="{609654FB-393E-4954-B3A3-EDB231775774}" id="{B0E96582-484F-445D-8FF5-3592B5A172FA}">
    <text>February 2023 CBO Budget Projections Table 1-6 Row 16</text>
  </threadedComment>
  <threadedComment ref="D63" dT="2024-02-22T14:45:22.24" personId="{09FAC3F1-DFDB-4CF8-9903-358701529E2B}" id="{4F586962-5804-4FED-852B-7ABCF3DF98B2}" parentId="{B0E96582-484F-445D-8FF5-3592B5A172FA}">
    <text>February 2024 CBO Budget Projections Table 1-7, row 16</text>
  </threadedComment>
  <threadedComment ref="D63" dT="2024-06-27T21:11:21.66" personId="{09FAC3F1-DFDB-4CF8-9903-358701529E2B}" id="{86CF1027-BCEB-4550-AD6D-A909A0CEF61D}" parentId="{B0E96582-484F-445D-8FF5-3592B5A172FA}">
    <text>June 2024 CBO Revenue Projections, Revenue Projections Sheet, Row 16</text>
  </threadedComment>
  <threadedComment ref="D64" dT="2023-02-15T20:51:09.94" personId="{609654FB-393E-4954-B3A3-EDB231775774}" id="{E6B5A35A-07FA-4F2B-9A9E-866D21A47917}">
    <text>May 2023 CBO Budget Projections Table 1 Row 14</text>
  </threadedComment>
  <threadedComment ref="D64" dT="2024-02-22T14:47:44.47" personId="{09FAC3F1-DFDB-4CF8-9903-358701529E2B}" id="{E777AE82-BE55-4B42-9F51-8E1C71456A8B}" parentId="{E6B5A35A-07FA-4F2B-9A9E-866D21A47917}">
    <text>February 2023 CBO Budget Projections Table 1-1, row 12</text>
  </threadedComment>
  <threadedComment ref="D64" dT="2024-06-27T14:32:38.18" personId="{2C68A5A1-706F-4A3E-93A3-741BBABEC4EA}" id="{0FB34D58-0EA7-45D9-9687-C1C4AAD9A17B}" parentId="{E6B5A35A-07FA-4F2B-9A9E-866D21A47917}">
    <text>June 2024 CBO Budget projections table 1-1 row 12</text>
  </threadedComment>
  <threadedComment ref="M64" dT="2024-05-30T19:35:19.75" personId="{2C68A5A1-706F-4A3E-93A3-741BBABEC4EA}" id="{4A8F6F92-75ED-4D7D-9EAC-6799BA8D11ED}">
    <text xml:space="preserve">See comment in M56 on using CBO estimate of TCJA not expiring
</text>
  </threadedComment>
  <threadedComment ref="D82" dT="2023-02-15T20:53:24.39" personId="{609654FB-393E-4954-B3A3-EDB231775774}" id="{BAC4C9C5-057D-4522-9D5B-345501733B13}">
    <text>February 2023 CBO Economic Projections Fiscal Year Table row 92</text>
  </threadedComment>
  <threadedComment ref="D82" dT="2023-07-27T18:46:48.63" personId="{609654FB-393E-4954-B3A3-EDB231775774}" id="{64D40D74-2A66-4530-BD07-3D55C243D880}" parentId="{BAC4C9C5-057D-4522-9D5B-345501733B13}">
    <text>July 2023 now</text>
  </threadedComment>
  <threadedComment ref="D82" dT="2024-02-22T15:10:21.02" personId="{09FAC3F1-DFDB-4CF8-9903-358701529E2B}" id="{9188F4B5-7FFF-4AD3-B884-A6BD992DF509}" parentId="{BAC4C9C5-057D-4522-9D5B-345501733B13}">
    <text>This is now February 2024 CBO Economic Projections Fiscal Year Sheet, row 94</text>
  </threadedComment>
  <threadedComment ref="D82" dT="2024-06-27T14:34:45.71" personId="{2C68A5A1-706F-4A3E-93A3-741BBABEC4EA}" id="{87A09169-659E-458F-A9F3-D0AB63E74083}" parentId="{BAC4C9C5-057D-4522-9D5B-345501733B13}">
    <text>June 2024 Econ projections Fiscal Year sheet row 94. Pasted for 2021 onward</text>
  </threadedComment>
  <threadedComment ref="D83" dT="2023-02-15T20:55:16.88" personId="{609654FB-393E-4954-B3A3-EDB231775774}" id="{903D683D-E956-41A0-87A0-4A0ACF2A3EC0}">
    <text>February 2023 CBO Economic Projections Fiscal Year Table row 96</text>
  </threadedComment>
  <threadedComment ref="D83" dT="2023-07-27T18:46:54.82" personId="{609654FB-393E-4954-B3A3-EDB231775774}" id="{D9697230-6007-4D86-9D27-2784C2D59C94}" parentId="{903D683D-E956-41A0-87A0-4A0ACF2A3EC0}">
    <text>July 2023 now</text>
  </threadedComment>
  <threadedComment ref="D83" dT="2024-02-22T15:12:46.20" personId="{09FAC3F1-DFDB-4CF8-9903-358701529E2B}" id="{5EB79390-D49F-4610-A389-9A566FE7B07F}" parentId="{903D683D-E956-41A0-87A0-4A0ACF2A3EC0}">
    <text>This is now February 2024 CBO Economic Projections Fiscal Year Table row, row 98</text>
  </threadedComment>
  <threadedComment ref="D83" dT="2024-06-27T14:35:02.92" personId="{2C68A5A1-706F-4A3E-93A3-741BBABEC4EA}" id="{7727E27A-5B75-4F93-BBAF-2B2028A6DBD6}" parentId="{903D683D-E956-41A0-87A0-4A0ACF2A3EC0}">
    <text>June 2024 Econ projections Fiscal Year sheet row 98. Pasted for 2021 onward</text>
  </threadedComment>
  <threadedComment ref="D84" dT="2023-02-15T20:56:03.85" personId="{609654FB-393E-4954-B3A3-EDB231775774}" id="{3EBCE0D2-6A48-4CE9-BC8C-5855F5261D1F}">
    <text>February 2023 CBO Economic Projections, Fiscal Year Table row 116</text>
  </threadedComment>
  <threadedComment ref="D84" dT="2023-07-27T18:47:32.66" personId="{609654FB-393E-4954-B3A3-EDB231775774}" id="{A6D061A0-2D6B-4586-A606-81C5A9C89977}" parentId="{3EBCE0D2-6A48-4CE9-BC8C-5855F5261D1F}">
    <text>July now</text>
  </threadedComment>
  <threadedComment ref="D84" dT="2024-02-22T15:13:36.88" personId="{09FAC3F1-DFDB-4CF8-9903-358701529E2B}" id="{5B0E85F2-3E88-4DE5-B75D-A1DFDE5E2251}" parentId="{3EBCE0D2-6A48-4CE9-BC8C-5855F5261D1F}">
    <text>February 2024 CBO Economic Projections, Fiscal Year Table, row 118</text>
  </threadedComment>
  <threadedComment ref="D84" dT="2024-06-27T14:36:46.17" personId="{2C68A5A1-706F-4A3E-93A3-741BBABEC4EA}" id="{742D0AD1-132D-49B8-ACB8-D7A00789C5CC}" parentId="{3EBCE0D2-6A48-4CE9-BC8C-5855F5261D1F}">
    <text>June 2024 CBO Economic Projections, Fiscal Year Table, row 118 pasted from 2021 onward</text>
  </threadedComment>
  <threadedComment ref="D85" dT="2023-02-15T20:57:01.88" personId="{609654FB-393E-4954-B3A3-EDB231775774}" id="{48184811-5BD0-438A-8E38-4FDE0C8DFA8F}">
    <text>February 2023 CBO Economic Projections Fiscal Year Table row 110</text>
  </threadedComment>
  <threadedComment ref="D85" dT="2023-07-27T18:47:56.03" personId="{609654FB-393E-4954-B3A3-EDB231775774}" id="{42694EC8-B4D2-4CD1-BAD5-30DE831C4BF2}" parentId="{48184811-5BD0-438A-8E38-4FDE0C8DFA8F}">
    <text>July now</text>
  </threadedComment>
  <threadedComment ref="D85" dT="2024-02-22T15:15:43.17" personId="{09FAC3F1-DFDB-4CF8-9903-358701529E2B}" id="{7286570C-B0B2-4C53-B491-EBC2A429EFF9}" parentId="{48184811-5BD0-438A-8E38-4FDE0C8DFA8F}">
    <text>This is now February 2024 CBO Economic Projections Fiscal Year Table, row 112</text>
  </threadedComment>
  <threadedComment ref="D85" dT="2024-06-27T14:37:42.80" personId="{2C68A5A1-706F-4A3E-93A3-741BBABEC4EA}" id="{BDF2F21B-F60E-4F9C-A5EF-0E83248D90F2}" parentId="{48184811-5BD0-438A-8E38-4FDE0C8DFA8F}">
    <text>June 2024 CBO Economic Projections Fiscal Year Table, row 112 from 2021 onward</text>
  </threadedComment>
  <threadedComment ref="D106" dT="2023-02-15T21:14:11.24" personId="{609654FB-393E-4954-B3A3-EDB231775774}" id="{D2748782-D0E6-49AC-8A19-1F2FBF9255CC}">
    <text>February 2023 CBO Economic Projections Quarterly Table, row 96</text>
  </threadedComment>
  <threadedComment ref="D106" dT="2023-07-27T18:51:44.27" personId="{609654FB-393E-4954-B3A3-EDB231775774}" id="{7967E3A9-28DA-40F3-87FB-C23201CBC514}" parentId="{D2748782-D0E6-49AC-8A19-1F2FBF9255CC}">
    <text>Same table and row, July 2023</text>
  </threadedComment>
  <threadedComment ref="D106" dT="2024-02-22T15:28:26.88" personId="{09FAC3F1-DFDB-4CF8-9903-358701529E2B}" id="{3C76C544-F68F-455F-86CF-8627D74B7C59}" parentId="{D2748782-D0E6-49AC-8A19-1F2FBF9255CC}">
    <text>February 2024 CBO Economic Projections Quarterly Table, row 98</text>
  </threadedComment>
  <threadedComment ref="D106" dT="2024-06-27T14:40:11.35" personId="{2C68A5A1-706F-4A3E-93A3-741BBABEC4EA}" id="{A345901C-E565-4819-91C3-A4DED1F11875}" parentId="{D2748782-D0E6-49AC-8A19-1F2FBF9255CC}">
    <text>Ju 2024 economic projections quarterly table row 98 pasted from 2021 Q1 onward</text>
  </threadedComment>
  <threadedComment ref="D107" dT="2023-02-15T21:14:52.42" personId="{609654FB-393E-4954-B3A3-EDB231775774}" id="{A46F7C4F-6912-4219-A6BF-9B291D29572E}">
    <text>February 2023 CBO Economic Projections quarterly tables, row 98</text>
  </threadedComment>
  <threadedComment ref="D107" dT="2023-07-27T18:51:58.38" personId="{609654FB-393E-4954-B3A3-EDB231775774}" id="{7A0F03B6-E33D-4474-9555-B84E69B17617}" parentId="{A46F7C4F-6912-4219-A6BF-9B291D29572E}">
    <text>Same table and row, July 2023</text>
  </threadedComment>
  <threadedComment ref="D107" dT="2024-02-22T15:30:49.62" personId="{09FAC3F1-DFDB-4CF8-9903-358701529E2B}" id="{8B50D8B1-7987-47E1-B1DC-D2F70DCC216E}" parentId="{A46F7C4F-6912-4219-A6BF-9B291D29572E}">
    <text>February 2024 CBO Economic Projections quarterly tables, row 100</text>
  </threadedComment>
  <threadedComment ref="D107" dT="2024-06-27T14:41:16.43" personId="{2C68A5A1-706F-4A3E-93A3-741BBABEC4EA}" id="{6425957B-D42C-489A-A538-4AA95EC109FD}" parentId="{A46F7C4F-6912-4219-A6BF-9B291D29572E}">
    <text>June 2024 CBO Economic Projections Quarterly table row 100 from 2021 Q1 onward</text>
  </threadedComment>
  <threadedComment ref="D108" dT="2023-02-15T21:15:38.27" personId="{609654FB-393E-4954-B3A3-EDB231775774}" id="{76E953CB-BD49-43CF-8F2D-8BFB47D725D7}">
    <text>February 2023 CBO Economic Projections quarterly table, row 116</text>
  </threadedComment>
  <threadedComment ref="D108" dT="2023-07-27T18:51:50.61" personId="{609654FB-393E-4954-B3A3-EDB231775774}" id="{5483793C-0C25-47A5-BAF9-EF712CAD7D04}" parentId="{76E953CB-BD49-43CF-8F2D-8BFB47D725D7}">
    <text>Same table and row, July 2023</text>
  </threadedComment>
  <threadedComment ref="D108" dT="2024-02-22T15:37:14.65" personId="{09FAC3F1-DFDB-4CF8-9903-358701529E2B}" id="{385DCECF-44A3-4344-9011-2A6CE78C506F}" parentId="{76E953CB-BD49-43CF-8F2D-8BFB47D725D7}">
    <text>This is now February 2024 CBO Economic Projections Quarterly Table, row 118</text>
  </threadedComment>
  <threadedComment ref="D108" dT="2024-06-27T14:41:57.04" personId="{2C68A5A1-706F-4A3E-93A3-741BBABEC4EA}" id="{A7C417EA-C785-474D-B0D2-8C33C43492C2}" parentId="{76E953CB-BD49-43CF-8F2D-8BFB47D725D7}">
    <text xml:space="preserve">June 2024 CBO Economic Projections Quarterly Table, row 118 from 2021 Q1 onward
</text>
  </threadedComment>
  <threadedComment ref="D109" dT="2023-02-15T21:16:25.78" personId="{609654FB-393E-4954-B3A3-EDB231775774}" id="{8FB584A5-2B54-4AD8-94A1-F46A717E4FE5}">
    <text>February 2023 CBO Economic Projections quarterly table row 112</text>
  </threadedComment>
  <threadedComment ref="D109" dT="2023-07-27T18:52:05.52" personId="{609654FB-393E-4954-B3A3-EDB231775774}" id="{0C631DB7-7EAD-4CD2-978E-4DD9468CD3B1}" parentId="{8FB584A5-2B54-4AD8-94A1-F46A717E4FE5}">
    <text>Same table and row, July 2023</text>
  </threadedComment>
  <threadedComment ref="D109" dT="2024-02-22T15:42:56.34" personId="{09FAC3F1-DFDB-4CF8-9903-358701529E2B}" id="{19BF4626-D0E8-42B5-BD70-3452F9A463CA}" parentId="{8FB584A5-2B54-4AD8-94A1-F46A717E4FE5}">
    <text>February 2024 CBO Economic Projections quarterly table row 114 corporate profits domestic</text>
  </threadedComment>
  <threadedComment ref="D109" dT="2024-06-27T14:43:33.75" personId="{2C68A5A1-706F-4A3E-93A3-741BBABEC4EA}" id="{BA2256D4-F0D9-4901-B7FD-C47AE6B4FB99}" parentId="{8FB584A5-2B54-4AD8-94A1-F46A717E4FE5}">
    <text xml:space="preserve">June 2024 CBO Economic Projections quarterly table row 114 corporate profits domestic with IVA and CCAdj, from 2021 Q1 onward
</text>
  </threadedComment>
  <threadedComment ref="U132" dT="2023-04-27T03:02:33.18" personId="{2C68A5A1-706F-4A3E-93A3-741BBABEC4EA}" id="{65B2F617-D738-4757-983D-98D9DB3870FB}">
    <text>I can't drag these over because of circular references.</text>
  </threadedComment>
  <threadedComment ref="V135" dT="2023-07-27T14:08:57.55" personId="{2C68A5A1-706F-4A3E-93A3-741BBABEC4EA}" id="{0AC09EFD-8A54-444C-A82D-77111C533292}">
    <text>Drag my predecessor forward in August 2023!! (Corporate taxes come in late, and we couldn't update in July!)</text>
  </threadedComment>
  <threadedComment ref="W135" dT="2023-10-26T13:42:51.37" personId="{609654FB-393E-4954-B3A3-EDB231775774}" id="{1B45073C-05DE-4E50-B57C-9DA43CA3E5DB}">
    <text>Drag forward in November by same logic as in previous cell.</text>
  </threadedComment>
  <threadedComment ref="X135" dT="2024-01-24T19:09:22.97" personId="{09FAC3F1-DFDB-4CF8-9903-358701529E2B}" id="{1EFE3D94-A914-4335-ADA0-94B1C8F72E64}">
    <text>Drag forward in February because we get Q4 Data 1 month late.</text>
  </threadedComment>
  <threadedComment ref="Y135" dT="2024-07-25T15:51:05.68" personId="{09FAC3F1-DFDB-4CF8-9903-358701529E2B}" id="{C31DCF28-75B2-4DBC-B036-BE5C96FD6331}">
    <text xml:space="preserve">Drag forward in August because we get the data a month late. </text>
  </threadedComment>
  <threadedComment ref="Z135" dT="2024-08-29T14:15:29.25" personId="{09FAC3F1-DFDB-4CF8-9903-358701529E2B}" id="{50A49FB6-37DC-43B3-965C-43A7195061F6}">
    <text xml:space="preserve">Drag this forward in November because we get taxes a month late. </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4" dT="2024-06-27T14:46:21.05" personId="{2C68A5A1-706F-4A3E-93A3-741BBABEC4EA}" id="{D50CF423-E0D1-4B94-95BB-8C460DAA2108}" parentId="{0DF18CD1-DDA4-4936-9B9E-36F885A8A9DF}">
    <text>June 2024 CBO Economic Projections, Quarterly Table, Line 118 pasted from 2021 Q1 onward</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5" dT="2024-06-27T14:46:52.06" personId="{2C68A5A1-706F-4A3E-93A3-741BBABEC4EA}" id="{50296040-D0CA-4737-BBB1-FF0CC10742F9}" parentId="{9DDFDF05-CB8A-4154-92B5-FB4AFBAE30F8}">
    <text>June 2024 CBO Economic Projections, Quarterly Table Line 129 from 2021 Q1 onward</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6" dT="2024-06-27T14:47:56.28" personId="{2C68A5A1-706F-4A3E-93A3-741BBABEC4EA}" id="{75F43EB2-3F3C-4D75-9509-C56EEAB4DD69}" parentId="{C72DB8C1-80AB-49EE-8306-B3882C563DE7}">
    <text xml:space="preserve">June  2024 Economic Projections, Quarterly Table line 131 from 2021 Q1 onward
</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7" dT="2024-06-27T14:50:57.19" personId="{2C68A5A1-706F-4A3E-93A3-741BBABEC4EA}" id="{D9A57EA5-FB02-4C18-A6DA-50261F26F942}" parentId="{65400755-1E7E-45CD-B1D4-DAC1E9F13C96}">
    <text>June 2024 CBO Economic Projections, Quarterly Table, row 141 from 2021 Q1 onward</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8" dT="2024-06-27T14:51:10.46" personId="{2C68A5A1-706F-4A3E-93A3-741BBABEC4EA}" id="{E134738C-B99D-4F51-A452-DDB0BD4715FF}" parentId="{2342851E-1027-489D-A9C9-2E8A800F814B}">
    <text>June 2024 CBO Economic Projections, Quarterly Table, Line 152 from 2021 Q1 onward</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5.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15" TargetMode="External"/><Relationship Id="rId4h" Type="http://schemas.openxmlformats.org/officeDocument/2006/relationships/hyperlink" Target="https://www.bea.gov/help/faq/1409" TargetMode="External"/><Relationship Id="rId5h" Type="http://schemas.openxmlformats.org/officeDocument/2006/relationships/hyperlink" Target="https://www.bea.gov/help/faq/1407" TargetMode="External"/><Relationship Id="rId6h" Type="http://schemas.openxmlformats.org/officeDocument/2006/relationships/hyperlink" Target="https://www.bea.gov/help/faq/121" TargetMode="External"/><Relationship Id="rId7h" Type="http://schemas.openxmlformats.org/officeDocument/2006/relationships/hyperlink" Target="https://www.bea.gov/help/faq/1409" TargetMode="External"/><Relationship Id="rId8h" Type="http://schemas.openxmlformats.org/officeDocument/2006/relationships/hyperlink" Target="mailto:lasgova@usecon" TargetMode="External"/><Relationship Id="rId9h" Type="http://schemas.openxmlformats.org/officeDocument/2006/relationships/hyperlink" Target="https://apps.bea.gov/iTable/?reqid=19&amp;step=3&amp;isuri=1&amp;1921=survey&amp;1903=11&amp;_gl=1*1m1fzad*_ga*MjA3ODA2MTA4MS4xNzE3MDcwOTIy*_ga_J4698JNNFT*MTcyMTk5OTU0Mi4xMy4xLjE3MjIwMDEzMTMuMzEuMC4w"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thread" Type="http://schemas.microsoft.com/office/2017/10/relationships/threadedComment" Target="../threadedComments/threadedComment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20001" Type="http://schemas.openxmlformats.org/officeDocument/2006/relationships/pivotTable" Target="../pivotTables/pivotTable1.xml"/><Relationship Id="rIdcomment" Type="http://schemas.openxmlformats.org/officeDocument/2006/relationships/comments" Target="../comments13.xml"/><Relationship Id="rIdthread" Type="http://schemas.microsoft.com/office/2017/10/relationships/threadedComment" Target="../threadedComments/threadedComment2.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20001" Type="http://schemas.openxmlformats.org/officeDocument/2006/relationships/pivotTable" Target="../pivotTables/pivotTable2.xml"/><Relationship Id="rIdcomment" Type="http://schemas.openxmlformats.org/officeDocument/2006/relationships/comments" Target="../comments14.xml"/><Relationship Id="rIdthread" Type="http://schemas.microsoft.com/office/2017/10/relationships/threadedComment" Target="../threadedComments/threadedComment3.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4.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5.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6.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7.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8.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comment" Type="http://schemas.openxmlformats.org/officeDocument/2006/relationships/comments" Target="../comments20.xml"/><Relationship Id="rIdthread" Type="http://schemas.microsoft.com/office/2017/10/relationships/threadedComment" Target="../threadedComments/threadedComment9.xml"/><Relationship Id="rId1h" Type="http://schemas.openxmlformats.org/officeDocument/2006/relationships/hyperlink" Target="https://www.cbo.gov/system/files/2023-03/58983-IDR.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0.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11.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comment" Type="http://schemas.openxmlformats.org/officeDocument/2006/relationships/comments" Target="../comments25.xml"/><Relationship Id="rIdthread" Type="http://schemas.microsoft.com/office/2017/10/relationships/threadedComment" Target="../threadedComments/threadedComment12.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comment" Type="http://schemas.openxmlformats.org/officeDocument/2006/relationships/comments" Target="../comments26.xml"/><Relationship Id="rIdthread" Type="http://schemas.microsoft.com/office/2017/10/relationships/threadedComment" Target="../threadedComments/threadedComment13.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1h" Type="http://schemas.openxmlformats.org/officeDocument/2006/relationships/hyperlink" Target="https://www.americanactionforum.org/research/tracker-paycheck-protection-program-loans/" TargetMode="Externa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1h" Type="http://schemas.openxmlformats.org/officeDocument/2006/relationships/hyperlink" Target="http://www.cbo.gov/publication/56517" TargetMode="Externa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 Id="rId3" Type="http://schemas.openxmlformats.org/officeDocument/2006/relationships/table" Target="../tables/table3.xml"/><Relationship Id="rIdcomment" Type="http://schemas.openxmlformats.org/officeDocument/2006/relationships/comments" Target="../comments32.xml"/><Relationship Id="rIdthread" Type="http://schemas.microsoft.com/office/2017/10/relationships/threadedComment" Target="../threadedComments/threadedComment14.x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 Id="rIdcomment" Type="http://schemas.openxmlformats.org/officeDocument/2006/relationships/comments" Target="../comments33.xml"/><Relationship Id="rIdthread" Type="http://schemas.microsoft.com/office/2017/10/relationships/threadedComment" Target="../threadedComments/threadedComment15.x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3" zoomScale="82" zoomScaleNormal="82" workbookViewId="0">
      <selection activeCell="D65" sqref="D65"/>
    </sheetView>
  </sheetViews>
  <sheetFormatPr defaultRowHeight="15.0" baseColWidth="10"/>
  <cols>
    <col min="2" max="2" width="34.1796875" hidden="0" customWidth="1"/>
    <col min="17" max="17" width="38.453125" hidden="0" customWidth="1"/>
  </cols>
  <sheetData>
    <row r="10">
      <c r="B10" s="8" t="s">
        <v>0</v>
      </c>
      <c r="C10" s="9"/>
      <c r="D10" s="9"/>
      <c r="E10" s="9"/>
      <c r="F10" s="9"/>
      <c r="G10" s="9"/>
      <c r="H10" s="9"/>
      <c r="I10" s="9"/>
      <c r="J10" s="9"/>
      <c r="K10" s="9"/>
      <c r="L10" s="9"/>
      <c r="M10" s="9"/>
      <c r="N10" s="9"/>
      <c r="O10" s="9"/>
      <c r="P10" s="9"/>
      <c r="Q10" s="10"/>
    </row>
    <row r="11">
      <c r="B11" s="11"/>
      <c r="C11" s="12"/>
      <c r="D11" s="12"/>
      <c r="E11" s="12"/>
      <c r="F11" s="12"/>
      <c r="G11" s="12"/>
      <c r="H11" s="12"/>
      <c r="I11" s="12"/>
      <c r="J11" s="12"/>
      <c r="K11" s="12"/>
      <c r="L11" s="12"/>
      <c r="M11" s="12"/>
      <c r="N11" s="12"/>
      <c r="O11" s="12"/>
      <c r="P11" s="12"/>
      <c r="Q11" s="13"/>
    </row>
    <row r="12">
      <c r="B12" s="2" t="s">
        <v>1</v>
      </c>
      <c r="C12" s="22"/>
      <c r="D12" s="22"/>
      <c r="E12" s="22"/>
      <c r="F12" s="22"/>
      <c r="G12" s="22"/>
      <c r="H12" s="22"/>
      <c r="I12" s="22"/>
      <c r="J12" s="22"/>
      <c r="K12" s="22"/>
      <c r="L12" s="22"/>
      <c r="M12" s="22"/>
      <c r="N12" s="22"/>
      <c r="O12" s="22"/>
      <c r="P12" s="22"/>
      <c r="Q12" s="20"/>
    </row>
    <row r="13">
      <c r="B13" s="24" t="s">
        <v>2</v>
      </c>
      <c r="C13" s="14" t="s">
        <v>3</v>
      </c>
      <c r="D13" s="14"/>
      <c r="E13" s="14"/>
      <c r="F13" s="14"/>
      <c r="G13" s="14"/>
      <c r="H13" s="14"/>
      <c r="I13" s="14"/>
      <c r="J13" s="14"/>
      <c r="K13" s="14"/>
      <c r="L13" s="14"/>
      <c r="M13" s="14"/>
      <c r="N13" s="14"/>
      <c r="O13" s="14"/>
      <c r="P13" s="14"/>
      <c r="Q13" s="15"/>
    </row>
    <row r="14">
      <c r="B14" s="24" t="s">
        <v>4</v>
      </c>
      <c r="C14" s="21" t="s">
        <v>5</v>
      </c>
      <c r="D14" s="21"/>
      <c r="E14" s="21"/>
      <c r="F14" s="21"/>
      <c r="G14" s="21"/>
      <c r="H14" s="21"/>
      <c r="I14" s="21"/>
      <c r="J14" s="21"/>
      <c r="K14" s="21"/>
      <c r="L14" s="21"/>
      <c r="M14" s="21"/>
      <c r="N14" s="21"/>
      <c r="O14" s="21"/>
      <c r="P14" s="21"/>
      <c r="Q14" s="16"/>
    </row>
    <row r="15">
      <c r="B15" s="24" t="s">
        <v>6</v>
      </c>
      <c r="C15" s="21" t="s">
        <v>7</v>
      </c>
      <c r="D15" s="21"/>
      <c r="E15" s="21"/>
      <c r="F15" s="21"/>
      <c r="G15" s="21"/>
      <c r="H15" s="21"/>
      <c r="I15" s="21"/>
      <c r="J15" s="21"/>
      <c r="K15" s="21"/>
      <c r="L15" s="21"/>
      <c r="M15" s="21"/>
      <c r="N15" s="21"/>
      <c r="O15" s="21"/>
      <c r="P15" s="21"/>
      <c r="Q15" s="16"/>
    </row>
    <row r="16">
      <c r="B16" s="24" t="s">
        <v>8</v>
      </c>
      <c r="C16" s="21" t="s">
        <v>831</v>
      </c>
      <c r="D16" s="21"/>
      <c r="E16" s="21"/>
      <c r="F16" s="21"/>
      <c r="G16" s="21"/>
      <c r="H16" s="21"/>
      <c r="I16" s="21"/>
      <c r="J16" s="21"/>
      <c r="K16" s="21"/>
      <c r="L16" s="21"/>
      <c r="M16" s="21"/>
      <c r="N16" s="21"/>
      <c r="O16" s="21"/>
      <c r="P16" s="21"/>
      <c r="Q16" s="16"/>
    </row>
    <row r="17">
      <c r="B17" s="24" t="s">
        <v>9</v>
      </c>
      <c r="C17" s="21" t="s">
        <v>10</v>
      </c>
      <c r="D17" s="21"/>
      <c r="E17" s="21"/>
      <c r="F17" s="21"/>
      <c r="G17" s="21"/>
      <c r="H17" s="21"/>
      <c r="I17" s="21"/>
      <c r="J17" s="21"/>
      <c r="K17" s="21"/>
      <c r="L17" s="21"/>
      <c r="M17" s="21"/>
      <c r="N17" s="21"/>
      <c r="O17" s="21"/>
      <c r="P17" s="21"/>
      <c r="Q17" s="16"/>
    </row>
    <row r="18">
      <c r="B18" s="24" t="s">
        <v>832</v>
      </c>
      <c r="C18" s="21" t="s">
        <v>11</v>
      </c>
      <c r="D18" s="21"/>
      <c r="E18" s="21"/>
      <c r="F18" s="21"/>
      <c r="G18" s="21"/>
      <c r="H18" s="21"/>
      <c r="I18" s="21"/>
      <c r="J18" s="21"/>
      <c r="K18" s="21"/>
      <c r="L18" s="21"/>
      <c r="M18" s="21"/>
      <c r="N18" s="21"/>
      <c r="O18" s="21"/>
      <c r="P18" s="21"/>
      <c r="Q18" s="16"/>
    </row>
    <row r="19">
      <c r="B19" s="24" t="s">
        <v>12</v>
      </c>
      <c r="C19" s="21" t="s">
        <v>833</v>
      </c>
      <c r="D19" s="21"/>
      <c r="E19" s="21"/>
      <c r="F19" s="21"/>
      <c r="G19" s="21"/>
      <c r="H19" s="21"/>
      <c r="I19" s="21"/>
      <c r="J19" s="21"/>
      <c r="K19" s="21"/>
      <c r="L19" s="21"/>
      <c r="M19" s="21"/>
      <c r="N19" s="21"/>
      <c r="O19" s="21"/>
      <c r="P19" s="21"/>
      <c r="Q19" s="16"/>
    </row>
    <row r="20" ht="30.75" customHeight="1">
      <c r="B20" s="24" t="s">
        <v>13</v>
      </c>
      <c r="C20" s="6" t="s">
        <v>14</v>
      </c>
      <c r="D20" s="6"/>
      <c r="E20" s="6"/>
      <c r="F20" s="6"/>
      <c r="G20" s="6"/>
      <c r="H20" s="6"/>
      <c r="I20" s="6"/>
      <c r="J20" s="6"/>
      <c r="K20" s="6"/>
      <c r="L20" s="6"/>
      <c r="M20" s="6"/>
      <c r="N20" s="6"/>
      <c r="O20" s="6"/>
      <c r="P20" s="6"/>
      <c r="Q20" s="7"/>
    </row>
    <row r="21">
      <c r="B21" s="24" t="s">
        <v>15</v>
      </c>
      <c r="C21" s="21" t="s">
        <v>16</v>
      </c>
      <c r="D21" s="21"/>
      <c r="E21" s="21"/>
      <c r="F21" s="21"/>
      <c r="G21" s="21"/>
      <c r="H21" s="21"/>
      <c r="I21" s="21"/>
      <c r="J21" s="21"/>
      <c r="K21" s="21"/>
      <c r="L21" s="21"/>
      <c r="M21" s="21"/>
      <c r="N21" s="21"/>
      <c r="O21" s="21"/>
      <c r="P21" s="21"/>
      <c r="Q21" s="16"/>
    </row>
    <row r="22" ht="32.25" customHeight="1">
      <c r="B22" s="1" t="s">
        <v>835</v>
      </c>
      <c r="C22" s="6" t="s">
        <v>834</v>
      </c>
      <c r="D22" s="6"/>
      <c r="E22" s="6"/>
      <c r="F22" s="6"/>
      <c r="G22" s="6"/>
      <c r="H22" s="6"/>
      <c r="I22" s="6"/>
      <c r="J22" s="6"/>
      <c r="K22" s="6"/>
      <c r="L22" s="6"/>
      <c r="M22" s="6"/>
      <c r="N22" s="6"/>
      <c r="O22" s="6"/>
      <c r="P22" s="6"/>
      <c r="Q22" s="7"/>
    </row>
    <row r="23" ht="31.4" customHeight="1">
      <c r="B23" s="24" t="s">
        <v>17</v>
      </c>
      <c r="C23" s="6" t="s">
        <v>836</v>
      </c>
      <c r="D23" s="6"/>
      <c r="E23" s="6"/>
      <c r="F23" s="6"/>
      <c r="G23" s="6"/>
      <c r="H23" s="6"/>
      <c r="I23" s="6"/>
      <c r="J23" s="6"/>
      <c r="K23" s="6"/>
      <c r="L23" s="6"/>
      <c r="M23" s="6"/>
      <c r="N23" s="6"/>
      <c r="O23" s="6"/>
      <c r="P23" s="6"/>
      <c r="Q23" s="7"/>
    </row>
    <row r="24">
      <c r="B24" s="24" t="s">
        <v>18</v>
      </c>
      <c r="C24" s="21" t="s">
        <v>19</v>
      </c>
      <c r="D24" s="21"/>
      <c r="E24" s="21"/>
      <c r="F24" s="21"/>
      <c r="G24" s="21"/>
      <c r="H24" s="21"/>
      <c r="I24" s="21"/>
      <c r="J24" s="21"/>
      <c r="K24" s="21"/>
      <c r="L24" s="21"/>
      <c r="M24" s="21"/>
      <c r="N24" s="21"/>
      <c r="O24" s="21"/>
      <c r="P24" s="21"/>
      <c r="Q24" s="16"/>
    </row>
    <row r="25">
      <c r="B25" s="24" t="s">
        <v>20</v>
      </c>
      <c r="C25" s="21" t="s">
        <v>21</v>
      </c>
      <c r="D25" s="21"/>
      <c r="E25" s="21"/>
      <c r="F25" s="21"/>
      <c r="G25" s="21"/>
      <c r="H25" s="21"/>
      <c r="I25" s="21"/>
      <c r="J25" s="21"/>
      <c r="K25" s="21"/>
      <c r="L25" s="21"/>
      <c r="M25" s="21"/>
      <c r="N25" s="21"/>
      <c r="O25" s="21"/>
      <c r="P25" s="21"/>
      <c r="Q25" s="16"/>
    </row>
    <row r="26">
      <c r="B26" s="24" t="s">
        <v>22</v>
      </c>
      <c r="C26" s="21" t="s">
        <v>23</v>
      </c>
      <c r="D26" s="21"/>
      <c r="E26" s="21"/>
      <c r="F26" s="21"/>
      <c r="G26" s="21"/>
      <c r="H26" s="21"/>
      <c r="I26" s="21"/>
      <c r="J26" s="21"/>
      <c r="K26" s="21"/>
      <c r="L26" s="21"/>
      <c r="M26" s="21"/>
      <c r="N26" s="21"/>
      <c r="O26" s="21"/>
      <c r="P26" s="21"/>
      <c r="Q26" s="16"/>
    </row>
    <row r="27">
      <c r="B27" s="24" t="s">
        <v>24</v>
      </c>
      <c r="C27" s="21" t="s">
        <v>837</v>
      </c>
      <c r="D27" s="21"/>
      <c r="E27" s="21"/>
      <c r="F27" s="21"/>
      <c r="G27" s="21"/>
      <c r="H27" s="21"/>
      <c r="I27" s="21"/>
      <c r="J27" s="21"/>
      <c r="K27" s="21"/>
      <c r="L27" s="21"/>
      <c r="M27" s="21"/>
      <c r="N27" s="21"/>
      <c r="O27" s="21"/>
      <c r="P27" s="21"/>
      <c r="Q27" s="16"/>
    </row>
    <row r="28">
      <c r="B28" s="24" t="s">
        <v>25</v>
      </c>
      <c r="C28" s="21" t="s">
        <v>838</v>
      </c>
      <c r="D28" s="21"/>
      <c r="E28" s="21"/>
      <c r="F28" s="21"/>
      <c r="G28" s="21"/>
      <c r="H28" s="21"/>
      <c r="I28" s="21"/>
      <c r="J28" s="21"/>
      <c r="K28" s="21"/>
      <c r="L28" s="21"/>
      <c r="M28" s="21"/>
      <c r="N28" s="21"/>
      <c r="O28" s="21"/>
      <c r="P28" s="21"/>
      <c r="Q28" s="16"/>
    </row>
    <row r="29">
      <c r="B29" s="24" t="s">
        <v>26</v>
      </c>
      <c r="C29" s="21" t="s">
        <v>27</v>
      </c>
      <c r="D29" s="21"/>
      <c r="E29" s="21"/>
      <c r="F29" s="21"/>
      <c r="G29" s="21"/>
      <c r="H29" s="21"/>
      <c r="I29" s="21"/>
      <c r="J29" s="21"/>
      <c r="K29" s="21"/>
      <c r="L29" s="21"/>
      <c r="M29" s="21"/>
      <c r="N29" s="21"/>
      <c r="O29" s="21"/>
      <c r="P29" s="21"/>
      <c r="Q29" s="16"/>
    </row>
    <row r="30">
      <c r="B30" s="24"/>
      <c r="C30" s="21"/>
      <c r="D30" s="21"/>
      <c r="E30" s="21"/>
      <c r="F30" s="21"/>
      <c r="G30" s="21"/>
      <c r="H30" s="21"/>
      <c r="I30" s="21"/>
      <c r="J30" s="21"/>
      <c r="K30" s="21"/>
      <c r="L30" s="21"/>
      <c r="M30" s="21"/>
      <c r="N30" s="21"/>
      <c r="O30" s="21"/>
      <c r="P30" s="21"/>
      <c r="Q30" s="16"/>
    </row>
    <row r="31">
      <c r="B31" s="3" t="s">
        <v>28</v>
      </c>
      <c r="C31" s="21"/>
      <c r="D31" s="21"/>
      <c r="E31" s="21"/>
      <c r="F31" s="21"/>
      <c r="G31" s="21"/>
      <c r="H31" s="21"/>
      <c r="I31" s="21"/>
      <c r="J31" s="21"/>
      <c r="K31" s="21"/>
      <c r="L31" s="21"/>
      <c r="M31" s="21"/>
      <c r="N31" s="21"/>
      <c r="O31" s="21"/>
      <c r="P31" s="21"/>
      <c r="Q31" s="16"/>
    </row>
    <row r="32">
      <c r="B32" s="24" t="s">
        <v>29</v>
      </c>
      <c r="C32" s="21"/>
      <c r="D32" s="21"/>
      <c r="E32" s="21"/>
      <c r="F32" s="21"/>
      <c r="G32" s="21"/>
      <c r="H32" s="21"/>
      <c r="I32" s="21"/>
      <c r="J32" s="21"/>
      <c r="K32" s="21"/>
      <c r="L32" s="21"/>
      <c r="M32" s="21"/>
      <c r="N32" s="21"/>
      <c r="O32" s="21"/>
      <c r="P32" s="21"/>
      <c r="Q32" s="16"/>
    </row>
    <row r="33" ht="30.75" customHeight="1">
      <c r="B33" s="5" t="s">
        <v>839</v>
      </c>
      <c r="C33" s="6"/>
      <c r="D33" s="6"/>
      <c r="E33" s="6"/>
      <c r="F33" s="6"/>
      <c r="G33" s="6"/>
      <c r="H33" s="6"/>
      <c r="I33" s="6"/>
      <c r="J33" s="6"/>
      <c r="K33" s="6"/>
      <c r="L33" s="6"/>
      <c r="M33" s="6"/>
      <c r="N33" s="6"/>
      <c r="O33" s="6"/>
      <c r="P33" s="6"/>
      <c r="Q33" s="7"/>
    </row>
    <row r="34">
      <c r="B34" s="18" t="s">
        <v>30</v>
      </c>
      <c r="C34" s="21"/>
      <c r="D34" s="21"/>
      <c r="E34" s="21"/>
      <c r="F34" s="21"/>
      <c r="G34" s="21"/>
      <c r="H34" s="21"/>
      <c r="I34" s="21"/>
      <c r="J34" s="21"/>
      <c r="K34" s="21"/>
      <c r="L34" s="21"/>
      <c r="M34" s="21"/>
      <c r="N34" s="21"/>
      <c r="O34" s="21"/>
      <c r="P34" s="21"/>
      <c r="Q34" s="16"/>
    </row>
    <row r="35">
      <c r="B35" s="24" t="s">
        <v>31</v>
      </c>
      <c r="C35" s="21"/>
      <c r="D35" s="21"/>
      <c r="E35" s="21"/>
      <c r="F35" s="21"/>
      <c r="G35" s="21"/>
      <c r="H35" s="21"/>
      <c r="I35" s="21"/>
      <c r="J35" s="21"/>
      <c r="K35" s="21"/>
      <c r="L35" s="21"/>
      <c r="M35" s="21"/>
      <c r="N35" s="21"/>
      <c r="O35" s="21"/>
      <c r="P35" s="21"/>
      <c r="Q35" s="16"/>
    </row>
    <row r="36">
      <c r="B36" s="23" t="s">
        <v>32</v>
      </c>
      <c r="C36" s="4"/>
      <c r="D36" s="4"/>
      <c r="E36" s="4"/>
      <c r="F36" s="4"/>
      <c r="G36" s="4"/>
      <c r="H36" s="4"/>
      <c r="I36" s="4"/>
      <c r="J36" s="4"/>
      <c r="K36" s="4"/>
      <c r="L36" s="4"/>
      <c r="M36" s="4"/>
      <c r="N36" s="4"/>
      <c r="O36" s="4"/>
      <c r="P36" s="4"/>
      <c r="Q36" s="17"/>
    </row>
    <row r="39">
      <c r="B39" s="19"/>
      <c r="C39" s="19"/>
      <c r="D39" s="19"/>
      <c r="E39" s="19"/>
      <c r="F39" s="19"/>
      <c r="G39" s="19"/>
      <c r="H39" s="19"/>
      <c r="I39" s="19"/>
      <c r="J39" s="19"/>
      <c r="K39" s="19"/>
      <c r="L39" s="19"/>
      <c r="M39" s="19"/>
      <c r="N39" s="19"/>
      <c r="O39" s="19"/>
      <c r="P39" s="19"/>
      <c r="Q39" s="19"/>
    </row>
    <row r="40">
      <c r="B40" s="19"/>
      <c r="C40" s="19"/>
      <c r="D40" s="19"/>
      <c r="E40" s="19"/>
      <c r="F40" s="19"/>
      <c r="G40" s="19"/>
      <c r="H40" s="19"/>
      <c r="I40" s="19"/>
      <c r="J40" s="19"/>
      <c r="K40" s="19"/>
      <c r="L40" s="19"/>
      <c r="M40" s="19"/>
      <c r="N40" s="19"/>
      <c r="O40" s="19"/>
      <c r="P40" s="19"/>
      <c r="Q40" s="19"/>
    </row>
    <row r="41">
      <c r="B41" s="19"/>
      <c r="C41" s="19"/>
      <c r="D41" s="19"/>
      <c r="E41" s="19"/>
      <c r="F41" s="19"/>
      <c r="G41" s="19"/>
      <c r="H41" s="19"/>
      <c r="I41" s="19"/>
      <c r="J41" s="19"/>
      <c r="K41" s="19"/>
      <c r="L41" s="19"/>
      <c r="M41" s="19"/>
      <c r="N41" s="19"/>
      <c r="O41" s="19"/>
      <c r="P41" s="19"/>
      <c r="Q41" s="19"/>
    </row>
    <row r="42">
      <c r="B42" s="19"/>
      <c r="C42" s="19"/>
      <c r="D42" s="19"/>
      <c r="E42" s="19"/>
      <c r="F42" s="19"/>
      <c r="G42" s="19"/>
      <c r="H42" s="19"/>
      <c r="I42" s="19"/>
      <c r="J42" s="19"/>
      <c r="K42" s="19"/>
      <c r="L42" s="19"/>
      <c r="M42" s="19"/>
      <c r="N42" s="19"/>
      <c r="O42" s="19"/>
      <c r="P42" s="19"/>
      <c r="Q42" s="19"/>
    </row>
    <row r="43">
      <c r="B43" s="19"/>
      <c r="C43" s="19"/>
      <c r="D43" s="19"/>
      <c r="E43" s="19"/>
      <c r="F43" s="19"/>
      <c r="G43" s="19"/>
      <c r="H43" s="19"/>
      <c r="I43" s="19"/>
      <c r="J43" s="19"/>
      <c r="K43" s="19"/>
      <c r="L43" s="19"/>
      <c r="M43" s="19"/>
      <c r="N43" s="19"/>
      <c r="O43" s="19"/>
      <c r="P43" s="19"/>
      <c r="Q43" s="19"/>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8" sqref="C8"/>
    </sheetView>
  </sheetViews>
  <sheetFormatPr defaultRowHeight="15.0" baseColWidth="10"/>
  <cols>
    <col min="1" max="1" width="44.1796875" hidden="0" customWidth="1"/>
    <col min="2" max="2" width="58.81640625" hidden="0" customWidth="1"/>
    <col min="3" max="3" width="56.453125" hidden="0" customWidth="1"/>
    <col min="5" max="5" width="42.81640625" hidden="0" customWidth="1"/>
    <col min="6" max="6" width="21.453125" hidden="0" customWidth="1"/>
  </cols>
  <sheetData>
    <row r="1" ht="47.9" customHeight="1">
      <c r="A1" s="45" t="s">
        <v>33</v>
      </c>
      <c r="B1" s="46" t="s">
        <v>34</v>
      </c>
      <c r="C1" s="46" t="s">
        <v>35</v>
      </c>
      <c r="D1" s="47" t="s">
        <v>36</v>
      </c>
      <c r="E1" s="36"/>
      <c r="F1" s="36"/>
    </row>
    <row r="2" ht="16.5" customHeight="1">
      <c r="A2" s="27" t="s">
        <v>37</v>
      </c>
      <c r="B2" s="28"/>
      <c r="C2" s="28"/>
      <c r="D2" s="29"/>
      <c r="E2" s="36"/>
      <c r="F2" s="36"/>
    </row>
    <row r="3" ht="148.4" customHeight="1">
      <c r="A3" s="39" t="s">
        <v>852</v>
      </c>
      <c r="B3" s="34" t="s">
        <v>1749</v>
      </c>
      <c r="C3" s="34" t="s">
        <v>850</v>
      </c>
      <c r="D3" s="43" t="s">
        <v>922</v>
      </c>
    </row>
    <row r="4" ht="85.5" customHeight="1">
      <c r="A4" s="39" t="s">
        <v>1826</v>
      </c>
      <c r="B4" s="34" t="s">
        <v>1827</v>
      </c>
      <c r="C4" s="34" t="s">
        <v>921</v>
      </c>
      <c r="D4" s="43" t="s">
        <v>922</v>
      </c>
      <c r="E4" s="34"/>
      <c r="F4" s="34"/>
    </row>
    <row r="5" ht="168" customHeight="1">
      <c r="A5" s="39" t="s">
        <v>840</v>
      </c>
      <c r="B5" s="34" t="s">
        <v>841</v>
      </c>
      <c r="C5" s="34" t="s">
        <v>863</v>
      </c>
      <c r="D5" s="43" t="s">
        <v>922</v>
      </c>
      <c r="E5" s="34"/>
      <c r="F5" s="34"/>
    </row>
    <row r="6" ht="105" customHeight="1">
      <c r="A6" s="39" t="s">
        <v>842</v>
      </c>
      <c r="B6" s="34" t="s">
        <v>38</v>
      </c>
      <c r="C6" s="34" t="s">
        <v>39</v>
      </c>
      <c r="D6" s="43" t="s">
        <v>922</v>
      </c>
      <c r="E6" s="34"/>
      <c r="F6" s="34"/>
    </row>
    <row r="7" ht="61.5" customHeight="1">
      <c r="A7" s="39" t="s">
        <v>1829</v>
      </c>
      <c r="B7" s="34" t="s">
        <v>1830</v>
      </c>
      <c r="C7" s="34" t="s">
        <v>1834</v>
      </c>
      <c r="D7" s="43" t="s">
        <v>922</v>
      </c>
      <c r="E7" s="34"/>
      <c r="F7" s="34"/>
    </row>
    <row r="8" ht="100.4" customHeight="1">
      <c r="A8" s="39" t="s">
        <v>42</v>
      </c>
      <c r="B8" s="34" t="s">
        <v>43</v>
      </c>
      <c r="C8" s="48" t="s">
        <v>44</v>
      </c>
      <c r="D8" s="43" t="s">
        <v>922</v>
      </c>
      <c r="E8" s="37"/>
      <c r="F8" s="34"/>
      <c r="G8" s="49"/>
    </row>
    <row r="9" ht="78" customHeight="1">
      <c r="A9" s="39" t="s">
        <v>45</v>
      </c>
      <c r="B9" s="34" t="s">
        <v>46</v>
      </c>
      <c r="C9" s="34" t="s">
        <v>869</v>
      </c>
      <c r="D9" s="43" t="s">
        <v>922</v>
      </c>
      <c r="E9" s="34"/>
      <c r="F9" s="34"/>
    </row>
    <row r="10" ht="67.5" customHeight="1">
      <c r="A10" s="39" t="s">
        <v>816</v>
      </c>
      <c r="B10" s="34" t="s">
        <v>826</v>
      </c>
      <c r="C10" s="34" t="s">
        <v>883</v>
      </c>
      <c r="D10" s="43" t="s">
        <v>922</v>
      </c>
      <c r="E10" s="34"/>
      <c r="F10" s="34"/>
    </row>
    <row r="11" ht="63.65" customHeight="1">
      <c r="A11" s="39" t="s">
        <v>47</v>
      </c>
      <c r="B11" s="34" t="s">
        <v>48</v>
      </c>
      <c r="C11" s="34" t="s">
        <v>843</v>
      </c>
      <c r="D11" s="35"/>
      <c r="E11" s="34"/>
      <c r="F11" s="34"/>
    </row>
    <row r="12" ht="15" customHeight="1">
      <c r="A12" s="27" t="s">
        <v>844</v>
      </c>
      <c r="B12" s="28"/>
      <c r="C12" s="28"/>
      <c r="D12" s="29"/>
      <c r="E12" s="36"/>
      <c r="F12" s="34"/>
    </row>
    <row r="13" ht="29.9" customHeight="1">
      <c r="A13" s="40" t="s">
        <v>9</v>
      </c>
      <c r="B13" s="33" t="s">
        <v>846</v>
      </c>
      <c r="C13" s="33"/>
      <c r="D13" s="44"/>
      <c r="E13" s="36"/>
      <c r="F13" s="34"/>
    </row>
    <row r="14" ht="48.65" customHeight="1">
      <c r="A14" s="38" t="s">
        <v>845</v>
      </c>
      <c r="B14" s="33" t="s">
        <v>856</v>
      </c>
      <c r="C14" s="33"/>
      <c r="D14" s="43"/>
      <c r="E14" s="36"/>
      <c r="F14" s="34"/>
    </row>
    <row r="15" ht="48.65" customHeight="1">
      <c r="A15" s="38" t="s">
        <v>847</v>
      </c>
      <c r="B15" s="33" t="s">
        <v>848</v>
      </c>
      <c r="C15" s="33"/>
      <c r="D15" s="35"/>
      <c r="E15" s="36"/>
      <c r="F15" s="34"/>
    </row>
    <row r="16">
      <c r="A16" s="30" t="s">
        <v>59</v>
      </c>
      <c r="B16" s="31"/>
      <c r="C16" s="31"/>
      <c r="D16" s="32"/>
      <c r="E16" s="34"/>
      <c r="F16" s="34"/>
    </row>
    <row r="17" ht="36.65" customHeight="1">
      <c r="A17" s="25" t="s">
        <v>849</v>
      </c>
      <c r="B17" s="26"/>
      <c r="C17" s="26"/>
      <c r="D17" s="44"/>
      <c r="E17" s="34"/>
      <c r="F17" s="34"/>
    </row>
    <row r="18" ht="145.5" customHeight="1">
      <c r="A18" s="39" t="s">
        <v>60</v>
      </c>
      <c r="B18" s="34" t="s">
        <v>870</v>
      </c>
      <c r="C18" s="34" t="s">
        <v>877</v>
      </c>
      <c r="D18" s="43"/>
      <c r="E18" s="34"/>
      <c r="F18" s="34"/>
    </row>
    <row r="19" ht="63.65" customHeight="1">
      <c r="A19" s="39" t="s">
        <v>61</v>
      </c>
      <c r="B19" s="34" t="s">
        <v>871</v>
      </c>
      <c r="C19" s="34" t="s">
        <v>872</v>
      </c>
      <c r="D19" s="43"/>
      <c r="E19" s="34"/>
      <c r="F19" s="34"/>
    </row>
    <row r="20" ht="63.65" customHeight="1">
      <c r="A20" s="39" t="s">
        <v>873</v>
      </c>
      <c r="B20" s="34" t="s">
        <v>874</v>
      </c>
      <c r="C20" s="34" t="s">
        <v>875</v>
      </c>
      <c r="D20" s="43"/>
      <c r="E20" s="34"/>
      <c r="F20" s="34"/>
    </row>
    <row r="21" ht="34.4" customHeight="1">
      <c r="A21" s="25" t="s">
        <v>823</v>
      </c>
      <c r="B21" s="26"/>
      <c r="C21" s="26"/>
      <c r="D21" s="35"/>
      <c r="E21" s="34"/>
      <c r="F21" s="34"/>
    </row>
    <row r="22">
      <c r="A22" s="30" t="s">
        <v>62</v>
      </c>
      <c r="B22" s="31"/>
      <c r="C22" s="31"/>
      <c r="D22" s="32"/>
      <c r="E22" s="34"/>
      <c r="F22" s="34"/>
    </row>
    <row r="23" ht="29.15" customHeight="1">
      <c r="A23" s="39" t="s">
        <v>63</v>
      </c>
      <c r="B23" s="34"/>
      <c r="C23" s="34" t="s">
        <v>64</v>
      </c>
      <c r="D23" s="44"/>
      <c r="E23" s="34"/>
      <c r="F23" s="34"/>
    </row>
    <row r="24" ht="57.65" customHeight="1">
      <c r="A24" s="39" t="s">
        <v>65</v>
      </c>
      <c r="B24" s="34" t="s">
        <v>66</v>
      </c>
      <c r="C24" s="34" t="s">
        <v>67</v>
      </c>
      <c r="D24" s="43"/>
      <c r="E24" s="34"/>
      <c r="F24" s="34"/>
    </row>
    <row r="25" ht="29.15" customHeight="1">
      <c r="A25" s="39" t="s">
        <v>68</v>
      </c>
      <c r="B25" s="34" t="s">
        <v>69</v>
      </c>
      <c r="C25" s="34" t="s">
        <v>862</v>
      </c>
      <c r="D25" s="43"/>
      <c r="E25" s="34"/>
      <c r="F25" s="34"/>
    </row>
    <row r="26" ht="72" customHeight="1">
      <c r="A26" s="41" t="s">
        <v>70</v>
      </c>
      <c r="B26" s="42" t="s">
        <v>71</v>
      </c>
      <c r="C26" s="42" t="s">
        <v>72</v>
      </c>
      <c r="D26" s="35"/>
      <c r="E26" s="34"/>
      <c r="F26" s="3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79" zoomScaleNormal="85" workbookViewId="0">
      <pane ySplit="1" topLeftCell="A4" activePane="bottomLeft" state="frozen"/>
      <selection pane="bottomLeft" activeCell="D7" sqref="D7"/>
    </sheetView>
  </sheetViews>
  <sheetFormatPr defaultRowHeight="15.0" baseColWidth="10"/>
  <cols>
    <col min="1" max="1" width="30.81640625" hidden="0" customWidth="1"/>
    <col min="2" max="2" width="109.453125" hidden="0" customWidth="1"/>
    <col min="3" max="3" width="47" hidden="0" customWidth="1"/>
    <col min="4" max="4" width="18.81640625" hidden="0" customWidth="1"/>
    <col min="5" max="5" width="58.81640625" hidden="0" customWidth="1"/>
    <col min="6" max="6" width="33.1796875" hidden="0" customWidth="1"/>
  </cols>
  <sheetData>
    <row r="1" ht="47.9" customHeight="1">
      <c r="A1" s="45" t="s">
        <v>33</v>
      </c>
      <c r="B1" s="46" t="s">
        <v>34</v>
      </c>
      <c r="C1" s="46" t="s">
        <v>35</v>
      </c>
      <c r="D1" s="47" t="s">
        <v>36</v>
      </c>
      <c r="E1" s="58"/>
      <c r="F1" s="58"/>
    </row>
    <row r="2" ht="16.5" customHeight="1">
      <c r="A2" s="27" t="s">
        <v>37</v>
      </c>
      <c r="B2" s="28"/>
      <c r="C2" s="28"/>
      <c r="D2" s="29"/>
      <c r="E2" s="58"/>
      <c r="F2" s="58"/>
    </row>
    <row r="3" ht="148.4" customHeight="1">
      <c r="A3" s="39" t="s">
        <v>852</v>
      </c>
      <c r="B3" s="34" t="s">
        <v>851</v>
      </c>
      <c r="C3" s="34" t="s">
        <v>850</v>
      </c>
      <c r="D3" s="43" t="s">
        <v>1951</v>
      </c>
    </row>
    <row r="4" ht="148.4" customHeight="1">
      <c r="A4" s="39" t="s">
        <v>79</v>
      </c>
      <c r="B4" s="34" t="s">
        <v>40</v>
      </c>
      <c r="C4" s="34" t="s">
        <v>906</v>
      </c>
      <c r="D4" s="43" t="s">
        <v>1951</v>
      </c>
      <c r="E4" s="34"/>
      <c r="F4" s="34"/>
    </row>
    <row r="5" ht="61.5" customHeight="1">
      <c r="A5" s="39" t="s">
        <v>73</v>
      </c>
      <c r="B5" s="34" t="s">
        <v>74</v>
      </c>
      <c r="C5" s="60" t="s">
        <v>44</v>
      </c>
      <c r="D5" s="43" t="s">
        <v>1951</v>
      </c>
    </row>
    <row r="6" ht="78" customHeight="1">
      <c r="A6" s="39" t="s">
        <v>45</v>
      </c>
      <c r="B6" s="34" t="s">
        <v>46</v>
      </c>
      <c r="C6" s="34" t="s">
        <v>869</v>
      </c>
      <c r="D6" s="43" t="s">
        <v>919</v>
      </c>
      <c r="E6" s="34"/>
      <c r="F6" s="34"/>
    </row>
    <row r="7" ht="50.9" customHeight="1">
      <c r="A7" s="39" t="s">
        <v>816</v>
      </c>
      <c r="B7" s="34" t="s">
        <v>826</v>
      </c>
      <c r="C7" s="34" t="s">
        <v>1435</v>
      </c>
      <c r="D7" s="43" t="s">
        <v>919</v>
      </c>
      <c r="E7" s="36"/>
      <c r="F7" s="34"/>
    </row>
    <row r="8" ht="78.650000000000006" customHeight="1">
      <c r="A8" s="39" t="s">
        <v>75</v>
      </c>
      <c r="B8" s="34" t="s">
        <v>76</v>
      </c>
      <c r="C8" s="34" t="s">
        <v>77</v>
      </c>
      <c r="D8" s="43" t="s">
        <v>919</v>
      </c>
      <c r="E8" s="36"/>
      <c r="F8" s="34"/>
    </row>
    <row r="9" ht="96.65" customHeight="1">
      <c r="A9" s="39" t="s">
        <v>47</v>
      </c>
      <c r="B9" s="34" t="s">
        <v>48</v>
      </c>
      <c r="C9" s="34" t="s">
        <v>843</v>
      </c>
      <c r="D9" s="43" t="s">
        <v>919</v>
      </c>
      <c r="E9" s="36"/>
      <c r="F9" s="34"/>
    </row>
    <row r="10" ht="22.5" customHeight="1">
      <c r="A10" s="27" t="s">
        <v>844</v>
      </c>
      <c r="B10" s="28"/>
      <c r="C10" s="28"/>
      <c r="D10" s="29"/>
      <c r="E10" s="36"/>
      <c r="F10" s="34"/>
    </row>
    <row r="11" ht="22.5" customHeight="1">
      <c r="A11" s="40" t="s">
        <v>75</v>
      </c>
      <c r="B11" s="56" t="s">
        <v>854</v>
      </c>
      <c r="C11" s="57"/>
      <c r="D11" s="59"/>
      <c r="E11" s="36"/>
      <c r="F11" s="34"/>
    </row>
    <row r="12" ht="33" customHeight="1">
      <c r="A12" s="40" t="s">
        <v>853</v>
      </c>
      <c r="B12" s="33" t="s">
        <v>855</v>
      </c>
      <c r="C12" s="33"/>
      <c r="D12" s="43"/>
      <c r="E12" s="34"/>
      <c r="F12" s="34"/>
    </row>
    <row r="13" ht="39.65" customHeight="1">
      <c r="A13" s="38" t="s">
        <v>845</v>
      </c>
      <c r="B13" s="33" t="s">
        <v>856</v>
      </c>
      <c r="C13" s="33"/>
      <c r="D13" s="43"/>
    </row>
    <row r="14" ht="38.9" customHeight="1">
      <c r="A14" s="38" t="s">
        <v>847</v>
      </c>
      <c r="B14" s="33" t="s">
        <v>848</v>
      </c>
      <c r="C14" s="33"/>
      <c r="D14" s="43"/>
    </row>
    <row r="15" ht="20.149999999999999" customHeight="1">
      <c r="A15" s="30" t="s">
        <v>59</v>
      </c>
      <c r="B15" s="31"/>
      <c r="C15" s="31"/>
      <c r="D15" s="32"/>
    </row>
    <row r="16" ht="24.65" customHeight="1">
      <c r="A16" s="50" t="s">
        <v>824</v>
      </c>
      <c r="B16" s="51"/>
      <c r="C16" s="52"/>
      <c r="D16" s="43"/>
    </row>
    <row r="17" ht="101.9" customHeight="1">
      <c r="A17" s="38" t="s">
        <v>60</v>
      </c>
      <c r="B17" s="61" t="s">
        <v>870</v>
      </c>
      <c r="C17" s="61" t="s">
        <v>877</v>
      </c>
      <c r="D17" s="62"/>
      <c r="E17" s="61"/>
      <c r="F17" s="61"/>
      <c r="G17" s="61"/>
    </row>
    <row r="18" ht="101.15" customHeight="1">
      <c r="A18" s="38" t="s">
        <v>61</v>
      </c>
      <c r="B18" s="61" t="s">
        <v>871</v>
      </c>
      <c r="C18" s="61" t="s">
        <v>872</v>
      </c>
      <c r="D18" s="62"/>
      <c r="E18" s="61"/>
      <c r="F18" s="61"/>
      <c r="G18" s="61"/>
    </row>
    <row r="19" ht="57.65" customHeight="1">
      <c r="A19" s="38" t="s">
        <v>873</v>
      </c>
      <c r="B19" s="61" t="s">
        <v>874</v>
      </c>
      <c r="C19" s="61" t="s">
        <v>875</v>
      </c>
      <c r="D19" s="62"/>
      <c r="E19" s="61"/>
      <c r="F19" s="61"/>
      <c r="G19" s="61"/>
    </row>
    <row r="20" ht="37.5" customHeight="1">
      <c r="A20" s="53" t="s">
        <v>823</v>
      </c>
      <c r="B20" s="54"/>
      <c r="C20" s="55"/>
      <c r="D20" s="43"/>
    </row>
    <row r="21">
      <c r="A21" s="30" t="s">
        <v>62</v>
      </c>
      <c r="B21" s="31"/>
      <c r="C21" s="31"/>
      <c r="D21" s="32"/>
    </row>
    <row r="22" ht="29.15" customHeight="1">
      <c r="A22" s="39" t="s">
        <v>63</v>
      </c>
      <c r="B22" s="34" t="s">
        <v>78</v>
      </c>
      <c r="C22" s="34" t="s">
        <v>64</v>
      </c>
      <c r="D22" s="43"/>
    </row>
    <row r="23" ht="72" customHeight="1">
      <c r="A23" s="39" t="s">
        <v>65</v>
      </c>
      <c r="B23" s="34" t="s">
        <v>66</v>
      </c>
      <c r="C23" s="34" t="s">
        <v>67</v>
      </c>
      <c r="D23" s="43"/>
    </row>
    <row r="24" ht="29.15" customHeight="1">
      <c r="A24" s="39" t="s">
        <v>68</v>
      </c>
      <c r="B24" s="34" t="s">
        <v>69</v>
      </c>
      <c r="C24" s="34" t="s">
        <v>862</v>
      </c>
      <c r="D24" s="43"/>
    </row>
    <row r="25" ht="101.15" customHeight="1">
      <c r="A25" s="41" t="s">
        <v>70</v>
      </c>
      <c r="B25" s="42" t="s">
        <v>71</v>
      </c>
      <c r="C25" s="42" t="s">
        <v>72</v>
      </c>
      <c r="D25" s="35"/>
    </row>
  </sheetData>
  <mergeCells count="10">
    <mergeCell ref="A21:D21"/>
    <mergeCell ref="A16:C16"/>
    <mergeCell ref="A20:C20"/>
    <mergeCell ref="A2:D2"/>
    <mergeCell ref="A10:D10"/>
    <mergeCell ref="B11:C11"/>
    <mergeCell ref="A15:D15"/>
    <mergeCell ref="B12:C12"/>
    <mergeCell ref="B13:C13"/>
    <mergeCell ref="B14:C14"/>
  </mergeCells>
  <conditionalFormatting sqref="D3:D9">
    <cfRule type="containsText" dxfId="75" priority="6" operator="containsText" text="Yes">
      <formula>NOT(ISERROR(SEARCH("Yes",D3)))</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9" workbookViewId="0">
      <selection activeCell="E3" sqref="E3"/>
    </sheetView>
  </sheetViews>
  <sheetFormatPr defaultRowHeight="15.0" baseColWidth="10"/>
  <cols>
    <col min="1" max="1" width="15.1796875" hidden="0" customWidth="1"/>
    <col min="2" max="2" width="28.453125" hidden="0" customWidth="1"/>
    <col min="3" max="3" width="25.1796875" hidden="0" customWidth="1"/>
    <col min="4" max="4" width="11.1796875" hidden="0" customWidth="1"/>
    <col min="5" max="5" width="15.1796875" hidden="0" customWidth="1"/>
    <col min="6" max="6" width="12.453125" hidden="0" customWidth="1"/>
    <col min="7" max="7" width="11.81640625" hidden="0" customWidth="1"/>
  </cols>
  <sheetData>
    <row r="1">
      <c r="A1" s="75" t="s">
        <v>85</v>
      </c>
      <c r="B1" s="75" t="s">
        <v>86</v>
      </c>
      <c r="C1" s="75" t="s">
        <v>87</v>
      </c>
      <c r="D1" s="75" t="s">
        <v>88</v>
      </c>
      <c r="E1" s="75" t="s">
        <v>89</v>
      </c>
      <c r="F1" s="75" t="s">
        <v>90</v>
      </c>
    </row>
    <row r="2">
      <c r="C2" s="71" t="str">
        <f>'Haver Pivoted'!A1</f>
        <v>name</v>
      </c>
      <c r="D2" s="76" t="s">
        <v>1914</v>
      </c>
      <c r="E2" s="76" t="s">
        <v>1915</v>
      </c>
      <c r="F2" s="76" t="s">
        <v>1944</v>
      </c>
      <c r="G2" s="76" t="s">
        <v>1945</v>
      </c>
      <c r="H2" s="77"/>
    </row>
    <row r="3">
      <c r="B3" s="71" t="s">
        <v>91</v>
      </c>
      <c r="C3" s="71" t="str">
        <f>'Haver Pivoted'!A2</f>
        <v>gdp</v>
      </c>
      <c r="D3" t="n">
        <v>27610.1</v>
      </c>
      <c r="E3" s="71" t="n">
        <f>'Haver Pivoted'!HH2</f>
        <v>27610.1</v>
      </c>
      <c r="F3" s="71" t="n">
        <f>E3-D3</f>
        <v>0</v>
      </c>
      <c r="G3" s="78" t="n">
        <f>F3/D3</f>
        <v>0</v>
      </c>
      <c r="H3" s="79"/>
    </row>
    <row r="4">
      <c r="B4" s="71" t="s">
        <v>92</v>
      </c>
      <c r="C4" s="71" t="str">
        <f>'Haver Pivoted'!A3</f>
        <v>gdph</v>
      </c>
      <c r="D4" t="n">
        <v>22490.7</v>
      </c>
      <c r="E4" s="71" t="n">
        <f>'Haver Pivoted'!HH3</f>
        <v>22490.7</v>
      </c>
      <c r="F4" s="71" t="n">
        <f t="shared" ref="F4:F67" si="0">E4-D4</f>
        <v>0</v>
      </c>
      <c r="G4" s="78" t="n">
        <f t="shared" ref="G4:G67" si="1">F4/D4</f>
        <v>0</v>
      </c>
      <c r="H4" s="79"/>
    </row>
    <row r="5">
      <c r="B5" s="71" t="s">
        <v>93</v>
      </c>
      <c r="C5" s="71" t="str">
        <f>'Haver Pivoted'!A4</f>
        <v>jgdp</v>
      </c>
      <c r="D5" t="n">
        <v>122.792</v>
      </c>
      <c r="E5" s="71" t="n">
        <f>'Haver Pivoted'!HH4</f>
        <v>122.792</v>
      </c>
      <c r="F5" s="71" t="n">
        <f t="shared" si="0"/>
        <v>0</v>
      </c>
      <c r="G5" s="78" t="n">
        <f t="shared" si="1"/>
        <v>0</v>
      </c>
      <c r="H5" s="80"/>
    </row>
    <row r="6">
      <c r="B6" s="71" t="s">
        <v>94</v>
      </c>
      <c r="C6" s="71" t="str">
        <f>'Haver Pivoted'!A5</f>
        <v>c</v>
      </c>
      <c r="D6" t="n">
        <v>18679.5</v>
      </c>
      <c r="E6" s="71" t="n">
        <f>'Haver Pivoted'!HH5</f>
        <v>18679.5</v>
      </c>
      <c r="F6" s="71" t="n">
        <f t="shared" si="0"/>
        <v>0</v>
      </c>
      <c r="G6" s="78" t="n">
        <f t="shared" si="1"/>
        <v>0</v>
      </c>
    </row>
    <row r="7">
      <c r="B7" s="71" t="s">
        <v>95</v>
      </c>
      <c r="C7" s="71" t="str">
        <f>'Haver Pivoted'!A6</f>
        <v>ch</v>
      </c>
      <c r="D7" t="n">
        <v>15461.4</v>
      </c>
      <c r="E7" s="71" t="n">
        <f>'Haver Pivoted'!HH6</f>
        <v>15461.4</v>
      </c>
      <c r="F7" s="71" t="n">
        <f t="shared" si="0"/>
        <v>0</v>
      </c>
      <c r="G7" s="78" t="n">
        <f t="shared" si="1"/>
        <v>0</v>
      </c>
      <c r="K7" s="80"/>
    </row>
    <row r="8">
      <c r="B8" s="71" t="s">
        <v>96</v>
      </c>
      <c r="C8" s="71" t="str">
        <f>'Haver Pivoted'!A7</f>
        <v>jc</v>
      </c>
      <c r="D8" t="n">
        <v>120.81399999999999</v>
      </c>
      <c r="E8" s="71" t="n">
        <f>'Haver Pivoted'!HH7</f>
        <v>120.81399999999999</v>
      </c>
      <c r="F8" s="71" t="n">
        <f t="shared" si="0"/>
        <v>0</v>
      </c>
      <c r="G8" s="78" t="n">
        <f t="shared" si="1"/>
        <v>0</v>
      </c>
    </row>
    <row r="9">
      <c r="B9" s="71" t="s">
        <v>97</v>
      </c>
      <c r="C9" s="71" t="str">
        <f>'Haver Pivoted'!A8</f>
        <v>jgf</v>
      </c>
      <c r="D9" t="n">
        <v>120.09699999999999</v>
      </c>
      <c r="E9" s="71" t="n">
        <f>'Haver Pivoted'!HH8</f>
        <v>120.09699999999999</v>
      </c>
      <c r="F9" s="71" t="n">
        <f t="shared" si="0"/>
        <v>0</v>
      </c>
      <c r="G9" s="78" t="n">
        <f t="shared" si="1"/>
        <v>0</v>
      </c>
    </row>
    <row r="10">
      <c r="B10" s="71" t="s">
        <v>98</v>
      </c>
      <c r="C10" s="71" t="str">
        <f>'Haver Pivoted'!A9</f>
        <v>jgs</v>
      </c>
      <c r="D10" t="n">
        <v>127.717</v>
      </c>
      <c r="E10" s="71" t="n">
        <f>'Haver Pivoted'!HH9</f>
        <v>127.717</v>
      </c>
      <c r="F10" s="71" t="n">
        <f t="shared" si="0"/>
        <v>0</v>
      </c>
      <c r="G10" s="78" t="n">
        <f t="shared" si="1"/>
        <v>0</v>
      </c>
    </row>
    <row r="11">
      <c r="B11" s="71" t="s">
        <v>99</v>
      </c>
      <c r="C11" s="71" t="str">
        <f>'Haver Pivoted'!A10</f>
        <v>jgse</v>
      </c>
      <c r="D11" t="n">
        <v>127.176</v>
      </c>
      <c r="E11" s="71" t="n">
        <f>'Haver Pivoted'!HH10</f>
        <v>127.176</v>
      </c>
      <c r="F11" s="71" t="n">
        <f t="shared" si="0"/>
        <v>0</v>
      </c>
      <c r="G11" s="78" t="n">
        <f t="shared" si="1"/>
        <v>0</v>
      </c>
    </row>
    <row r="12">
      <c r="B12" s="71" t="s">
        <v>100</v>
      </c>
      <c r="C12" s="71" t="str">
        <f>'Haver Pivoted'!A11</f>
        <v>jgsi</v>
      </c>
      <c r="D12" t="n">
        <v>130.56700000000001</v>
      </c>
      <c r="E12" s="71" t="n">
        <f>'Haver Pivoted'!HH11</f>
        <v>130.56700000000001</v>
      </c>
      <c r="F12" s="71" t="n">
        <f t="shared" si="0"/>
        <v>0</v>
      </c>
      <c r="G12" s="78" t="n">
        <f t="shared" si="1"/>
        <v>0</v>
      </c>
      <c r="I12" s="63"/>
    </row>
    <row r="13">
      <c r="A13" s="71" t="s">
        <v>55</v>
      </c>
      <c r="B13" s="71" t="s">
        <v>55</v>
      </c>
      <c r="C13" s="71" t="str">
        <f>'Haver Pivoted'!A12</f>
        <v>yptmr</v>
      </c>
      <c r="D13" t="n">
        <v>946.3</v>
      </c>
      <c r="E13" s="71" t="n">
        <f>'Haver Pivoted'!HH12</f>
        <v>946.3</v>
      </c>
      <c r="F13" s="71" t="n">
        <f t="shared" si="0"/>
        <v>0</v>
      </c>
      <c r="G13" s="78" t="n">
        <f t="shared" si="1"/>
        <v>0</v>
      </c>
      <c r="I13" s="81"/>
    </row>
    <row r="14">
      <c r="A14" s="71" t="s">
        <v>54</v>
      </c>
      <c r="B14" s="71" t="s">
        <v>101</v>
      </c>
      <c r="C14" s="71" t="str">
        <f>'Haver Pivoted'!A13</f>
        <v>yptmd</v>
      </c>
      <c r="D14" t="n">
        <v>880.6</v>
      </c>
      <c r="E14" s="71" t="n">
        <f>'Haver Pivoted'!HH13</f>
        <v>880.6</v>
      </c>
      <c r="F14" s="71" t="n">
        <f t="shared" si="0"/>
        <v>0</v>
      </c>
      <c r="G14" s="78" t="n">
        <f t="shared" si="1"/>
        <v>0</v>
      </c>
    </row>
    <row r="15">
      <c r="A15" s="71" t="s">
        <v>53</v>
      </c>
      <c r="B15" s="71" t="s">
        <v>102</v>
      </c>
      <c r="C15" s="71" t="str">
        <f>'Haver Pivoted'!A14</f>
        <v>yptu</v>
      </c>
      <c r="D15" t="n">
        <v>21</v>
      </c>
      <c r="E15" s="71" t="n">
        <f>'Haver Pivoted'!HH14</f>
        <v>21</v>
      </c>
      <c r="F15" s="71" t="n">
        <f t="shared" si="0"/>
        <v>0</v>
      </c>
      <c r="G15" s="78" t="n">
        <f t="shared" si="1"/>
        <v>0</v>
      </c>
    </row>
    <row r="16">
      <c r="B16" s="71" t="s">
        <v>57</v>
      </c>
      <c r="C16" s="71" t="str">
        <f>'Haver Pivoted'!A15</f>
        <v>gtfp</v>
      </c>
      <c r="D16" t="n">
        <v>3987.8</v>
      </c>
      <c r="E16" s="71" t="n">
        <f>'Haver Pivoted'!HH15</f>
        <v>3987.8</v>
      </c>
      <c r="F16" s="71" t="n">
        <f t="shared" si="0"/>
        <v>0</v>
      </c>
      <c r="G16" s="78" t="n">
        <f t="shared" si="1"/>
        <v>0</v>
      </c>
    </row>
    <row r="17">
      <c r="B17" s="71" t="s">
        <v>103</v>
      </c>
      <c r="C17" s="71" t="str">
        <f>'Haver Pivoted'!A16</f>
        <v>ypog</v>
      </c>
      <c r="D17" t="n">
        <v>131.19999999999999</v>
      </c>
      <c r="E17" s="71" t="n">
        <f>'Haver Pivoted'!HH16</f>
        <v>131.19999999999999</v>
      </c>
      <c r="F17" s="71" t="n">
        <f t="shared" si="0"/>
        <v>0</v>
      </c>
      <c r="G17" s="78" t="n">
        <f t="shared" si="1"/>
        <v>0</v>
      </c>
    </row>
    <row r="18">
      <c r="B18" s="71" t="s">
        <v>104</v>
      </c>
      <c r="C18" s="71" t="str">
        <f>'Haver Pivoted'!A17</f>
        <v>yptx</v>
      </c>
      <c r="D18" t="n">
        <v>2765.3</v>
      </c>
      <c r="E18" s="71" t="n">
        <f>'Haver Pivoted'!HH17</f>
        <v>2765.3</v>
      </c>
      <c r="F18" s="71" t="n">
        <f t="shared" si="0"/>
        <v>0</v>
      </c>
      <c r="G18" s="78" t="n">
        <f t="shared" si="1"/>
        <v>0</v>
      </c>
    </row>
    <row r="19">
      <c r="B19" s="71" t="s">
        <v>105</v>
      </c>
      <c r="C19" s="71" t="str">
        <f>'Haver Pivoted'!A18</f>
        <v>ytpi</v>
      </c>
      <c r="D19" t="n">
        <v>1830.7</v>
      </c>
      <c r="E19" s="71" t="n">
        <f>'Haver Pivoted'!HH18</f>
        <v>1830.7</v>
      </c>
      <c r="F19" s="71" t="n">
        <f t="shared" si="0"/>
        <v>0</v>
      </c>
      <c r="G19" s="78" t="n">
        <f t="shared" si="1"/>
        <v>0</v>
      </c>
    </row>
    <row r="20">
      <c r="B20" s="71" t="s">
        <v>106</v>
      </c>
      <c r="C20" s="71" t="str">
        <f>'Haver Pivoted'!A19</f>
        <v>yctlg</v>
      </c>
      <c r="D20" t="n">
        <v>566.70000000000005</v>
      </c>
      <c r="E20" s="71" t="n">
        <f>'Haver Pivoted'!HH19</f>
        <v>566.70000000000005</v>
      </c>
      <c r="F20" s="71" t="n">
        <f t="shared" si="0"/>
        <v>0</v>
      </c>
      <c r="G20" s="78" t="n">
        <f t="shared" si="1"/>
        <v>0</v>
      </c>
    </row>
    <row r="21">
      <c r="B21" s="71" t="s">
        <v>107</v>
      </c>
      <c r="C21" s="71" t="str">
        <f>'Haver Pivoted'!A20</f>
        <v>g</v>
      </c>
      <c r="D21" t="n">
        <v>4794.8</v>
      </c>
      <c r="E21" s="71" t="n">
        <f>'Haver Pivoted'!HH20</f>
        <v>4794.8</v>
      </c>
      <c r="F21" s="71" t="n">
        <f t="shared" si="0"/>
        <v>0</v>
      </c>
      <c r="G21" s="78" t="n">
        <f t="shared" si="1"/>
        <v>0</v>
      </c>
    </row>
    <row r="22">
      <c r="B22" s="71" t="s">
        <v>108</v>
      </c>
      <c r="C22" s="71" t="str">
        <f>'Haver Pivoted'!A21</f>
        <v>grcsi</v>
      </c>
      <c r="D22" t="n">
        <v>1823.3</v>
      </c>
      <c r="E22" s="71" t="n">
        <f>'Haver Pivoted'!HH21</f>
        <v>1823.3</v>
      </c>
      <c r="F22" s="71" t="n">
        <f t="shared" si="0"/>
        <v>0</v>
      </c>
      <c r="G22" s="78" t="n">
        <f t="shared" si="1"/>
        <v>0</v>
      </c>
    </row>
    <row r="23">
      <c r="B23" s="71" t="s">
        <v>96</v>
      </c>
      <c r="C23" s="71" t="str">
        <f>'Haver Pivoted'!A22</f>
        <v>dc</v>
      </c>
      <c r="D23" t="n">
        <v>120.81399999999999</v>
      </c>
      <c r="E23" s="71" t="n">
        <f>'Haver Pivoted'!HH22</f>
        <v>120.81399999999999</v>
      </c>
      <c r="F23" s="71" t="n">
        <f t="shared" si="0"/>
        <v>0</v>
      </c>
      <c r="G23" s="78" t="n">
        <f t="shared" si="1"/>
        <v>0</v>
      </c>
    </row>
    <row r="24">
      <c r="A24" s="71" t="s">
        <v>109</v>
      </c>
      <c r="B24" s="71" t="s">
        <v>110</v>
      </c>
      <c r="C24" s="71" t="str">
        <f>'Haver Pivoted'!A23</f>
        <v>gf</v>
      </c>
      <c r="D24" t="n">
        <v>1791.9</v>
      </c>
      <c r="E24" s="71" t="n">
        <f>'Haver Pivoted'!HH23</f>
        <v>1791.9</v>
      </c>
      <c r="F24" s="71" t="n">
        <f t="shared" si="0"/>
        <v>0</v>
      </c>
      <c r="G24" s="78" t="n">
        <f t="shared" si="1"/>
        <v>0</v>
      </c>
    </row>
    <row r="25">
      <c r="A25" s="71" t="s">
        <v>109</v>
      </c>
      <c r="B25" s="71" t="s">
        <v>111</v>
      </c>
      <c r="C25" s="71" t="str">
        <f>'Haver Pivoted'!A24</f>
        <v>gs</v>
      </c>
      <c r="D25" t="n">
        <v>3002.9</v>
      </c>
      <c r="E25" s="71" t="n">
        <f>'Haver Pivoted'!HH24</f>
        <v>3002.9</v>
      </c>
      <c r="F25" s="71" t="n">
        <f t="shared" si="0"/>
        <v>0</v>
      </c>
      <c r="G25" s="78" t="n">
        <f t="shared" si="1"/>
        <v>0</v>
      </c>
    </row>
    <row r="26">
      <c r="B26" s="71" t="s">
        <v>112</v>
      </c>
      <c r="C26" s="71" t="str">
        <f>'Haver Pivoted'!A25</f>
        <v>gfh</v>
      </c>
      <c r="D26" t="n">
        <v>1492.3</v>
      </c>
      <c r="E26" s="71" t="n">
        <f>'Haver Pivoted'!HH25</f>
        <v>1492.3</v>
      </c>
      <c r="F26" s="71" t="n">
        <f t="shared" si="0"/>
        <v>0</v>
      </c>
      <c r="G26" s="78" t="n">
        <f t="shared" si="1"/>
        <v>0</v>
      </c>
    </row>
    <row r="27">
      <c r="B27" s="71" t="s">
        <v>113</v>
      </c>
      <c r="C27" s="71" t="str">
        <f>'Haver Pivoted'!A26</f>
        <v>gsh</v>
      </c>
      <c r="D27" t="n">
        <v>2351.4</v>
      </c>
      <c r="E27" s="71" t="n">
        <f>'Haver Pivoted'!HH26</f>
        <v>2351.4</v>
      </c>
      <c r="F27" s="71" t="n">
        <f t="shared" si="0"/>
        <v>0</v>
      </c>
      <c r="G27" s="78" t="n">
        <f t="shared" si="1"/>
        <v>0</v>
      </c>
    </row>
    <row r="28">
      <c r="A28" s="71" t="s">
        <v>58</v>
      </c>
      <c r="B28" s="71" t="s">
        <v>114</v>
      </c>
      <c r="C28" s="71" t="s">
        <v>115</v>
      </c>
      <c r="D28" t="n">
        <v>2188.6999999999998</v>
      </c>
      <c r="E28" s="71" t="n">
        <f>'Haver Pivoted'!HH27</f>
        <v>2188.6999999999998</v>
      </c>
      <c r="F28" s="71" t="n">
        <f t="shared" si="0"/>
        <v>0</v>
      </c>
      <c r="G28" s="78" t="n">
        <f t="shared" si="1"/>
        <v>0</v>
      </c>
    </row>
    <row r="29">
      <c r="A29" s="71" t="s">
        <v>58</v>
      </c>
      <c r="B29" s="71" t="s">
        <v>116</v>
      </c>
      <c r="C29" s="71" t="s">
        <v>117</v>
      </c>
      <c r="D29" t="n">
        <v>171.6</v>
      </c>
      <c r="E29" s="71" t="n">
        <f>'Haver Pivoted'!HH28</f>
        <v>171.6</v>
      </c>
      <c r="F29" s="71" t="n">
        <f t="shared" si="0"/>
        <v>0</v>
      </c>
      <c r="G29" s="78" t="n">
        <f t="shared" si="1"/>
        <v>0</v>
      </c>
    </row>
    <row r="30">
      <c r="A30" s="71" t="s">
        <v>58</v>
      </c>
      <c r="B30" s="71" t="s">
        <v>118</v>
      </c>
      <c r="C30" s="71" t="s">
        <v>119</v>
      </c>
      <c r="D30" t="n">
        <v>418</v>
      </c>
      <c r="E30" s="71" t="n">
        <f>'Haver Pivoted'!HH29</f>
        <v>418</v>
      </c>
      <c r="F30" s="71" t="n">
        <f t="shared" si="0"/>
        <v>0</v>
      </c>
      <c r="G30" s="78" t="n">
        <f t="shared" si="1"/>
        <v>0</v>
      </c>
    </row>
    <row r="31">
      <c r="A31" s="71" t="s">
        <v>58</v>
      </c>
      <c r="B31" s="71" t="s">
        <v>120</v>
      </c>
      <c r="C31" s="71" t="s">
        <v>121</v>
      </c>
      <c r="D31" t="n">
        <v>1801.4</v>
      </c>
      <c r="E31" s="71" t="n">
        <f>'Haver Pivoted'!HH30</f>
        <v>1801.4</v>
      </c>
      <c r="F31" s="71" t="n">
        <f t="shared" si="0"/>
        <v>0</v>
      </c>
      <c r="G31" s="78" t="n">
        <f t="shared" si="1"/>
        <v>0</v>
      </c>
    </row>
    <row r="32">
      <c r="A32" s="71" t="s">
        <v>122</v>
      </c>
      <c r="B32" s="71" t="s">
        <v>123</v>
      </c>
      <c r="C32" s="71" t="str">
        <f>'Haver Pivoted'!A31</f>
        <v>gftfp</v>
      </c>
      <c r="D32" t="n">
        <v>2930.1</v>
      </c>
      <c r="E32" s="71" t="n">
        <f>'Haver Pivoted'!HH31</f>
        <v>2930.1</v>
      </c>
      <c r="F32" s="71" t="n">
        <f t="shared" si="0"/>
        <v>0</v>
      </c>
      <c r="G32" s="78" t="n">
        <f t="shared" si="1"/>
        <v>0</v>
      </c>
    </row>
    <row r="33">
      <c r="A33" s="71" t="s">
        <v>51</v>
      </c>
      <c r="B33" s="70" t="s">
        <v>124</v>
      </c>
      <c r="C33" s="71" t="str">
        <f>'Haver Pivoted'!A32</f>
        <v>gfeg</v>
      </c>
      <c r="D33" t="n">
        <v>918.5</v>
      </c>
      <c r="E33" s="71" t="n">
        <f>'Haver Pivoted'!HH32</f>
        <v>918.5</v>
      </c>
      <c r="F33" s="71" t="n">
        <f t="shared" si="0"/>
        <v>0</v>
      </c>
      <c r="G33" s="78" t="n">
        <f t="shared" si="1"/>
        <v>0</v>
      </c>
    </row>
    <row r="34">
      <c r="A34" s="71" t="s">
        <v>58</v>
      </c>
      <c r="B34" s="71" t="s">
        <v>125</v>
      </c>
      <c r="C34" s="71" t="str">
        <f>'Haver Pivoted'!A33</f>
        <v>gsrpt</v>
      </c>
      <c r="D34" t="n">
        <v>576.6</v>
      </c>
      <c r="E34" s="71" t="n">
        <f>'Haver Pivoted'!HH33</f>
        <v>576.6</v>
      </c>
      <c r="F34" s="71" t="n">
        <f t="shared" si="0"/>
        <v>0</v>
      </c>
      <c r="G34" s="78" t="n">
        <f t="shared" si="1"/>
        <v>0</v>
      </c>
    </row>
    <row r="35">
      <c r="A35" s="71" t="s">
        <v>58</v>
      </c>
      <c r="B35" s="71" t="s">
        <v>126</v>
      </c>
      <c r="C35" s="71" t="str">
        <f>'Haver Pivoted'!A34</f>
        <v>gsrpri</v>
      </c>
      <c r="D35" t="n">
        <v>1659.2</v>
      </c>
      <c r="E35" s="71" t="n">
        <f>'Haver Pivoted'!HH34</f>
        <v>1659.2</v>
      </c>
      <c r="F35" s="71" t="n">
        <f t="shared" si="0"/>
        <v>0</v>
      </c>
      <c r="G35" s="78" t="n">
        <f t="shared" si="1"/>
        <v>0</v>
      </c>
    </row>
    <row r="36">
      <c r="A36" s="71" t="s">
        <v>58</v>
      </c>
      <c r="B36" s="71" t="s">
        <v>127</v>
      </c>
      <c r="C36" s="71" t="str">
        <f>'Haver Pivoted'!A35</f>
        <v>gsrcp</v>
      </c>
      <c r="D36" t="n">
        <v>148.69999999999999</v>
      </c>
      <c r="E36" s="71" t="n">
        <f>'Haver Pivoted'!HH35</f>
        <v>148.69999999999999</v>
      </c>
      <c r="F36" s="71" t="n">
        <f t="shared" si="0"/>
        <v>0</v>
      </c>
      <c r="G36" s="78" t="n">
        <f t="shared" si="1"/>
        <v>0</v>
      </c>
    </row>
    <row r="37">
      <c r="A37" s="71" t="s">
        <v>58</v>
      </c>
      <c r="B37" s="71" t="s">
        <v>128</v>
      </c>
      <c r="C37" s="71" t="str">
        <f>'Haver Pivoted'!A36</f>
        <v>gsrs</v>
      </c>
      <c r="D37" t="n">
        <v>21.9</v>
      </c>
      <c r="E37" s="71" t="n">
        <f>'Haver Pivoted'!HH36</f>
        <v>21.9</v>
      </c>
      <c r="F37" s="71" t="n">
        <f t="shared" si="0"/>
        <v>0</v>
      </c>
      <c r="G37" s="78" t="n">
        <f t="shared" si="1"/>
        <v>0</v>
      </c>
    </row>
    <row r="38">
      <c r="A38" s="71" t="s">
        <v>57</v>
      </c>
      <c r="B38" s="71" t="s">
        <v>129</v>
      </c>
      <c r="C38" s="71" t="str">
        <f>'Haver Pivoted'!A37</f>
        <v>gstfp</v>
      </c>
      <c r="D38" t="n">
        <v>1057.5999999999999</v>
      </c>
      <c r="E38" s="71" t="n">
        <f>'Haver Pivoted'!HH37</f>
        <v>1057.5999999999999</v>
      </c>
      <c r="F38" s="71" t="n">
        <f t="shared" si="0"/>
        <v>0</v>
      </c>
      <c r="G38" s="78" t="n">
        <f t="shared" si="1"/>
        <v>0</v>
      </c>
    </row>
    <row r="39">
      <c r="B39" s="71" t="s">
        <v>130</v>
      </c>
      <c r="C39" s="71" t="str">
        <f>'Haver Pivoted'!A38</f>
        <v>gset</v>
      </c>
      <c r="D39" t="n">
        <v>3985.3</v>
      </c>
      <c r="E39" s="71" t="n">
        <f>'Haver Pivoted'!HH38</f>
        <v>3985.3</v>
      </c>
      <c r="F39" s="71" t="n">
        <f t="shared" si="0"/>
        <v>0</v>
      </c>
      <c r="G39" s="78" t="n">
        <f t="shared" si="1"/>
        <v>0</v>
      </c>
    </row>
    <row r="40">
      <c r="B40" s="71" t="s">
        <v>131</v>
      </c>
      <c r="C40" s="71" t="str">
        <f>'Haver Pivoted'!A39</f>
        <v>gfeghhx</v>
      </c>
      <c r="D40" t="n">
        <v>622.95699999999999</v>
      </c>
      <c r="E40" s="71" t="n">
        <f>'Haver Pivoted'!HH39</f>
        <v>622.95699999999999</v>
      </c>
      <c r="F40" s="71" t="n">
        <f t="shared" si="0"/>
        <v>0</v>
      </c>
      <c r="G40" s="78" t="n">
        <f t="shared" si="1"/>
        <v>0</v>
      </c>
    </row>
    <row r="41">
      <c r="A41" s="71" t="s">
        <v>132</v>
      </c>
      <c r="B41" s="71" t="s">
        <v>133</v>
      </c>
      <c r="C41" s="71" t="str">
        <f>'Haver Pivoted'!A40</f>
        <v>gfeghdx</v>
      </c>
      <c r="D41" t="n">
        <v>590.947</v>
      </c>
      <c r="E41" s="71" t="n">
        <f>'Haver Pivoted'!HH40</f>
        <v>590.947</v>
      </c>
      <c r="F41" s="71" t="n">
        <f t="shared" si="0"/>
        <v>0</v>
      </c>
      <c r="G41" s="78" t="n">
        <f t="shared" si="1"/>
        <v>0</v>
      </c>
    </row>
    <row r="42">
      <c r="A42" s="71" t="s">
        <v>51</v>
      </c>
      <c r="B42" s="71" t="s">
        <v>134</v>
      </c>
      <c r="C42" s="71" t="str">
        <f>'Haver Pivoted'!A41</f>
        <v>gfeigx</v>
      </c>
      <c r="D42" t="n">
        <v>90.495000000000005</v>
      </c>
      <c r="E42" s="71" t="n">
        <f>'Haver Pivoted'!HH41</f>
        <v>90.495000000000005</v>
      </c>
      <c r="F42" s="71" t="n">
        <f t="shared" si="0"/>
        <v>0</v>
      </c>
      <c r="G42" s="78" t="n">
        <f t="shared" si="1"/>
        <v>0</v>
      </c>
    </row>
    <row r="43">
      <c r="B43" s="71" t="s">
        <v>135</v>
      </c>
      <c r="C43" s="71" t="str">
        <f>'Haver Pivoted'!A42</f>
        <v>gfsub</v>
      </c>
      <c r="D43" t="n">
        <v>102.4</v>
      </c>
      <c r="E43" s="71" t="n">
        <f>'Haver Pivoted'!HH42</f>
        <v>102.4</v>
      </c>
      <c r="F43" s="71" t="n">
        <f t="shared" si="0"/>
        <v>0</v>
      </c>
      <c r="G43" s="78" t="n">
        <f t="shared" si="1"/>
        <v>0</v>
      </c>
      <c r="I43" s="82"/>
      <c r="J43" s="79"/>
    </row>
    <row r="44">
      <c r="B44" s="71" t="s">
        <v>136</v>
      </c>
      <c r="C44" s="71" t="str">
        <f>'Haver Pivoted'!A43</f>
        <v>gssub</v>
      </c>
      <c r="D44" t="n">
        <v>0.7</v>
      </c>
      <c r="E44" s="71" t="n">
        <f>'Haver Pivoted'!HH43</f>
        <v>0.7</v>
      </c>
      <c r="F44" s="71" t="n">
        <f t="shared" si="0"/>
        <v>0</v>
      </c>
      <c r="G44" s="78" t="n">
        <f t="shared" si="1"/>
        <v>0</v>
      </c>
      <c r="I44" s="72"/>
      <c r="J44" s="79"/>
    </row>
    <row r="45">
      <c r="B45" s="71" t="s">
        <v>52</v>
      </c>
      <c r="C45" s="71" t="str">
        <f>'Haver Pivoted'!A44</f>
        <v>gsub</v>
      </c>
      <c r="D45" t="n">
        <v>103.1</v>
      </c>
      <c r="E45" s="71" t="n">
        <f>'Haver Pivoted'!HH44</f>
        <v>103.1</v>
      </c>
      <c r="F45" s="71" t="n">
        <f t="shared" si="0"/>
        <v>0</v>
      </c>
      <c r="G45" s="78" t="n">
        <f t="shared" si="1"/>
        <v>0</v>
      </c>
      <c r="I45" s="72"/>
      <c r="J45" s="80"/>
    </row>
    <row r="46">
      <c r="A46" s="71" t="s">
        <v>56</v>
      </c>
      <c r="B46" s="71" t="s">
        <v>56</v>
      </c>
      <c r="C46" s="71" t="str">
        <f>'Haver Pivoted'!A45</f>
        <v>gftfpe</v>
      </c>
      <c r="D46" t="n">
        <v>0</v>
      </c>
      <c r="E46" s="71" t="n">
        <f>'Haver Pivoted'!HH45</f>
        <v>0</v>
      </c>
      <c r="F46" s="71" t="n">
        <f t="shared" si="0"/>
        <v>0</v>
      </c>
      <c r="G46" s="78" t="e">
        <f t="shared" si="1"/>
        <v>#DIV/0!</v>
      </c>
      <c r="I46" s="72"/>
      <c r="J46" s="80"/>
    </row>
    <row r="47">
      <c r="B47" s="71" t="s">
        <v>137</v>
      </c>
      <c r="C47" s="71" t="str">
        <f>'Haver Pivoted'!A46</f>
        <v>gftfpr</v>
      </c>
      <c r="D47" t="n">
        <v>0</v>
      </c>
      <c r="E47" s="71" t="n">
        <f>'Haver Pivoted'!HH46</f>
        <v>0</v>
      </c>
      <c r="F47" s="71" t="n">
        <f t="shared" si="0"/>
        <v>0</v>
      </c>
      <c r="G47" s="78" t="e">
        <f t="shared" si="1"/>
        <v>#DIV/0!</v>
      </c>
      <c r="I47" s="72"/>
      <c r="J47" s="80"/>
    </row>
    <row r="48">
      <c r="A48" s="71" t="s">
        <v>50</v>
      </c>
      <c r="B48" s="71" t="s">
        <v>138</v>
      </c>
      <c r="C48" s="71" t="str">
        <f>'Haver Pivoted'!A47</f>
        <v>gftfpp</v>
      </c>
      <c r="D48" t="n">
        <v>0</v>
      </c>
      <c r="E48" s="71" t="n">
        <f>'Haver Pivoted'!HH47</f>
        <v>0</v>
      </c>
      <c r="F48" s="71" t="n">
        <f t="shared" si="0"/>
        <v>0</v>
      </c>
      <c r="G48" s="78" t="e">
        <f t="shared" si="1"/>
        <v>#DIV/0!</v>
      </c>
      <c r="J48" s="80"/>
    </row>
    <row r="49">
      <c r="A49" s="71" t="s">
        <v>49</v>
      </c>
      <c r="B49" s="71" t="s">
        <v>139</v>
      </c>
      <c r="C49" s="71" t="str">
        <f>'Haver Pivoted'!A48</f>
        <v>gftfpv</v>
      </c>
      <c r="D49" t="n">
        <v>0</v>
      </c>
      <c r="E49" s="71" t="n">
        <f>'Haver Pivoted'!HH48</f>
        <v>0</v>
      </c>
      <c r="F49" s="71" t="n">
        <f t="shared" si="0"/>
        <v>0</v>
      </c>
      <c r="G49" s="78" t="e">
        <f t="shared" si="1"/>
        <v>#DIV/0!</v>
      </c>
      <c r="H49" s="73"/>
      <c r="I49" s="73"/>
    </row>
    <row r="50">
      <c r="A50" s="71" t="s">
        <v>140</v>
      </c>
      <c r="B50" s="68" t="s">
        <v>141</v>
      </c>
      <c r="C50" s="71" t="str">
        <f>'Haver Pivoted'!A49</f>
        <v>gfsubp</v>
      </c>
      <c r="D50" t="n">
        <v>0</v>
      </c>
      <c r="E50" s="71" t="n">
        <f>'Haver Pivoted'!HH49</f>
        <v>0</v>
      </c>
      <c r="F50" s="71" t="n">
        <f t="shared" si="0"/>
        <v>0</v>
      </c>
      <c r="G50" s="78" t="e">
        <f t="shared" si="1"/>
        <v>#DIV/0!</v>
      </c>
      <c r="H50" s="64"/>
      <c r="I50" s="65"/>
    </row>
    <row r="51">
      <c r="A51" s="71" t="s">
        <v>52</v>
      </c>
      <c r="B51" s="68" t="s">
        <v>142</v>
      </c>
      <c r="C51" s="71" t="str">
        <f>'Haver Pivoted'!A50</f>
        <v>gfsubg</v>
      </c>
      <c r="D51" t="n">
        <v>0</v>
      </c>
      <c r="E51" s="71" t="n">
        <f>'Haver Pivoted'!HH50</f>
        <v>0</v>
      </c>
      <c r="F51" s="71" t="n">
        <f t="shared" si="0"/>
        <v>0</v>
      </c>
      <c r="G51" s="78" t="e">
        <f t="shared" si="1"/>
        <v>#DIV/0!</v>
      </c>
      <c r="H51" s="84"/>
      <c r="I51" s="83"/>
    </row>
    <row r="52">
      <c r="A52" s="71" t="s">
        <v>52</v>
      </c>
      <c r="B52" s="68" t="s">
        <v>143</v>
      </c>
      <c r="C52" s="71" t="str">
        <f>'Haver Pivoted'!A51</f>
        <v>gfsube</v>
      </c>
      <c r="D52" t="n">
        <v>0</v>
      </c>
      <c r="E52" s="71" t="n">
        <f>'Haver Pivoted'!HH51</f>
        <v>0</v>
      </c>
      <c r="F52" s="71" t="n">
        <f t="shared" si="0"/>
        <v>0</v>
      </c>
      <c r="G52" s="78" t="e">
        <f t="shared" si="1"/>
        <v>#DIV/0!</v>
      </c>
      <c r="H52" s="67"/>
      <c r="I52" s="65"/>
    </row>
    <row r="53">
      <c r="A53" s="71" t="s">
        <v>52</v>
      </c>
      <c r="B53" s="68" t="s">
        <v>144</v>
      </c>
      <c r="C53" s="71" t="str">
        <f>'Haver Pivoted'!A52</f>
        <v>gfsubs</v>
      </c>
      <c r="D53" t="n">
        <v>0</v>
      </c>
      <c r="E53" s="71" t="n">
        <f>'Haver Pivoted'!HH52</f>
        <v>0</v>
      </c>
      <c r="F53" s="71" t="n">
        <f t="shared" si="0"/>
        <v>0</v>
      </c>
      <c r="G53" s="78" t="e">
        <f t="shared" si="1"/>
        <v>#DIV/0!</v>
      </c>
      <c r="H53" s="67"/>
      <c r="I53" s="65"/>
    </row>
    <row r="54">
      <c r="A54" s="71" t="s">
        <v>52</v>
      </c>
      <c r="B54" s="68" t="s">
        <v>145</v>
      </c>
      <c r="C54" s="71" t="str">
        <f>'Haver Pivoted'!A53</f>
        <v>gfsubf</v>
      </c>
      <c r="D54" t="n">
        <v>0</v>
      </c>
      <c r="E54" s="71" t="n">
        <f>'Haver Pivoted'!HH53</f>
        <v>0</v>
      </c>
      <c r="F54" s="71" t="n">
        <f t="shared" si="0"/>
        <v>0</v>
      </c>
      <c r="G54" s="78" t="e">
        <f t="shared" si="1"/>
        <v>#DIV/0!</v>
      </c>
      <c r="H54" s="64"/>
      <c r="I54" s="65"/>
    </row>
    <row r="55">
      <c r="A55" s="71" t="s">
        <v>146</v>
      </c>
      <c r="B55" s="68" t="s">
        <v>147</v>
      </c>
      <c r="C55" s="71" t="str">
        <f>'Haver Pivoted'!A54</f>
        <v>gfsubv</v>
      </c>
      <c r="D55" t="n">
        <v>0</v>
      </c>
      <c r="E55" s="71" t="n">
        <f>'Haver Pivoted'!HH54</f>
        <v>0</v>
      </c>
      <c r="F55" s="71" t="n">
        <f t="shared" si="0"/>
        <v>0</v>
      </c>
      <c r="G55" s="78" t="e">
        <f t="shared" si="1"/>
        <v>#DIV/0!</v>
      </c>
    </row>
    <row r="56">
      <c r="A56" s="71" t="s">
        <v>52</v>
      </c>
      <c r="B56" s="68" t="s">
        <v>148</v>
      </c>
      <c r="C56" s="71" t="str">
        <f>'Haver Pivoted'!A55</f>
        <v>gfsubk</v>
      </c>
      <c r="D56" t="n">
        <v>0</v>
      </c>
      <c r="E56" s="71" t="n">
        <f>'Haver Pivoted'!HH55</f>
        <v>0</v>
      </c>
      <c r="F56" s="71" t="n">
        <f t="shared" si="0"/>
        <v>0</v>
      </c>
      <c r="G56" s="78" t="e">
        <f t="shared" si="1"/>
        <v>#DIV/0!</v>
      </c>
      <c r="H56" s="64"/>
      <c r="I56" s="65"/>
    </row>
    <row r="57">
      <c r="A57" s="71" t="s">
        <v>51</v>
      </c>
      <c r="B57" s="70" t="s">
        <v>149</v>
      </c>
      <c r="C57" s="71" t="str">
        <f>'Haver Pivoted'!A56</f>
        <v>gfegc</v>
      </c>
      <c r="D57" t="n">
        <v>0</v>
      </c>
      <c r="E57" s="71" t="n">
        <f>'Haver Pivoted'!HH56</f>
        <v>0</v>
      </c>
      <c r="F57" s="71" t="n">
        <f t="shared" si="0"/>
        <v>0</v>
      </c>
      <c r="G57" s="78"/>
      <c r="H57" s="64"/>
      <c r="I57" s="65"/>
    </row>
    <row r="58">
      <c r="A58" s="71" t="s">
        <v>51</v>
      </c>
      <c r="B58" s="70" t="s">
        <v>150</v>
      </c>
      <c r="C58" s="71" t="str">
        <f>'Haver Pivoted'!A57</f>
        <v>gfege</v>
      </c>
      <c r="D58" t="n">
        <v>0</v>
      </c>
      <c r="E58" s="71" t="n">
        <f>'Haver Pivoted'!HH57</f>
        <v>0</v>
      </c>
      <c r="F58" s="71" t="n">
        <f t="shared" si="0"/>
        <v>0</v>
      </c>
      <c r="G58" s="78" t="e">
        <f t="shared" si="1"/>
        <v>#DIV/0!</v>
      </c>
      <c r="H58" s="64"/>
      <c r="I58" s="65"/>
    </row>
    <row r="59">
      <c r="A59" s="71" t="s">
        <v>151</v>
      </c>
      <c r="B59" s="70" t="s">
        <v>152</v>
      </c>
      <c r="C59" s="71" t="str">
        <f>'Haver Pivoted'!A58</f>
        <v>gfegv</v>
      </c>
      <c r="D59" t="n">
        <v>0</v>
      </c>
      <c r="E59" s="71" t="n">
        <f>'Haver Pivoted'!HH58</f>
        <v>0</v>
      </c>
      <c r="F59" s="71" t="n">
        <f t="shared" si="0"/>
        <v>0</v>
      </c>
      <c r="G59" s="78" t="e">
        <f t="shared" si="1"/>
        <v>#DIV/0!</v>
      </c>
    </row>
    <row r="60">
      <c r="A60" s="71" t="s">
        <v>53</v>
      </c>
      <c r="B60" s="71" t="s">
        <v>153</v>
      </c>
      <c r="C60" s="71" t="str">
        <f>'Haver Pivoted'!A59</f>
        <v>yptue</v>
      </c>
      <c r="D60" t="n">
        <v>0</v>
      </c>
      <c r="E60" s="71" t="n">
        <f>'Haver Pivoted'!HH59</f>
        <v>0</v>
      </c>
      <c r="F60" s="71" t="n">
        <f t="shared" si="0"/>
        <v>0</v>
      </c>
      <c r="G60" s="78" t="e">
        <f t="shared" si="1"/>
        <v>#DIV/0!</v>
      </c>
    </row>
    <row r="61">
      <c r="A61" s="71" t="s">
        <v>53</v>
      </c>
      <c r="B61" s="71" t="s">
        <v>154</v>
      </c>
      <c r="C61" s="71" t="str">
        <f>'Haver Pivoted'!A60</f>
        <v>yptup</v>
      </c>
      <c r="D61" t="n">
        <v>0</v>
      </c>
      <c r="E61" s="71" t="n">
        <f>'Haver Pivoted'!HH60</f>
        <v>0</v>
      </c>
      <c r="F61" s="71" t="n">
        <f t="shared" si="0"/>
        <v>0</v>
      </c>
      <c r="G61" s="78" t="e">
        <f t="shared" si="1"/>
        <v>#DIV/0!</v>
      </c>
    </row>
    <row r="62">
      <c r="A62" s="71" t="s">
        <v>53</v>
      </c>
      <c r="B62" s="71" t="s">
        <v>155</v>
      </c>
      <c r="C62" s="71" t="str">
        <f>'Haver Pivoted'!A61</f>
        <v>yptuc</v>
      </c>
      <c r="D62" t="n">
        <v>0</v>
      </c>
      <c r="E62" s="71" t="n">
        <f>'Haver Pivoted'!HH61</f>
        <v>0</v>
      </c>
      <c r="F62" s="71" t="n">
        <f t="shared" si="0"/>
        <v>0</v>
      </c>
      <c r="G62" s="78" t="e">
        <f t="shared" si="1"/>
        <v>#DIV/0!</v>
      </c>
    </row>
    <row r="63">
      <c r="B63" s="71" t="s">
        <v>156</v>
      </c>
      <c r="C63" s="71" t="str">
        <f>'Haver Pivoted'!A62</f>
        <v>gftfpu</v>
      </c>
      <c r="D63" t="n">
        <v>0</v>
      </c>
      <c r="E63" s="71" t="n">
        <f>'Haver Pivoted'!HH62</f>
        <v>0</v>
      </c>
      <c r="F63" s="71" t="n">
        <f t="shared" si="0"/>
        <v>0</v>
      </c>
      <c r="G63" s="78" t="e">
        <f t="shared" si="1"/>
        <v>#DIV/0!</v>
      </c>
      <c r="H63" s="70"/>
      <c r="I63" s="70"/>
    </row>
    <row r="64">
      <c r="A64" s="71" t="s">
        <v>53</v>
      </c>
      <c r="B64" s="74" t="s">
        <v>157</v>
      </c>
      <c r="C64" s="71" t="str">
        <f>'Haver Pivoted'!A63</f>
        <v>yptub</v>
      </c>
      <c r="D64" t="n">
        <v>0</v>
      </c>
      <c r="E64" s="71" t="n">
        <f>'Haver Pivoted'!HH63</f>
        <v>0</v>
      </c>
      <c r="F64" s="71" t="n">
        <f t="shared" si="0"/>
        <v>0</v>
      </c>
      <c r="G64" s="78" t="e">
        <f t="shared" si="1"/>
        <v>#DIV/0!</v>
      </c>
      <c r="H64" s="70"/>
      <c r="I64" s="70"/>
    </row>
    <row r="65">
      <c r="A65" s="71" t="s">
        <v>53</v>
      </c>
      <c r="B65" s="71" t="s">
        <v>158</v>
      </c>
      <c r="C65" s="71" t="str">
        <f>'Haver Pivoted'!A64</f>
        <v>yptol</v>
      </c>
      <c r="D65" t="n">
        <v>0</v>
      </c>
      <c r="E65" s="71" t="n">
        <f>'Haver Pivoted'!HH64</f>
        <v>0</v>
      </c>
      <c r="F65" s="71" t="n">
        <f t="shared" si="0"/>
        <v>0</v>
      </c>
      <c r="G65" s="78" t="e">
        <f t="shared" si="1"/>
        <v>#DIV/0!</v>
      </c>
      <c r="H65" s="70"/>
      <c r="I65" s="70"/>
    </row>
    <row r="66">
      <c r="B66" s="71" t="s">
        <v>159</v>
      </c>
      <c r="C66" s="71" t="str">
        <f>'Haver Pivoted'!A65</f>
        <v>gfctp</v>
      </c>
      <c r="D66" t="n">
        <v>561.29999999999995</v>
      </c>
      <c r="E66" s="71" t="n">
        <f>'Haver Pivoted'!HH65</f>
        <v>561.29999999999995</v>
      </c>
      <c r="F66" s="71" t="n">
        <f t="shared" si="0"/>
        <v>0</v>
      </c>
      <c r="G66" s="78" t="n">
        <f t="shared" si="1"/>
        <v>0</v>
      </c>
      <c r="H66" s="70"/>
      <c r="I66" s="70"/>
    </row>
    <row r="67">
      <c r="A67" s="71" t="s">
        <v>57</v>
      </c>
      <c r="B67" s="69" t="s">
        <v>160</v>
      </c>
      <c r="C67" s="71" t="str">
        <f>'Haver Pivoted'!A66</f>
        <v>gftffx</v>
      </c>
      <c r="D67" t="n">
        <v>103.06100000000001</v>
      </c>
      <c r="E67" s="71" t="n">
        <f>'Haver Pivoted'!HH66</f>
        <v>103.06100000000001</v>
      </c>
      <c r="F67" s="71" t="n">
        <f t="shared" si="0"/>
        <v>0</v>
      </c>
      <c r="G67" s="78" t="n">
        <f t="shared" si="1"/>
        <v>0</v>
      </c>
      <c r="H67" s="70"/>
      <c r="I67" s="70"/>
    </row>
    <row r="68">
      <c r="B68" s="71" t="s">
        <v>161</v>
      </c>
      <c r="C68" s="71" t="str">
        <f>'Haver Pivoted'!A67</f>
        <v>cpiu</v>
      </c>
      <c r="D68" t="n">
        <v>306.034333333333</v>
      </c>
      <c r="E68" s="71" t="n">
        <f>'Haver Pivoted'!HH67</f>
        <v>306.034333333333</v>
      </c>
      <c r="F68" s="71" t="n">
        <f t="shared" ref="F68:F81" si="2">E68-D68</f>
        <v>0</v>
      </c>
      <c r="G68" s="78" t="n">
        <f t="shared" ref="G68:G81" si="3">F68/D68</f>
        <v>0</v>
      </c>
      <c r="H68" s="70"/>
      <c r="I68" s="70"/>
    </row>
    <row r="69">
      <c r="C69" s="71" t="str">
        <f>'Haver Pivoted'!A68</f>
        <v>pcw</v>
      </c>
      <c r="D69" t="n">
        <v>300.327333333333</v>
      </c>
      <c r="E69" s="71" t="n">
        <f>'Haver Pivoted'!HH68</f>
        <v>300.327333333333</v>
      </c>
      <c r="F69" s="71" t="n">
        <f t="shared" si="2"/>
        <v>0</v>
      </c>
      <c r="G69" s="78" t="n">
        <f t="shared" si="3"/>
        <v>0</v>
      </c>
    </row>
    <row r="70">
      <c r="B70" s="71" t="s">
        <v>162</v>
      </c>
      <c r="C70" s="71" t="str">
        <f>'Haver Pivoted'!A69</f>
        <v>gdppothq</v>
      </c>
      <c r="D70" t="n">
        <v>22369.7</v>
      </c>
      <c r="E70" s="71" t="n">
        <f>'Haver Pivoted'!HH69</f>
        <v>22338.799999999999</v>
      </c>
      <c r="F70" s="71" t="n">
        <f t="shared" si="2"/>
        <v>-30.900000000001455</v>
      </c>
      <c r="G70" s="78" t="n">
        <f t="shared" si="3"/>
        <v>-1.3813327849725948E-3</v>
      </c>
    </row>
    <row r="71">
      <c r="B71" s="71" t="s">
        <v>163</v>
      </c>
      <c r="C71" s="71" t="str">
        <f>'Haver Pivoted'!A70</f>
        <v>gdppotq</v>
      </c>
      <c r="D71" t="n">
        <v>27476.6</v>
      </c>
      <c r="E71" s="71" t="n">
        <f>'Haver Pivoted'!HH70</f>
        <v>27423.599999999999</v>
      </c>
      <c r="F71" s="71" t="n">
        <f t="shared" si="2"/>
        <v>-53</v>
      </c>
      <c r="G71" s="78" t="n">
        <f t="shared" si="3"/>
        <v>-1.9289140577800749E-3</v>
      </c>
    </row>
    <row r="72">
      <c r="B72" s="71" t="s">
        <v>164</v>
      </c>
      <c r="C72" s="71" t="str">
        <f>'Haver Pivoted'!A71</f>
        <v>recessq</v>
      </c>
      <c r="D72" t="n">
        <v>-1</v>
      </c>
      <c r="E72" s="71" t="n">
        <f>'Haver Pivoted'!HH71</f>
        <v>-1</v>
      </c>
      <c r="F72" s="71" t="n">
        <f t="shared" si="2"/>
        <v>0</v>
      </c>
      <c r="G72" s="78" t="n">
        <f t="shared" si="3"/>
        <v>0</v>
      </c>
    </row>
    <row r="73">
      <c r="A73" s="71" t="s">
        <v>165</v>
      </c>
      <c r="B73" s="71" t="s">
        <v>166</v>
      </c>
      <c r="C73" s="71" t="str">
        <f>'Haver Pivoted'!A72</f>
        <v>lasgova</v>
      </c>
      <c r="D73" t="n">
        <v>5325.3333333333303</v>
      </c>
      <c r="E73" s="71" t="n">
        <f>'Haver Pivoted'!HH72</f>
        <v>5325.3333333333303</v>
      </c>
      <c r="F73" s="71" t="n">
        <f t="shared" si="2"/>
        <v>0</v>
      </c>
      <c r="G73" s="78" t="n">
        <f t="shared" si="3"/>
        <v>0</v>
      </c>
    </row>
    <row r="74">
      <c r="A74" s="71" t="s">
        <v>165</v>
      </c>
      <c r="B74" s="71" t="s">
        <v>167</v>
      </c>
      <c r="C74" s="71" t="str">
        <f>'Haver Pivoted'!A73</f>
        <v>lalgova</v>
      </c>
      <c r="D74" t="n">
        <v>14587</v>
      </c>
      <c r="E74" s="71" t="n">
        <f>'Haver Pivoted'!HH73</f>
        <v>14587</v>
      </c>
      <c r="F74" s="71" t="n">
        <f t="shared" si="2"/>
        <v>0</v>
      </c>
      <c r="G74" s="78" t="n">
        <f t="shared" si="3"/>
        <v>0</v>
      </c>
    </row>
    <row r="75">
      <c r="A75" s="71" t="s">
        <v>165</v>
      </c>
      <c r="B75" s="71" t="s">
        <v>168</v>
      </c>
      <c r="C75" s="71" t="str">
        <f>'Haver Pivoted'!A74</f>
        <v>cpgs</v>
      </c>
      <c r="D75" t="n">
        <v>410267.66666666698</v>
      </c>
      <c r="E75" s="71" t="n">
        <f>'Haver Pivoted'!HH74</f>
        <v>422729.66666666698</v>
      </c>
      <c r="F75" s="71" t="n">
        <f t="shared" si="2"/>
        <v>12462</v>
      </c>
      <c r="G75" s="78" t="n">
        <f t="shared" si="3"/>
        <v>3.0375291577937308E-2</v>
      </c>
    </row>
    <row r="76">
      <c r="B76" s="71" t="s">
        <v>169</v>
      </c>
      <c r="C76" s="71" t="str">
        <f>'Haver Pivoted'!A75</f>
        <v>jgdp_growth</v>
      </c>
      <c r="D76" t="n">
        <v>8.2355549351746903E-3</v>
      </c>
      <c r="E76" s="71" t="n">
        <f>'Haver Pivoted'!HH75</f>
        <v>8.2355549351746903E-3</v>
      </c>
      <c r="F76" s="66" t="n">
        <f t="shared" si="2"/>
        <v>0</v>
      </c>
      <c r="G76" s="78" t="n">
        <f t="shared" si="3"/>
        <v>0</v>
      </c>
    </row>
    <row r="77">
      <c r="B77" s="71" t="s">
        <v>170</v>
      </c>
      <c r="C77" s="71" t="str">
        <f>'Haver Pivoted'!A76</f>
        <v>jc_growth</v>
      </c>
      <c r="D77" t="n">
        <v>6.4143147512578701E-3</v>
      </c>
      <c r="E77" s="71" t="n">
        <f>'Haver Pivoted'!HH76</f>
        <v>6.4143147512578701E-3</v>
      </c>
      <c r="F77" s="66" t="n">
        <f t="shared" si="2"/>
        <v>0</v>
      </c>
      <c r="G77" s="78" t="n">
        <f t="shared" si="3"/>
        <v>0</v>
      </c>
    </row>
    <row r="78">
      <c r="B78" s="71" t="s">
        <v>171</v>
      </c>
      <c r="C78" s="71" t="str">
        <f>'Haver Pivoted'!A77</f>
        <v>jgf_growth</v>
      </c>
      <c r="D78" t="n">
        <v>9.7870229456919998E-3</v>
      </c>
      <c r="E78" s="71" t="n">
        <f>'Haver Pivoted'!HH77</f>
        <v>9.7870229456919998E-3</v>
      </c>
      <c r="F78" s="66" t="n">
        <f t="shared" si="2"/>
        <v>0</v>
      </c>
      <c r="G78" s="78" t="n">
        <f t="shared" si="3"/>
        <v>0</v>
      </c>
    </row>
    <row r="79">
      <c r="B79" s="71" t="s">
        <v>172</v>
      </c>
      <c r="C79" s="71" t="str">
        <f>'Haver Pivoted'!A78</f>
        <v>jgs_growth</v>
      </c>
      <c r="D79" t="n">
        <v>1.4053530453285799E-2</v>
      </c>
      <c r="E79" s="71" t="n">
        <f>'Haver Pivoted'!HH78</f>
        <v>1.4053530453285799E-2</v>
      </c>
      <c r="F79" s="66" t="n">
        <f>E79/D79-1</f>
        <v>0</v>
      </c>
      <c r="G79" s="78" t="n">
        <f t="shared" si="3"/>
        <v>0</v>
      </c>
    </row>
    <row r="80">
      <c r="B80" s="71" t="s">
        <v>173</v>
      </c>
      <c r="C80" s="71" t="str">
        <f>'Haver Pivoted'!A79</f>
        <v>jgse_growth</v>
      </c>
      <c r="D80" t="n">
        <v>1.6627230287139499E-2</v>
      </c>
      <c r="E80" s="71" t="n">
        <f>'Haver Pivoted'!HH79</f>
        <v>1.6627230287139499E-2</v>
      </c>
      <c r="F80" s="66" t="n">
        <f t="shared" si="2"/>
        <v>0</v>
      </c>
      <c r="G80" s="78" t="n">
        <f t="shared" si="3"/>
        <v>0</v>
      </c>
    </row>
    <row r="81">
      <c r="B81" s="71" t="s">
        <v>174</v>
      </c>
      <c r="C81" s="71" t="str">
        <f>'Haver Pivoted'!A80</f>
        <v>jgsi_growth</v>
      </c>
      <c r="D81" t="n">
        <v>2.8033363542803199E-3</v>
      </c>
      <c r="E81" s="71" t="n">
        <f>'Haver Pivoted'!HH80</f>
        <v>2.8033363542803199E-3</v>
      </c>
      <c r="F81" s="66" t="n">
        <f t="shared" si="2"/>
        <v>0</v>
      </c>
      <c r="G81" s="78" t="n">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D4" sqref="D4"/>
    </sheetView>
  </sheetViews>
  <sheetFormatPr defaultRowHeight="15.0" baseColWidth="10"/>
  <cols>
    <col min="1" max="1" width="23.81640625" hidden="0" customWidth="1"/>
    <col min="2" max="2" width="79.453125" hidden="0" customWidth="1"/>
    <col min="3" max="3" width="33.453125" hidden="0" customWidth="1"/>
  </cols>
  <sheetData>
    <row r="1" ht="47.9" customHeight="1">
      <c r="A1" s="94" t="s">
        <v>33</v>
      </c>
      <c r="B1" s="95" t="s">
        <v>34</v>
      </c>
      <c r="C1" s="95" t="s">
        <v>35</v>
      </c>
      <c r="D1" s="96" t="s">
        <v>36</v>
      </c>
    </row>
    <row r="2" ht="116.15" customHeight="1">
      <c r="A2" s="91" t="s">
        <v>876</v>
      </c>
      <c r="B2" s="92" t="s">
        <v>904</v>
      </c>
      <c r="C2" s="92" t="s">
        <v>905</v>
      </c>
      <c r="D2" s="88" t="s">
        <v>919</v>
      </c>
    </row>
    <row r="3" ht="63.75" customHeight="1">
      <c r="A3" s="39" t="s">
        <v>79</v>
      </c>
      <c r="B3" s="87" t="s">
        <v>40</v>
      </c>
      <c r="C3" s="87" t="s">
        <v>41</v>
      </c>
      <c r="D3" s="89" t="s">
        <v>922</v>
      </c>
    </row>
    <row r="4" ht="137.25" customHeight="1">
      <c r="A4" s="97" t="s">
        <v>80</v>
      </c>
      <c r="B4" s="87" t="s">
        <v>903</v>
      </c>
      <c r="C4" s="34" t="s">
        <v>878</v>
      </c>
      <c r="D4" s="89"/>
    </row>
    <row r="5" ht="29.25" customHeight="1">
      <c r="A5" s="97" t="s">
        <v>81</v>
      </c>
      <c r="B5" s="98" t="s">
        <v>82</v>
      </c>
      <c r="C5" s="85" t="s">
        <v>83</v>
      </c>
      <c r="D5" s="89"/>
    </row>
    <row r="6" ht="43.4" customHeight="1">
      <c r="A6" s="41" t="s">
        <v>84</v>
      </c>
      <c r="B6" s="93" t="s">
        <v>880</v>
      </c>
      <c r="C6" s="86" t="s">
        <v>879</v>
      </c>
      <c r="D6" s="90"/>
    </row>
    <row r="8">
      <c r="B8" s="49"/>
    </row>
    <row r="9">
      <c r="B9" s="49"/>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GX31" activePane="bottomRight" state="frozen"/>
      <selection pane="topRight" activeCell="B1" sqref="B1"/>
      <selection pane="bottomLeft" activeCell="A2" sqref="A2"/>
      <selection pane="bottomRight" activeCell="HJ65" sqref="HJ65:HJ85"/>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 min="211" max="211" width="11.71" hidden="0" customWidth="1"/>
    <col min="212" max="212" width="11.71" hidden="0" customWidth="1"/>
    <col min="213" max="213" width="11.71" hidden="0" customWidth="1"/>
    <col min="214" max="214" width="11.71" hidden="0" customWidth="1"/>
    <col min="215" max="215" width="11.71" hidden="0" customWidth="1"/>
    <col min="216" max="216" width="11.71" hidden="0" customWidth="1"/>
    <col min="217" max="217" width="11.71" hidden="0" customWidth="1"/>
    <col min="218" max="218" width="11.71" hidden="0" customWidth="1"/>
    <col min="219" max="219" width="11.71" hidden="0" customWidth="1"/>
  </cols>
  <sheetData>
    <row r="1">
      <c r="A1" s="105" t="s">
        <v>2291</v>
      </c>
      <c r="B1" s="105" t="s">
        <v>2292</v>
      </c>
      <c r="C1" s="105" t="s">
        <v>2293</v>
      </c>
      <c r="D1" s="105" t="s">
        <v>2294</v>
      </c>
      <c r="E1" s="105" t="s">
        <v>2295</v>
      </c>
      <c r="F1" s="105" t="s">
        <v>2296</v>
      </c>
      <c r="G1" s="105" t="s">
        <v>2297</v>
      </c>
      <c r="H1" s="105" t="s">
        <v>2298</v>
      </c>
      <c r="I1" s="105" t="s">
        <v>2299</v>
      </c>
      <c r="J1" s="105" t="s">
        <v>2300</v>
      </c>
      <c r="K1" s="105" t="s">
        <v>2301</v>
      </c>
      <c r="L1" s="105" t="s">
        <v>2302</v>
      </c>
      <c r="M1" s="105" t="s">
        <v>2303</v>
      </c>
      <c r="N1" s="105" t="s">
        <v>2304</v>
      </c>
      <c r="O1" s="105" t="s">
        <v>2305</v>
      </c>
      <c r="P1" s="105" t="s">
        <v>2306</v>
      </c>
      <c r="Q1" s="105" t="s">
        <v>2307</v>
      </c>
      <c r="R1" s="105" t="s">
        <v>2308</v>
      </c>
      <c r="S1" s="105" t="s">
        <v>2309</v>
      </c>
      <c r="T1" s="105" t="s">
        <v>2310</v>
      </c>
      <c r="U1" s="105" t="s">
        <v>2311</v>
      </c>
      <c r="V1" s="105" t="s">
        <v>2312</v>
      </c>
      <c r="W1" s="105" t="s">
        <v>2313</v>
      </c>
      <c r="X1" s="105" t="s">
        <v>2314</v>
      </c>
      <c r="Y1" s="105" t="s">
        <v>2315</v>
      </c>
      <c r="Z1" s="105" t="s">
        <v>2316</v>
      </c>
      <c r="AA1" s="105" t="s">
        <v>2317</v>
      </c>
      <c r="AB1" s="105" t="s">
        <v>2318</v>
      </c>
      <c r="AC1" s="105" t="s">
        <v>2319</v>
      </c>
      <c r="AD1" s="105" t="s">
        <v>2320</v>
      </c>
      <c r="AE1" s="105" t="s">
        <v>2321</v>
      </c>
      <c r="AF1" s="105" t="s">
        <v>2322</v>
      </c>
      <c r="AG1" s="105" t="s">
        <v>2323</v>
      </c>
      <c r="AH1" s="105" t="s">
        <v>2324</v>
      </c>
      <c r="AI1" s="105" t="s">
        <v>2325</v>
      </c>
      <c r="AJ1" s="105" t="s">
        <v>2326</v>
      </c>
      <c r="AK1" s="105" t="s">
        <v>2327</v>
      </c>
      <c r="AL1" s="105" t="s">
        <v>2328</v>
      </c>
      <c r="AM1" s="105" t="s">
        <v>2329</v>
      </c>
      <c r="AN1" s="105" t="s">
        <v>2330</v>
      </c>
      <c r="AO1" s="105" t="s">
        <v>2331</v>
      </c>
      <c r="AP1" s="105" t="s">
        <v>2332</v>
      </c>
      <c r="AQ1" s="105" t="s">
        <v>2333</v>
      </c>
      <c r="AR1" s="105" t="s">
        <v>2334</v>
      </c>
      <c r="AS1" s="105" t="s">
        <v>2335</v>
      </c>
      <c r="AT1" s="105" t="s">
        <v>2336</v>
      </c>
      <c r="AU1" s="105" t="s">
        <v>2337</v>
      </c>
      <c r="AV1" s="105" t="s">
        <v>2338</v>
      </c>
      <c r="AW1" s="105" t="s">
        <v>2339</v>
      </c>
      <c r="AX1" s="105" t="s">
        <v>2340</v>
      </c>
      <c r="AY1" s="105" t="s">
        <v>2341</v>
      </c>
      <c r="AZ1" s="105" t="s">
        <v>2342</v>
      </c>
      <c r="BA1" s="105" t="s">
        <v>2343</v>
      </c>
      <c r="BB1" s="105" t="s">
        <v>2344</v>
      </c>
      <c r="BC1" s="105" t="s">
        <v>2345</v>
      </c>
      <c r="BD1" s="105" t="s">
        <v>2346</v>
      </c>
      <c r="BE1" s="105" t="s">
        <v>2347</v>
      </c>
      <c r="BF1" s="105" t="s">
        <v>2348</v>
      </c>
      <c r="BG1" s="105" t="s">
        <v>2349</v>
      </c>
      <c r="BH1" s="105" t="s">
        <v>2350</v>
      </c>
      <c r="BI1" s="105" t="s">
        <v>2351</v>
      </c>
      <c r="BJ1" s="105" t="s">
        <v>2352</v>
      </c>
      <c r="BK1" s="105" t="s">
        <v>2353</v>
      </c>
      <c r="BL1" s="105" t="s">
        <v>2354</v>
      </c>
      <c r="BM1" s="105" t="s">
        <v>2355</v>
      </c>
      <c r="BN1" s="105" t="s">
        <v>2356</v>
      </c>
      <c r="BO1" s="105" t="s">
        <v>2357</v>
      </c>
      <c r="BP1" s="105" t="s">
        <v>2358</v>
      </c>
      <c r="BQ1" s="105" t="s">
        <v>2359</v>
      </c>
      <c r="BR1" s="105" t="s">
        <v>2360</v>
      </c>
      <c r="BS1" s="105" t="s">
        <v>2361</v>
      </c>
      <c r="BT1" s="105" t="s">
        <v>2362</v>
      </c>
      <c r="BU1" s="105" t="s">
        <v>2363</v>
      </c>
      <c r="BV1" s="105" t="s">
        <v>2364</v>
      </c>
      <c r="BW1" s="105" t="s">
        <v>2365</v>
      </c>
      <c r="BX1" s="105" t="s">
        <v>2366</v>
      </c>
      <c r="BY1" s="105" t="s">
        <v>2367</v>
      </c>
      <c r="BZ1" s="105" t="s">
        <v>2368</v>
      </c>
      <c r="CA1" s="105" t="s">
        <v>2369</v>
      </c>
      <c r="CB1" s="105" t="s">
        <v>2370</v>
      </c>
      <c r="CC1" s="105" t="s">
        <v>2371</v>
      </c>
      <c r="CD1" s="105" t="s">
        <v>2372</v>
      </c>
      <c r="CE1" s="105" t="s">
        <v>2373</v>
      </c>
      <c r="CF1" s="105" t="s">
        <v>2374</v>
      </c>
      <c r="CG1" s="105" t="s">
        <v>2375</v>
      </c>
      <c r="CH1" s="105" t="s">
        <v>2376</v>
      </c>
      <c r="CI1" s="105" t="s">
        <v>2377</v>
      </c>
      <c r="CJ1" s="105" t="s">
        <v>2378</v>
      </c>
      <c r="CK1" s="105" t="s">
        <v>2379</v>
      </c>
      <c r="CL1" s="105" t="s">
        <v>2380</v>
      </c>
      <c r="CM1" s="105" t="s">
        <v>2381</v>
      </c>
      <c r="CN1" s="105" t="s">
        <v>2382</v>
      </c>
      <c r="CO1" s="105" t="s">
        <v>2383</v>
      </c>
      <c r="CP1" s="105" t="s">
        <v>2384</v>
      </c>
      <c r="CQ1" s="105" t="s">
        <v>2385</v>
      </c>
      <c r="CR1" s="105" t="s">
        <v>2386</v>
      </c>
      <c r="CS1" s="105" t="s">
        <v>2387</v>
      </c>
      <c r="CT1" s="105" t="s">
        <v>2388</v>
      </c>
      <c r="CU1" s="105" t="s">
        <v>2389</v>
      </c>
      <c r="CV1" s="105" t="s">
        <v>2390</v>
      </c>
      <c r="CW1" s="105" t="s">
        <v>2391</v>
      </c>
      <c r="CX1" s="105" t="s">
        <v>2392</v>
      </c>
      <c r="CY1" s="105" t="s">
        <v>2393</v>
      </c>
      <c r="CZ1" s="105" t="s">
        <v>2394</v>
      </c>
      <c r="DA1" s="105" t="s">
        <v>2395</v>
      </c>
      <c r="DB1" s="105" t="s">
        <v>2396</v>
      </c>
      <c r="DC1" s="105" t="s">
        <v>2397</v>
      </c>
      <c r="DD1" s="105" t="s">
        <v>2398</v>
      </c>
      <c r="DE1" s="105" t="s">
        <v>2399</v>
      </c>
      <c r="DF1" s="105" t="s">
        <v>2400</v>
      </c>
      <c r="DG1" s="105" t="s">
        <v>2401</v>
      </c>
      <c r="DH1" s="105" t="s">
        <v>2402</v>
      </c>
      <c r="DI1" s="105" t="s">
        <v>2403</v>
      </c>
      <c r="DJ1" s="105" t="s">
        <v>2404</v>
      </c>
      <c r="DK1" s="105" t="s">
        <v>2405</v>
      </c>
      <c r="DL1" s="105" t="s">
        <v>2406</v>
      </c>
      <c r="DM1" s="105" t="s">
        <v>2407</v>
      </c>
      <c r="DN1" s="105" t="s">
        <v>2408</v>
      </c>
      <c r="DO1" s="105" t="s">
        <v>2409</v>
      </c>
      <c r="DP1" s="105" t="s">
        <v>2410</v>
      </c>
      <c r="DQ1" s="105" t="s">
        <v>2411</v>
      </c>
      <c r="DR1" s="105" t="s">
        <v>2412</v>
      </c>
      <c r="DS1" s="105" t="s">
        <v>2413</v>
      </c>
      <c r="DT1" s="105" t="s">
        <v>2414</v>
      </c>
      <c r="DU1" s="105" t="s">
        <v>2415</v>
      </c>
      <c r="DV1" s="105" t="s">
        <v>2416</v>
      </c>
      <c r="DW1" s="105" t="s">
        <v>2417</v>
      </c>
      <c r="DX1" s="105" t="s">
        <v>2418</v>
      </c>
      <c r="DY1" s="105" t="s">
        <v>2419</v>
      </c>
      <c r="DZ1" s="105" t="s">
        <v>2420</v>
      </c>
      <c r="EA1" s="105" t="s">
        <v>2421</v>
      </c>
      <c r="EB1" s="105" t="s">
        <v>2422</v>
      </c>
      <c r="EC1" s="105" t="s">
        <v>2423</v>
      </c>
      <c r="ED1" s="105" t="s">
        <v>2424</v>
      </c>
      <c r="EE1" s="105" t="s">
        <v>2425</v>
      </c>
      <c r="EF1" s="105" t="s">
        <v>2426</v>
      </c>
      <c r="EG1" s="105" t="s">
        <v>2427</v>
      </c>
      <c r="EH1" s="105" t="s">
        <v>2428</v>
      </c>
      <c r="EI1" s="105" t="s">
        <v>2429</v>
      </c>
      <c r="EJ1" s="105" t="s">
        <v>2430</v>
      </c>
      <c r="EK1" s="105" t="s">
        <v>2431</v>
      </c>
      <c r="EL1" s="105" t="s">
        <v>2432</v>
      </c>
      <c r="EM1" s="105" t="s">
        <v>2433</v>
      </c>
      <c r="EN1" s="105" t="s">
        <v>2434</v>
      </c>
      <c r="EO1" s="105" t="s">
        <v>2435</v>
      </c>
      <c r="EP1" s="105" t="s">
        <v>2436</v>
      </c>
      <c r="EQ1" s="105" t="s">
        <v>2437</v>
      </c>
      <c r="ER1" s="105" t="s">
        <v>2438</v>
      </c>
      <c r="ES1" s="105" t="s">
        <v>2439</v>
      </c>
      <c r="ET1" s="105" t="s">
        <v>2440</v>
      </c>
      <c r="EU1" s="105" t="s">
        <v>2441</v>
      </c>
      <c r="EV1" s="105" t="s">
        <v>2442</v>
      </c>
      <c r="EW1" s="105" t="s">
        <v>2443</v>
      </c>
      <c r="EX1" s="105" t="s">
        <v>2444</v>
      </c>
      <c r="EY1" s="105" t="s">
        <v>2445</v>
      </c>
      <c r="EZ1" s="105" t="s">
        <v>2446</v>
      </c>
      <c r="FA1" s="105" t="s">
        <v>2447</v>
      </c>
      <c r="FB1" s="105" t="s">
        <v>2448</v>
      </c>
      <c r="FC1" s="105" t="s">
        <v>2449</v>
      </c>
      <c r="FD1" s="105" t="s">
        <v>2450</v>
      </c>
      <c r="FE1" s="105" t="s">
        <v>2451</v>
      </c>
      <c r="FF1" s="105" t="s">
        <v>2452</v>
      </c>
      <c r="FG1" s="105" t="s">
        <v>2453</v>
      </c>
      <c r="FH1" s="105" t="s">
        <v>2454</v>
      </c>
      <c r="FI1" s="105" t="s">
        <v>2455</v>
      </c>
      <c r="FJ1" s="105" t="s">
        <v>2456</v>
      </c>
      <c r="FK1" s="105" t="s">
        <v>2457</v>
      </c>
      <c r="FL1" s="105" t="s">
        <v>2458</v>
      </c>
      <c r="FM1" s="105" t="s">
        <v>2459</v>
      </c>
      <c r="FN1" s="105" t="s">
        <v>2460</v>
      </c>
      <c r="FO1" s="105" t="s">
        <v>2461</v>
      </c>
      <c r="FP1" s="105" t="s">
        <v>2462</v>
      </c>
      <c r="FQ1" s="105" t="s">
        <v>2463</v>
      </c>
      <c r="FR1" s="105" t="s">
        <v>2464</v>
      </c>
      <c r="FS1" s="105" t="s">
        <v>2465</v>
      </c>
      <c r="FT1" s="105" t="s">
        <v>2466</v>
      </c>
      <c r="FU1" s="105" t="s">
        <v>2467</v>
      </c>
      <c r="FV1" s="105" t="s">
        <v>2468</v>
      </c>
      <c r="FW1" s="105" t="s">
        <v>2469</v>
      </c>
      <c r="FX1" s="105" t="s">
        <v>2470</v>
      </c>
      <c r="FY1" s="105" t="s">
        <v>2471</v>
      </c>
      <c r="FZ1" s="105" t="s">
        <v>2472</v>
      </c>
      <c r="GA1" s="105" t="s">
        <v>2473</v>
      </c>
      <c r="GB1" s="105" t="s">
        <v>2474</v>
      </c>
      <c r="GC1" s="105" t="s">
        <v>2475</v>
      </c>
      <c r="GD1" s="105" t="s">
        <v>2476</v>
      </c>
      <c r="GE1" s="105" t="s">
        <v>2477</v>
      </c>
      <c r="GF1" s="105" t="s">
        <v>2478</v>
      </c>
      <c r="GG1" s="105" t="s">
        <v>2479</v>
      </c>
      <c r="GH1" s="105" t="s">
        <v>2480</v>
      </c>
      <c r="GI1" s="105" t="s">
        <v>2481</v>
      </c>
      <c r="GJ1" s="105" t="s">
        <v>2482</v>
      </c>
      <c r="GK1" s="105" t="s">
        <v>2483</v>
      </c>
      <c r="GL1" s="105" t="s">
        <v>2484</v>
      </c>
      <c r="GM1" s="105" t="s">
        <v>2485</v>
      </c>
      <c r="GN1" s="105" t="s">
        <v>2486</v>
      </c>
      <c r="GO1" s="105" t="s">
        <v>2487</v>
      </c>
      <c r="GP1" s="105" t="s">
        <v>2488</v>
      </c>
      <c r="GQ1" s="105" t="s">
        <v>2489</v>
      </c>
      <c r="GR1" s="105" t="s">
        <v>2490</v>
      </c>
      <c r="GS1" s="105" t="s">
        <v>2491</v>
      </c>
      <c r="GT1" s="105" t="s">
        <v>2492</v>
      </c>
      <c r="GU1" s="105" t="s">
        <v>2493</v>
      </c>
      <c r="GV1" s="105" t="s">
        <v>2494</v>
      </c>
      <c r="GW1" s="105" t="s">
        <v>2495</v>
      </c>
      <c r="GX1" s="105" t="s">
        <v>2496</v>
      </c>
      <c r="GY1" s="105" t="s">
        <v>2497</v>
      </c>
      <c r="GZ1" s="105" t="s">
        <v>2498</v>
      </c>
      <c r="HA1" s="105" t="s">
        <v>2499</v>
      </c>
      <c r="HB1" s="105" t="s">
        <v>2500</v>
      </c>
      <c r="HC1" s="105" t="s">
        <v>2501</v>
      </c>
      <c r="HD1" s="105" t="s">
        <v>2502</v>
      </c>
      <c r="HE1" s="105" t="s">
        <v>2503</v>
      </c>
      <c r="HF1" s="105" t="s">
        <v>2504</v>
      </c>
      <c r="HG1" s="105" t="s">
        <v>2505</v>
      </c>
      <c r="HH1" s="105" t="s">
        <v>2506</v>
      </c>
      <c r="HI1" s="105" t="s">
        <v>2507</v>
      </c>
      <c r="HJ1" s="105" t="s">
        <v>2508</v>
      </c>
      <c r="HK1" s="1388" t="s">
        <v>2509</v>
      </c>
    </row>
    <row r="2">
      <c r="A2" s="85" t="s">
        <v>2510</v>
      </c>
      <c r="B2" s="85" t="n">
        <v>1051.2</v>
      </c>
      <c r="C2" s="85" t="n">
        <v>1067.4</v>
      </c>
      <c r="D2" s="85" t="n">
        <v>1086.1</v>
      </c>
      <c r="E2" s="85" t="n">
        <v>1088.6</v>
      </c>
      <c r="F2" s="85" t="n">
        <v>1135.2</v>
      </c>
      <c r="G2" s="85" t="n">
        <v>1156.3</v>
      </c>
      <c r="H2" s="85" t="n">
        <v>1177.7</v>
      </c>
      <c r="I2" s="85" t="n">
        <v>1190.3</v>
      </c>
      <c r="J2" s="85" t="n">
        <v>1230.6</v>
      </c>
      <c r="K2" s="85" t="n">
        <v>1266.4</v>
      </c>
      <c r="L2" s="85" t="n">
        <v>1290.6</v>
      </c>
      <c r="M2" s="85" t="n">
        <v>1328.9</v>
      </c>
      <c r="N2" s="85" t="n">
        <v>1377.5</v>
      </c>
      <c r="O2" s="85" t="n">
        <v>1413.9</v>
      </c>
      <c r="P2" s="85" t="n">
        <v>1433.8</v>
      </c>
      <c r="Q2" s="85" t="n">
        <v>1476.3</v>
      </c>
      <c r="R2" s="85" t="n">
        <v>1491.2</v>
      </c>
      <c r="S2" s="85" t="n">
        <v>1530.1</v>
      </c>
      <c r="T2" s="85" t="n">
        <v>1560</v>
      </c>
      <c r="U2" s="85" t="n">
        <v>1599.7</v>
      </c>
      <c r="V2" s="85" t="n">
        <v>1616.1</v>
      </c>
      <c r="W2" s="85" t="n">
        <v>1651.9</v>
      </c>
      <c r="X2" s="85" t="n">
        <v>1709.8</v>
      </c>
      <c r="Y2" s="85" t="n">
        <v>1761.8</v>
      </c>
      <c r="Z2" s="85" t="n">
        <v>1820.5</v>
      </c>
      <c r="AA2" s="85" t="n">
        <v>1852.3</v>
      </c>
      <c r="AB2" s="85" t="n">
        <v>1886.6</v>
      </c>
      <c r="AC2" s="85" t="n">
        <v>1934.3</v>
      </c>
      <c r="AD2" s="85" t="n">
        <v>1988.6</v>
      </c>
      <c r="AE2" s="85" t="n">
        <v>2055.9</v>
      </c>
      <c r="AF2" s="85" t="n">
        <v>2118.5</v>
      </c>
      <c r="AG2" s="85" t="n">
        <v>2164.3</v>
      </c>
      <c r="AH2" s="85" t="n">
        <v>2202.8</v>
      </c>
      <c r="AI2" s="85" t="n">
        <v>2331.6</v>
      </c>
      <c r="AJ2" s="85" t="n">
        <v>2395.1</v>
      </c>
      <c r="AK2" s="85" t="n">
        <v>2476.9</v>
      </c>
      <c r="AL2" s="85" t="n">
        <v>2526.6</v>
      </c>
      <c r="AM2" s="85" t="n">
        <v>2591.2</v>
      </c>
      <c r="AN2" s="85" t="n">
        <v>2667.6</v>
      </c>
      <c r="AO2" s="85" t="n">
        <v>2723.9</v>
      </c>
      <c r="AP2" s="85" t="n">
        <v>2789.8</v>
      </c>
      <c r="AQ2" s="85" t="n">
        <v>2797.4</v>
      </c>
      <c r="AR2" s="85" t="n">
        <v>2856.5</v>
      </c>
      <c r="AS2" s="85" t="n">
        <v>2985.6</v>
      </c>
      <c r="AT2" s="85" t="n">
        <v>3124.2</v>
      </c>
      <c r="AU2" s="85" t="n">
        <v>3162.5</v>
      </c>
      <c r="AV2" s="85" t="n">
        <v>3260.6</v>
      </c>
      <c r="AW2" s="85" t="n">
        <v>3280.8</v>
      </c>
      <c r="AX2" s="85" t="n">
        <v>3274.3</v>
      </c>
      <c r="AY2" s="85" t="n">
        <v>3332</v>
      </c>
      <c r="AZ2" s="85" t="n">
        <v>3366.3</v>
      </c>
      <c r="BA2" s="85" t="n">
        <v>3402.6</v>
      </c>
      <c r="BB2" s="85" t="n">
        <v>3473.4</v>
      </c>
      <c r="BC2" s="85" t="n">
        <v>3578.8</v>
      </c>
      <c r="BD2" s="85" t="n">
        <v>3689.2</v>
      </c>
      <c r="BE2" s="85" t="n">
        <v>3794.7</v>
      </c>
      <c r="BF2" s="85" t="n">
        <v>3908.1</v>
      </c>
      <c r="BG2" s="85" t="n">
        <v>4009.6</v>
      </c>
      <c r="BH2" s="85" t="n">
        <v>4084.3</v>
      </c>
      <c r="BI2" s="85" t="n">
        <v>4148.6</v>
      </c>
      <c r="BJ2" s="85" t="n">
        <v>4230.2</v>
      </c>
      <c r="BK2" s="85" t="n">
        <v>4294.9</v>
      </c>
      <c r="BL2" s="85" t="n">
        <v>4386.8</v>
      </c>
      <c r="BM2" s="85" t="n">
        <v>4444.1</v>
      </c>
      <c r="BN2" s="85" t="n">
        <v>4507.9</v>
      </c>
      <c r="BO2" s="85" t="n">
        <v>4545.3</v>
      </c>
      <c r="BP2" s="85" t="n">
        <v>4607.7</v>
      </c>
      <c r="BQ2" s="85" t="n">
        <v>4657.6</v>
      </c>
      <c r="BR2" s="85" t="n">
        <v>4722.2</v>
      </c>
      <c r="BS2" s="85" t="n">
        <v>4806.2</v>
      </c>
      <c r="BT2" s="85" t="n">
        <v>4884.6</v>
      </c>
      <c r="BU2" s="85" t="n">
        <v>5008</v>
      </c>
      <c r="BV2" s="85" t="n">
        <v>5073.4</v>
      </c>
      <c r="BW2" s="85" t="n">
        <v>5190</v>
      </c>
      <c r="BX2" s="85" t="n">
        <v>5282.8</v>
      </c>
      <c r="BY2" s="85" t="n">
        <v>5399.5</v>
      </c>
      <c r="BZ2" s="85" t="n">
        <v>5511.3</v>
      </c>
      <c r="CA2" s="85" t="n">
        <v>5612.5</v>
      </c>
      <c r="CB2" s="85" t="n">
        <v>5695.4</v>
      </c>
      <c r="CC2" s="85" t="n">
        <v>5747.2</v>
      </c>
      <c r="CD2" s="85" t="n">
        <v>5872.7</v>
      </c>
      <c r="CE2" s="85" t="n">
        <v>5960</v>
      </c>
      <c r="CF2" s="85" t="n">
        <v>6015.1</v>
      </c>
      <c r="CG2" s="85" t="n">
        <v>6004.7</v>
      </c>
      <c r="CH2" s="85" t="n">
        <v>6035.2</v>
      </c>
      <c r="CI2" s="85" t="n">
        <v>6126.9</v>
      </c>
      <c r="CJ2" s="85" t="n">
        <v>6205.9</v>
      </c>
      <c r="CK2" s="85" t="n">
        <v>6264.5</v>
      </c>
      <c r="CL2" s="85" t="n">
        <v>6363.1</v>
      </c>
      <c r="CM2" s="85" t="n">
        <v>6470.8</v>
      </c>
      <c r="CN2" s="85" t="n">
        <v>6566.6</v>
      </c>
      <c r="CO2" s="85" t="n">
        <v>6680.8</v>
      </c>
      <c r="CP2" s="85" t="n">
        <v>6729.5</v>
      </c>
      <c r="CQ2" s="85" t="n">
        <v>6808.9</v>
      </c>
      <c r="CR2" s="85" t="n">
        <v>6882.1</v>
      </c>
      <c r="CS2" s="85" t="n">
        <v>7013.7</v>
      </c>
      <c r="CT2" s="85" t="n">
        <v>7115.7</v>
      </c>
      <c r="CU2" s="85" t="n">
        <v>7246.9</v>
      </c>
      <c r="CV2" s="85" t="n">
        <v>7331.1</v>
      </c>
      <c r="CW2" s="85" t="n">
        <v>7455.3</v>
      </c>
      <c r="CX2" s="85" t="n">
        <v>7522.3</v>
      </c>
      <c r="CY2" s="85" t="n">
        <v>7581</v>
      </c>
      <c r="CZ2" s="85" t="n">
        <v>7683.1</v>
      </c>
      <c r="DA2" s="85" t="n">
        <v>7772.6</v>
      </c>
      <c r="DB2" s="85" t="n">
        <v>7868.5</v>
      </c>
      <c r="DC2" s="85" t="n">
        <v>8032.8</v>
      </c>
      <c r="DD2" s="85" t="n">
        <v>8131.4</v>
      </c>
      <c r="DE2" s="85" t="n">
        <v>8259.8</v>
      </c>
      <c r="DF2" s="85" t="n">
        <v>8362.7</v>
      </c>
      <c r="DG2" s="85" t="n">
        <v>8518.8</v>
      </c>
      <c r="DH2" s="85" t="n">
        <v>8662.8</v>
      </c>
      <c r="DI2" s="85" t="n">
        <v>8765.9</v>
      </c>
      <c r="DJ2" s="85" t="n">
        <v>8866.5</v>
      </c>
      <c r="DK2" s="85" t="n">
        <v>8969.7</v>
      </c>
      <c r="DL2" s="85" t="n">
        <v>9121.1</v>
      </c>
      <c r="DM2" s="85" t="n">
        <v>9294</v>
      </c>
      <c r="DN2" s="85" t="n">
        <v>9411.7</v>
      </c>
      <c r="DO2" s="85" t="n">
        <v>9526.2</v>
      </c>
      <c r="DP2" s="85" t="n">
        <v>9686.6</v>
      </c>
      <c r="DQ2" s="85" t="n">
        <v>9900.2</v>
      </c>
      <c r="DR2" s="85" t="n">
        <v>10002.2</v>
      </c>
      <c r="DS2" s="85" t="n">
        <v>10247.7</v>
      </c>
      <c r="DT2" s="85" t="n">
        <v>10318.2</v>
      </c>
      <c r="DU2" s="85" t="n">
        <v>10435.7</v>
      </c>
      <c r="DV2" s="85" t="n">
        <v>10470.2</v>
      </c>
      <c r="DW2" s="85" t="n">
        <v>10599</v>
      </c>
      <c r="DX2" s="85" t="n">
        <v>10598</v>
      </c>
      <c r="DY2" s="85" t="n">
        <v>10660.5</v>
      </c>
      <c r="DZ2" s="85" t="n">
        <v>10783.5</v>
      </c>
      <c r="EA2" s="85" t="n">
        <v>10887.5</v>
      </c>
      <c r="EB2" s="85" t="n">
        <v>10984</v>
      </c>
      <c r="EC2" s="85" t="n">
        <v>11061.4</v>
      </c>
      <c r="ED2" s="85" t="n">
        <v>11174.1</v>
      </c>
      <c r="EE2" s="85" t="n">
        <v>11312.8</v>
      </c>
      <c r="EF2" s="85" t="n">
        <v>11566.7</v>
      </c>
      <c r="EG2" s="85" t="n">
        <v>11772.2</v>
      </c>
      <c r="EH2" s="85" t="n">
        <v>11923.4</v>
      </c>
      <c r="EI2" s="85" t="n">
        <v>12112.8</v>
      </c>
      <c r="EJ2" s="85" t="n">
        <v>12305.3</v>
      </c>
      <c r="EK2" s="85" t="n">
        <v>12527.2</v>
      </c>
      <c r="EL2" s="85" t="n">
        <v>12767.3</v>
      </c>
      <c r="EM2" s="85" t="n">
        <v>12922.7</v>
      </c>
      <c r="EN2" s="85" t="n">
        <v>13142.6</v>
      </c>
      <c r="EO2" s="85" t="n">
        <v>13324.2</v>
      </c>
      <c r="EP2" s="85" t="n">
        <v>13599.2</v>
      </c>
      <c r="EQ2" s="85" t="n">
        <v>13753.4</v>
      </c>
      <c r="ER2" s="85" t="n">
        <v>13870.2</v>
      </c>
      <c r="ES2" s="85" t="n">
        <v>14039.6</v>
      </c>
      <c r="ET2" s="85" t="n">
        <v>14215.7</v>
      </c>
      <c r="EU2" s="85" t="n">
        <v>14402.1</v>
      </c>
      <c r="EV2" s="85" t="n">
        <v>14564.1</v>
      </c>
      <c r="EW2" s="85" t="n">
        <v>14715.1</v>
      </c>
      <c r="EX2" s="85" t="n">
        <v>14706.5</v>
      </c>
      <c r="EY2" s="85" t="n">
        <v>14865.7</v>
      </c>
      <c r="EZ2" s="85" t="n">
        <v>14899</v>
      </c>
      <c r="FA2" s="85" t="n">
        <v>14608.2</v>
      </c>
      <c r="FB2" s="85" t="n">
        <v>14430.9</v>
      </c>
      <c r="FC2" s="85" t="n">
        <v>14381.2</v>
      </c>
      <c r="FD2" s="85" t="n">
        <v>14448.9</v>
      </c>
      <c r="FE2" s="85" t="n">
        <v>14651.2</v>
      </c>
      <c r="FF2" s="85" t="n">
        <v>14764.6</v>
      </c>
      <c r="FG2" s="85" t="n">
        <v>14980.2</v>
      </c>
      <c r="FH2" s="85" t="n">
        <v>15141.6</v>
      </c>
      <c r="FI2" s="85" t="n">
        <v>15309.5</v>
      </c>
      <c r="FJ2" s="85" t="n">
        <v>15351.4</v>
      </c>
      <c r="FK2" s="85" t="n">
        <v>15557.5</v>
      </c>
      <c r="FL2" s="85" t="n">
        <v>15647.7</v>
      </c>
      <c r="FM2" s="85" t="n">
        <v>15842.3</v>
      </c>
      <c r="FN2" s="85" t="n">
        <v>16068.8</v>
      </c>
      <c r="FO2" s="85" t="n">
        <v>16207.1</v>
      </c>
      <c r="FP2" s="85" t="n">
        <v>16319.5</v>
      </c>
      <c r="FQ2" s="85" t="n">
        <v>16420.4</v>
      </c>
      <c r="FR2" s="85" t="n">
        <v>16648.2</v>
      </c>
      <c r="FS2" s="85" t="n">
        <v>16728.7</v>
      </c>
      <c r="FT2" s="85" t="n">
        <v>16953.8</v>
      </c>
      <c r="FU2" s="85" t="n">
        <v>17192</v>
      </c>
      <c r="FV2" s="85" t="n">
        <v>17197.7</v>
      </c>
      <c r="FW2" s="85" t="n">
        <v>17518.5</v>
      </c>
      <c r="FX2" s="85" t="n">
        <v>17804.2</v>
      </c>
      <c r="FY2" s="85" t="n">
        <v>17912.1</v>
      </c>
      <c r="FZ2" s="85" t="n">
        <v>18063.5</v>
      </c>
      <c r="GA2" s="85" t="n">
        <v>18279.8</v>
      </c>
      <c r="GB2" s="85" t="n">
        <v>18401.6</v>
      </c>
      <c r="GC2" s="85" t="n">
        <v>18435.1</v>
      </c>
      <c r="GD2" s="85" t="n">
        <v>18525.9</v>
      </c>
      <c r="GE2" s="85" t="n">
        <v>18711.7</v>
      </c>
      <c r="GF2" s="85" t="n">
        <v>18892.6</v>
      </c>
      <c r="GG2" s="85" t="n">
        <v>19089.4</v>
      </c>
      <c r="GH2" s="85" t="n">
        <v>19280.1</v>
      </c>
      <c r="GI2" s="85" t="n">
        <v>19438.6</v>
      </c>
      <c r="GJ2" s="85" t="n">
        <v>19692.6</v>
      </c>
      <c r="GK2" s="85" t="n">
        <v>20037.1</v>
      </c>
      <c r="GL2" s="85" t="n">
        <v>20328.6</v>
      </c>
      <c r="GM2" s="85" t="n">
        <v>20580.9</v>
      </c>
      <c r="GN2" s="85" t="n">
        <v>20798.7</v>
      </c>
      <c r="GO2" s="85" t="n">
        <v>20917.9</v>
      </c>
      <c r="GP2" s="85" t="n">
        <v>21111.6</v>
      </c>
      <c r="GQ2" s="85" t="n">
        <v>21397.9</v>
      </c>
      <c r="GR2" s="85" t="n">
        <v>21717.2</v>
      </c>
      <c r="GS2" s="85" t="n">
        <v>21933.2</v>
      </c>
      <c r="GT2" s="85" t="n">
        <v>21727.7</v>
      </c>
      <c r="GU2" s="85" t="n">
        <v>19935.4</v>
      </c>
      <c r="GV2" s="85" t="n">
        <v>21684.6</v>
      </c>
      <c r="GW2" s="85" t="n">
        <v>22068.8</v>
      </c>
      <c r="GX2" s="85" t="n">
        <v>22656.8</v>
      </c>
      <c r="GY2" s="85" t="n">
        <v>23368.9</v>
      </c>
      <c r="GZ2" s="85" t="n">
        <v>23922</v>
      </c>
      <c r="HA2" s="85" t="n">
        <v>24777</v>
      </c>
      <c r="HB2" s="85" t="n">
        <v>25215.5</v>
      </c>
      <c r="HC2" t="n">
        <v>25805.8</v>
      </c>
      <c r="HD2" t="n">
        <v>26272</v>
      </c>
      <c r="HE2" t="n">
        <v>26734.3</v>
      </c>
      <c r="HF2" t="n">
        <v>27164.4</v>
      </c>
      <c r="HG2" t="n">
        <v>27453.8</v>
      </c>
      <c r="HH2" t="n">
        <v>27967.7</v>
      </c>
      <c r="HI2" t="n">
        <v>28297</v>
      </c>
      <c r="HJ2" t="n">
        <v>28624.1</v>
      </c>
      <c r="HK2" t="n">
        <v>29016.7</v>
      </c>
    </row>
    <row r="3">
      <c r="A3" s="85" t="s">
        <v>2511</v>
      </c>
      <c r="B3" s="85" t="n">
        <v>5300.7</v>
      </c>
      <c r="C3" s="85" t="n">
        <v>5308.2</v>
      </c>
      <c r="D3" s="85" t="n">
        <v>5357.1</v>
      </c>
      <c r="E3" s="85" t="n">
        <v>5299.7</v>
      </c>
      <c r="F3" s="85" t="n">
        <v>5443.6</v>
      </c>
      <c r="G3" s="85" t="n">
        <v>5473.1</v>
      </c>
      <c r="H3" s="85" t="n">
        <v>5518.1</v>
      </c>
      <c r="I3" s="85" t="n">
        <v>5531</v>
      </c>
      <c r="J3" s="85" t="n">
        <v>5632.6</v>
      </c>
      <c r="K3" s="85" t="n">
        <v>5760.5</v>
      </c>
      <c r="L3" s="85" t="n">
        <v>5814.9</v>
      </c>
      <c r="M3" s="85" t="n">
        <v>5912.2</v>
      </c>
      <c r="N3" s="85" t="n">
        <v>6058.5</v>
      </c>
      <c r="O3" s="85" t="n">
        <v>6124.5</v>
      </c>
      <c r="P3" s="85" t="n">
        <v>6092.3</v>
      </c>
      <c r="Q3" s="85" t="n">
        <v>6150.1</v>
      </c>
      <c r="R3" s="85" t="n">
        <v>6097.3</v>
      </c>
      <c r="S3" s="85" t="n">
        <v>6111.8</v>
      </c>
      <c r="T3" s="85" t="n">
        <v>6054</v>
      </c>
      <c r="U3" s="85" t="n">
        <v>6030.5</v>
      </c>
      <c r="V3" s="85" t="n">
        <v>5957</v>
      </c>
      <c r="W3" s="85" t="n">
        <v>5999.6</v>
      </c>
      <c r="X3" s="85" t="n">
        <v>6102.3</v>
      </c>
      <c r="Y3" s="85" t="n">
        <v>6184.5</v>
      </c>
      <c r="Z3" s="85" t="n">
        <v>6323.6</v>
      </c>
      <c r="AA3" s="85" t="n">
        <v>6370</v>
      </c>
      <c r="AB3" s="85" t="n">
        <v>6404.9</v>
      </c>
      <c r="AC3" s="85" t="n">
        <v>6451.2</v>
      </c>
      <c r="AD3" s="85" t="n">
        <v>6527.7</v>
      </c>
      <c r="AE3" s="85" t="n">
        <v>6654.5</v>
      </c>
      <c r="AF3" s="85" t="n">
        <v>6774.5</v>
      </c>
      <c r="AG3" s="85" t="n">
        <v>6774.6</v>
      </c>
      <c r="AH3" s="85" t="n">
        <v>6796.3</v>
      </c>
      <c r="AI3" s="85" t="n">
        <v>7058.9</v>
      </c>
      <c r="AJ3" s="85" t="n">
        <v>7129.9</v>
      </c>
      <c r="AK3" s="85" t="n">
        <v>7225.8</v>
      </c>
      <c r="AL3" s="85" t="n">
        <v>7238.7</v>
      </c>
      <c r="AM3" s="85" t="n">
        <v>7246.5</v>
      </c>
      <c r="AN3" s="85" t="n">
        <v>7300.3</v>
      </c>
      <c r="AO3" s="85" t="n">
        <v>7318.5</v>
      </c>
      <c r="AP3" s="85" t="n">
        <v>7341.6</v>
      </c>
      <c r="AQ3" s="85" t="n">
        <v>7190.3</v>
      </c>
      <c r="AR3" s="85" t="n">
        <v>7181.7</v>
      </c>
      <c r="AS3" s="85" t="n">
        <v>7315.7</v>
      </c>
      <c r="AT3" s="85" t="n">
        <v>7459</v>
      </c>
      <c r="AU3" s="85" t="n">
        <v>7403.7</v>
      </c>
      <c r="AV3" s="85" t="n">
        <v>7492.4</v>
      </c>
      <c r="AW3" s="85" t="n">
        <v>7410.8</v>
      </c>
      <c r="AX3" s="85" t="n">
        <v>7295.6</v>
      </c>
      <c r="AY3" s="85" t="n">
        <v>7328.9</v>
      </c>
      <c r="AZ3" s="85" t="n">
        <v>7300.9</v>
      </c>
      <c r="BA3" s="85" t="n">
        <v>7303.8</v>
      </c>
      <c r="BB3" s="85" t="n">
        <v>7400.1</v>
      </c>
      <c r="BC3" s="85" t="n">
        <v>7568.5</v>
      </c>
      <c r="BD3" s="85" t="n">
        <v>7719.7</v>
      </c>
      <c r="BE3" s="85" t="n">
        <v>7880.8</v>
      </c>
      <c r="BF3" s="85" t="n">
        <v>8034.8</v>
      </c>
      <c r="BG3" s="85" t="n">
        <v>8173.7</v>
      </c>
      <c r="BH3" s="85" t="n">
        <v>8252.5</v>
      </c>
      <c r="BI3" s="85" t="n">
        <v>8320.2</v>
      </c>
      <c r="BJ3" s="85" t="n">
        <v>8400.8</v>
      </c>
      <c r="BK3" s="85" t="n">
        <v>8474.8</v>
      </c>
      <c r="BL3" s="85" t="n">
        <v>8604.2</v>
      </c>
      <c r="BM3" s="85" t="n">
        <v>8668.2</v>
      </c>
      <c r="BN3" s="85" t="n">
        <v>8749.1</v>
      </c>
      <c r="BO3" s="85" t="n">
        <v>8788.5</v>
      </c>
      <c r="BP3" s="85" t="n">
        <v>8872.6</v>
      </c>
      <c r="BQ3" s="85" t="n">
        <v>8920.2</v>
      </c>
      <c r="BR3" s="85" t="n">
        <v>8986.4</v>
      </c>
      <c r="BS3" s="85" t="n">
        <v>9083.3</v>
      </c>
      <c r="BT3" s="85" t="n">
        <v>9162</v>
      </c>
      <c r="BU3" s="85" t="n">
        <v>9319.3</v>
      </c>
      <c r="BV3" s="85" t="n">
        <v>9367.5</v>
      </c>
      <c r="BW3" s="85" t="n">
        <v>9490.6</v>
      </c>
      <c r="BX3" s="85" t="n">
        <v>9546.2</v>
      </c>
      <c r="BY3" s="85" t="n">
        <v>9673.4</v>
      </c>
      <c r="BZ3" s="85" t="n">
        <v>9771.7</v>
      </c>
      <c r="CA3" s="85" t="n">
        <v>9846.3</v>
      </c>
      <c r="CB3" s="85" t="n">
        <v>9919.2</v>
      </c>
      <c r="CC3" s="85" t="n">
        <v>9938.8</v>
      </c>
      <c r="CD3" s="85" t="n">
        <v>10047.4</v>
      </c>
      <c r="CE3" s="85" t="n">
        <v>10083.9</v>
      </c>
      <c r="CF3" s="85" t="n">
        <v>10090.6</v>
      </c>
      <c r="CG3" s="85" t="n">
        <v>9998.7</v>
      </c>
      <c r="CH3" s="85" t="n">
        <v>9951.9</v>
      </c>
      <c r="CI3" s="85" t="n">
        <v>10029.5</v>
      </c>
      <c r="CJ3" s="85" t="n">
        <v>10080.2</v>
      </c>
      <c r="CK3" s="85" t="n">
        <v>10115.3</v>
      </c>
      <c r="CL3" s="85" t="n">
        <v>10236.4</v>
      </c>
      <c r="CM3" s="85" t="n">
        <v>10347.4</v>
      </c>
      <c r="CN3" s="85" t="n">
        <v>10449.7</v>
      </c>
      <c r="CO3" s="85" t="n">
        <v>10558.6</v>
      </c>
      <c r="CP3" s="85" t="n">
        <v>10576.3</v>
      </c>
      <c r="CQ3" s="85" t="n">
        <v>10637.8</v>
      </c>
      <c r="CR3" s="85" t="n">
        <v>10688.6</v>
      </c>
      <c r="CS3" s="85" t="n">
        <v>10834</v>
      </c>
      <c r="CT3" s="85" t="n">
        <v>10939.1</v>
      </c>
      <c r="CU3" s="85" t="n">
        <v>11087.4</v>
      </c>
      <c r="CV3" s="85" t="n">
        <v>11152.2</v>
      </c>
      <c r="CW3" s="85" t="n">
        <v>11279.9</v>
      </c>
      <c r="CX3" s="85" t="n">
        <v>11320</v>
      </c>
      <c r="CY3" s="85" t="n">
        <v>11353.7</v>
      </c>
      <c r="CZ3" s="85" t="n">
        <v>11450.3</v>
      </c>
      <c r="DA3" s="85" t="n">
        <v>11528.1</v>
      </c>
      <c r="DB3" s="85" t="n">
        <v>11614.4</v>
      </c>
      <c r="DC3" s="85" t="n">
        <v>11808.1</v>
      </c>
      <c r="DD3" s="85" t="n">
        <v>11914.1</v>
      </c>
      <c r="DE3" s="85" t="n">
        <v>12037.8</v>
      </c>
      <c r="DF3" s="85" t="n">
        <v>12115.5</v>
      </c>
      <c r="DG3" s="85" t="n">
        <v>12317.2</v>
      </c>
      <c r="DH3" s="85" t="n">
        <v>12471</v>
      </c>
      <c r="DI3" s="85" t="n">
        <v>12577.5</v>
      </c>
      <c r="DJ3" s="85" t="n">
        <v>12703.7</v>
      </c>
      <c r="DK3" s="85" t="n">
        <v>12821.3</v>
      </c>
      <c r="DL3" s="85" t="n">
        <v>12982.8</v>
      </c>
      <c r="DM3" s="85" t="n">
        <v>13191.7</v>
      </c>
      <c r="DN3" s="85" t="n">
        <v>13315.6</v>
      </c>
      <c r="DO3" s="85" t="n">
        <v>13426.7</v>
      </c>
      <c r="DP3" s="85" t="n">
        <v>13604.8</v>
      </c>
      <c r="DQ3" s="85" t="n">
        <v>13828</v>
      </c>
      <c r="DR3" s="85" t="n">
        <v>13878.1</v>
      </c>
      <c r="DS3" s="85" t="n">
        <v>14130.9</v>
      </c>
      <c r="DT3" s="85" t="n">
        <v>14145.3</v>
      </c>
      <c r="DU3" s="85" t="n">
        <v>14229.8</v>
      </c>
      <c r="DV3" s="85" t="n">
        <v>14183.1</v>
      </c>
      <c r="DW3" s="85" t="n">
        <v>14271.7</v>
      </c>
      <c r="DX3" s="85" t="n">
        <v>14214.5</v>
      </c>
      <c r="DY3" s="85" t="n">
        <v>14253.6</v>
      </c>
      <c r="DZ3" s="85" t="n">
        <v>14372.8</v>
      </c>
      <c r="EA3" s="85" t="n">
        <v>14460.8</v>
      </c>
      <c r="EB3" s="85" t="n">
        <v>14519.6</v>
      </c>
      <c r="EC3" s="85" t="n">
        <v>14537.6</v>
      </c>
      <c r="ED3" s="85" t="n">
        <v>14614.1</v>
      </c>
      <c r="EE3" s="85" t="n">
        <v>14743.6</v>
      </c>
      <c r="EF3" s="85" t="n">
        <v>14988.8</v>
      </c>
      <c r="EG3" s="85" t="n">
        <v>15162.8</v>
      </c>
      <c r="EH3" s="85" t="n">
        <v>15248.7</v>
      </c>
      <c r="EI3" s="85" t="n">
        <v>15366.9</v>
      </c>
      <c r="EJ3" s="85" t="n">
        <v>15512.6</v>
      </c>
      <c r="EK3" s="85" t="n">
        <v>15670.9</v>
      </c>
      <c r="EL3" s="85" t="n">
        <v>15844.7</v>
      </c>
      <c r="EM3" s="85" t="n">
        <v>15922.8</v>
      </c>
      <c r="EN3" s="85" t="n">
        <v>16047.6</v>
      </c>
      <c r="EO3" s="85" t="n">
        <v>16136.7</v>
      </c>
      <c r="EP3" s="85" t="n">
        <v>16353.8</v>
      </c>
      <c r="EQ3" s="85" t="n">
        <v>16396.2</v>
      </c>
      <c r="ER3" s="85" t="n">
        <v>16420.7</v>
      </c>
      <c r="ES3" s="85" t="n">
        <v>16561.9</v>
      </c>
      <c r="ET3" s="85" t="n">
        <v>16611.7</v>
      </c>
      <c r="EU3" s="85" t="n">
        <v>16713.3</v>
      </c>
      <c r="EV3" s="85" t="n">
        <v>16809.6</v>
      </c>
      <c r="EW3" s="85" t="n">
        <v>16915.2</v>
      </c>
      <c r="EX3" s="85" t="n">
        <v>16843</v>
      </c>
      <c r="EY3" s="85" t="n">
        <v>16943.3</v>
      </c>
      <c r="EZ3" s="85" t="n">
        <v>16854.3</v>
      </c>
      <c r="FA3" s="85" t="n">
        <v>16485.4</v>
      </c>
      <c r="FB3" s="85" t="n">
        <v>16298.3</v>
      </c>
      <c r="FC3" s="85" t="n">
        <v>16269.1</v>
      </c>
      <c r="FD3" s="85" t="n">
        <v>16326.3</v>
      </c>
      <c r="FE3" s="85" t="n">
        <v>16502.8</v>
      </c>
      <c r="FF3" s="85" t="n">
        <v>16582.7</v>
      </c>
      <c r="FG3" s="85" t="n">
        <v>16743.2</v>
      </c>
      <c r="FH3" s="85" t="n">
        <v>16872.3</v>
      </c>
      <c r="FI3" s="85" t="n">
        <v>16960.9</v>
      </c>
      <c r="FJ3" s="85" t="n">
        <v>16920.6</v>
      </c>
      <c r="FK3" s="85" t="n">
        <v>17035.1</v>
      </c>
      <c r="FL3" s="85" t="n">
        <v>17031.3</v>
      </c>
      <c r="FM3" s="85" t="n">
        <v>17222.6</v>
      </c>
      <c r="FN3" s="85" t="n">
        <v>17367</v>
      </c>
      <c r="FO3" s="85" t="n">
        <v>17444.5</v>
      </c>
      <c r="FP3" s="85" t="n">
        <v>17469.7</v>
      </c>
      <c r="FQ3" s="85" t="n">
        <v>17489.9</v>
      </c>
      <c r="FR3" s="85" t="n">
        <v>17662.4</v>
      </c>
      <c r="FS3" s="85" t="n">
        <v>17709.7</v>
      </c>
      <c r="FT3" s="85" t="n">
        <v>17860.5</v>
      </c>
      <c r="FU3" s="85" t="n">
        <v>18016.1</v>
      </c>
      <c r="FV3" s="85" t="n">
        <v>17954</v>
      </c>
      <c r="FW3" s="85" t="n">
        <v>18185.9</v>
      </c>
      <c r="FX3" s="85" t="n">
        <v>18406.9</v>
      </c>
      <c r="FY3" s="85" t="n">
        <v>18500</v>
      </c>
      <c r="FZ3" s="85" t="n">
        <v>18666.6</v>
      </c>
      <c r="GA3" s="85" t="n">
        <v>18782.2</v>
      </c>
      <c r="GB3" s="85" t="n">
        <v>18857.4</v>
      </c>
      <c r="GC3" s="85" t="n">
        <v>18892.2</v>
      </c>
      <c r="GD3" s="85" t="n">
        <v>19001.7</v>
      </c>
      <c r="GE3" s="85" t="n">
        <v>19062.7</v>
      </c>
      <c r="GF3" s="85" t="n">
        <v>19197.9</v>
      </c>
      <c r="GG3" s="85" t="n">
        <v>19304.4</v>
      </c>
      <c r="GH3" s="85" t="n">
        <v>19398.3</v>
      </c>
      <c r="GI3" s="85" t="n">
        <v>19506.9</v>
      </c>
      <c r="GJ3" s="85" t="n">
        <v>19660.8</v>
      </c>
      <c r="GK3" s="85" t="n">
        <v>19882.4</v>
      </c>
      <c r="GL3" s="85" t="n">
        <v>20044.1</v>
      </c>
      <c r="GM3" s="85" t="n">
        <v>20150.5</v>
      </c>
      <c r="GN3" s="85" t="n">
        <v>20276.2</v>
      </c>
      <c r="GO3" s="85" t="n">
        <v>20304.9</v>
      </c>
      <c r="GP3" s="85" t="n">
        <v>20431.6</v>
      </c>
      <c r="GQ3" s="85" t="n">
        <v>20602.3</v>
      </c>
      <c r="GR3" s="85" t="n">
        <v>20843.3</v>
      </c>
      <c r="GS3" s="85" t="n">
        <v>20985.4</v>
      </c>
      <c r="GT3" s="85" t="n">
        <v>20693.2</v>
      </c>
      <c r="GU3" s="85" t="n">
        <v>19056.6</v>
      </c>
      <c r="GV3" s="85" t="n">
        <v>20548.8</v>
      </c>
      <c r="GW3" s="85" t="n">
        <v>20771.7</v>
      </c>
      <c r="GX3" s="85" t="n">
        <v>21058.4</v>
      </c>
      <c r="GY3" s="85" t="n">
        <v>21389</v>
      </c>
      <c r="GZ3" s="85" t="n">
        <v>21571.4</v>
      </c>
      <c r="HA3" s="85" t="n">
        <v>21960.4</v>
      </c>
      <c r="HB3" s="85" t="n">
        <v>21903.9</v>
      </c>
      <c r="HC3" t="n">
        <v>21919.2</v>
      </c>
      <c r="HD3" t="n">
        <v>22066.8</v>
      </c>
      <c r="HE3" t="n">
        <v>22249.5</v>
      </c>
      <c r="HF3" t="n">
        <v>22403.4</v>
      </c>
      <c r="HG3" t="n">
        <v>22539.4</v>
      </c>
      <c r="HH3" t="n">
        <v>22780.9</v>
      </c>
      <c r="HI3" t="n">
        <v>22960.6</v>
      </c>
      <c r="HJ3" t="n">
        <v>23053.5</v>
      </c>
      <c r="HK3" t="n">
        <v>23223.9</v>
      </c>
    </row>
    <row r="4">
      <c r="A4" s="85" t="s">
        <v>2512</v>
      </c>
      <c r="B4" s="85" t="n">
        <v>19.823</v>
      </c>
      <c r="C4" s="85" t="n">
        <v>20.109</v>
      </c>
      <c r="D4" s="85" t="n">
        <v>20.274</v>
      </c>
      <c r="E4" s="85" t="n">
        <v>20.539</v>
      </c>
      <c r="F4" s="85" t="n">
        <v>20.85</v>
      </c>
      <c r="G4" s="85" t="n">
        <v>21.13</v>
      </c>
      <c r="H4" s="85" t="n">
        <v>21.343</v>
      </c>
      <c r="I4" s="85" t="n">
        <v>21.52</v>
      </c>
      <c r="J4" s="85" t="n">
        <v>21.865</v>
      </c>
      <c r="K4" s="85" t="n">
        <v>21.999</v>
      </c>
      <c r="L4" s="85" t="n">
        <v>22.198</v>
      </c>
      <c r="M4" s="85" t="n">
        <v>22.45</v>
      </c>
      <c r="N4" s="85" t="n">
        <v>22.735</v>
      </c>
      <c r="O4" s="85" t="n">
        <v>23.111</v>
      </c>
      <c r="P4" s="85" t="n">
        <v>23.553</v>
      </c>
      <c r="Q4" s="85" t="n">
        <v>23.961</v>
      </c>
      <c r="R4" s="85" t="n">
        <v>24.446</v>
      </c>
      <c r="S4" s="85" t="n">
        <v>24.989</v>
      </c>
      <c r="T4" s="85" t="n">
        <v>25.759</v>
      </c>
      <c r="U4" s="85" t="n">
        <v>26.541</v>
      </c>
      <c r="V4" s="85" t="n">
        <v>27.141</v>
      </c>
      <c r="W4" s="85" t="n">
        <v>27.534</v>
      </c>
      <c r="X4" s="85" t="n">
        <v>28.021</v>
      </c>
      <c r="Y4" s="85" t="n">
        <v>28.489</v>
      </c>
      <c r="Z4" s="85" t="n">
        <v>28.8</v>
      </c>
      <c r="AA4" s="85" t="n">
        <v>29.088</v>
      </c>
      <c r="AB4" s="85" t="n">
        <v>29.459</v>
      </c>
      <c r="AC4" s="85" t="n">
        <v>29.96</v>
      </c>
      <c r="AD4" s="85" t="n">
        <v>30.443</v>
      </c>
      <c r="AE4" s="85" t="n">
        <v>30.925</v>
      </c>
      <c r="AF4" s="85" t="n">
        <v>31.351</v>
      </c>
      <c r="AG4" s="85" t="n">
        <v>31.875</v>
      </c>
      <c r="AH4" s="85" t="n">
        <v>32.397</v>
      </c>
      <c r="AI4" s="85" t="n">
        <v>33.043</v>
      </c>
      <c r="AJ4" s="85" t="n">
        <v>33.626</v>
      </c>
      <c r="AK4" s="85" t="n">
        <v>34.291</v>
      </c>
      <c r="AL4" s="85" t="n">
        <v>34.931</v>
      </c>
      <c r="AM4" s="85" t="n">
        <v>35.775</v>
      </c>
      <c r="AN4" s="85" t="n">
        <v>36.522</v>
      </c>
      <c r="AO4" s="85" t="n">
        <v>37.188</v>
      </c>
      <c r="AP4" s="85" t="n">
        <v>38.001</v>
      </c>
      <c r="AQ4" s="85" t="n">
        <v>38.903</v>
      </c>
      <c r="AR4" s="85" t="n">
        <v>39.77</v>
      </c>
      <c r="AS4" s="85" t="n">
        <v>40.825</v>
      </c>
      <c r="AT4" s="85" t="n">
        <v>41.907</v>
      </c>
      <c r="AU4" s="85" t="n">
        <v>42.694</v>
      </c>
      <c r="AV4" s="85" t="n">
        <v>43.524</v>
      </c>
      <c r="AW4" s="85" t="n">
        <v>44.243</v>
      </c>
      <c r="AX4" s="85" t="n">
        <v>44.877</v>
      </c>
      <c r="AY4" s="85" t="n">
        <v>45.473</v>
      </c>
      <c r="AZ4" s="85" t="n">
        <v>46.104</v>
      </c>
      <c r="BA4" s="85" t="n">
        <v>46.571</v>
      </c>
      <c r="BB4" s="85" t="n">
        <v>46.943</v>
      </c>
      <c r="BC4" s="85" t="n">
        <v>47.291</v>
      </c>
      <c r="BD4" s="85" t="n">
        <v>47.794</v>
      </c>
      <c r="BE4" s="85" t="n">
        <v>48.151</v>
      </c>
      <c r="BF4" s="85" t="n">
        <v>48.626</v>
      </c>
      <c r="BG4" s="85" t="n">
        <v>49.063</v>
      </c>
      <c r="BH4" s="85" t="n">
        <v>49.506</v>
      </c>
      <c r="BI4" s="85" t="n">
        <v>49.852</v>
      </c>
      <c r="BJ4" s="85" t="n">
        <v>50.363</v>
      </c>
      <c r="BK4" s="85" t="n">
        <v>50.66</v>
      </c>
      <c r="BL4" s="85" t="n">
        <v>50.997</v>
      </c>
      <c r="BM4" s="85" t="n">
        <v>51.262</v>
      </c>
      <c r="BN4" s="85" t="n">
        <v>51.515</v>
      </c>
      <c r="BO4" s="85" t="n">
        <v>51.695</v>
      </c>
      <c r="BP4" s="85" t="n">
        <v>51.941</v>
      </c>
      <c r="BQ4" s="85" t="n">
        <v>52.25</v>
      </c>
      <c r="BR4" s="85" t="n">
        <v>52.554</v>
      </c>
      <c r="BS4" s="85" t="n">
        <v>52.911</v>
      </c>
      <c r="BT4" s="85" t="n">
        <v>53.32</v>
      </c>
      <c r="BU4" s="85" t="n">
        <v>53.72</v>
      </c>
      <c r="BV4" s="85" t="n">
        <v>54.135</v>
      </c>
      <c r="BW4" s="85" t="n">
        <v>54.676</v>
      </c>
      <c r="BX4" s="85" t="n">
        <v>55.345</v>
      </c>
      <c r="BY4" s="85" t="n">
        <v>55.854</v>
      </c>
      <c r="BZ4" s="85" t="n">
        <v>56.392</v>
      </c>
      <c r="CA4" s="85" t="n">
        <v>57.002</v>
      </c>
      <c r="CB4" s="85" t="n">
        <v>57.425</v>
      </c>
      <c r="CC4" s="85" t="n">
        <v>57.817</v>
      </c>
      <c r="CD4" s="85" t="n">
        <v>58.447</v>
      </c>
      <c r="CE4" s="85" t="n">
        <v>59.101</v>
      </c>
      <c r="CF4" s="85" t="n">
        <v>59.612</v>
      </c>
      <c r="CG4" s="85" t="n">
        <v>60.067</v>
      </c>
      <c r="CH4" s="85" t="n">
        <v>60.651</v>
      </c>
      <c r="CI4" s="85" t="n">
        <v>61.088</v>
      </c>
      <c r="CJ4" s="85" t="n">
        <v>61.557</v>
      </c>
      <c r="CK4" s="85" t="n">
        <v>61.915</v>
      </c>
      <c r="CL4" s="85" t="n">
        <v>62.162</v>
      </c>
      <c r="CM4" s="85" t="n">
        <v>62.533</v>
      </c>
      <c r="CN4" s="85" t="n">
        <v>62.833</v>
      </c>
      <c r="CO4" s="85" t="n">
        <v>63.275</v>
      </c>
      <c r="CP4" s="85" t="n">
        <v>63.652</v>
      </c>
      <c r="CQ4" s="85" t="n">
        <v>64.027</v>
      </c>
      <c r="CR4" s="85" t="n">
        <v>64.349</v>
      </c>
      <c r="CS4" s="85" t="n">
        <v>64.727</v>
      </c>
      <c r="CT4" s="85" t="n">
        <v>65.058</v>
      </c>
      <c r="CU4" s="85" t="n">
        <v>65.369</v>
      </c>
      <c r="CV4" s="85" t="n">
        <v>65.717</v>
      </c>
      <c r="CW4" s="85" t="n">
        <v>66.083</v>
      </c>
      <c r="CX4" s="85" t="n">
        <v>66.46</v>
      </c>
      <c r="CY4" s="85" t="n">
        <v>66.785</v>
      </c>
      <c r="CZ4" s="85" t="n">
        <v>67.084</v>
      </c>
      <c r="DA4" s="85" t="n">
        <v>67.401</v>
      </c>
      <c r="DB4" s="85" t="n">
        <v>67.712</v>
      </c>
      <c r="DC4" s="85" t="n">
        <v>67.988</v>
      </c>
      <c r="DD4" s="85" t="n">
        <v>68.318</v>
      </c>
      <c r="DE4" s="85" t="n">
        <v>68.607</v>
      </c>
      <c r="DF4" s="85" t="n">
        <v>68.915</v>
      </c>
      <c r="DG4" s="85" t="n">
        <v>69.258</v>
      </c>
      <c r="DH4" s="85" t="n">
        <v>69.464</v>
      </c>
      <c r="DI4" s="85" t="n">
        <v>69.713</v>
      </c>
      <c r="DJ4" s="85" t="n">
        <v>69.783</v>
      </c>
      <c r="DK4" s="85" t="n">
        <v>69.964</v>
      </c>
      <c r="DL4" s="85" t="n">
        <v>70.235</v>
      </c>
      <c r="DM4" s="85" t="n">
        <v>70.424</v>
      </c>
      <c r="DN4" s="85" t="n">
        <v>70.615</v>
      </c>
      <c r="DO4" s="85" t="n">
        <v>70.934</v>
      </c>
      <c r="DP4" s="85" t="n">
        <v>71.207</v>
      </c>
      <c r="DQ4" s="85" t="n">
        <v>71.581</v>
      </c>
      <c r="DR4" s="85" t="n">
        <v>72.058</v>
      </c>
      <c r="DS4" s="85" t="n">
        <v>72.491</v>
      </c>
      <c r="DT4" s="85" t="n">
        <v>72.945</v>
      </c>
      <c r="DU4" s="85" t="n">
        <v>73.341</v>
      </c>
      <c r="DV4" s="85" t="n">
        <v>73.843</v>
      </c>
      <c r="DW4" s="85" t="n">
        <v>74.335</v>
      </c>
      <c r="DX4" s="85" t="n">
        <v>74.56</v>
      </c>
      <c r="DY4" s="85" t="n">
        <v>74.801</v>
      </c>
      <c r="DZ4" s="85" t="n">
        <v>74.998</v>
      </c>
      <c r="EA4" s="85" t="n">
        <v>75.295</v>
      </c>
      <c r="EB4" s="85" t="n">
        <v>75.633</v>
      </c>
      <c r="EC4" s="85" t="n">
        <v>76.073</v>
      </c>
      <c r="ED4" s="85" t="n">
        <v>76.482</v>
      </c>
      <c r="EE4" s="85" t="n">
        <v>76.746</v>
      </c>
      <c r="EF4" s="85" t="n">
        <v>77.185</v>
      </c>
      <c r="EG4" s="85" t="n">
        <v>77.633</v>
      </c>
      <c r="EH4" s="85" t="n">
        <v>78.191</v>
      </c>
      <c r="EI4" s="85" t="n">
        <v>78.825</v>
      </c>
      <c r="EJ4" s="85" t="n">
        <v>79.323</v>
      </c>
      <c r="EK4" s="85" t="n">
        <v>79.936</v>
      </c>
      <c r="EL4" s="85" t="n">
        <v>80.55</v>
      </c>
      <c r="EM4" s="85" t="n">
        <v>81.137</v>
      </c>
      <c r="EN4" s="85" t="n">
        <v>81.905</v>
      </c>
      <c r="EO4" s="85" t="n">
        <v>82.557</v>
      </c>
      <c r="EP4" s="85" t="n">
        <v>83.135</v>
      </c>
      <c r="EQ4" s="85" t="n">
        <v>83.871</v>
      </c>
      <c r="ER4" s="85" t="n">
        <v>84.486</v>
      </c>
      <c r="ES4" s="85" t="n">
        <v>84.806</v>
      </c>
      <c r="ET4" s="85" t="n">
        <v>85.655</v>
      </c>
      <c r="EU4" s="85" t="n">
        <v>86.201</v>
      </c>
      <c r="EV4" s="85" t="n">
        <v>86.568</v>
      </c>
      <c r="EW4" s="85" t="n">
        <v>86.982</v>
      </c>
      <c r="EX4" s="85" t="n">
        <v>87.359</v>
      </c>
      <c r="EY4" s="85" t="n">
        <v>87.678</v>
      </c>
      <c r="EZ4" s="85" t="n">
        <v>88.361</v>
      </c>
      <c r="FA4" s="85" t="n">
        <v>88.511</v>
      </c>
      <c r="FB4" s="85" t="n">
        <v>88.536</v>
      </c>
      <c r="FC4" s="85" t="n">
        <v>88.418</v>
      </c>
      <c r="FD4" s="85" t="n">
        <v>88.474</v>
      </c>
      <c r="FE4" s="85" t="n">
        <v>88.798</v>
      </c>
      <c r="FF4" s="85" t="n">
        <v>89.018</v>
      </c>
      <c r="FG4" s="85" t="n">
        <v>89.431</v>
      </c>
      <c r="FH4" s="85" t="n">
        <v>89.755</v>
      </c>
      <c r="FI4" s="85" t="n">
        <v>90.27</v>
      </c>
      <c r="FJ4" s="85" t="n">
        <v>90.71</v>
      </c>
      <c r="FK4" s="85" t="n">
        <v>91.363</v>
      </c>
      <c r="FL4" s="85" t="n">
        <v>91.84</v>
      </c>
      <c r="FM4" s="85" t="n">
        <v>91.951</v>
      </c>
      <c r="FN4" s="85" t="n">
        <v>92.495</v>
      </c>
      <c r="FO4" s="85" t="n">
        <v>92.881</v>
      </c>
      <c r="FP4" s="85" t="n">
        <v>93.459</v>
      </c>
      <c r="FQ4" s="85" t="n">
        <v>93.869</v>
      </c>
      <c r="FR4" s="85" t="n">
        <v>94.204</v>
      </c>
      <c r="FS4" s="85" t="n">
        <v>94.474</v>
      </c>
      <c r="FT4" s="85" t="n">
        <v>94.989</v>
      </c>
      <c r="FU4" s="85" t="n">
        <v>95.477</v>
      </c>
      <c r="FV4" s="85" t="n">
        <v>95.84</v>
      </c>
      <c r="FW4" s="85" t="n">
        <v>96.343</v>
      </c>
      <c r="FX4" s="85" t="n">
        <v>96.762</v>
      </c>
      <c r="FY4" s="85" t="n">
        <v>96.8</v>
      </c>
      <c r="FZ4" s="85" t="n">
        <v>96.742</v>
      </c>
      <c r="GA4" s="85" t="n">
        <v>97.302</v>
      </c>
      <c r="GB4" s="85" t="n">
        <v>97.536</v>
      </c>
      <c r="GC4" s="85" t="n">
        <v>97.527</v>
      </c>
      <c r="GD4" s="85" t="n">
        <v>97.468</v>
      </c>
      <c r="GE4" s="85" t="n">
        <v>98.108</v>
      </c>
      <c r="GF4" s="85" t="n">
        <v>98.372</v>
      </c>
      <c r="GG4" s="85" t="n">
        <v>98.884</v>
      </c>
      <c r="GH4" s="85" t="n">
        <v>99.389</v>
      </c>
      <c r="GI4" s="85" t="n">
        <v>99.656</v>
      </c>
      <c r="GJ4" s="85" t="n">
        <v>100.174</v>
      </c>
      <c r="GK4" s="85" t="n">
        <v>100.78</v>
      </c>
      <c r="GL4" s="85" t="n">
        <v>101.428</v>
      </c>
      <c r="GM4" s="85" t="n">
        <v>102.14</v>
      </c>
      <c r="GN4" s="85" t="n">
        <v>102.586</v>
      </c>
      <c r="GO4" s="85" t="n">
        <v>103.005</v>
      </c>
      <c r="GP4" s="85" t="n">
        <v>103.332</v>
      </c>
      <c r="GQ4" s="85" t="n">
        <v>103.855</v>
      </c>
      <c r="GR4" s="85" t="n">
        <v>104.196</v>
      </c>
      <c r="GS4" s="85" t="n">
        <v>104.543</v>
      </c>
      <c r="GT4" s="85" t="n">
        <v>105.001</v>
      </c>
      <c r="GU4" s="85" t="n">
        <v>104.651</v>
      </c>
      <c r="GV4" s="85" t="n">
        <v>105.574</v>
      </c>
      <c r="GW4" s="85" t="n">
        <v>106.293</v>
      </c>
      <c r="GX4" s="85" t="n">
        <v>107.645</v>
      </c>
      <c r="GY4" s="85" t="n">
        <v>109.278</v>
      </c>
      <c r="GZ4" s="85" t="n">
        <v>110.931</v>
      </c>
      <c r="HA4" s="85" t="n">
        <v>112.836</v>
      </c>
      <c r="HB4" s="85" t="n">
        <v>115.16</v>
      </c>
      <c r="HC4" t="n">
        <v>117.76</v>
      </c>
      <c r="HD4" t="n">
        <v>119.073</v>
      </c>
      <c r="HE4" t="n">
        <v>120.173</v>
      </c>
      <c r="HF4" t="n">
        <v>121.247</v>
      </c>
      <c r="HG4" t="n">
        <v>121.809</v>
      </c>
      <c r="HH4" t="n">
        <v>122.785</v>
      </c>
      <c r="HI4" t="n">
        <v>123.247</v>
      </c>
      <c r="HJ4" t="n">
        <v>124.168</v>
      </c>
      <c r="HK4" t="n">
        <v>124.942</v>
      </c>
    </row>
    <row r="5">
      <c r="A5" s="85" t="s">
        <v>2513</v>
      </c>
      <c r="B5" s="85" t="n">
        <v>631.7</v>
      </c>
      <c r="C5" s="85" t="n">
        <v>641.6</v>
      </c>
      <c r="D5" s="85" t="n">
        <v>653.5</v>
      </c>
      <c r="E5" s="85" t="n">
        <v>660.2</v>
      </c>
      <c r="F5" s="85" t="n">
        <v>679.2</v>
      </c>
      <c r="G5" s="85" t="n">
        <v>693.2</v>
      </c>
      <c r="H5" s="85" t="n">
        <v>705.6</v>
      </c>
      <c r="I5" s="85" t="n">
        <v>721.7</v>
      </c>
      <c r="J5" s="85" t="n">
        <v>738.9</v>
      </c>
      <c r="K5" s="85" t="n">
        <v>757.4</v>
      </c>
      <c r="L5" s="85" t="n">
        <v>775.8</v>
      </c>
      <c r="M5" s="85" t="n">
        <v>800.5</v>
      </c>
      <c r="N5" s="85" t="n">
        <v>825</v>
      </c>
      <c r="O5" s="85" t="n">
        <v>840.5</v>
      </c>
      <c r="P5" s="85" t="n">
        <v>858.9</v>
      </c>
      <c r="Q5" s="85" t="n">
        <v>873.9</v>
      </c>
      <c r="R5" s="85" t="n">
        <v>891.9</v>
      </c>
      <c r="S5" s="85" t="n">
        <v>920.4</v>
      </c>
      <c r="T5" s="85" t="n">
        <v>949.3</v>
      </c>
      <c r="U5" s="85" t="n">
        <v>959.1</v>
      </c>
      <c r="V5" s="85" t="n">
        <v>985.2</v>
      </c>
      <c r="W5" s="85" t="n">
        <v>1013.6</v>
      </c>
      <c r="X5" s="85" t="n">
        <v>1047.2</v>
      </c>
      <c r="Y5" s="85" t="n">
        <v>1076.2</v>
      </c>
      <c r="Z5" s="85" t="n">
        <v>1109.9</v>
      </c>
      <c r="AA5" s="85" t="n">
        <v>1129.5</v>
      </c>
      <c r="AB5" s="85" t="n">
        <v>1158.8</v>
      </c>
      <c r="AC5" s="85" t="n">
        <v>1192.4</v>
      </c>
      <c r="AD5" s="85" t="n">
        <v>1228.2</v>
      </c>
      <c r="AE5" s="85" t="n">
        <v>1256</v>
      </c>
      <c r="AF5" s="85" t="n">
        <v>1286.9</v>
      </c>
      <c r="AG5" s="85" t="n">
        <v>1324.8</v>
      </c>
      <c r="AH5" s="85" t="n">
        <v>1354.1</v>
      </c>
      <c r="AI5" s="85" t="n">
        <v>1411.4</v>
      </c>
      <c r="AJ5" s="85" t="n">
        <v>1442.2</v>
      </c>
      <c r="AK5" s="85" t="n">
        <v>1481.4</v>
      </c>
      <c r="AL5" s="85" t="n">
        <v>1517.1</v>
      </c>
      <c r="AM5" s="85" t="n">
        <v>1557.6</v>
      </c>
      <c r="AN5" s="85" t="n">
        <v>1611.9</v>
      </c>
      <c r="AO5" s="85" t="n">
        <v>1655</v>
      </c>
      <c r="AP5" s="85" t="n">
        <v>1702.3</v>
      </c>
      <c r="AQ5" s="85" t="n">
        <v>1704.7</v>
      </c>
      <c r="AR5" s="85" t="n">
        <v>1763.8</v>
      </c>
      <c r="AS5" s="85" t="n">
        <v>1831.9</v>
      </c>
      <c r="AT5" s="85" t="n">
        <v>1885.7</v>
      </c>
      <c r="AU5" s="85" t="n">
        <v>1917.5</v>
      </c>
      <c r="AV5" s="85" t="n">
        <v>1958.1</v>
      </c>
      <c r="AW5" s="85" t="n">
        <v>1974.4</v>
      </c>
      <c r="AX5" s="85" t="n">
        <v>2014.2</v>
      </c>
      <c r="AY5" s="85" t="n">
        <v>2039.6</v>
      </c>
      <c r="AZ5" s="85" t="n">
        <v>2085.7</v>
      </c>
      <c r="BA5" s="85" t="n">
        <v>2145.6</v>
      </c>
      <c r="BB5" s="85" t="n">
        <v>2184.6</v>
      </c>
      <c r="BC5" s="85" t="n">
        <v>2249.4</v>
      </c>
      <c r="BD5" s="85" t="n">
        <v>2319.9</v>
      </c>
      <c r="BE5" s="85" t="n">
        <v>2372.5</v>
      </c>
      <c r="BF5" s="85" t="n">
        <v>2418.2</v>
      </c>
      <c r="BG5" s="85" t="n">
        <v>2475.9</v>
      </c>
      <c r="BH5" s="85" t="n">
        <v>2513.5</v>
      </c>
      <c r="BI5" s="85" t="n">
        <v>2561.8</v>
      </c>
      <c r="BJ5" s="85" t="n">
        <v>2636</v>
      </c>
      <c r="BK5" s="85" t="n">
        <v>2681.8</v>
      </c>
      <c r="BL5" s="85" t="n">
        <v>2754.1</v>
      </c>
      <c r="BM5" s="85" t="n">
        <v>2779.4</v>
      </c>
      <c r="BN5" s="85" t="n">
        <v>2823.6</v>
      </c>
      <c r="BO5" s="85" t="n">
        <v>2851.5</v>
      </c>
      <c r="BP5" s="85" t="n">
        <v>2917.2</v>
      </c>
      <c r="BQ5" s="85" t="n">
        <v>2952.8</v>
      </c>
      <c r="BR5" s="85" t="n">
        <v>2983.5</v>
      </c>
      <c r="BS5" s="85" t="n">
        <v>3053.3</v>
      </c>
      <c r="BT5" s="85" t="n">
        <v>3117.4</v>
      </c>
      <c r="BU5" s="85" t="n">
        <v>3150.9</v>
      </c>
      <c r="BV5" s="85" t="n">
        <v>3231.9</v>
      </c>
      <c r="BW5" s="85" t="n">
        <v>3291.7</v>
      </c>
      <c r="BX5" s="85" t="n">
        <v>3361.9</v>
      </c>
      <c r="BY5" s="85" t="n">
        <v>3434.5</v>
      </c>
      <c r="BZ5" s="85" t="n">
        <v>3490.2</v>
      </c>
      <c r="CA5" s="85" t="n">
        <v>3553.8</v>
      </c>
      <c r="CB5" s="85" t="n">
        <v>3609.4</v>
      </c>
      <c r="CC5" s="85" t="n">
        <v>3653.7</v>
      </c>
      <c r="CD5" s="85" t="n">
        <v>3737.9</v>
      </c>
      <c r="CE5" s="85" t="n">
        <v>3783.4</v>
      </c>
      <c r="CF5" s="85" t="n">
        <v>3846.7</v>
      </c>
      <c r="CG5" s="85" t="n">
        <v>3867.9</v>
      </c>
      <c r="CH5" s="85" t="n">
        <v>3873.6</v>
      </c>
      <c r="CI5" s="85" t="n">
        <v>3926.9</v>
      </c>
      <c r="CJ5" s="85" t="n">
        <v>3973.3</v>
      </c>
      <c r="CK5" s="85" t="n">
        <v>4000</v>
      </c>
      <c r="CL5" s="85" t="n">
        <v>4100.4</v>
      </c>
      <c r="CM5" s="85" t="n">
        <v>4155.7</v>
      </c>
      <c r="CN5" s="85" t="n">
        <v>4227</v>
      </c>
      <c r="CO5" s="85" t="n">
        <v>4307.2</v>
      </c>
      <c r="CP5" s="85" t="n">
        <v>4349.5</v>
      </c>
      <c r="CQ5" s="85" t="n">
        <v>4418.6</v>
      </c>
      <c r="CR5" s="85" t="n">
        <v>4487.2</v>
      </c>
      <c r="CS5" s="85" t="n">
        <v>4552.7</v>
      </c>
      <c r="CT5" s="85" t="n">
        <v>4621.2</v>
      </c>
      <c r="CU5" s="85" t="n">
        <v>4683.2</v>
      </c>
      <c r="CV5" s="85" t="n">
        <v>4752.8</v>
      </c>
      <c r="CW5" s="85" t="n">
        <v>4826.7</v>
      </c>
      <c r="CX5" s="85" t="n">
        <v>4862.4</v>
      </c>
      <c r="CY5" s="85" t="n">
        <v>4933.6</v>
      </c>
      <c r="CZ5" s="85" t="n">
        <v>4998.7</v>
      </c>
      <c r="DA5" s="85" t="n">
        <v>5055.7</v>
      </c>
      <c r="DB5" s="85" t="n">
        <v>5130.6</v>
      </c>
      <c r="DC5" s="85" t="n">
        <v>5220.5</v>
      </c>
      <c r="DD5" s="85" t="n">
        <v>5274.5</v>
      </c>
      <c r="DE5" s="85" t="n">
        <v>5352.8</v>
      </c>
      <c r="DF5" s="85" t="n">
        <v>5433.1</v>
      </c>
      <c r="DG5" s="85" t="n">
        <v>5471.3</v>
      </c>
      <c r="DH5" s="85" t="n">
        <v>5579.2</v>
      </c>
      <c r="DI5" s="85" t="n">
        <v>5663.6</v>
      </c>
      <c r="DJ5" s="85" t="n">
        <v>5721.3</v>
      </c>
      <c r="DK5" s="85" t="n">
        <v>5832.6</v>
      </c>
      <c r="DL5" s="85" t="n">
        <v>5926.8</v>
      </c>
      <c r="DM5" s="85" t="n">
        <v>6028.2</v>
      </c>
      <c r="DN5" s="85" t="n">
        <v>6102</v>
      </c>
      <c r="DO5" s="85" t="n">
        <v>6230.6</v>
      </c>
      <c r="DP5" s="85" t="n">
        <v>6335.3</v>
      </c>
      <c r="DQ5" s="85" t="n">
        <v>6467</v>
      </c>
      <c r="DR5" s="85" t="n">
        <v>6618.2</v>
      </c>
      <c r="DS5" s="85" t="n">
        <v>6711.9</v>
      </c>
      <c r="DT5" s="85" t="n">
        <v>6820</v>
      </c>
      <c r="DU5" s="85" t="n">
        <v>6918.6</v>
      </c>
      <c r="DV5" s="85" t="n">
        <v>6995.3</v>
      </c>
      <c r="DW5" s="85" t="n">
        <v>7042.3</v>
      </c>
      <c r="DX5" s="85" t="n">
        <v>7070.3</v>
      </c>
      <c r="DY5" s="85" t="n">
        <v>7187.3</v>
      </c>
      <c r="DZ5" s="85" t="n">
        <v>7217.7</v>
      </c>
      <c r="EA5" s="85" t="n">
        <v>7308</v>
      </c>
      <c r="EB5" s="85" t="n">
        <v>7397.1</v>
      </c>
      <c r="EC5" s="85" t="n">
        <v>7473</v>
      </c>
      <c r="ED5" s="85" t="n">
        <v>7567.2</v>
      </c>
      <c r="EE5" s="85" t="n">
        <v>7661.5</v>
      </c>
      <c r="EF5" s="85" t="n">
        <v>7820.9</v>
      </c>
      <c r="EG5" s="85" t="n">
        <v>7913.5</v>
      </c>
      <c r="EH5" s="85" t="n">
        <v>8048.8</v>
      </c>
      <c r="EI5" s="85" t="n">
        <v>8147.1</v>
      </c>
      <c r="EJ5" s="85" t="n">
        <v>8283.3</v>
      </c>
      <c r="EK5" s="85" t="n">
        <v>8448.6</v>
      </c>
      <c r="EL5" s="85" t="n">
        <v>8551.7</v>
      </c>
      <c r="EM5" s="85" t="n">
        <v>8701.1</v>
      </c>
      <c r="EN5" s="85" t="n">
        <v>8868.1</v>
      </c>
      <c r="EO5" s="85" t="n">
        <v>8955.3</v>
      </c>
      <c r="EP5" s="85" t="n">
        <v>9100.2</v>
      </c>
      <c r="EQ5" s="85" t="n">
        <v>9227.6</v>
      </c>
      <c r="ER5" s="85" t="n">
        <v>9353.8</v>
      </c>
      <c r="ES5" s="85" t="n">
        <v>9427.4</v>
      </c>
      <c r="ET5" s="85" t="n">
        <v>9572.1</v>
      </c>
      <c r="EU5" s="85" t="n">
        <v>9678.7</v>
      </c>
      <c r="EV5" s="85" t="n">
        <v>9798.4</v>
      </c>
      <c r="EW5" s="85" t="n">
        <v>9937.1</v>
      </c>
      <c r="EX5" s="85" t="n">
        <v>10004.4</v>
      </c>
      <c r="EY5" s="85" t="n">
        <v>10129.9</v>
      </c>
      <c r="EZ5" s="85" t="n">
        <v>10159.1</v>
      </c>
      <c r="FA5" s="85" t="n">
        <v>9906.9</v>
      </c>
      <c r="FB5" s="85" t="n">
        <v>9815</v>
      </c>
      <c r="FC5" s="85" t="n">
        <v>9805.5</v>
      </c>
      <c r="FD5" s="85" t="n">
        <v>9939.4</v>
      </c>
      <c r="FE5" s="85" t="n">
        <v>10005</v>
      </c>
      <c r="FF5" s="85" t="n">
        <v>10101.8</v>
      </c>
      <c r="FG5" s="85" t="n">
        <v>10208.1</v>
      </c>
      <c r="FH5" s="85" t="n">
        <v>10300.8</v>
      </c>
      <c r="FI5" s="85" t="n">
        <v>10430.3</v>
      </c>
      <c r="FJ5" s="85" t="n">
        <v>10558.2</v>
      </c>
      <c r="FK5" s="85" t="n">
        <v>10673</v>
      </c>
      <c r="FL5" s="85" t="n">
        <v>10755</v>
      </c>
      <c r="FM5" s="85" t="n">
        <v>10809.2</v>
      </c>
      <c r="FN5" s="85" t="n">
        <v>10959.3</v>
      </c>
      <c r="FO5" s="85" t="n">
        <v>11005.1</v>
      </c>
      <c r="FP5" s="85" t="n">
        <v>11059.4</v>
      </c>
      <c r="FQ5" s="85" t="n">
        <v>11165.7</v>
      </c>
      <c r="FR5" s="85" t="n">
        <v>11277.7</v>
      </c>
      <c r="FS5" s="85" t="n">
        <v>11315.7</v>
      </c>
      <c r="FT5" s="85" t="n">
        <v>11408.4</v>
      </c>
      <c r="FU5" s="85" t="n">
        <v>11551.2</v>
      </c>
      <c r="FV5" s="85" t="n">
        <v>11646</v>
      </c>
      <c r="FW5" s="85" t="n">
        <v>11810.5</v>
      </c>
      <c r="FX5" s="85" t="n">
        <v>11959.8</v>
      </c>
      <c r="FY5" s="85" t="n">
        <v>12081.6</v>
      </c>
      <c r="FZ5" s="85" t="n">
        <v>12119.8</v>
      </c>
      <c r="GA5" s="85" t="n">
        <v>12264.1</v>
      </c>
      <c r="GB5" s="85" t="n">
        <v>12382.5</v>
      </c>
      <c r="GC5" s="85" t="n">
        <v>12423.4</v>
      </c>
      <c r="GD5" s="85" t="n">
        <v>12523.2</v>
      </c>
      <c r="GE5" s="85" t="n">
        <v>12665.1</v>
      </c>
      <c r="GF5" s="85" t="n">
        <v>12797.1</v>
      </c>
      <c r="GG5" s="85" t="n">
        <v>12922</v>
      </c>
      <c r="GH5" s="85" t="n">
        <v>13097.3</v>
      </c>
      <c r="GI5" s="85" t="n">
        <v>13188.7</v>
      </c>
      <c r="GJ5" s="85" t="n">
        <v>13325.1</v>
      </c>
      <c r="GK5" s="85" t="n">
        <v>13551.4</v>
      </c>
      <c r="GL5" s="85" t="n">
        <v>13745.1</v>
      </c>
      <c r="GM5" s="85" t="n">
        <v>13891.3</v>
      </c>
      <c r="GN5" s="85" t="n">
        <v>14002.2</v>
      </c>
      <c r="GO5" s="85" t="n">
        <v>14099.2</v>
      </c>
      <c r="GP5" s="85" t="n">
        <v>14150.2</v>
      </c>
      <c r="GQ5" s="85" t="n">
        <v>14350.7</v>
      </c>
      <c r="GR5" s="85" t="n">
        <v>14548.3</v>
      </c>
      <c r="GS5" s="85" t="n">
        <v>14701</v>
      </c>
      <c r="GT5" s="85" t="n">
        <v>14496.2</v>
      </c>
      <c r="GU5" s="85" t="n">
        <v>13175.6</v>
      </c>
      <c r="GV5" s="85" t="n">
        <v>14478</v>
      </c>
      <c r="GW5" s="85" t="n">
        <v>14752.7</v>
      </c>
      <c r="GX5" s="85" t="n">
        <v>15259.4</v>
      </c>
      <c r="GY5" s="85" t="n">
        <v>16016.3</v>
      </c>
      <c r="GZ5" s="85" t="n">
        <v>16363.9</v>
      </c>
      <c r="HA5" s="85" t="n">
        <v>16816.1</v>
      </c>
      <c r="HB5" s="85" t="n">
        <v>17175.1</v>
      </c>
      <c r="HC5" t="n">
        <v>17603.8</v>
      </c>
      <c r="HD5" t="n">
        <v>17876.2</v>
      </c>
      <c r="HE5" t="n">
        <v>18108.3</v>
      </c>
      <c r="HF5" t="n">
        <v>18506.2</v>
      </c>
      <c r="HG5" t="n">
        <v>18685.7</v>
      </c>
      <c r="HH5" t="n">
        <v>18929</v>
      </c>
      <c r="HI5" t="n">
        <v>19170.2</v>
      </c>
      <c r="HJ5" t="n">
        <v>19424.8</v>
      </c>
      <c r="HK5" t="n">
        <v>19682.7</v>
      </c>
    </row>
    <row r="6">
      <c r="A6" s="85" t="s">
        <v>2514</v>
      </c>
      <c r="B6" s="85" t="n">
        <v>3248.9</v>
      </c>
      <c r="C6" s="85" t="n">
        <v>3263.6</v>
      </c>
      <c r="D6" s="85" t="n">
        <v>3292.2</v>
      </c>
      <c r="E6" s="85" t="n">
        <v>3283.2</v>
      </c>
      <c r="F6" s="85" t="n">
        <v>3346.3</v>
      </c>
      <c r="G6" s="85" t="n">
        <v>3377</v>
      </c>
      <c r="H6" s="85" t="n">
        <v>3403.9</v>
      </c>
      <c r="I6" s="85" t="n">
        <v>3460.4</v>
      </c>
      <c r="J6" s="85" t="n">
        <v>3506.1</v>
      </c>
      <c r="K6" s="85" t="n">
        <v>3572.8</v>
      </c>
      <c r="L6" s="85" t="n">
        <v>3627.9</v>
      </c>
      <c r="M6" s="85" t="n">
        <v>3713</v>
      </c>
      <c r="N6" s="85" t="n">
        <v>3780.8</v>
      </c>
      <c r="O6" s="85" t="n">
        <v>3779.1</v>
      </c>
      <c r="P6" s="85" t="n">
        <v>3792.4</v>
      </c>
      <c r="Q6" s="85" t="n">
        <v>3781.1</v>
      </c>
      <c r="R6" s="85" t="n">
        <v>3747.3</v>
      </c>
      <c r="S6" s="85" t="n">
        <v>3760.8</v>
      </c>
      <c r="T6" s="85" t="n">
        <v>3776.9</v>
      </c>
      <c r="U6" s="85" t="n">
        <v>3721.7</v>
      </c>
      <c r="V6" s="85" t="n">
        <v>3752.9</v>
      </c>
      <c r="W6" s="85" t="n">
        <v>3814.7</v>
      </c>
      <c r="X6" s="85" t="n">
        <v>3868.9</v>
      </c>
      <c r="Y6" s="85" t="n">
        <v>3910.5</v>
      </c>
      <c r="Z6" s="85" t="n">
        <v>3988.7</v>
      </c>
      <c r="AA6" s="85" t="n">
        <v>4025.4</v>
      </c>
      <c r="AB6" s="85" t="n">
        <v>4067.8</v>
      </c>
      <c r="AC6" s="85" t="n">
        <v>4120.5</v>
      </c>
      <c r="AD6" s="85" t="n">
        <v>4169.1</v>
      </c>
      <c r="AE6" s="85" t="n">
        <v>4191.7</v>
      </c>
      <c r="AF6" s="85" t="n">
        <v>4231.3</v>
      </c>
      <c r="AG6" s="85" t="n">
        <v>4295</v>
      </c>
      <c r="AH6" s="85" t="n">
        <v>4319.1</v>
      </c>
      <c r="AI6" s="85" t="n">
        <v>4411.4</v>
      </c>
      <c r="AJ6" s="85" t="n">
        <v>4430</v>
      </c>
      <c r="AK6" s="85" t="n">
        <v>4465.7</v>
      </c>
      <c r="AL6" s="85" t="n">
        <v>4488.8</v>
      </c>
      <c r="AM6" s="85" t="n">
        <v>4485.9</v>
      </c>
      <c r="AN6" s="85" t="n">
        <v>4529.6</v>
      </c>
      <c r="AO6" s="85" t="n">
        <v>4540.8</v>
      </c>
      <c r="AP6" s="85" t="n">
        <v>4534.3</v>
      </c>
      <c r="AQ6" s="85" t="n">
        <v>4432.2</v>
      </c>
      <c r="AR6" s="85" t="n">
        <v>4480.8</v>
      </c>
      <c r="AS6" s="85" t="n">
        <v>4541.4</v>
      </c>
      <c r="AT6" s="85" t="n">
        <v>4556.6</v>
      </c>
      <c r="AU6" s="85" t="n">
        <v>4556.9</v>
      </c>
      <c r="AV6" s="85" t="n">
        <v>4578</v>
      </c>
      <c r="AW6" s="85" t="n">
        <v>4546.7</v>
      </c>
      <c r="AX6" s="85" t="n">
        <v>4580.2</v>
      </c>
      <c r="AY6" s="85" t="n">
        <v>4594.1</v>
      </c>
      <c r="AZ6" s="85" t="n">
        <v>4624.9</v>
      </c>
      <c r="BA6" s="85" t="n">
        <v>4706</v>
      </c>
      <c r="BB6" s="85" t="n">
        <v>4752.5</v>
      </c>
      <c r="BC6" s="85" t="n">
        <v>4849.3</v>
      </c>
      <c r="BD6" s="85" t="n">
        <v>4936.2</v>
      </c>
      <c r="BE6" s="85" t="n">
        <v>5014.9</v>
      </c>
      <c r="BF6" s="85" t="n">
        <v>5056.5</v>
      </c>
      <c r="BG6" s="85" t="n">
        <v>5127.3</v>
      </c>
      <c r="BH6" s="85" t="n">
        <v>5165.4</v>
      </c>
      <c r="BI6" s="85" t="n">
        <v>5232.3</v>
      </c>
      <c r="BJ6" s="85" t="n">
        <v>5321.2</v>
      </c>
      <c r="BK6" s="85" t="n">
        <v>5370</v>
      </c>
      <c r="BL6" s="85" t="n">
        <v>5472</v>
      </c>
      <c r="BM6" s="85" t="n">
        <v>5483.9</v>
      </c>
      <c r="BN6" s="85" t="n">
        <v>5531.8</v>
      </c>
      <c r="BO6" s="85" t="n">
        <v>5592.1</v>
      </c>
      <c r="BP6" s="85" t="n">
        <v>5691</v>
      </c>
      <c r="BQ6" s="85" t="n">
        <v>5725.8</v>
      </c>
      <c r="BR6" s="85" t="n">
        <v>5731.2</v>
      </c>
      <c r="BS6" s="85" t="n">
        <v>5809.4</v>
      </c>
      <c r="BT6" s="85" t="n">
        <v>5875.6</v>
      </c>
      <c r="BU6" s="85" t="n">
        <v>5888.1</v>
      </c>
      <c r="BV6" s="85" t="n">
        <v>5992.1</v>
      </c>
      <c r="BW6" s="85" t="n">
        <v>6036.4</v>
      </c>
      <c r="BX6" s="85" t="n">
        <v>6090</v>
      </c>
      <c r="BY6" s="85" t="n">
        <v>6159.2</v>
      </c>
      <c r="BZ6" s="85" t="n">
        <v>6187.8</v>
      </c>
      <c r="CA6" s="85" t="n">
        <v>6216.7</v>
      </c>
      <c r="CB6" s="85" t="n">
        <v>6276.9</v>
      </c>
      <c r="CC6" s="85" t="n">
        <v>6304.2</v>
      </c>
      <c r="CD6" s="85" t="n">
        <v>6357.2</v>
      </c>
      <c r="CE6" s="85" t="n">
        <v>6376.6</v>
      </c>
      <c r="CF6" s="85" t="n">
        <v>6401.8</v>
      </c>
      <c r="CG6" s="85" t="n">
        <v>6353.1</v>
      </c>
      <c r="CH6" s="85" t="n">
        <v>6329.2</v>
      </c>
      <c r="CI6" s="85" t="n">
        <v>6381.7</v>
      </c>
      <c r="CJ6" s="85" t="n">
        <v>6413.5</v>
      </c>
      <c r="CK6" s="85" t="n">
        <v>6410.3</v>
      </c>
      <c r="CL6" s="85" t="n">
        <v>6530.3</v>
      </c>
      <c r="CM6" s="85" t="n">
        <v>6574.7</v>
      </c>
      <c r="CN6" s="85" t="n">
        <v>6645.1</v>
      </c>
      <c r="CO6" s="85" t="n">
        <v>6724.3</v>
      </c>
      <c r="CP6" s="85" t="n">
        <v>6750.1</v>
      </c>
      <c r="CQ6" s="85" t="n">
        <v>6811.5</v>
      </c>
      <c r="CR6" s="85" t="n">
        <v>6887.3</v>
      </c>
      <c r="CS6" s="85" t="n">
        <v>6947.8</v>
      </c>
      <c r="CT6" s="85" t="n">
        <v>7027.3</v>
      </c>
      <c r="CU6" s="85" t="n">
        <v>7081.9</v>
      </c>
      <c r="CV6" s="85" t="n">
        <v>7135.9</v>
      </c>
      <c r="CW6" s="85" t="n">
        <v>7213.1</v>
      </c>
      <c r="CX6" s="85" t="n">
        <v>7231</v>
      </c>
      <c r="CY6" s="85" t="n">
        <v>7294.4</v>
      </c>
      <c r="CZ6" s="85" t="n">
        <v>7360.5</v>
      </c>
      <c r="DA6" s="85" t="n">
        <v>7411.9</v>
      </c>
      <c r="DB6" s="85" t="n">
        <v>7480.2</v>
      </c>
      <c r="DC6" s="85" t="n">
        <v>7560.7</v>
      </c>
      <c r="DD6" s="85" t="n">
        <v>7606.5</v>
      </c>
      <c r="DE6" s="85" t="n">
        <v>7667.1</v>
      </c>
      <c r="DF6" s="85" t="n">
        <v>7747.9</v>
      </c>
      <c r="DG6" s="85" t="n">
        <v>7782.8</v>
      </c>
      <c r="DH6" s="85" t="n">
        <v>7915.4</v>
      </c>
      <c r="DI6" s="85" t="n">
        <v>8010</v>
      </c>
      <c r="DJ6" s="85" t="n">
        <v>8091</v>
      </c>
      <c r="DK6" s="85" t="n">
        <v>8233.5</v>
      </c>
      <c r="DL6" s="85" t="n">
        <v>8340.8</v>
      </c>
      <c r="DM6" s="85" t="n">
        <v>8461.3</v>
      </c>
      <c r="DN6" s="85" t="n">
        <v>8548.2</v>
      </c>
      <c r="DO6" s="85" t="n">
        <v>8679.1</v>
      </c>
      <c r="DP6" s="85" t="n">
        <v>8776.7</v>
      </c>
      <c r="DQ6" s="85" t="n">
        <v>8905.1</v>
      </c>
      <c r="DR6" s="85" t="n">
        <v>9039.7</v>
      </c>
      <c r="DS6" s="85" t="n">
        <v>9124.2</v>
      </c>
      <c r="DT6" s="85" t="n">
        <v>9211.6</v>
      </c>
      <c r="DU6" s="85" t="n">
        <v>9292.1</v>
      </c>
      <c r="DV6" s="85" t="n">
        <v>9325.8</v>
      </c>
      <c r="DW6" s="85" t="n">
        <v>9344.5</v>
      </c>
      <c r="DX6" s="85" t="n">
        <v>9377</v>
      </c>
      <c r="DY6" s="85" t="n">
        <v>9528.3</v>
      </c>
      <c r="DZ6" s="85" t="n">
        <v>9549.5</v>
      </c>
      <c r="EA6" s="85" t="n">
        <v>9597.8</v>
      </c>
      <c r="EB6" s="85" t="n">
        <v>9665</v>
      </c>
      <c r="EC6" s="85" t="n">
        <v>9718.7</v>
      </c>
      <c r="ED6" s="85" t="n">
        <v>9766.6</v>
      </c>
      <c r="EE6" s="85" t="n">
        <v>9878.4</v>
      </c>
      <c r="EF6" s="85" t="n">
        <v>10018.1</v>
      </c>
      <c r="EG6" s="85" t="n">
        <v>10087.1</v>
      </c>
      <c r="EH6" s="85" t="n">
        <v>10181.1</v>
      </c>
      <c r="EI6" s="85" t="n">
        <v>10236.7</v>
      </c>
      <c r="EJ6" s="85" t="n">
        <v>10356.9</v>
      </c>
      <c r="EK6" s="85" t="n">
        <v>10474.1</v>
      </c>
      <c r="EL6" s="85" t="n">
        <v>10540.6</v>
      </c>
      <c r="EM6" s="85" t="n">
        <v>10657.4</v>
      </c>
      <c r="EN6" s="85" t="n">
        <v>10745.9</v>
      </c>
      <c r="EO6" s="85" t="n">
        <v>10765.7</v>
      </c>
      <c r="EP6" s="85" t="n">
        <v>10883.1</v>
      </c>
      <c r="EQ6" s="85" t="n">
        <v>10939.5</v>
      </c>
      <c r="ER6" s="85" t="n">
        <v>11009.7</v>
      </c>
      <c r="ES6" s="85" t="n">
        <v>11114.8</v>
      </c>
      <c r="ET6" s="85" t="n">
        <v>11183.3</v>
      </c>
      <c r="EU6" s="85" t="n">
        <v>11212.7</v>
      </c>
      <c r="EV6" s="85" t="n">
        <v>11287.5</v>
      </c>
      <c r="EW6" s="85" t="n">
        <v>11331.9</v>
      </c>
      <c r="EX6" s="85" t="n">
        <v>11316.4</v>
      </c>
      <c r="EY6" s="85" t="n">
        <v>11347.6</v>
      </c>
      <c r="EZ6" s="85" t="n">
        <v>11260.1</v>
      </c>
      <c r="FA6" s="85" t="n">
        <v>11158.8</v>
      </c>
      <c r="FB6" s="85" t="n">
        <v>11130.5</v>
      </c>
      <c r="FC6" s="85" t="n">
        <v>11075.7</v>
      </c>
      <c r="FD6" s="85" t="n">
        <v>11150.2</v>
      </c>
      <c r="FE6" s="85" t="n">
        <v>11137.9</v>
      </c>
      <c r="FF6" s="85" t="n">
        <v>11202.5</v>
      </c>
      <c r="FG6" s="85" t="n">
        <v>11303</v>
      </c>
      <c r="FH6" s="85" t="n">
        <v>11383.6</v>
      </c>
      <c r="FI6" s="85" t="n">
        <v>11453.4</v>
      </c>
      <c r="FJ6" s="85" t="n">
        <v>11497.1</v>
      </c>
      <c r="FK6" s="85" t="n">
        <v>11509</v>
      </c>
      <c r="FL6" s="85" t="n">
        <v>11544</v>
      </c>
      <c r="FM6" s="85" t="n">
        <v>11563.9</v>
      </c>
      <c r="FN6" s="85" t="n">
        <v>11647.3</v>
      </c>
      <c r="FO6" s="85" t="n">
        <v>11667.8</v>
      </c>
      <c r="FP6" s="85" t="n">
        <v>11691.4</v>
      </c>
      <c r="FQ6" s="85" t="n">
        <v>11738</v>
      </c>
      <c r="FR6" s="85" t="n">
        <v>11814.3</v>
      </c>
      <c r="FS6" s="85" t="n">
        <v>11848.1</v>
      </c>
      <c r="FT6" s="85" t="n">
        <v>11896.3</v>
      </c>
      <c r="FU6" s="85" t="n">
        <v>12001</v>
      </c>
      <c r="FV6" s="85" t="n">
        <v>12044.2</v>
      </c>
      <c r="FW6" s="85" t="n">
        <v>12159.9</v>
      </c>
      <c r="FX6" s="85" t="n">
        <v>12280.1</v>
      </c>
      <c r="FY6" s="85" t="n">
        <v>12421.6</v>
      </c>
      <c r="FZ6" s="85" t="n">
        <v>12516.9</v>
      </c>
      <c r="GA6" s="85" t="n">
        <v>12603.1</v>
      </c>
      <c r="GB6" s="85" t="n">
        <v>12691.8</v>
      </c>
      <c r="GC6" s="85" t="n">
        <v>12743.4</v>
      </c>
      <c r="GD6" s="85" t="n">
        <v>12839.6</v>
      </c>
      <c r="GE6" s="85" t="n">
        <v>12903.3</v>
      </c>
      <c r="GF6" s="85" t="n">
        <v>12993.1</v>
      </c>
      <c r="GG6" s="85" t="n">
        <v>13060.1</v>
      </c>
      <c r="GH6" s="85" t="n">
        <v>13160.5</v>
      </c>
      <c r="GI6" s="85" t="n">
        <v>13225.7</v>
      </c>
      <c r="GJ6" s="85" t="n">
        <v>13315.4</v>
      </c>
      <c r="GK6" s="85" t="n">
        <v>13460.9</v>
      </c>
      <c r="GL6" s="85" t="n">
        <v>13558.4</v>
      </c>
      <c r="GM6" s="85" t="n">
        <v>13631</v>
      </c>
      <c r="GN6" s="85" t="n">
        <v>13693.8</v>
      </c>
      <c r="GO6" s="85" t="n">
        <v>13736.6</v>
      </c>
      <c r="GP6" s="85" t="n">
        <v>13758.3</v>
      </c>
      <c r="GQ6" s="85" t="n">
        <v>13875.7</v>
      </c>
      <c r="GR6" s="85" t="n">
        <v>14033.2</v>
      </c>
      <c r="GS6" s="85" t="n">
        <v>14125.3</v>
      </c>
      <c r="GT6" s="85" t="n">
        <v>13885.9</v>
      </c>
      <c r="GU6" s="85" t="n">
        <v>12671.9</v>
      </c>
      <c r="GV6" s="85" t="n">
        <v>13813</v>
      </c>
      <c r="GW6" s="85" t="n">
        <v>14008.1</v>
      </c>
      <c r="GX6" s="85" t="n">
        <v>14328.6</v>
      </c>
      <c r="GY6" s="85" t="n">
        <v>14809.1</v>
      </c>
      <c r="GZ6" s="85" t="n">
        <v>14924.3</v>
      </c>
      <c r="HA6" s="85" t="n">
        <v>15086.9</v>
      </c>
      <c r="HB6" s="85" t="n">
        <v>15123.4</v>
      </c>
      <c r="HC6" t="n">
        <v>15219.9</v>
      </c>
      <c r="HD6" t="n">
        <v>15277.6</v>
      </c>
      <c r="HE6" t="n">
        <v>15324</v>
      </c>
      <c r="HF6" t="n">
        <v>15510.2</v>
      </c>
      <c r="HG6" t="n">
        <v>15548.5</v>
      </c>
      <c r="HH6" t="n">
        <v>15646.7</v>
      </c>
      <c r="HI6" t="n">
        <v>15781.4</v>
      </c>
      <c r="HJ6" t="n">
        <v>15856.9</v>
      </c>
      <c r="HK6" t="n">
        <v>15967.3</v>
      </c>
    </row>
    <row r="7">
      <c r="A7" s="85" t="s">
        <v>2515</v>
      </c>
      <c r="B7" s="85" t="n">
        <v>19.444</v>
      </c>
      <c r="C7" s="85" t="n">
        <v>19.659</v>
      </c>
      <c r="D7" s="85" t="n">
        <v>19.851</v>
      </c>
      <c r="E7" s="85" t="n">
        <v>20.108</v>
      </c>
      <c r="F7" s="85" t="n">
        <v>20.299</v>
      </c>
      <c r="G7" s="85" t="n">
        <v>20.53</v>
      </c>
      <c r="H7" s="85" t="n">
        <v>20.732</v>
      </c>
      <c r="I7" s="85" t="n">
        <v>20.86</v>
      </c>
      <c r="J7" s="85" t="n">
        <v>21.08</v>
      </c>
      <c r="K7" s="85" t="n">
        <v>21.202</v>
      </c>
      <c r="L7" s="85" t="n">
        <v>21.388</v>
      </c>
      <c r="M7" s="85" t="n">
        <v>21.562</v>
      </c>
      <c r="N7" s="85" t="n">
        <v>21.823</v>
      </c>
      <c r="O7" s="85" t="n">
        <v>22.242</v>
      </c>
      <c r="P7" s="85" t="n">
        <v>22.647</v>
      </c>
      <c r="Q7" s="85" t="n">
        <v>23.11</v>
      </c>
      <c r="R7" s="85" t="n">
        <v>23.798</v>
      </c>
      <c r="S7" s="85" t="n">
        <v>24.472</v>
      </c>
      <c r="T7" s="85" t="n">
        <v>25.132</v>
      </c>
      <c r="U7" s="85" t="n">
        <v>25.771</v>
      </c>
      <c r="V7" s="85" t="n">
        <v>26.256</v>
      </c>
      <c r="W7" s="85" t="n">
        <v>26.578</v>
      </c>
      <c r="X7" s="85" t="n">
        <v>27.076</v>
      </c>
      <c r="Y7" s="85" t="n">
        <v>27.53</v>
      </c>
      <c r="Z7" s="85" t="n">
        <v>27.833</v>
      </c>
      <c r="AA7" s="85" t="n">
        <v>28.066</v>
      </c>
      <c r="AB7" s="85" t="n">
        <v>28.492</v>
      </c>
      <c r="AC7" s="85" t="n">
        <v>28.942</v>
      </c>
      <c r="AD7" s="85" t="n">
        <v>29.465</v>
      </c>
      <c r="AE7" s="85" t="n">
        <v>29.969</v>
      </c>
      <c r="AF7" s="85" t="n">
        <v>30.42</v>
      </c>
      <c r="AG7" s="85" t="n">
        <v>30.852</v>
      </c>
      <c r="AH7" s="85" t="n">
        <v>31.358</v>
      </c>
      <c r="AI7" s="85" t="n">
        <v>32.002</v>
      </c>
      <c r="AJ7" s="85" t="n">
        <v>32.564</v>
      </c>
      <c r="AK7" s="85" t="n">
        <v>33.179</v>
      </c>
      <c r="AL7" s="85" t="n">
        <v>33.804</v>
      </c>
      <c r="AM7" s="85" t="n">
        <v>34.728</v>
      </c>
      <c r="AN7" s="85" t="n">
        <v>35.59</v>
      </c>
      <c r="AO7" s="85" t="n">
        <v>36.451</v>
      </c>
      <c r="AP7" s="85" t="n">
        <v>37.545</v>
      </c>
      <c r="AQ7" s="85" t="n">
        <v>38.464</v>
      </c>
      <c r="AR7" s="85" t="n">
        <v>39.364</v>
      </c>
      <c r="AS7" s="85" t="n">
        <v>40.338</v>
      </c>
      <c r="AT7" s="85" t="n">
        <v>41.384</v>
      </c>
      <c r="AU7" s="85" t="n">
        <v>42.078</v>
      </c>
      <c r="AV7" s="85" t="n">
        <v>42.772</v>
      </c>
      <c r="AW7" s="85" t="n">
        <v>43.427</v>
      </c>
      <c r="AX7" s="85" t="n">
        <v>43.979</v>
      </c>
      <c r="AY7" s="85" t="n">
        <v>44.402</v>
      </c>
      <c r="AZ7" s="85" t="n">
        <v>45.103</v>
      </c>
      <c r="BA7" s="85" t="n">
        <v>45.601</v>
      </c>
      <c r="BB7" s="85" t="n">
        <v>45.978</v>
      </c>
      <c r="BC7" s="85" t="n">
        <v>46.398</v>
      </c>
      <c r="BD7" s="85" t="n">
        <v>47.008</v>
      </c>
      <c r="BE7" s="85" t="n">
        <v>47.318</v>
      </c>
      <c r="BF7" s="85" t="n">
        <v>47.83</v>
      </c>
      <c r="BG7" s="85" t="n">
        <v>48.293</v>
      </c>
      <c r="BH7" s="85" t="n">
        <v>48.666</v>
      </c>
      <c r="BI7" s="85" t="n">
        <v>48.966</v>
      </c>
      <c r="BJ7" s="85" t="n">
        <v>49.544</v>
      </c>
      <c r="BK7" s="85" t="n">
        <v>49.945</v>
      </c>
      <c r="BL7" s="85" t="n">
        <v>50.337</v>
      </c>
      <c r="BM7" s="85" t="n">
        <v>50.688</v>
      </c>
      <c r="BN7" s="85" t="n">
        <v>51.047</v>
      </c>
      <c r="BO7" s="85" t="n">
        <v>50.993</v>
      </c>
      <c r="BP7" s="85" t="n">
        <v>51.263</v>
      </c>
      <c r="BQ7" s="85" t="n">
        <v>51.573</v>
      </c>
      <c r="BR7" s="85" t="n">
        <v>52.061</v>
      </c>
      <c r="BS7" s="85" t="n">
        <v>52.564</v>
      </c>
      <c r="BT7" s="85" t="n">
        <v>53.062</v>
      </c>
      <c r="BU7" s="85" t="n">
        <v>53.52</v>
      </c>
      <c r="BV7" s="85" t="n">
        <v>53.943</v>
      </c>
      <c r="BW7" s="85" t="n">
        <v>54.539</v>
      </c>
      <c r="BX7" s="85" t="n">
        <v>55.211</v>
      </c>
      <c r="BY7" s="85" t="n">
        <v>55.769</v>
      </c>
      <c r="BZ7" s="85" t="n">
        <v>56.41</v>
      </c>
      <c r="CA7" s="85" t="n">
        <v>57.17</v>
      </c>
      <c r="CB7" s="85" t="n">
        <v>57.507</v>
      </c>
      <c r="CC7" s="85" t="n">
        <v>57.959</v>
      </c>
      <c r="CD7" s="85" t="n">
        <v>58.799</v>
      </c>
      <c r="CE7" s="85" t="n">
        <v>59.333</v>
      </c>
      <c r="CF7" s="85" t="n">
        <v>60.087</v>
      </c>
      <c r="CG7" s="85" t="n">
        <v>60.882</v>
      </c>
      <c r="CH7" s="85" t="n">
        <v>61.202</v>
      </c>
      <c r="CI7" s="85" t="n">
        <v>61.536</v>
      </c>
      <c r="CJ7" s="85" t="n">
        <v>61.954</v>
      </c>
      <c r="CK7" s="85" t="n">
        <v>62.404</v>
      </c>
      <c r="CL7" s="85" t="n">
        <v>62.795</v>
      </c>
      <c r="CM7" s="85" t="n">
        <v>63.212</v>
      </c>
      <c r="CN7" s="85" t="n">
        <v>63.615</v>
      </c>
      <c r="CO7" s="85" t="n">
        <v>64.059</v>
      </c>
      <c r="CP7" s="85" t="n">
        <v>64.441</v>
      </c>
      <c r="CQ7" s="85" t="n">
        <v>64.874</v>
      </c>
      <c r="CR7" s="85" t="n">
        <v>65.155</v>
      </c>
      <c r="CS7" s="85" t="n">
        <v>65.531</v>
      </c>
      <c r="CT7" s="85" t="n">
        <v>65.766</v>
      </c>
      <c r="CU7" s="85" t="n">
        <v>66.133</v>
      </c>
      <c r="CV7" s="85" t="n">
        <v>66.607</v>
      </c>
      <c r="CW7" s="85" t="n">
        <v>66.92</v>
      </c>
      <c r="CX7" s="85" t="n">
        <v>67.247</v>
      </c>
      <c r="CY7" s="85" t="n">
        <v>67.639</v>
      </c>
      <c r="CZ7" s="85" t="n">
        <v>67.915</v>
      </c>
      <c r="DA7" s="85" t="n">
        <v>68.214</v>
      </c>
      <c r="DB7" s="85" t="n">
        <v>68.593</v>
      </c>
      <c r="DC7" s="85" t="n">
        <v>69.052</v>
      </c>
      <c r="DD7" s="85" t="n">
        <v>69.346</v>
      </c>
      <c r="DE7" s="85" t="n">
        <v>69.819</v>
      </c>
      <c r="DF7" s="85" t="n">
        <v>70.127</v>
      </c>
      <c r="DG7" s="85" t="n">
        <v>70.303</v>
      </c>
      <c r="DH7" s="85" t="n">
        <v>70.488</v>
      </c>
      <c r="DI7" s="85" t="n">
        <v>70.71</v>
      </c>
      <c r="DJ7" s="85" t="n">
        <v>70.715</v>
      </c>
      <c r="DK7" s="85" t="n">
        <v>70.843</v>
      </c>
      <c r="DL7" s="85" t="n">
        <v>71.062</v>
      </c>
      <c r="DM7" s="85" t="n">
        <v>71.249</v>
      </c>
      <c r="DN7" s="85" t="n">
        <v>71.39</v>
      </c>
      <c r="DO7" s="85" t="n">
        <v>71.796</v>
      </c>
      <c r="DP7" s="85" t="n">
        <v>72.191</v>
      </c>
      <c r="DQ7" s="85" t="n">
        <v>72.629</v>
      </c>
      <c r="DR7" s="85" t="n">
        <v>73.219</v>
      </c>
      <c r="DS7" s="85" t="n">
        <v>73.568</v>
      </c>
      <c r="DT7" s="85" t="n">
        <v>74.042</v>
      </c>
      <c r="DU7" s="85" t="n">
        <v>74.46</v>
      </c>
      <c r="DV7" s="85" t="n">
        <v>75.012</v>
      </c>
      <c r="DW7" s="85" t="n">
        <v>75.363</v>
      </c>
      <c r="DX7" s="85" t="n">
        <v>75.401</v>
      </c>
      <c r="DY7" s="85" t="n">
        <v>75.432</v>
      </c>
      <c r="DZ7" s="85" t="n">
        <v>75.584</v>
      </c>
      <c r="EA7" s="85" t="n">
        <v>76.145</v>
      </c>
      <c r="EB7" s="85" t="n">
        <v>76.539</v>
      </c>
      <c r="EC7" s="85" t="n">
        <v>76.896</v>
      </c>
      <c r="ED7" s="85" t="n">
        <v>77.484</v>
      </c>
      <c r="EE7" s="85" t="n">
        <v>77.562</v>
      </c>
      <c r="EF7" s="85" t="n">
        <v>78.073</v>
      </c>
      <c r="EG7" s="85" t="n">
        <v>78.457</v>
      </c>
      <c r="EH7" s="85" t="n">
        <v>79.062</v>
      </c>
      <c r="EI7" s="85" t="n">
        <v>79.594</v>
      </c>
      <c r="EJ7" s="85" t="n">
        <v>79.985</v>
      </c>
      <c r="EK7" s="85" t="n">
        <v>80.669</v>
      </c>
      <c r="EL7" s="85" t="n">
        <v>81.138</v>
      </c>
      <c r="EM7" s="85" t="n">
        <v>81.65</v>
      </c>
      <c r="EN7" s="85" t="n">
        <v>82.532</v>
      </c>
      <c r="EO7" s="85" t="n">
        <v>83.189</v>
      </c>
      <c r="EP7" s="85" t="n">
        <v>83.621</v>
      </c>
      <c r="EQ7" s="85" t="n">
        <v>84.355</v>
      </c>
      <c r="ER7" s="85" t="n">
        <v>84.962</v>
      </c>
      <c r="ES7" s="85" t="n">
        <v>84.822</v>
      </c>
      <c r="ET7" s="85" t="n">
        <v>85.597</v>
      </c>
      <c r="EU7" s="85" t="n">
        <v>86.324</v>
      </c>
      <c r="EV7" s="85" t="n">
        <v>86.812</v>
      </c>
      <c r="EW7" s="85" t="n">
        <v>87.694</v>
      </c>
      <c r="EX7" s="85" t="n">
        <v>88.408</v>
      </c>
      <c r="EY7" s="85" t="n">
        <v>89.269</v>
      </c>
      <c r="EZ7" s="85" t="n">
        <v>90.221</v>
      </c>
      <c r="FA7" s="85" t="n">
        <v>88.781</v>
      </c>
      <c r="FB7" s="85" t="n">
        <v>88.181</v>
      </c>
      <c r="FC7" s="85" t="n">
        <v>88.532</v>
      </c>
      <c r="FD7" s="85" t="n">
        <v>89.142</v>
      </c>
      <c r="FE7" s="85" t="n">
        <v>89.83</v>
      </c>
      <c r="FF7" s="85" t="n">
        <v>90.177</v>
      </c>
      <c r="FG7" s="85" t="n">
        <v>90.317</v>
      </c>
      <c r="FH7" s="85" t="n">
        <v>90.49</v>
      </c>
      <c r="FI7" s="85" t="n">
        <v>91.07</v>
      </c>
      <c r="FJ7" s="85" t="n">
        <v>91.835</v>
      </c>
      <c r="FK7" s="85" t="n">
        <v>92.738</v>
      </c>
      <c r="FL7" s="85" t="n">
        <v>93.167</v>
      </c>
      <c r="FM7" s="85" t="n">
        <v>93.475</v>
      </c>
      <c r="FN7" s="85" t="n">
        <v>94.094</v>
      </c>
      <c r="FO7" s="85" t="n">
        <v>94.321</v>
      </c>
      <c r="FP7" s="85" t="n">
        <v>94.595</v>
      </c>
      <c r="FQ7" s="85" t="n">
        <v>95.126</v>
      </c>
      <c r="FR7" s="85" t="n">
        <v>95.459</v>
      </c>
      <c r="FS7" s="85" t="n">
        <v>95.508</v>
      </c>
      <c r="FT7" s="85" t="n">
        <v>95.901</v>
      </c>
      <c r="FU7" s="85" t="n">
        <v>96.254</v>
      </c>
      <c r="FV7" s="85" t="n">
        <v>96.696</v>
      </c>
      <c r="FW7" s="85" t="n">
        <v>97.129</v>
      </c>
      <c r="FX7" s="85" t="n">
        <v>97.394</v>
      </c>
      <c r="FY7" s="85" t="n">
        <v>97.265</v>
      </c>
      <c r="FZ7" s="85" t="n">
        <v>96.829</v>
      </c>
      <c r="GA7" s="85" t="n">
        <v>97.312</v>
      </c>
      <c r="GB7" s="85" t="n">
        <v>97.565</v>
      </c>
      <c r="GC7" s="85" t="n">
        <v>97.49</v>
      </c>
      <c r="GD7" s="85" t="n">
        <v>97.538</v>
      </c>
      <c r="GE7" s="85" t="n">
        <v>98.157</v>
      </c>
      <c r="GF7" s="85" t="n">
        <v>98.496</v>
      </c>
      <c r="GG7" s="85" t="n">
        <v>98.947</v>
      </c>
      <c r="GH7" s="85" t="n">
        <v>99.524</v>
      </c>
      <c r="GI7" s="85" t="n">
        <v>99.724</v>
      </c>
      <c r="GJ7" s="85" t="n">
        <v>100.076</v>
      </c>
      <c r="GK7" s="85" t="n">
        <v>100.676</v>
      </c>
      <c r="GL7" s="85" t="n">
        <v>101.38</v>
      </c>
      <c r="GM7" s="85" t="n">
        <v>101.912</v>
      </c>
      <c r="GN7" s="85" t="n">
        <v>102.254</v>
      </c>
      <c r="GO7" s="85" t="n">
        <v>102.642</v>
      </c>
      <c r="GP7" s="85" t="n">
        <v>102.851</v>
      </c>
      <c r="GQ7" s="85" t="n">
        <v>103.426</v>
      </c>
      <c r="GR7" s="85" t="n">
        <v>103.675</v>
      </c>
      <c r="GS7" s="85" t="n">
        <v>104.083</v>
      </c>
      <c r="GT7" s="85" t="n">
        <v>104.404</v>
      </c>
      <c r="GU7" s="85" t="n">
        <v>103.988</v>
      </c>
      <c r="GV7" s="85" t="n">
        <v>104.832</v>
      </c>
      <c r="GW7" s="85" t="n">
        <v>105.34</v>
      </c>
      <c r="GX7" s="85" t="n">
        <v>106.529</v>
      </c>
      <c r="GY7" s="85" t="n">
        <v>108.188</v>
      </c>
      <c r="GZ7" s="85" t="n">
        <v>109.681</v>
      </c>
      <c r="HA7" s="85" t="n">
        <v>111.491</v>
      </c>
      <c r="HB7" s="85" t="n">
        <v>113.585</v>
      </c>
      <c r="HC7" t="n">
        <v>115.672</v>
      </c>
      <c r="HD7" t="n">
        <v>117.014</v>
      </c>
      <c r="HE7" t="n">
        <v>118.172</v>
      </c>
      <c r="HF7" t="n">
        <v>119.32</v>
      </c>
      <c r="HG7" t="n">
        <v>120.182</v>
      </c>
      <c r="HH7" t="n">
        <v>120.983</v>
      </c>
      <c r="HI7" t="n">
        <v>121.48</v>
      </c>
      <c r="HJ7" t="n">
        <v>122.507</v>
      </c>
      <c r="HK7" t="n">
        <v>123.275</v>
      </c>
    </row>
    <row r="8">
      <c r="A8" s="85" t="s">
        <v>2516</v>
      </c>
      <c r="B8" s="85" t="n">
        <v>17.722</v>
      </c>
      <c r="C8" s="85" t="n">
        <v>17.956</v>
      </c>
      <c r="D8" s="85" t="n">
        <v>18.263</v>
      </c>
      <c r="E8" s="85" t="n">
        <v>18.495</v>
      </c>
      <c r="F8" s="85" t="n">
        <v>19.081</v>
      </c>
      <c r="G8" s="85" t="n">
        <v>19.437</v>
      </c>
      <c r="H8" s="85" t="n">
        <v>19.719</v>
      </c>
      <c r="I8" s="85" t="n">
        <v>20.122</v>
      </c>
      <c r="J8" s="85" t="n">
        <v>20.953</v>
      </c>
      <c r="K8" s="85" t="n">
        <v>21.166</v>
      </c>
      <c r="L8" s="85" t="n">
        <v>21.34</v>
      </c>
      <c r="M8" s="85" t="n">
        <v>21.804</v>
      </c>
      <c r="N8" s="85" t="n">
        <v>22.155</v>
      </c>
      <c r="O8" s="85" t="n">
        <v>22.54</v>
      </c>
      <c r="P8" s="85" t="n">
        <v>23.006</v>
      </c>
      <c r="Q8" s="85" t="n">
        <v>23.498</v>
      </c>
      <c r="R8" s="85" t="n">
        <v>23.739</v>
      </c>
      <c r="S8" s="85" t="n">
        <v>24.168</v>
      </c>
      <c r="T8" s="85" t="n">
        <v>24.874</v>
      </c>
      <c r="U8" s="85" t="n">
        <v>25.7</v>
      </c>
      <c r="V8" s="85" t="n">
        <v>26.167</v>
      </c>
      <c r="W8" s="85" t="n">
        <v>26.546</v>
      </c>
      <c r="X8" s="85" t="n">
        <v>26.904</v>
      </c>
      <c r="Y8" s="85" t="n">
        <v>27.522</v>
      </c>
      <c r="Z8" s="85" t="n">
        <v>27.924</v>
      </c>
      <c r="AA8" s="85" t="n">
        <v>28.158</v>
      </c>
      <c r="AB8" s="85" t="n">
        <v>28.481</v>
      </c>
      <c r="AC8" s="85" t="n">
        <v>29.242</v>
      </c>
      <c r="AD8" s="85" t="n">
        <v>29.656</v>
      </c>
      <c r="AE8" s="85" t="n">
        <v>29.993</v>
      </c>
      <c r="AF8" s="85" t="n">
        <v>30.141</v>
      </c>
      <c r="AG8" s="85" t="n">
        <v>31.014</v>
      </c>
      <c r="AH8" s="85" t="n">
        <v>31.369</v>
      </c>
      <c r="AI8" s="85" t="n">
        <v>31.985</v>
      </c>
      <c r="AJ8" s="85" t="n">
        <v>32.52</v>
      </c>
      <c r="AK8" s="85" t="n">
        <v>33.081</v>
      </c>
      <c r="AL8" s="85" t="n">
        <v>33.691</v>
      </c>
      <c r="AM8" s="85" t="n">
        <v>34.2</v>
      </c>
      <c r="AN8" s="85" t="n">
        <v>34.998</v>
      </c>
      <c r="AO8" s="85" t="n">
        <v>35.768</v>
      </c>
      <c r="AP8" s="85" t="n">
        <v>36.475</v>
      </c>
      <c r="AQ8" s="85" t="n">
        <v>37.885</v>
      </c>
      <c r="AR8" s="85" t="n">
        <v>38.269</v>
      </c>
      <c r="AS8" s="85" t="n">
        <v>39.421</v>
      </c>
      <c r="AT8" s="85" t="n">
        <v>40.209</v>
      </c>
      <c r="AU8" s="85" t="n">
        <v>41.144</v>
      </c>
      <c r="AV8" s="85" t="n">
        <v>42.046</v>
      </c>
      <c r="AW8" s="85" t="n">
        <v>42.852</v>
      </c>
      <c r="AX8" s="85" t="n">
        <v>43.536</v>
      </c>
      <c r="AY8" s="85" t="n">
        <v>44.399</v>
      </c>
      <c r="AZ8" s="85" t="n">
        <v>44.771</v>
      </c>
      <c r="BA8" s="85" t="n">
        <v>45.3</v>
      </c>
      <c r="BB8" s="85" t="n">
        <v>45.385</v>
      </c>
      <c r="BC8" s="85" t="n">
        <v>45.735</v>
      </c>
      <c r="BD8" s="85" t="n">
        <v>46.242</v>
      </c>
      <c r="BE8" s="85" t="n">
        <v>46.544</v>
      </c>
      <c r="BF8" s="85" t="n">
        <v>47.147</v>
      </c>
      <c r="BG8" s="85" t="n">
        <v>47.617</v>
      </c>
      <c r="BH8" s="85" t="n">
        <v>48.325</v>
      </c>
      <c r="BI8" s="85" t="n">
        <v>48.92</v>
      </c>
      <c r="BJ8" s="85" t="n">
        <v>48.725</v>
      </c>
      <c r="BK8" s="85" t="n">
        <v>48.84</v>
      </c>
      <c r="BL8" s="85" t="n">
        <v>49.101</v>
      </c>
      <c r="BM8" s="85" t="n">
        <v>49.423</v>
      </c>
      <c r="BN8" s="85" t="n">
        <v>49.298</v>
      </c>
      <c r="BO8" s="85" t="n">
        <v>49.175</v>
      </c>
      <c r="BP8" s="85" t="n">
        <v>49.245</v>
      </c>
      <c r="BQ8" s="85" t="n">
        <v>49.3</v>
      </c>
      <c r="BR8" s="85" t="n">
        <v>49.217</v>
      </c>
      <c r="BS8" s="85" t="n">
        <v>49.45</v>
      </c>
      <c r="BT8" s="85" t="n">
        <v>49.808</v>
      </c>
      <c r="BU8" s="85" t="n">
        <v>49.912</v>
      </c>
      <c r="BV8" s="85" t="n">
        <v>50.593</v>
      </c>
      <c r="BW8" s="85" t="n">
        <v>51.09</v>
      </c>
      <c r="BX8" s="85" t="n">
        <v>51.382</v>
      </c>
      <c r="BY8" s="85" t="n">
        <v>51.796</v>
      </c>
      <c r="BZ8" s="85" t="n">
        <v>52.18</v>
      </c>
      <c r="CA8" s="85" t="n">
        <v>52.563</v>
      </c>
      <c r="CB8" s="85" t="n">
        <v>52.825</v>
      </c>
      <c r="CC8" s="85" t="n">
        <v>53.014</v>
      </c>
      <c r="CD8" s="85" t="n">
        <v>53.386</v>
      </c>
      <c r="CE8" s="85" t="n">
        <v>54.303</v>
      </c>
      <c r="CF8" s="85" t="n">
        <v>54.376</v>
      </c>
      <c r="CG8" s="85" t="n">
        <v>55.023</v>
      </c>
      <c r="CH8" s="85" t="n">
        <v>55.517</v>
      </c>
      <c r="CI8" s="85" t="n">
        <v>55.79</v>
      </c>
      <c r="CJ8" s="85" t="n">
        <v>56.508</v>
      </c>
      <c r="CK8" s="85" t="n">
        <v>57.079</v>
      </c>
      <c r="CL8" s="85" t="n">
        <v>57.163</v>
      </c>
      <c r="CM8" s="85" t="n">
        <v>57.371</v>
      </c>
      <c r="CN8" s="85" t="n">
        <v>57.872</v>
      </c>
      <c r="CO8" s="85" t="n">
        <v>58.235</v>
      </c>
      <c r="CP8" s="85" t="n">
        <v>58.381</v>
      </c>
      <c r="CQ8" s="85" t="n">
        <v>58.637</v>
      </c>
      <c r="CR8" s="85" t="n">
        <v>59.062</v>
      </c>
      <c r="CS8" s="85" t="n">
        <v>59.591</v>
      </c>
      <c r="CT8" s="85" t="n">
        <v>59.865</v>
      </c>
      <c r="CU8" s="85" t="n">
        <v>60.367</v>
      </c>
      <c r="CV8" s="85" t="n">
        <v>60.713</v>
      </c>
      <c r="CW8" s="85" t="n">
        <v>61.212</v>
      </c>
      <c r="CX8" s="85" t="n">
        <v>61.728</v>
      </c>
      <c r="CY8" s="85" t="n">
        <v>62.139</v>
      </c>
      <c r="CZ8" s="85" t="n">
        <v>62.461</v>
      </c>
      <c r="DA8" s="85" t="n">
        <v>63.323</v>
      </c>
      <c r="DB8" s="85" t="n">
        <v>63.472</v>
      </c>
      <c r="DC8" s="85" t="n">
        <v>63.132</v>
      </c>
      <c r="DD8" s="85" t="n">
        <v>63.499</v>
      </c>
      <c r="DE8" s="85" t="n">
        <v>63.716</v>
      </c>
      <c r="DF8" s="85" t="n">
        <v>63.934</v>
      </c>
      <c r="DG8" s="85" t="n">
        <v>64.354</v>
      </c>
      <c r="DH8" s="85" t="n">
        <v>64.503</v>
      </c>
      <c r="DI8" s="85" t="n">
        <v>64.954</v>
      </c>
      <c r="DJ8" s="85" t="n">
        <v>64.682</v>
      </c>
      <c r="DK8" s="85" t="n">
        <v>65.099</v>
      </c>
      <c r="DL8" s="85" t="n">
        <v>65.524</v>
      </c>
      <c r="DM8" s="85" t="n">
        <v>65.735</v>
      </c>
      <c r="DN8" s="85" t="n">
        <v>65.947</v>
      </c>
      <c r="DO8" s="85" t="n">
        <v>66.503</v>
      </c>
      <c r="DP8" s="85" t="n">
        <v>67.106</v>
      </c>
      <c r="DQ8" s="85" t="n">
        <v>67.931</v>
      </c>
      <c r="DR8" s="85" t="n">
        <v>68.593</v>
      </c>
      <c r="DS8" s="85" t="n">
        <v>68.856</v>
      </c>
      <c r="DT8" s="85" t="n">
        <v>69.349</v>
      </c>
      <c r="DU8" s="85" t="n">
        <v>69.662</v>
      </c>
      <c r="DV8" s="85" t="n">
        <v>69.782</v>
      </c>
      <c r="DW8" s="85" t="n">
        <v>70.148</v>
      </c>
      <c r="DX8" s="85" t="n">
        <v>70.597</v>
      </c>
      <c r="DY8" s="85" t="n">
        <v>71.055</v>
      </c>
      <c r="DZ8" s="85" t="n">
        <v>71.515</v>
      </c>
      <c r="EA8" s="85" t="n">
        <v>72.191</v>
      </c>
      <c r="EB8" s="85" t="n">
        <v>72.811</v>
      </c>
      <c r="EC8" s="85" t="n">
        <v>74.161</v>
      </c>
      <c r="ED8" s="85" t="n">
        <v>74.965</v>
      </c>
      <c r="EE8" s="85" t="n">
        <v>75.499</v>
      </c>
      <c r="EF8" s="85" t="n">
        <v>76.182</v>
      </c>
      <c r="EG8" s="85" t="n">
        <v>76.752</v>
      </c>
      <c r="EH8" s="85" t="n">
        <v>77.405</v>
      </c>
      <c r="EI8" s="85" t="n">
        <v>78.077</v>
      </c>
      <c r="EJ8" s="85" t="n">
        <v>78.792</v>
      </c>
      <c r="EK8" s="85" t="n">
        <v>79.559</v>
      </c>
      <c r="EL8" s="85" t="n">
        <v>80.606</v>
      </c>
      <c r="EM8" s="85" t="n">
        <v>81.333</v>
      </c>
      <c r="EN8" s="85" t="n">
        <v>82.182</v>
      </c>
      <c r="EO8" s="85" t="n">
        <v>82.772</v>
      </c>
      <c r="EP8" s="85" t="n">
        <v>83.469</v>
      </c>
      <c r="EQ8" s="85" t="n">
        <v>84.051</v>
      </c>
      <c r="ER8" s="85" t="n">
        <v>84.673</v>
      </c>
      <c r="ES8" s="85" t="n">
        <v>85.114</v>
      </c>
      <c r="ET8" s="85" t="n">
        <v>85.842</v>
      </c>
      <c r="EU8" s="85" t="n">
        <v>86.528</v>
      </c>
      <c r="EV8" s="85" t="n">
        <v>87.124</v>
      </c>
      <c r="EW8" s="85" t="n">
        <v>87.822</v>
      </c>
      <c r="EX8" s="85" t="n">
        <v>88.563</v>
      </c>
      <c r="EY8" s="85" t="n">
        <v>89.47</v>
      </c>
      <c r="EZ8" s="85" t="n">
        <v>90.141</v>
      </c>
      <c r="FA8" s="85" t="n">
        <v>89.712</v>
      </c>
      <c r="FB8" s="85" t="n">
        <v>88.959</v>
      </c>
      <c r="FC8" s="85" t="n">
        <v>88.975</v>
      </c>
      <c r="FD8" s="85" t="n">
        <v>89.247</v>
      </c>
      <c r="FE8" s="85" t="n">
        <v>89.933</v>
      </c>
      <c r="FF8" s="85" t="n">
        <v>90.506</v>
      </c>
      <c r="FG8" s="85" t="n">
        <v>91.2</v>
      </c>
      <c r="FH8" s="85" t="n">
        <v>91.562</v>
      </c>
      <c r="FI8" s="85" t="n">
        <v>92.307</v>
      </c>
      <c r="FJ8" s="85" t="n">
        <v>93.136</v>
      </c>
      <c r="FK8" s="85" t="n">
        <v>93.979</v>
      </c>
      <c r="FL8" s="85" t="n">
        <v>94.306</v>
      </c>
      <c r="FM8" s="85" t="n">
        <v>94.18</v>
      </c>
      <c r="FN8" s="85" t="n">
        <v>94.506</v>
      </c>
      <c r="FO8" s="85" t="n">
        <v>94.715</v>
      </c>
      <c r="FP8" s="85" t="n">
        <v>94.897</v>
      </c>
      <c r="FQ8" s="85" t="n">
        <v>95.013</v>
      </c>
      <c r="FR8" s="85" t="n">
        <v>94.947</v>
      </c>
      <c r="FS8" s="85" t="n">
        <v>95.102</v>
      </c>
      <c r="FT8" s="85" t="n">
        <v>95.436</v>
      </c>
      <c r="FU8" s="85" t="n">
        <v>96.904</v>
      </c>
      <c r="FV8" s="85" t="n">
        <v>96.649</v>
      </c>
      <c r="FW8" s="85" t="n">
        <v>97.057</v>
      </c>
      <c r="FX8" s="85" t="n">
        <v>97.513</v>
      </c>
      <c r="FY8" s="85" t="n">
        <v>97.642</v>
      </c>
      <c r="FZ8" s="85" t="n">
        <v>97.452</v>
      </c>
      <c r="GA8" s="85" t="n">
        <v>97.641</v>
      </c>
      <c r="GB8" s="85" t="n">
        <v>97.73</v>
      </c>
      <c r="GC8" s="85" t="n">
        <v>97.611</v>
      </c>
      <c r="GD8" s="85" t="n">
        <v>97.503</v>
      </c>
      <c r="GE8" s="85" t="n">
        <v>98.022</v>
      </c>
      <c r="GF8" s="85" t="n">
        <v>98.404</v>
      </c>
      <c r="GG8" s="85" t="n">
        <v>98.891</v>
      </c>
      <c r="GH8" s="85" t="n">
        <v>99.36</v>
      </c>
      <c r="GI8" s="85" t="n">
        <v>99.682</v>
      </c>
      <c r="GJ8" s="85" t="n">
        <v>100.12</v>
      </c>
      <c r="GK8" s="85" t="n">
        <v>100.838</v>
      </c>
      <c r="GL8" s="85" t="n">
        <v>101.798</v>
      </c>
      <c r="GM8" s="85" t="n">
        <v>102.497</v>
      </c>
      <c r="GN8" s="85" t="n">
        <v>103.027</v>
      </c>
      <c r="GO8" s="85" t="n">
        <v>103.778</v>
      </c>
      <c r="GP8" s="85" t="n">
        <v>104.731</v>
      </c>
      <c r="GQ8" s="85" t="n">
        <v>104.034</v>
      </c>
      <c r="GR8" s="85" t="n">
        <v>104.131</v>
      </c>
      <c r="GS8" s="85" t="n">
        <v>104.51</v>
      </c>
      <c r="GT8" s="85" t="n">
        <v>104.826</v>
      </c>
      <c r="GU8" s="85" t="n">
        <v>104.893</v>
      </c>
      <c r="GV8" s="85" t="n">
        <v>105.466</v>
      </c>
      <c r="GW8" s="85" t="n">
        <v>106.253</v>
      </c>
      <c r="GX8" s="85" t="n">
        <v>107.069</v>
      </c>
      <c r="GY8" s="85" t="n">
        <v>108.223</v>
      </c>
      <c r="GZ8" s="85" t="n">
        <v>109.501</v>
      </c>
      <c r="HA8" s="85" t="n">
        <v>110.856</v>
      </c>
      <c r="HB8" s="85" t="n">
        <v>112.633</v>
      </c>
      <c r="HC8" t="n">
        <v>114.685</v>
      </c>
      <c r="HD8" t="n">
        <v>116.184</v>
      </c>
      <c r="HE8" t="n">
        <v>117.371</v>
      </c>
      <c r="HF8" t="n">
        <v>118.61</v>
      </c>
      <c r="HG8" t="n">
        <v>119.635</v>
      </c>
      <c r="HH8" t="n">
        <v>120.759</v>
      </c>
      <c r="HI8" t="n">
        <v>121.899</v>
      </c>
      <c r="HJ8" t="n">
        <v>122.967</v>
      </c>
      <c r="HK8" t="n">
        <v>123.825</v>
      </c>
    </row>
    <row r="9">
      <c r="A9" s="85" t="s">
        <v>2517</v>
      </c>
      <c r="B9" s="85" t="n">
        <v>12.676</v>
      </c>
      <c r="C9" s="85" t="n">
        <v>12.944</v>
      </c>
      <c r="D9" s="85" t="n">
        <v>13.178</v>
      </c>
      <c r="E9" s="85" t="n">
        <v>13.428</v>
      </c>
      <c r="F9" s="85" t="n">
        <v>13.733</v>
      </c>
      <c r="G9" s="85" t="n">
        <v>13.981</v>
      </c>
      <c r="H9" s="85" t="n">
        <v>14.178</v>
      </c>
      <c r="I9" s="85" t="n">
        <v>14.333</v>
      </c>
      <c r="J9" s="85" t="n">
        <v>14.654</v>
      </c>
      <c r="K9" s="85" t="n">
        <v>14.827</v>
      </c>
      <c r="L9" s="85" t="n">
        <v>15.052</v>
      </c>
      <c r="M9" s="85" t="n">
        <v>15.259</v>
      </c>
      <c r="N9" s="85" t="n">
        <v>15.559</v>
      </c>
      <c r="O9" s="85" t="n">
        <v>15.836</v>
      </c>
      <c r="P9" s="85" t="n">
        <v>16.049</v>
      </c>
      <c r="Q9" s="85" t="n">
        <v>16.353</v>
      </c>
      <c r="R9" s="85" t="n">
        <v>16.828</v>
      </c>
      <c r="S9" s="85" t="n">
        <v>17.413</v>
      </c>
      <c r="T9" s="85" t="n">
        <v>18.048</v>
      </c>
      <c r="U9" s="85" t="n">
        <v>18.579</v>
      </c>
      <c r="V9" s="85" t="n">
        <v>18.953</v>
      </c>
      <c r="W9" s="85" t="n">
        <v>19.329</v>
      </c>
      <c r="X9" s="85" t="n">
        <v>19.576</v>
      </c>
      <c r="Y9" s="85" t="n">
        <v>19.826</v>
      </c>
      <c r="Z9" s="85" t="n">
        <v>20.05</v>
      </c>
      <c r="AA9" s="85" t="n">
        <v>20.293</v>
      </c>
      <c r="AB9" s="85" t="n">
        <v>20.444</v>
      </c>
      <c r="AC9" s="85" t="n">
        <v>20.689</v>
      </c>
      <c r="AD9" s="85" t="n">
        <v>21.079</v>
      </c>
      <c r="AE9" s="85" t="n">
        <v>21.456</v>
      </c>
      <c r="AF9" s="85" t="n">
        <v>21.821</v>
      </c>
      <c r="AG9" s="85" t="n">
        <v>22.189</v>
      </c>
      <c r="AH9" s="85" t="n">
        <v>22.503</v>
      </c>
      <c r="AI9" s="85" t="n">
        <v>22.879</v>
      </c>
      <c r="AJ9" s="85" t="n">
        <v>23.227</v>
      </c>
      <c r="AK9" s="85" t="n">
        <v>23.56</v>
      </c>
      <c r="AL9" s="85" t="n">
        <v>24.121</v>
      </c>
      <c r="AM9" s="85" t="n">
        <v>24.673</v>
      </c>
      <c r="AN9" s="85" t="n">
        <v>25.509</v>
      </c>
      <c r="AO9" s="85" t="n">
        <v>26.007</v>
      </c>
      <c r="AP9" s="85" t="n">
        <v>26.684</v>
      </c>
      <c r="AQ9" s="85" t="n">
        <v>27.417</v>
      </c>
      <c r="AR9" s="85" t="n">
        <v>28.208</v>
      </c>
      <c r="AS9" s="85" t="n">
        <v>28.976</v>
      </c>
      <c r="AT9" s="85" t="n">
        <v>29.917</v>
      </c>
      <c r="AU9" s="85" t="n">
        <v>30.562</v>
      </c>
      <c r="AV9" s="85" t="n">
        <v>30.977</v>
      </c>
      <c r="AW9" s="85" t="n">
        <v>31.466</v>
      </c>
      <c r="AX9" s="85" t="n">
        <v>31.997</v>
      </c>
      <c r="AY9" s="85" t="n">
        <v>32.511</v>
      </c>
      <c r="AZ9" s="85" t="n">
        <v>33.021</v>
      </c>
      <c r="BA9" s="85" t="n">
        <v>33.441</v>
      </c>
      <c r="BB9" s="85" t="n">
        <v>33.681</v>
      </c>
      <c r="BC9" s="85" t="n">
        <v>34.051</v>
      </c>
      <c r="BD9" s="85" t="n">
        <v>34.381</v>
      </c>
      <c r="BE9" s="85" t="n">
        <v>34.642</v>
      </c>
      <c r="BF9" s="85" t="n">
        <v>35.145</v>
      </c>
      <c r="BG9" s="85" t="n">
        <v>35.479</v>
      </c>
      <c r="BH9" s="85" t="n">
        <v>35.81</v>
      </c>
      <c r="BI9" s="85" t="n">
        <v>36.166</v>
      </c>
      <c r="BJ9" s="85" t="n">
        <v>36.593</v>
      </c>
      <c r="BK9" s="85" t="n">
        <v>36.953</v>
      </c>
      <c r="BL9" s="85" t="n">
        <v>37.259</v>
      </c>
      <c r="BM9" s="85" t="n">
        <v>37.604</v>
      </c>
      <c r="BN9" s="85" t="n">
        <v>37.76</v>
      </c>
      <c r="BO9" s="85" t="n">
        <v>37.927</v>
      </c>
      <c r="BP9" s="85" t="n">
        <v>38.255</v>
      </c>
      <c r="BQ9" s="85" t="n">
        <v>38.741</v>
      </c>
      <c r="BR9" s="85" t="n">
        <v>39.295</v>
      </c>
      <c r="BS9" s="85" t="n">
        <v>39.776</v>
      </c>
      <c r="BT9" s="85" t="n">
        <v>40.252</v>
      </c>
      <c r="BU9" s="85" t="n">
        <v>40.491</v>
      </c>
      <c r="BV9" s="85" t="n">
        <v>40.699</v>
      </c>
      <c r="BW9" s="85" t="n">
        <v>41.096</v>
      </c>
      <c r="BX9" s="85" t="n">
        <v>41.443</v>
      </c>
      <c r="BY9" s="85" t="n">
        <v>41.918</v>
      </c>
      <c r="BZ9" s="85" t="n">
        <v>42.469</v>
      </c>
      <c r="CA9" s="85" t="n">
        <v>43.046</v>
      </c>
      <c r="CB9" s="85" t="n">
        <v>43.45</v>
      </c>
      <c r="CC9" s="85" t="n">
        <v>44.011</v>
      </c>
      <c r="CD9" s="85" t="n">
        <v>44.634</v>
      </c>
      <c r="CE9" s="85" t="n">
        <v>45.094</v>
      </c>
      <c r="CF9" s="85" t="n">
        <v>45.707</v>
      </c>
      <c r="CG9" s="85" t="n">
        <v>46.427</v>
      </c>
      <c r="CH9" s="85" t="n">
        <v>46.622</v>
      </c>
      <c r="CI9" s="85" t="n">
        <v>46.904</v>
      </c>
      <c r="CJ9" s="85" t="n">
        <v>47.29</v>
      </c>
      <c r="CK9" s="85" t="n">
        <v>47.703</v>
      </c>
      <c r="CL9" s="85" t="n">
        <v>48.043</v>
      </c>
      <c r="CM9" s="85" t="n">
        <v>48.617</v>
      </c>
      <c r="CN9" s="85" t="n">
        <v>48.975</v>
      </c>
      <c r="CO9" s="85" t="n">
        <v>49.31</v>
      </c>
      <c r="CP9" s="85" t="n">
        <v>49.597</v>
      </c>
      <c r="CQ9" s="85" t="n">
        <v>49.889</v>
      </c>
      <c r="CR9" s="85" t="n">
        <v>50.031</v>
      </c>
      <c r="CS9" s="85" t="n">
        <v>50.283</v>
      </c>
      <c r="CT9" s="85" t="n">
        <v>50.694</v>
      </c>
      <c r="CU9" s="85" t="n">
        <v>50.975</v>
      </c>
      <c r="CV9" s="85" t="n">
        <v>51.421</v>
      </c>
      <c r="CW9" s="85" t="n">
        <v>51.857</v>
      </c>
      <c r="CX9" s="85" t="n">
        <v>52.146</v>
      </c>
      <c r="CY9" s="85" t="n">
        <v>52.542</v>
      </c>
      <c r="CZ9" s="85" t="n">
        <v>52.758</v>
      </c>
      <c r="DA9" s="85" t="n">
        <v>52.96</v>
      </c>
      <c r="DB9" s="85" t="n">
        <v>53.489</v>
      </c>
      <c r="DC9" s="85" t="n">
        <v>53.561</v>
      </c>
      <c r="DD9" s="85" t="n">
        <v>53.899</v>
      </c>
      <c r="DE9" s="85" t="n">
        <v>54.286</v>
      </c>
      <c r="DF9" s="85" t="n">
        <v>54.646</v>
      </c>
      <c r="DG9" s="85" t="n">
        <v>54.823</v>
      </c>
      <c r="DH9" s="85" t="n">
        <v>55.061</v>
      </c>
      <c r="DI9" s="85" t="n">
        <v>55.493</v>
      </c>
      <c r="DJ9" s="85" t="n">
        <v>55.567</v>
      </c>
      <c r="DK9" s="85" t="n">
        <v>55.813</v>
      </c>
      <c r="DL9" s="85" t="n">
        <v>56.231</v>
      </c>
      <c r="DM9" s="85" t="n">
        <v>56.701</v>
      </c>
      <c r="DN9" s="85" t="n">
        <v>57.135</v>
      </c>
      <c r="DO9" s="85" t="n">
        <v>57.909</v>
      </c>
      <c r="DP9" s="85" t="n">
        <v>58.604</v>
      </c>
      <c r="DQ9" s="85" t="n">
        <v>59.277</v>
      </c>
      <c r="DR9" s="85" t="n">
        <v>60.034</v>
      </c>
      <c r="DS9" s="85" t="n">
        <v>60.672</v>
      </c>
      <c r="DT9" s="85" t="n">
        <v>61.324</v>
      </c>
      <c r="DU9" s="85" t="n">
        <v>62.09</v>
      </c>
      <c r="DV9" s="85" t="n">
        <v>62.832</v>
      </c>
      <c r="DW9" s="85" t="n">
        <v>63.077</v>
      </c>
      <c r="DX9" s="85" t="n">
        <v>63.241</v>
      </c>
      <c r="DY9" s="85" t="n">
        <v>63.363</v>
      </c>
      <c r="DZ9" s="85" t="n">
        <v>63.736</v>
      </c>
      <c r="EA9" s="85" t="n">
        <v>64.311</v>
      </c>
      <c r="EB9" s="85" t="n">
        <v>64.778</v>
      </c>
      <c r="EC9" s="85" t="n">
        <v>65.325</v>
      </c>
      <c r="ED9" s="85" t="n">
        <v>66.256</v>
      </c>
      <c r="EE9" s="85" t="n">
        <v>66.307</v>
      </c>
      <c r="EF9" s="85" t="n">
        <v>66.747</v>
      </c>
      <c r="EG9" s="85" t="n">
        <v>67.273</v>
      </c>
      <c r="EH9" s="85" t="n">
        <v>68.131</v>
      </c>
      <c r="EI9" s="85" t="n">
        <v>69.108</v>
      </c>
      <c r="EJ9" s="85" t="n">
        <v>70.224</v>
      </c>
      <c r="EK9" s="85" t="n">
        <v>71.439</v>
      </c>
      <c r="EL9" s="85" t="n">
        <v>72.086</v>
      </c>
      <c r="EM9" s="85" t="n">
        <v>73.01</v>
      </c>
      <c r="EN9" s="85" t="n">
        <v>74.18</v>
      </c>
      <c r="EO9" s="85" t="n">
        <v>75.391</v>
      </c>
      <c r="EP9" s="85" t="n">
        <v>75.93</v>
      </c>
      <c r="EQ9" s="85" t="n">
        <v>77.103</v>
      </c>
      <c r="ER9" s="85" t="n">
        <v>77.886</v>
      </c>
      <c r="ES9" s="85" t="n">
        <v>78.708</v>
      </c>
      <c r="ET9" s="85" t="n">
        <v>80.214</v>
      </c>
      <c r="EU9" s="85" t="n">
        <v>81.083</v>
      </c>
      <c r="EV9" s="85" t="n">
        <v>81.971</v>
      </c>
      <c r="EW9" s="85" t="n">
        <v>83.146</v>
      </c>
      <c r="EX9" s="85" t="n">
        <v>84.486</v>
      </c>
      <c r="EY9" s="85" t="n">
        <v>85.669</v>
      </c>
      <c r="EZ9" s="85" t="n">
        <v>86.827</v>
      </c>
      <c r="FA9" s="85" t="n">
        <v>85.784</v>
      </c>
      <c r="FB9" s="85" t="n">
        <v>84.68</v>
      </c>
      <c r="FC9" s="85" t="n">
        <v>84.875</v>
      </c>
      <c r="FD9" s="85" t="n">
        <v>85.317</v>
      </c>
      <c r="FE9" s="85" t="n">
        <v>85.932</v>
      </c>
      <c r="FF9" s="85" t="n">
        <v>86.789</v>
      </c>
      <c r="FG9" s="85" t="n">
        <v>87.373</v>
      </c>
      <c r="FH9" s="85" t="n">
        <v>87.834</v>
      </c>
      <c r="FI9" s="85" t="n">
        <v>88.573</v>
      </c>
      <c r="FJ9" s="85" t="n">
        <v>89.474</v>
      </c>
      <c r="FK9" s="85" t="n">
        <v>90.562</v>
      </c>
      <c r="FL9" s="85" t="n">
        <v>91.025</v>
      </c>
      <c r="FM9" s="85" t="n">
        <v>90.913</v>
      </c>
      <c r="FN9" s="85" t="n">
        <v>92.015</v>
      </c>
      <c r="FO9" s="85" t="n">
        <v>92.024</v>
      </c>
      <c r="FP9" s="85" t="n">
        <v>92.572</v>
      </c>
      <c r="FQ9" s="85" t="n">
        <v>93.706</v>
      </c>
      <c r="FR9" s="85" t="n">
        <v>94.775</v>
      </c>
      <c r="FS9" s="85" t="n">
        <v>95.259</v>
      </c>
      <c r="FT9" s="85" t="n">
        <v>96.013</v>
      </c>
      <c r="FU9" s="85" t="n">
        <v>96.568</v>
      </c>
      <c r="FV9" s="85" t="n">
        <v>97.34</v>
      </c>
      <c r="FW9" s="85" t="n">
        <v>97.642</v>
      </c>
      <c r="FX9" s="85" t="n">
        <v>98.161</v>
      </c>
      <c r="FY9" s="85" t="n">
        <v>98.075</v>
      </c>
      <c r="FZ9" s="85" t="n">
        <v>97.174</v>
      </c>
      <c r="GA9" s="85" t="n">
        <v>97.783</v>
      </c>
      <c r="GB9" s="85" t="n">
        <v>97.845</v>
      </c>
      <c r="GC9" s="85" t="n">
        <v>97.467</v>
      </c>
      <c r="GD9" s="85" t="n">
        <v>96.685</v>
      </c>
      <c r="GE9" s="85" t="n">
        <v>97.416</v>
      </c>
      <c r="GF9" s="85" t="n">
        <v>97.722</v>
      </c>
      <c r="GG9" s="85" t="n">
        <v>98.198</v>
      </c>
      <c r="GH9" s="85" t="n">
        <v>99.104</v>
      </c>
      <c r="GI9" s="85" t="n">
        <v>99.283</v>
      </c>
      <c r="GJ9" s="85" t="n">
        <v>100.164</v>
      </c>
      <c r="GK9" s="85" t="n">
        <v>101.448</v>
      </c>
      <c r="GL9" s="85" t="n">
        <v>102.759</v>
      </c>
      <c r="GM9" s="85" t="n">
        <v>103.807</v>
      </c>
      <c r="GN9" s="85" t="n">
        <v>104.739</v>
      </c>
      <c r="GO9" s="85" t="n">
        <v>105.197</v>
      </c>
      <c r="GP9" s="85" t="n">
        <v>104.686</v>
      </c>
      <c r="GQ9" s="85" t="n">
        <v>105.473</v>
      </c>
      <c r="GR9" s="85" t="n">
        <v>105.887</v>
      </c>
      <c r="GS9" s="85" t="n">
        <v>106.506</v>
      </c>
      <c r="GT9" s="85" t="n">
        <v>107.881</v>
      </c>
      <c r="GU9" s="85" t="n">
        <v>107.74</v>
      </c>
      <c r="GV9" s="85" t="n">
        <v>109.033</v>
      </c>
      <c r="GW9" s="85" t="n">
        <v>110.37</v>
      </c>
      <c r="GX9" s="85" t="n">
        <v>112.819</v>
      </c>
      <c r="GY9" s="85" t="n">
        <v>115.044</v>
      </c>
      <c r="GZ9" s="85" t="n">
        <v>116.893</v>
      </c>
      <c r="HA9" s="85" t="n">
        <v>119.203</v>
      </c>
      <c r="HB9" s="85" t="n">
        <v>121.961</v>
      </c>
      <c r="HC9" t="n">
        <v>126.102</v>
      </c>
      <c r="HD9" t="n">
        <v>126.283</v>
      </c>
      <c r="HE9" t="n">
        <v>126.64</v>
      </c>
      <c r="HF9" t="n">
        <v>125.974</v>
      </c>
      <c r="HG9" t="n">
        <v>124.8</v>
      </c>
      <c r="HH9" t="n">
        <v>126.041</v>
      </c>
      <c r="HI9" t="n">
        <v>126.006</v>
      </c>
      <c r="HJ9" t="n">
        <v>127.205</v>
      </c>
      <c r="HK9" t="n">
        <v>127.72</v>
      </c>
    </row>
    <row r="10">
      <c r="A10" s="85" t="s">
        <v>2518</v>
      </c>
      <c r="B10" s="85" t="n">
        <v>12.117</v>
      </c>
      <c r="C10" s="85" t="n">
        <v>12.358</v>
      </c>
      <c r="D10" s="85" t="n">
        <v>12.576</v>
      </c>
      <c r="E10" s="85" t="n">
        <v>12.788</v>
      </c>
      <c r="F10" s="85" t="n">
        <v>13.102</v>
      </c>
      <c r="G10" s="85" t="n">
        <v>13.348</v>
      </c>
      <c r="H10" s="85" t="n">
        <v>13.549</v>
      </c>
      <c r="I10" s="85" t="n">
        <v>13.672</v>
      </c>
      <c r="J10" s="85" t="n">
        <v>14.017</v>
      </c>
      <c r="K10" s="85" t="n">
        <v>14.201</v>
      </c>
      <c r="L10" s="85" t="n">
        <v>14.422</v>
      </c>
      <c r="M10" s="85" t="n">
        <v>14.601</v>
      </c>
      <c r="N10" s="85" t="n">
        <v>14.889</v>
      </c>
      <c r="O10" s="85" t="n">
        <v>15.141</v>
      </c>
      <c r="P10" s="85" t="n">
        <v>15.316</v>
      </c>
      <c r="Q10" s="85" t="n">
        <v>15.573</v>
      </c>
      <c r="R10" s="85" t="n">
        <v>15.951</v>
      </c>
      <c r="S10" s="85" t="n">
        <v>16.38</v>
      </c>
      <c r="T10" s="85" t="n">
        <v>16.851</v>
      </c>
      <c r="U10" s="85" t="n">
        <v>17.292</v>
      </c>
      <c r="V10" s="85" t="n">
        <v>17.637</v>
      </c>
      <c r="W10" s="85" t="n">
        <v>18.062</v>
      </c>
      <c r="X10" s="85" t="n">
        <v>18.34</v>
      </c>
      <c r="Y10" s="85" t="n">
        <v>18.607</v>
      </c>
      <c r="Z10" s="85" t="n">
        <v>18.849</v>
      </c>
      <c r="AA10" s="85" t="n">
        <v>19.095</v>
      </c>
      <c r="AB10" s="85" t="n">
        <v>19.262</v>
      </c>
      <c r="AC10" s="85" t="n">
        <v>19.517</v>
      </c>
      <c r="AD10" s="85" t="n">
        <v>19.913</v>
      </c>
      <c r="AE10" s="85" t="n">
        <v>20.309</v>
      </c>
      <c r="AF10" s="85" t="n">
        <v>20.672</v>
      </c>
      <c r="AG10" s="85" t="n">
        <v>21.051</v>
      </c>
      <c r="AH10" s="85" t="n">
        <v>21.357</v>
      </c>
      <c r="AI10" s="85" t="n">
        <v>21.7</v>
      </c>
      <c r="AJ10" s="85" t="n">
        <v>22.01</v>
      </c>
      <c r="AK10" s="85" t="n">
        <v>22.305</v>
      </c>
      <c r="AL10" s="85" t="n">
        <v>22.853</v>
      </c>
      <c r="AM10" s="85" t="n">
        <v>23.352</v>
      </c>
      <c r="AN10" s="85" t="n">
        <v>24.173</v>
      </c>
      <c r="AO10" s="85" t="n">
        <v>24.588</v>
      </c>
      <c r="AP10" s="85" t="n">
        <v>25.22</v>
      </c>
      <c r="AQ10" s="85" t="n">
        <v>25.905</v>
      </c>
      <c r="AR10" s="85" t="n">
        <v>26.625</v>
      </c>
      <c r="AS10" s="85" t="n">
        <v>27.333</v>
      </c>
      <c r="AT10" s="85" t="n">
        <v>28.25</v>
      </c>
      <c r="AU10" s="85" t="n">
        <v>28.84</v>
      </c>
      <c r="AV10" s="85" t="n">
        <v>29.185</v>
      </c>
      <c r="AW10" s="85" t="n">
        <v>29.633</v>
      </c>
      <c r="AX10" s="85" t="n">
        <v>30.152</v>
      </c>
      <c r="AY10" s="85" t="n">
        <v>30.633</v>
      </c>
      <c r="AZ10" s="85" t="n">
        <v>31.142</v>
      </c>
      <c r="BA10" s="85" t="n">
        <v>31.609</v>
      </c>
      <c r="BB10" s="85" t="n">
        <v>31.881</v>
      </c>
      <c r="BC10" s="85" t="n">
        <v>32.316</v>
      </c>
      <c r="BD10" s="85" t="n">
        <v>32.694</v>
      </c>
      <c r="BE10" s="85" t="n">
        <v>33.001</v>
      </c>
      <c r="BF10" s="85" t="n">
        <v>33.579</v>
      </c>
      <c r="BG10" s="85" t="n">
        <v>33.945</v>
      </c>
      <c r="BH10" s="85" t="n">
        <v>34.31</v>
      </c>
      <c r="BI10" s="85" t="n">
        <v>34.715</v>
      </c>
      <c r="BJ10" s="85" t="n">
        <v>35.174</v>
      </c>
      <c r="BK10" s="85" t="n">
        <v>35.576</v>
      </c>
      <c r="BL10" s="85" t="n">
        <v>35.906</v>
      </c>
      <c r="BM10" s="85" t="n">
        <v>36.268</v>
      </c>
      <c r="BN10" s="85" t="n">
        <v>36.4</v>
      </c>
      <c r="BO10" s="85" t="n">
        <v>36.51</v>
      </c>
      <c r="BP10" s="85" t="n">
        <v>36.822</v>
      </c>
      <c r="BQ10" s="85" t="n">
        <v>37.307</v>
      </c>
      <c r="BR10" s="85" t="n">
        <v>37.912</v>
      </c>
      <c r="BS10" s="85" t="n">
        <v>38.41</v>
      </c>
      <c r="BT10" s="85" t="n">
        <v>38.898</v>
      </c>
      <c r="BU10" s="85" t="n">
        <v>39.136</v>
      </c>
      <c r="BV10" s="85" t="n">
        <v>39.309</v>
      </c>
      <c r="BW10" s="85" t="n">
        <v>39.733</v>
      </c>
      <c r="BX10" s="85" t="n">
        <v>40.087</v>
      </c>
      <c r="BY10" s="85" t="n">
        <v>40.606</v>
      </c>
      <c r="BZ10" s="85" t="n">
        <v>41.222</v>
      </c>
      <c r="CA10" s="85" t="n">
        <v>41.836</v>
      </c>
      <c r="CB10" s="85" t="n">
        <v>42.248</v>
      </c>
      <c r="CC10" s="85" t="n">
        <v>42.869</v>
      </c>
      <c r="CD10" s="85" t="n">
        <v>43.548</v>
      </c>
      <c r="CE10" s="85" t="n">
        <v>44.013</v>
      </c>
      <c r="CF10" s="85" t="n">
        <v>44.652</v>
      </c>
      <c r="CG10" s="85" t="n">
        <v>45.498</v>
      </c>
      <c r="CH10" s="85" t="n">
        <v>45.714</v>
      </c>
      <c r="CI10" s="85" t="n">
        <v>46.001</v>
      </c>
      <c r="CJ10" s="85" t="n">
        <v>46.44</v>
      </c>
      <c r="CK10" s="85" t="n">
        <v>46.969</v>
      </c>
      <c r="CL10" s="85" t="n">
        <v>47.411</v>
      </c>
      <c r="CM10" s="85" t="n">
        <v>48.056</v>
      </c>
      <c r="CN10" s="85" t="n">
        <v>48.467</v>
      </c>
      <c r="CO10" s="85" t="n">
        <v>48.822</v>
      </c>
      <c r="CP10" s="85" t="n">
        <v>49.089</v>
      </c>
      <c r="CQ10" s="85" t="n">
        <v>49.379</v>
      </c>
      <c r="CR10" s="85" t="n">
        <v>49.54</v>
      </c>
      <c r="CS10" s="85" t="n">
        <v>49.793</v>
      </c>
      <c r="CT10" s="85" t="n">
        <v>50.21</v>
      </c>
      <c r="CU10" s="85" t="n">
        <v>50.502</v>
      </c>
      <c r="CV10" s="85" t="n">
        <v>50.943</v>
      </c>
      <c r="CW10" s="85" t="n">
        <v>51.378</v>
      </c>
      <c r="CX10" s="85" t="n">
        <v>51.614</v>
      </c>
      <c r="CY10" s="85" t="n">
        <v>52.011</v>
      </c>
      <c r="CZ10" s="85" t="n">
        <v>52.208</v>
      </c>
      <c r="DA10" s="85" t="n">
        <v>52.385</v>
      </c>
      <c r="DB10" s="85" t="n">
        <v>52.962</v>
      </c>
      <c r="DC10" s="85" t="n">
        <v>53.037</v>
      </c>
      <c r="DD10" s="85" t="n">
        <v>53.388</v>
      </c>
      <c r="DE10" s="85" t="n">
        <v>53.821</v>
      </c>
      <c r="DF10" s="85" t="n">
        <v>54.19</v>
      </c>
      <c r="DG10" s="85" t="n">
        <v>54.32</v>
      </c>
      <c r="DH10" s="85" t="n">
        <v>54.579</v>
      </c>
      <c r="DI10" s="85" t="n">
        <v>55.025</v>
      </c>
      <c r="DJ10" s="85" t="n">
        <v>55.112</v>
      </c>
      <c r="DK10" s="85" t="n">
        <v>55.405</v>
      </c>
      <c r="DL10" s="85" t="n">
        <v>55.837</v>
      </c>
      <c r="DM10" s="85" t="n">
        <v>56.34</v>
      </c>
      <c r="DN10" s="85" t="n">
        <v>56.821</v>
      </c>
      <c r="DO10" s="85" t="n">
        <v>57.673</v>
      </c>
      <c r="DP10" s="85" t="n">
        <v>58.472</v>
      </c>
      <c r="DQ10" s="85" t="n">
        <v>59.185</v>
      </c>
      <c r="DR10" s="85" t="n">
        <v>60.011</v>
      </c>
      <c r="DS10" s="85" t="n">
        <v>60.638</v>
      </c>
      <c r="DT10" s="85" t="n">
        <v>61.35</v>
      </c>
      <c r="DU10" s="85" t="n">
        <v>62.214</v>
      </c>
      <c r="DV10" s="85" t="n">
        <v>63.045</v>
      </c>
      <c r="DW10" s="85" t="n">
        <v>63.311</v>
      </c>
      <c r="DX10" s="85" t="n">
        <v>63.468</v>
      </c>
      <c r="DY10" s="85" t="n">
        <v>63.538</v>
      </c>
      <c r="DZ10" s="85" t="n">
        <v>63.935</v>
      </c>
      <c r="EA10" s="85" t="n">
        <v>64.567</v>
      </c>
      <c r="EB10" s="85" t="n">
        <v>65.1</v>
      </c>
      <c r="EC10" s="85" t="n">
        <v>65.755</v>
      </c>
      <c r="ED10" s="85" t="n">
        <v>66.789</v>
      </c>
      <c r="EE10" s="85" t="n">
        <v>66.836</v>
      </c>
      <c r="EF10" s="85" t="n">
        <v>67.365</v>
      </c>
      <c r="EG10" s="85" t="n">
        <v>67.98</v>
      </c>
      <c r="EH10" s="85" t="n">
        <v>68.947</v>
      </c>
      <c r="EI10" s="85" t="n">
        <v>69.87</v>
      </c>
      <c r="EJ10" s="85" t="n">
        <v>70.819</v>
      </c>
      <c r="EK10" s="85" t="n">
        <v>71.933</v>
      </c>
      <c r="EL10" s="85" t="n">
        <v>72.595</v>
      </c>
      <c r="EM10" s="85" t="n">
        <v>73.424</v>
      </c>
      <c r="EN10" s="85" t="n">
        <v>74.492</v>
      </c>
      <c r="EO10" s="85" t="n">
        <v>75.751</v>
      </c>
      <c r="EP10" s="85" t="n">
        <v>76.31</v>
      </c>
      <c r="EQ10" s="85" t="n">
        <v>77.367</v>
      </c>
      <c r="ER10" s="85" t="n">
        <v>78.083</v>
      </c>
      <c r="ES10" s="85" t="n">
        <v>78.666</v>
      </c>
      <c r="ET10" s="85" t="n">
        <v>80.055</v>
      </c>
      <c r="EU10" s="85" t="n">
        <v>80.929</v>
      </c>
      <c r="EV10" s="85" t="n">
        <v>81.84</v>
      </c>
      <c r="EW10" s="85" t="n">
        <v>83.064</v>
      </c>
      <c r="EX10" s="85" t="n">
        <v>84.537</v>
      </c>
      <c r="EY10" s="85" t="n">
        <v>85.851</v>
      </c>
      <c r="EZ10" s="85" t="n">
        <v>87.024</v>
      </c>
      <c r="FA10" s="85" t="n">
        <v>85.35</v>
      </c>
      <c r="FB10" s="85" t="n">
        <v>83.859</v>
      </c>
      <c r="FC10" s="85" t="n">
        <v>84.284</v>
      </c>
      <c r="FD10" s="85" t="n">
        <v>85.016</v>
      </c>
      <c r="FE10" s="85" t="n">
        <v>85.792</v>
      </c>
      <c r="FF10" s="85" t="n">
        <v>86.788</v>
      </c>
      <c r="FG10" s="85" t="n">
        <v>87.419</v>
      </c>
      <c r="FH10" s="85" t="n">
        <v>87.922</v>
      </c>
      <c r="FI10" s="85" t="n">
        <v>88.741</v>
      </c>
      <c r="FJ10" s="85" t="n">
        <v>89.727</v>
      </c>
      <c r="FK10" s="85" t="n">
        <v>90.859</v>
      </c>
      <c r="FL10" s="85" t="n">
        <v>91.198</v>
      </c>
      <c r="FM10" s="85" t="n">
        <v>90.867</v>
      </c>
      <c r="FN10" s="85" t="n">
        <v>92.067</v>
      </c>
      <c r="FO10" s="85" t="n">
        <v>91.919</v>
      </c>
      <c r="FP10" s="85" t="n">
        <v>92.477</v>
      </c>
      <c r="FQ10" s="85" t="n">
        <v>93.82</v>
      </c>
      <c r="FR10" s="85" t="n">
        <v>95.039</v>
      </c>
      <c r="FS10" s="85" t="n">
        <v>95.528</v>
      </c>
      <c r="FT10" s="85" t="n">
        <v>96.336</v>
      </c>
      <c r="FU10" s="85" t="n">
        <v>96.86</v>
      </c>
      <c r="FV10" s="85" t="n">
        <v>97.683</v>
      </c>
      <c r="FW10" s="85" t="n">
        <v>97.96</v>
      </c>
      <c r="FX10" s="85" t="n">
        <v>98.494</v>
      </c>
      <c r="FY10" s="85" t="n">
        <v>98.355</v>
      </c>
      <c r="FZ10" s="85" t="n">
        <v>97.267</v>
      </c>
      <c r="GA10" s="85" t="n">
        <v>97.921</v>
      </c>
      <c r="GB10" s="85" t="n">
        <v>97.937</v>
      </c>
      <c r="GC10" s="85" t="n">
        <v>97.49</v>
      </c>
      <c r="GD10" s="85" t="n">
        <v>96.589</v>
      </c>
      <c r="GE10" s="85" t="n">
        <v>97.31</v>
      </c>
      <c r="GF10" s="85" t="n">
        <v>97.669</v>
      </c>
      <c r="GG10" s="85" t="n">
        <v>98.147</v>
      </c>
      <c r="GH10" s="85" t="n">
        <v>99.115</v>
      </c>
      <c r="GI10" s="85" t="n">
        <v>99.218</v>
      </c>
      <c r="GJ10" s="85" t="n">
        <v>100.108</v>
      </c>
      <c r="GK10" s="85" t="n">
        <v>101.559</v>
      </c>
      <c r="GL10" s="85" t="n">
        <v>102.955</v>
      </c>
      <c r="GM10" s="85" t="n">
        <v>103.943</v>
      </c>
      <c r="GN10" s="85" t="n">
        <v>104.932</v>
      </c>
      <c r="GO10" s="85" t="n">
        <v>105.254</v>
      </c>
      <c r="GP10" s="85" t="n">
        <v>104.536</v>
      </c>
      <c r="GQ10" s="85" t="n">
        <v>105.249</v>
      </c>
      <c r="GR10" s="85" t="n">
        <v>105.653</v>
      </c>
      <c r="GS10" s="85" t="n">
        <v>106.367</v>
      </c>
      <c r="GT10" s="85" t="n">
        <v>107.993</v>
      </c>
      <c r="GU10" s="85" t="n">
        <v>107.909</v>
      </c>
      <c r="GV10" s="85" t="n">
        <v>109.255</v>
      </c>
      <c r="GW10" s="85" t="n">
        <v>110.767</v>
      </c>
      <c r="GX10" s="85" t="n">
        <v>113.403</v>
      </c>
      <c r="GY10" s="85" t="n">
        <v>115.552</v>
      </c>
      <c r="GZ10" s="85" t="n">
        <v>117.274</v>
      </c>
      <c r="HA10" s="85" t="n">
        <v>119.352</v>
      </c>
      <c r="HB10" s="85" t="n">
        <v>121.953</v>
      </c>
      <c r="HC10" t="n">
        <v>126.116</v>
      </c>
      <c r="HD10" t="n">
        <v>125.744</v>
      </c>
      <c r="HE10" t="n">
        <v>125.813</v>
      </c>
      <c r="HF10" t="n">
        <v>124.678</v>
      </c>
      <c r="HG10" t="n">
        <v>123.242</v>
      </c>
      <c r="HH10" t="n">
        <v>124.699</v>
      </c>
      <c r="HI10" t="n">
        <v>124.566</v>
      </c>
      <c r="HJ10" t="n">
        <v>125.859</v>
      </c>
      <c r="HK10" t="n">
        <v>126.467</v>
      </c>
    </row>
    <row r="11">
      <c r="A11" s="85" t="s">
        <v>2519</v>
      </c>
      <c r="B11" s="85" t="n">
        <v>15.584</v>
      </c>
      <c r="C11" s="85" t="n">
        <v>15.976</v>
      </c>
      <c r="D11" s="85" t="n">
        <v>16.285</v>
      </c>
      <c r="E11" s="85" t="n">
        <v>16.699</v>
      </c>
      <c r="F11" s="85" t="n">
        <v>16.98</v>
      </c>
      <c r="G11" s="85" t="n">
        <v>17.251</v>
      </c>
      <c r="H11" s="85" t="n">
        <v>17.439</v>
      </c>
      <c r="I11" s="85" t="n">
        <v>17.741</v>
      </c>
      <c r="J11" s="85" t="n">
        <v>17.968</v>
      </c>
      <c r="K11" s="85" t="n">
        <v>18.094</v>
      </c>
      <c r="L11" s="85" t="n">
        <v>18.345</v>
      </c>
      <c r="M11" s="85" t="n">
        <v>18.688</v>
      </c>
      <c r="N11" s="85" t="n">
        <v>19.048</v>
      </c>
      <c r="O11" s="85" t="n">
        <v>19.449</v>
      </c>
      <c r="P11" s="85" t="n">
        <v>19.845</v>
      </c>
      <c r="Q11" s="85" t="n">
        <v>20.378</v>
      </c>
      <c r="R11" s="85" t="n">
        <v>21.323</v>
      </c>
      <c r="S11" s="85" t="n">
        <v>22.663</v>
      </c>
      <c r="T11" s="85" t="n">
        <v>24.111</v>
      </c>
      <c r="U11" s="85" t="n">
        <v>25.113</v>
      </c>
      <c r="V11" s="85" t="n">
        <v>25.648</v>
      </c>
      <c r="W11" s="85" t="n">
        <v>25.774</v>
      </c>
      <c r="X11" s="85" t="n">
        <v>25.856</v>
      </c>
      <c r="Y11" s="85" t="n">
        <v>26.013</v>
      </c>
      <c r="Z11" s="85" t="n">
        <v>26.141</v>
      </c>
      <c r="AA11" s="85" t="n">
        <v>26.365</v>
      </c>
      <c r="AB11" s="85" t="n">
        <v>26.423</v>
      </c>
      <c r="AC11" s="85" t="n">
        <v>26.602</v>
      </c>
      <c r="AD11" s="85" t="n">
        <v>26.946</v>
      </c>
      <c r="AE11" s="85" t="n">
        <v>27.212</v>
      </c>
      <c r="AF11" s="85" t="n">
        <v>27.578</v>
      </c>
      <c r="AG11" s="85" t="n">
        <v>27.873</v>
      </c>
      <c r="AH11" s="85" t="n">
        <v>28.219</v>
      </c>
      <c r="AI11" s="85" t="n">
        <v>28.773</v>
      </c>
      <c r="AJ11" s="85" t="n">
        <v>29.324</v>
      </c>
      <c r="AK11" s="85" t="n">
        <v>29.848</v>
      </c>
      <c r="AL11" s="85" t="n">
        <v>30.463</v>
      </c>
      <c r="AM11" s="85" t="n">
        <v>31.29</v>
      </c>
      <c r="AN11" s="85" t="n">
        <v>32.204</v>
      </c>
      <c r="AO11" s="85" t="n">
        <v>33.118</v>
      </c>
      <c r="AP11" s="85" t="n">
        <v>34.022</v>
      </c>
      <c r="AQ11" s="85" t="n">
        <v>34.999</v>
      </c>
      <c r="AR11" s="85" t="n">
        <v>36.149</v>
      </c>
      <c r="AS11" s="85" t="n">
        <v>37.219</v>
      </c>
      <c r="AT11" s="85" t="n">
        <v>38.273</v>
      </c>
      <c r="AU11" s="85" t="n">
        <v>39.188</v>
      </c>
      <c r="AV11" s="85" t="n">
        <v>39.991</v>
      </c>
      <c r="AW11" s="85" t="n">
        <v>40.703</v>
      </c>
      <c r="AX11" s="85" t="n">
        <v>41.274</v>
      </c>
      <c r="AY11" s="85" t="n">
        <v>41.965</v>
      </c>
      <c r="AZ11" s="85" t="n">
        <v>42.46</v>
      </c>
      <c r="BA11" s="85" t="n">
        <v>42.568</v>
      </c>
      <c r="BB11" s="85" t="n">
        <v>42.607</v>
      </c>
      <c r="BC11" s="85" t="n">
        <v>42.55</v>
      </c>
      <c r="BD11" s="85" t="n">
        <v>42.574</v>
      </c>
      <c r="BE11" s="85" t="n">
        <v>42.562</v>
      </c>
      <c r="BF11" s="85" t="n">
        <v>42.608</v>
      </c>
      <c r="BG11" s="85" t="n">
        <v>42.759</v>
      </c>
      <c r="BH11" s="85" t="n">
        <v>42.897</v>
      </c>
      <c r="BI11" s="85" t="n">
        <v>42.984</v>
      </c>
      <c r="BJ11" s="85" t="n">
        <v>43.223</v>
      </c>
      <c r="BK11" s="85" t="n">
        <v>43.357</v>
      </c>
      <c r="BL11" s="85" t="n">
        <v>43.534</v>
      </c>
      <c r="BM11" s="85" t="n">
        <v>43.794</v>
      </c>
      <c r="BN11" s="85" t="n">
        <v>44.066</v>
      </c>
      <c r="BO11" s="85" t="n">
        <v>44.52</v>
      </c>
      <c r="BP11" s="85" t="n">
        <v>44.925</v>
      </c>
      <c r="BQ11" s="85" t="n">
        <v>45.411</v>
      </c>
      <c r="BR11" s="85" t="n">
        <v>45.702</v>
      </c>
      <c r="BS11" s="85" t="n">
        <v>46.087</v>
      </c>
      <c r="BT11" s="85" t="n">
        <v>46.497</v>
      </c>
      <c r="BU11" s="85" t="n">
        <v>46.743</v>
      </c>
      <c r="BV11" s="85" t="n">
        <v>47.119</v>
      </c>
      <c r="BW11" s="85" t="n">
        <v>47.379</v>
      </c>
      <c r="BX11" s="85" t="n">
        <v>47.685</v>
      </c>
      <c r="BY11" s="85" t="n">
        <v>47.936</v>
      </c>
      <c r="BZ11" s="85" t="n">
        <v>48.168</v>
      </c>
      <c r="CA11" s="85" t="n">
        <v>48.559</v>
      </c>
      <c r="CB11" s="85" t="n">
        <v>48.919</v>
      </c>
      <c r="CC11" s="85" t="n">
        <v>49.19</v>
      </c>
      <c r="CD11" s="85" t="n">
        <v>49.544</v>
      </c>
      <c r="CE11" s="85" t="n">
        <v>49.981</v>
      </c>
      <c r="CF11" s="85" t="n">
        <v>50.466</v>
      </c>
      <c r="CG11" s="85" t="n">
        <v>50.601</v>
      </c>
      <c r="CH11" s="85" t="n">
        <v>50.7</v>
      </c>
      <c r="CI11" s="85" t="n">
        <v>50.961</v>
      </c>
      <c r="CJ11" s="85" t="n">
        <v>51.097</v>
      </c>
      <c r="CK11" s="85" t="n">
        <v>50.969</v>
      </c>
      <c r="CL11" s="85" t="n">
        <v>50.836</v>
      </c>
      <c r="CM11" s="85" t="n">
        <v>51.076</v>
      </c>
      <c r="CN11" s="85" t="n">
        <v>51.181</v>
      </c>
      <c r="CO11" s="85" t="n">
        <v>51.414</v>
      </c>
      <c r="CP11" s="85" t="n">
        <v>51.796</v>
      </c>
      <c r="CQ11" s="85" t="n">
        <v>52.098</v>
      </c>
      <c r="CR11" s="85" t="n">
        <v>52.151</v>
      </c>
      <c r="CS11" s="85" t="n">
        <v>52.395</v>
      </c>
      <c r="CT11" s="85" t="n">
        <v>52.777</v>
      </c>
      <c r="CU11" s="85" t="n">
        <v>53.006</v>
      </c>
      <c r="CV11" s="85" t="n">
        <v>53.47</v>
      </c>
      <c r="CW11" s="85" t="n">
        <v>53.915</v>
      </c>
      <c r="CX11" s="85" t="n">
        <v>54.453</v>
      </c>
      <c r="CY11" s="85" t="n">
        <v>54.843</v>
      </c>
      <c r="CZ11" s="85" t="n">
        <v>55.145</v>
      </c>
      <c r="DA11" s="85" t="n">
        <v>55.463</v>
      </c>
      <c r="DB11" s="85" t="n">
        <v>55.761</v>
      </c>
      <c r="DC11" s="85" t="n">
        <v>55.822</v>
      </c>
      <c r="DD11" s="85" t="n">
        <v>56.1</v>
      </c>
      <c r="DE11" s="85" t="n">
        <v>56.281</v>
      </c>
      <c r="DF11" s="85" t="n">
        <v>56.599</v>
      </c>
      <c r="DG11" s="85" t="n">
        <v>56.985</v>
      </c>
      <c r="DH11" s="85" t="n">
        <v>57.13</v>
      </c>
      <c r="DI11" s="85" t="n">
        <v>57.497</v>
      </c>
      <c r="DJ11" s="85" t="n">
        <v>57.517</v>
      </c>
      <c r="DK11" s="85" t="n">
        <v>57.552</v>
      </c>
      <c r="DL11" s="85" t="n">
        <v>57.908</v>
      </c>
      <c r="DM11" s="85" t="n">
        <v>58.234</v>
      </c>
      <c r="DN11" s="85" t="n">
        <v>58.468</v>
      </c>
      <c r="DO11" s="85" t="n">
        <v>58.901</v>
      </c>
      <c r="DP11" s="85" t="n">
        <v>59.15</v>
      </c>
      <c r="DQ11" s="85" t="n">
        <v>59.654</v>
      </c>
      <c r="DR11" s="85" t="n">
        <v>60.126</v>
      </c>
      <c r="DS11" s="85" t="n">
        <v>60.811</v>
      </c>
      <c r="DT11" s="85" t="n">
        <v>61.209</v>
      </c>
      <c r="DU11" s="85" t="n">
        <v>61.569</v>
      </c>
      <c r="DV11" s="85" t="n">
        <v>61.949</v>
      </c>
      <c r="DW11" s="85" t="n">
        <v>62.108</v>
      </c>
      <c r="DX11" s="85" t="n">
        <v>62.303</v>
      </c>
      <c r="DY11" s="85" t="n">
        <v>62.638</v>
      </c>
      <c r="DZ11" s="85" t="n">
        <v>62.913</v>
      </c>
      <c r="EA11" s="85" t="n">
        <v>63.255</v>
      </c>
      <c r="EB11" s="85" t="n">
        <v>63.449</v>
      </c>
      <c r="EC11" s="85" t="n">
        <v>63.559</v>
      </c>
      <c r="ED11" s="85" t="n">
        <v>64.086</v>
      </c>
      <c r="EE11" s="85" t="n">
        <v>64.153</v>
      </c>
      <c r="EF11" s="85" t="n">
        <v>64.234</v>
      </c>
      <c r="EG11" s="85" t="n">
        <v>64.412</v>
      </c>
      <c r="EH11" s="85" t="n">
        <v>64.831</v>
      </c>
      <c r="EI11" s="85" t="n">
        <v>66.022</v>
      </c>
      <c r="EJ11" s="85" t="n">
        <v>67.8</v>
      </c>
      <c r="EK11" s="85" t="n">
        <v>69.428</v>
      </c>
      <c r="EL11" s="85" t="n">
        <v>70.015</v>
      </c>
      <c r="EM11" s="85" t="n">
        <v>71.332</v>
      </c>
      <c r="EN11" s="85" t="n">
        <v>72.921</v>
      </c>
      <c r="EO11" s="85" t="n">
        <v>73.938</v>
      </c>
      <c r="EP11" s="85" t="n">
        <v>74.397</v>
      </c>
      <c r="EQ11" s="85" t="n">
        <v>76.037</v>
      </c>
      <c r="ER11" s="85" t="n">
        <v>77.095</v>
      </c>
      <c r="ES11" s="85" t="n">
        <v>78.903</v>
      </c>
      <c r="ET11" s="85" t="n">
        <v>80.894</v>
      </c>
      <c r="EU11" s="85" t="n">
        <v>81.74</v>
      </c>
      <c r="EV11" s="85" t="n">
        <v>82.527</v>
      </c>
      <c r="EW11" s="85" t="n">
        <v>83.498</v>
      </c>
      <c r="EX11" s="85" t="n">
        <v>84.29</v>
      </c>
      <c r="EY11" s="85" t="n">
        <v>84.938</v>
      </c>
      <c r="EZ11" s="85" t="n">
        <v>86.036</v>
      </c>
      <c r="FA11" s="85" t="n">
        <v>87.612</v>
      </c>
      <c r="FB11" s="85" t="n">
        <v>88.159</v>
      </c>
      <c r="FC11" s="85" t="n">
        <v>87.385</v>
      </c>
      <c r="FD11" s="85" t="n">
        <v>86.597</v>
      </c>
      <c r="FE11" s="85" t="n">
        <v>86.53</v>
      </c>
      <c r="FF11" s="85" t="n">
        <v>86.775</v>
      </c>
      <c r="FG11" s="85" t="n">
        <v>87.153</v>
      </c>
      <c r="FH11" s="85" t="n">
        <v>87.427</v>
      </c>
      <c r="FI11" s="85" t="n">
        <v>87.82</v>
      </c>
      <c r="FJ11" s="85" t="n">
        <v>88.35</v>
      </c>
      <c r="FK11" s="85" t="n">
        <v>89.243</v>
      </c>
      <c r="FL11" s="85" t="n">
        <v>90.252</v>
      </c>
      <c r="FM11" s="85" t="n">
        <v>91.1</v>
      </c>
      <c r="FN11" s="85" t="n">
        <v>91.778</v>
      </c>
      <c r="FO11" s="85" t="n">
        <v>92.497</v>
      </c>
      <c r="FP11" s="85" t="n">
        <v>93.002</v>
      </c>
      <c r="FQ11" s="85" t="n">
        <v>93.183</v>
      </c>
      <c r="FR11" s="85" t="n">
        <v>93.552</v>
      </c>
      <c r="FS11" s="85" t="n">
        <v>94.016</v>
      </c>
      <c r="FT11" s="85" t="n">
        <v>94.519</v>
      </c>
      <c r="FU11" s="85" t="n">
        <v>95.222</v>
      </c>
      <c r="FV11" s="85" t="n">
        <v>95.751</v>
      </c>
      <c r="FW11" s="85" t="n">
        <v>96.175</v>
      </c>
      <c r="FX11" s="85" t="n">
        <v>96.62</v>
      </c>
      <c r="FY11" s="85" t="n">
        <v>96.779</v>
      </c>
      <c r="FZ11" s="85" t="n">
        <v>96.742</v>
      </c>
      <c r="GA11" s="85" t="n">
        <v>97.148</v>
      </c>
      <c r="GB11" s="85" t="n">
        <v>97.418</v>
      </c>
      <c r="GC11" s="85" t="n">
        <v>97.353</v>
      </c>
      <c r="GD11" s="85" t="n">
        <v>97.113</v>
      </c>
      <c r="GE11" s="85" t="n">
        <v>97.894</v>
      </c>
      <c r="GF11" s="85" t="n">
        <v>97.953</v>
      </c>
      <c r="GG11" s="85" t="n">
        <v>98.42</v>
      </c>
      <c r="GH11" s="85" t="n">
        <v>99.05</v>
      </c>
      <c r="GI11" s="85" t="n">
        <v>99.57</v>
      </c>
      <c r="GJ11" s="85" t="n">
        <v>100.412</v>
      </c>
      <c r="GK11" s="85" t="n">
        <v>100.968</v>
      </c>
      <c r="GL11" s="85" t="n">
        <v>101.911</v>
      </c>
      <c r="GM11" s="85" t="n">
        <v>103.214</v>
      </c>
      <c r="GN11" s="85" t="n">
        <v>103.897</v>
      </c>
      <c r="GO11" s="85" t="n">
        <v>104.945</v>
      </c>
      <c r="GP11" s="85" t="n">
        <v>105.341</v>
      </c>
      <c r="GQ11" s="85" t="n">
        <v>106.448</v>
      </c>
      <c r="GR11" s="85" t="n">
        <v>106.912</v>
      </c>
      <c r="GS11" s="85" t="n">
        <v>107.115</v>
      </c>
      <c r="GT11" s="85" t="n">
        <v>107.385</v>
      </c>
      <c r="GU11" s="85" t="n">
        <v>106.998</v>
      </c>
      <c r="GV11" s="85" t="n">
        <v>108.047</v>
      </c>
      <c r="GW11" s="85" t="n">
        <v>108.592</v>
      </c>
      <c r="GX11" s="85" t="n">
        <v>110.177</v>
      </c>
      <c r="GY11" s="85" t="n">
        <v>112.726</v>
      </c>
      <c r="GZ11" s="85" t="n">
        <v>115.161</v>
      </c>
      <c r="HA11" s="85" t="n">
        <v>118.591</v>
      </c>
      <c r="HB11" s="85" t="n">
        <v>122.117</v>
      </c>
      <c r="HC11" t="n">
        <v>126.141</v>
      </c>
      <c r="HD11" t="n">
        <v>129.051</v>
      </c>
      <c r="HE11" t="n">
        <v>130.795</v>
      </c>
      <c r="HF11" t="n">
        <v>132.404</v>
      </c>
      <c r="HG11" t="n">
        <v>132.474</v>
      </c>
      <c r="HH11" t="n">
        <v>132.668</v>
      </c>
      <c r="HI11" t="n">
        <v>133.067</v>
      </c>
      <c r="HJ11" t="n">
        <v>133.852</v>
      </c>
      <c r="HK11" t="n">
        <v>133.963</v>
      </c>
    </row>
    <row r="12">
      <c r="A12" s="85" t="s">
        <v>2520</v>
      </c>
      <c r="B12" s="85" t="n">
        <v>7</v>
      </c>
      <c r="C12" s="85" t="n">
        <v>7.2</v>
      </c>
      <c r="D12" s="85" t="n">
        <v>7.3</v>
      </c>
      <c r="E12" s="85" t="n">
        <v>7.5</v>
      </c>
      <c r="F12" s="85" t="n">
        <v>7.8</v>
      </c>
      <c r="G12" s="85" t="n">
        <v>8</v>
      </c>
      <c r="H12" s="85" t="n">
        <v>8.1</v>
      </c>
      <c r="I12" s="85" t="n">
        <v>8.3</v>
      </c>
      <c r="J12" s="85" t="n">
        <v>8.5</v>
      </c>
      <c r="K12" s="85" t="n">
        <v>8.7</v>
      </c>
      <c r="L12" s="85" t="n">
        <v>8.9</v>
      </c>
      <c r="M12" s="85" t="n">
        <v>9.2</v>
      </c>
      <c r="N12" s="85" t="n">
        <v>9.5</v>
      </c>
      <c r="O12" s="85" t="n">
        <v>10</v>
      </c>
      <c r="P12" s="85" t="n">
        <v>10.5</v>
      </c>
      <c r="Q12" s="85" t="n">
        <v>11</v>
      </c>
      <c r="R12" s="85" t="n">
        <v>11.7</v>
      </c>
      <c r="S12" s="85" t="n">
        <v>12.4</v>
      </c>
      <c r="T12" s="85" t="n">
        <v>13.1</v>
      </c>
      <c r="U12" s="85" t="n">
        <v>13.8</v>
      </c>
      <c r="V12" s="85" t="n">
        <v>14.5</v>
      </c>
      <c r="W12" s="85" t="n">
        <v>15.2</v>
      </c>
      <c r="X12" s="85" t="n">
        <v>16</v>
      </c>
      <c r="Y12" s="85" t="n">
        <v>16.8</v>
      </c>
      <c r="Z12" s="85" t="n">
        <v>17.6</v>
      </c>
      <c r="AA12" s="85" t="n">
        <v>18.4</v>
      </c>
      <c r="AB12" s="85" t="n">
        <v>19.2</v>
      </c>
      <c r="AC12" s="85" t="n">
        <v>20</v>
      </c>
      <c r="AD12" s="85" t="n">
        <v>20.9</v>
      </c>
      <c r="AE12" s="85" t="n">
        <v>21.7</v>
      </c>
      <c r="AF12" s="85" t="n">
        <v>22.5</v>
      </c>
      <c r="AG12" s="85" t="n">
        <v>23.3</v>
      </c>
      <c r="AH12" s="85" t="n">
        <v>24.2</v>
      </c>
      <c r="AI12" s="85" t="n">
        <v>25</v>
      </c>
      <c r="AJ12" s="85" t="n">
        <v>26</v>
      </c>
      <c r="AK12" s="85" t="n">
        <v>27</v>
      </c>
      <c r="AL12" s="85" t="n">
        <v>28</v>
      </c>
      <c r="AM12" s="85" t="n">
        <v>29.2</v>
      </c>
      <c r="AN12" s="85" t="n">
        <v>30.5</v>
      </c>
      <c r="AO12" s="85" t="n">
        <v>32</v>
      </c>
      <c r="AP12" s="85" t="n">
        <v>33.6</v>
      </c>
      <c r="AQ12" s="85" t="n">
        <v>35.3</v>
      </c>
      <c r="AR12" s="85" t="n">
        <v>37</v>
      </c>
      <c r="AS12" s="85" t="n">
        <v>38.8</v>
      </c>
      <c r="AT12" s="85" t="n">
        <v>40.7</v>
      </c>
      <c r="AU12" s="85" t="n">
        <v>42.6</v>
      </c>
      <c r="AV12" s="85" t="n">
        <v>44.4</v>
      </c>
      <c r="AW12" s="85" t="n">
        <v>46.3</v>
      </c>
      <c r="AX12" s="85" t="n">
        <v>48.2</v>
      </c>
      <c r="AY12" s="85" t="n">
        <v>50.1</v>
      </c>
      <c r="AZ12" s="85" t="n">
        <v>51.8</v>
      </c>
      <c r="BA12" s="85" t="n">
        <v>53.6</v>
      </c>
      <c r="BB12" s="85" t="n">
        <v>55.2</v>
      </c>
      <c r="BC12" s="85" t="n">
        <v>56.9</v>
      </c>
      <c r="BD12" s="85" t="n">
        <v>58.7</v>
      </c>
      <c r="BE12" s="85" t="n">
        <v>60.4</v>
      </c>
      <c r="BF12" s="85" t="n">
        <v>62.5</v>
      </c>
      <c r="BG12" s="85" t="n">
        <v>64.1</v>
      </c>
      <c r="BH12" s="85" t="n">
        <v>65.6</v>
      </c>
      <c r="BI12" s="85" t="n">
        <v>66.9</v>
      </c>
      <c r="BJ12" s="85" t="n">
        <v>67.9</v>
      </c>
      <c r="BK12" s="85" t="n">
        <v>69.1</v>
      </c>
      <c r="BL12" s="85" t="n">
        <v>70.3</v>
      </c>
      <c r="BM12" s="85" t="n">
        <v>71.6</v>
      </c>
      <c r="BN12" s="85" t="n">
        <v>73</v>
      </c>
      <c r="BO12" s="85" t="n">
        <v>74.5</v>
      </c>
      <c r="BP12" s="85" t="n">
        <v>76</v>
      </c>
      <c r="BQ12" s="85" t="n">
        <v>77.6</v>
      </c>
      <c r="BR12" s="85" t="n">
        <v>79.6</v>
      </c>
      <c r="BS12" s="85" t="n">
        <v>81.1</v>
      </c>
      <c r="BT12" s="85" t="n">
        <v>82.3</v>
      </c>
      <c r="BU12" s="85" t="n">
        <v>83.3</v>
      </c>
      <c r="BV12" s="85" t="n">
        <v>83.4</v>
      </c>
      <c r="BW12" s="85" t="n">
        <v>85</v>
      </c>
      <c r="BX12" s="85" t="n">
        <v>87</v>
      </c>
      <c r="BY12" s="85" t="n">
        <v>89.7</v>
      </c>
      <c r="BZ12" s="85" t="n">
        <v>93.8</v>
      </c>
      <c r="CA12" s="85" t="n">
        <v>96.9</v>
      </c>
      <c r="CB12" s="85" t="n">
        <v>99.7</v>
      </c>
      <c r="CC12" s="85" t="n">
        <v>102.3</v>
      </c>
      <c r="CD12" s="85" t="n">
        <v>104.3</v>
      </c>
      <c r="CE12" s="85" t="n">
        <v>106.5</v>
      </c>
      <c r="CF12" s="85" t="n">
        <v>108.7</v>
      </c>
      <c r="CG12" s="85" t="n">
        <v>111</v>
      </c>
      <c r="CH12" s="85" t="n">
        <v>112.9</v>
      </c>
      <c r="CI12" s="85" t="n">
        <v>115.7</v>
      </c>
      <c r="CJ12" s="85" t="n">
        <v>118.9</v>
      </c>
      <c r="CK12" s="85" t="n">
        <v>122.5</v>
      </c>
      <c r="CL12" s="85" t="n">
        <v>127.2</v>
      </c>
      <c r="CM12" s="85" t="n">
        <v>131</v>
      </c>
      <c r="CN12" s="85" t="n">
        <v>134.5</v>
      </c>
      <c r="CO12" s="85" t="n">
        <v>137.7</v>
      </c>
      <c r="CP12" s="85" t="n">
        <v>143.4</v>
      </c>
      <c r="CQ12" s="85" t="n">
        <v>144.7</v>
      </c>
      <c r="CR12" s="85" t="n">
        <v>147.5</v>
      </c>
      <c r="CS12" s="85" t="n">
        <v>151.6</v>
      </c>
      <c r="CT12" s="85" t="n">
        <v>156.9</v>
      </c>
      <c r="CU12" s="85" t="n">
        <v>162.2</v>
      </c>
      <c r="CV12" s="85" t="n">
        <v>167.1</v>
      </c>
      <c r="CW12" s="85" t="n">
        <v>171.6</v>
      </c>
      <c r="CX12" s="85" t="n">
        <v>175.7</v>
      </c>
      <c r="CY12" s="85" t="n">
        <v>179.6</v>
      </c>
      <c r="CZ12" s="85" t="n">
        <v>183.2</v>
      </c>
      <c r="DA12" s="85" t="n">
        <v>186.5</v>
      </c>
      <c r="DB12" s="85" t="n">
        <v>189.6</v>
      </c>
      <c r="DC12" s="85" t="n">
        <v>192.9</v>
      </c>
      <c r="DD12" s="85" t="n">
        <v>196.5</v>
      </c>
      <c r="DE12" s="85" t="n">
        <v>200.4</v>
      </c>
      <c r="DF12" s="85" t="n">
        <v>204.4</v>
      </c>
      <c r="DG12" s="85" t="n">
        <v>207.1</v>
      </c>
      <c r="DH12" s="85" t="n">
        <v>208.3</v>
      </c>
      <c r="DI12" s="85" t="n">
        <v>207.9</v>
      </c>
      <c r="DJ12" s="85" t="n">
        <v>206.4</v>
      </c>
      <c r="DK12" s="85" t="n">
        <v>205.3</v>
      </c>
      <c r="DL12" s="85" t="n">
        <v>205</v>
      </c>
      <c r="DM12" s="85" t="n">
        <v>205.5</v>
      </c>
      <c r="DN12" s="85" t="n">
        <v>206.6</v>
      </c>
      <c r="DO12" s="85" t="n">
        <v>207.9</v>
      </c>
      <c r="DP12" s="85" t="n">
        <v>209.4</v>
      </c>
      <c r="DQ12" s="85" t="n">
        <v>211</v>
      </c>
      <c r="DR12" s="85" t="n">
        <v>213</v>
      </c>
      <c r="DS12" s="85" t="n">
        <v>216.1</v>
      </c>
      <c r="DT12" s="85" t="n">
        <v>220.7</v>
      </c>
      <c r="DU12" s="85" t="n">
        <v>226.7</v>
      </c>
      <c r="DV12" s="85" t="n">
        <v>233.8</v>
      </c>
      <c r="DW12" s="85" t="n">
        <v>240.4</v>
      </c>
      <c r="DX12" s="85" t="n">
        <v>245.8</v>
      </c>
      <c r="DY12" s="85" t="n">
        <v>250.3</v>
      </c>
      <c r="DZ12" s="85" t="n">
        <v>254.1</v>
      </c>
      <c r="EA12" s="85" t="n">
        <v>257.9</v>
      </c>
      <c r="EB12" s="85" t="n">
        <v>261.6</v>
      </c>
      <c r="EC12" s="85" t="n">
        <v>265.2</v>
      </c>
      <c r="ED12" s="85" t="n">
        <v>268.9</v>
      </c>
      <c r="EE12" s="85" t="n">
        <v>273.4</v>
      </c>
      <c r="EF12" s="85" t="n">
        <v>279</v>
      </c>
      <c r="EG12" s="85" t="n">
        <v>285.5</v>
      </c>
      <c r="EH12" s="85" t="n">
        <v>293</v>
      </c>
      <c r="EI12" s="85" t="n">
        <v>300.4</v>
      </c>
      <c r="EJ12" s="85" t="n">
        <v>308.6</v>
      </c>
      <c r="EK12" s="85" t="n">
        <v>315.4</v>
      </c>
      <c r="EL12" s="85" t="n">
        <v>323.2</v>
      </c>
      <c r="EM12" s="85" t="n">
        <v>329.2</v>
      </c>
      <c r="EN12" s="85" t="n">
        <v>335.1</v>
      </c>
      <c r="EO12" s="85" t="n">
        <v>341</v>
      </c>
      <c r="EP12" s="85" t="n">
        <v>389.6</v>
      </c>
      <c r="EQ12" s="85" t="n">
        <v>395.6</v>
      </c>
      <c r="ER12" s="85" t="n">
        <v>402.1</v>
      </c>
      <c r="ES12" s="85" t="n">
        <v>409.1</v>
      </c>
      <c r="ET12" s="85" t="n">
        <v>416.4</v>
      </c>
      <c r="EU12" s="85" t="n">
        <v>424.1</v>
      </c>
      <c r="EV12" s="85" t="n">
        <v>432</v>
      </c>
      <c r="EW12" s="85" t="n">
        <v>440.3</v>
      </c>
      <c r="EX12" s="85" t="n">
        <v>448.8</v>
      </c>
      <c r="EY12" s="85" t="n">
        <v>457.3</v>
      </c>
      <c r="EZ12" s="85" t="n">
        <v>465.9</v>
      </c>
      <c r="FA12" s="85" t="n">
        <v>474.5</v>
      </c>
      <c r="FB12" s="85" t="n">
        <v>482.9</v>
      </c>
      <c r="FC12" s="85" t="n">
        <v>490.4</v>
      </c>
      <c r="FD12" s="85" t="n">
        <v>496.7</v>
      </c>
      <c r="FE12" s="85" t="n">
        <v>501.8</v>
      </c>
      <c r="FF12" s="85" t="n">
        <v>506</v>
      </c>
      <c r="FG12" s="85" t="n">
        <v>510.5</v>
      </c>
      <c r="FH12" s="85" t="n">
        <v>515.7</v>
      </c>
      <c r="FI12" s="85" t="n">
        <v>521.4</v>
      </c>
      <c r="FJ12" s="85" t="n">
        <v>527.6</v>
      </c>
      <c r="FK12" s="85" t="n">
        <v>533.4</v>
      </c>
      <c r="FL12" s="85" t="n">
        <v>538.5</v>
      </c>
      <c r="FM12" s="85" t="n">
        <v>542.9</v>
      </c>
      <c r="FN12" s="85" t="n">
        <v>547</v>
      </c>
      <c r="FO12" s="85" t="n">
        <v>551.6</v>
      </c>
      <c r="FP12" s="85" t="n">
        <v>557.1</v>
      </c>
      <c r="FQ12" s="85" t="n">
        <v>563.4</v>
      </c>
      <c r="FR12" s="85" t="n">
        <v>570.3</v>
      </c>
      <c r="FS12" s="85" t="n">
        <v>567.1</v>
      </c>
      <c r="FT12" s="85" t="n">
        <v>573.7</v>
      </c>
      <c r="FU12" s="85" t="n">
        <v>580.2</v>
      </c>
      <c r="FV12" s="85" t="n">
        <v>587.5</v>
      </c>
      <c r="FW12" s="85" t="n">
        <v>595.6</v>
      </c>
      <c r="FX12" s="85" t="n">
        <v>604</v>
      </c>
      <c r="FY12" s="85" t="n">
        <v>612.8</v>
      </c>
      <c r="FZ12" s="85" t="n">
        <v>622.4</v>
      </c>
      <c r="GA12" s="85" t="n">
        <v>631.5</v>
      </c>
      <c r="GB12" s="85" t="n">
        <v>639.5</v>
      </c>
      <c r="GC12" s="85" t="n">
        <v>646.4</v>
      </c>
      <c r="GD12" s="85" t="n">
        <v>652.4</v>
      </c>
      <c r="GE12" s="85" t="n">
        <v>658.6</v>
      </c>
      <c r="GF12" s="85" t="n">
        <v>665.2</v>
      </c>
      <c r="GG12" s="85" t="n">
        <v>672.2</v>
      </c>
      <c r="GH12" s="85" t="n">
        <v>678.5</v>
      </c>
      <c r="GI12" s="85" t="n">
        <v>687.4</v>
      </c>
      <c r="GJ12" s="85" t="n">
        <v>696.3</v>
      </c>
      <c r="GK12" s="85" t="n">
        <v>705.1</v>
      </c>
      <c r="GL12" s="85" t="n">
        <v>714.4</v>
      </c>
      <c r="GM12" s="85" t="n">
        <v>725.7</v>
      </c>
      <c r="GN12" s="85" t="n">
        <v>739.2</v>
      </c>
      <c r="GO12" s="85" t="n">
        <v>755</v>
      </c>
      <c r="GP12" s="85" t="n">
        <v>773.5</v>
      </c>
      <c r="GQ12" s="85" t="n">
        <v>788.5</v>
      </c>
      <c r="GR12" s="85" t="n">
        <v>798</v>
      </c>
      <c r="GS12" s="85" t="n">
        <v>802</v>
      </c>
      <c r="GT12" s="85" t="n">
        <v>801.9</v>
      </c>
      <c r="GU12" s="85" t="n">
        <v>814.3</v>
      </c>
      <c r="GV12" s="85" t="n">
        <v>826.6</v>
      </c>
      <c r="GW12" s="85" t="n">
        <v>838.8</v>
      </c>
      <c r="GX12" s="85" t="n">
        <v>854.9</v>
      </c>
      <c r="GY12" s="85" t="n">
        <v>871.2</v>
      </c>
      <c r="GZ12" s="85" t="n">
        <v>887.1</v>
      </c>
      <c r="HA12" s="85" t="n">
        <v>902.4</v>
      </c>
      <c r="HB12" s="85" t="n">
        <v>917.6</v>
      </c>
      <c r="HC12" t="n">
        <v>926.6</v>
      </c>
      <c r="HD12" t="n">
        <v>937.4</v>
      </c>
      <c r="HE12" t="n">
        <v>958.5</v>
      </c>
      <c r="HF12" t="n">
        <v>981.1</v>
      </c>
      <c r="HG12" t="n">
        <v>1001.8</v>
      </c>
      <c r="HH12" t="n">
        <v>1019.9</v>
      </c>
      <c r="HI12" t="n">
        <v>1035.3</v>
      </c>
      <c r="HJ12" t="n">
        <v>1049.2</v>
      </c>
      <c r="HK12" t="n">
        <v>1067.1</v>
      </c>
    </row>
    <row r="13">
      <c r="A13" s="85" t="s">
        <v>2521</v>
      </c>
      <c r="B13" s="85" t="n">
        <v>5</v>
      </c>
      <c r="C13" s="85" t="n">
        <v>5.3</v>
      </c>
      <c r="D13" s="85" t="n">
        <v>5.6</v>
      </c>
      <c r="E13" s="85" t="n">
        <v>5.9</v>
      </c>
      <c r="F13" s="85" t="n">
        <v>6.2</v>
      </c>
      <c r="G13" s="85" t="n">
        <v>6.6</v>
      </c>
      <c r="H13" s="85" t="n">
        <v>6.9</v>
      </c>
      <c r="I13" s="85" t="n">
        <v>7.3</v>
      </c>
      <c r="J13" s="85" t="n">
        <v>7.8</v>
      </c>
      <c r="K13" s="85" t="n">
        <v>8</v>
      </c>
      <c r="L13" s="85" t="n">
        <v>8.6</v>
      </c>
      <c r="M13" s="85" t="n">
        <v>8.5</v>
      </c>
      <c r="N13" s="85" t="n">
        <v>9</v>
      </c>
      <c r="O13" s="85" t="n">
        <v>9.6</v>
      </c>
      <c r="P13" s="85" t="n">
        <v>9.7</v>
      </c>
      <c r="Q13" s="85" t="n">
        <v>10.1</v>
      </c>
      <c r="R13" s="85" t="n">
        <v>10.2</v>
      </c>
      <c r="S13" s="85" t="n">
        <v>11.1</v>
      </c>
      <c r="T13" s="85" t="n">
        <v>11.4</v>
      </c>
      <c r="U13" s="85" t="n">
        <v>12</v>
      </c>
      <c r="V13" s="85" t="n">
        <v>13.3</v>
      </c>
      <c r="W13" s="85" t="n">
        <v>13.8</v>
      </c>
      <c r="X13" s="85" t="n">
        <v>13.8</v>
      </c>
      <c r="Y13" s="85" t="n">
        <v>14.6</v>
      </c>
      <c r="Z13" s="85" t="n">
        <v>15.2</v>
      </c>
      <c r="AA13" s="85" t="n">
        <v>14.9</v>
      </c>
      <c r="AB13" s="85" t="n">
        <v>15.9</v>
      </c>
      <c r="AC13" s="85" t="n">
        <v>15.9</v>
      </c>
      <c r="AD13" s="85" t="n">
        <v>16.2</v>
      </c>
      <c r="AE13" s="85" t="n">
        <v>17.5</v>
      </c>
      <c r="AF13" s="85" t="n">
        <v>16.7</v>
      </c>
      <c r="AG13" s="85" t="n">
        <v>16.5</v>
      </c>
      <c r="AH13" s="85" t="n">
        <v>17.5</v>
      </c>
      <c r="AI13" s="85" t="n">
        <v>18.6</v>
      </c>
      <c r="AJ13" s="85" t="n">
        <v>18.9</v>
      </c>
      <c r="AK13" s="85" t="n">
        <v>19.5</v>
      </c>
      <c r="AL13" s="85" t="n">
        <v>20</v>
      </c>
      <c r="AM13" s="85" t="n">
        <v>20.8</v>
      </c>
      <c r="AN13" s="85" t="n">
        <v>21.1</v>
      </c>
      <c r="AO13" s="85" t="n">
        <v>22.4</v>
      </c>
      <c r="AP13" s="85" t="n">
        <v>23.4</v>
      </c>
      <c r="AQ13" s="85" t="n">
        <v>22.2</v>
      </c>
      <c r="AR13" s="85" t="n">
        <v>24.2</v>
      </c>
      <c r="AS13" s="85" t="n">
        <v>25.6</v>
      </c>
      <c r="AT13" s="85" t="n">
        <v>26.5</v>
      </c>
      <c r="AU13" s="85" t="n">
        <v>28.1</v>
      </c>
      <c r="AV13" s="85" t="n">
        <v>28.3</v>
      </c>
      <c r="AW13" s="85" t="n">
        <v>28</v>
      </c>
      <c r="AX13" s="85" t="n">
        <v>28.8</v>
      </c>
      <c r="AY13" s="85" t="n">
        <v>30.2</v>
      </c>
      <c r="AZ13" s="85" t="n">
        <v>30.8</v>
      </c>
      <c r="BA13" s="85" t="n">
        <v>30.8</v>
      </c>
      <c r="BB13" s="85" t="n">
        <v>33.2</v>
      </c>
      <c r="BC13" s="85" t="n">
        <v>33.4</v>
      </c>
      <c r="BD13" s="85" t="n">
        <v>34</v>
      </c>
      <c r="BE13" s="85" t="n">
        <v>34.9</v>
      </c>
      <c r="BF13" s="85" t="n">
        <v>35.7</v>
      </c>
      <c r="BG13" s="85" t="n">
        <v>36.2</v>
      </c>
      <c r="BH13" s="85" t="n">
        <v>36.8</v>
      </c>
      <c r="BI13" s="85" t="n">
        <v>37.6</v>
      </c>
      <c r="BJ13" s="85" t="n">
        <v>38.4</v>
      </c>
      <c r="BK13" s="85" t="n">
        <v>39.2</v>
      </c>
      <c r="BL13" s="85" t="n">
        <v>40.1</v>
      </c>
      <c r="BM13" s="85" t="n">
        <v>41.1</v>
      </c>
      <c r="BN13" s="85" t="n">
        <v>42.1</v>
      </c>
      <c r="BO13" s="85" t="n">
        <v>43.1</v>
      </c>
      <c r="BP13" s="85" t="n">
        <v>44.1</v>
      </c>
      <c r="BQ13" s="85" t="n">
        <v>45.2</v>
      </c>
      <c r="BR13" s="85" t="n">
        <v>46.2</v>
      </c>
      <c r="BS13" s="85" t="n">
        <v>47.3</v>
      </c>
      <c r="BT13" s="85" t="n">
        <v>48.4</v>
      </c>
      <c r="BU13" s="85" t="n">
        <v>49.4</v>
      </c>
      <c r="BV13" s="85" t="n">
        <v>50.9</v>
      </c>
      <c r="BW13" s="85" t="n">
        <v>52.2</v>
      </c>
      <c r="BX13" s="85" t="n">
        <v>53.7</v>
      </c>
      <c r="BY13" s="85" t="n">
        <v>55.4</v>
      </c>
      <c r="BZ13" s="85" t="n">
        <v>57.4</v>
      </c>
      <c r="CA13" s="85" t="n">
        <v>59.6</v>
      </c>
      <c r="CB13" s="85" t="n">
        <v>61.9</v>
      </c>
      <c r="CC13" s="85" t="n">
        <v>64.4</v>
      </c>
      <c r="CD13" s="85" t="n">
        <v>66.6</v>
      </c>
      <c r="CE13" s="85" t="n">
        <v>70.3</v>
      </c>
      <c r="CF13" s="85" t="n">
        <v>74.9</v>
      </c>
      <c r="CG13" s="85" t="n">
        <v>80.7</v>
      </c>
      <c r="CH13" s="85" t="n">
        <v>83.7</v>
      </c>
      <c r="CI13" s="85" t="n">
        <v>93.1</v>
      </c>
      <c r="CJ13" s="85" t="n">
        <v>98.4</v>
      </c>
      <c r="CK13" s="85" t="n">
        <v>112.5</v>
      </c>
      <c r="CL13" s="85" t="n">
        <v>108.3</v>
      </c>
      <c r="CM13" s="85" t="n">
        <v>115.4</v>
      </c>
      <c r="CN13" s="85" t="n">
        <v>120.6</v>
      </c>
      <c r="CO13" s="85" t="n">
        <v>120.8</v>
      </c>
      <c r="CP13" s="85" t="n">
        <v>124.4</v>
      </c>
      <c r="CQ13" s="85" t="n">
        <v>124.8</v>
      </c>
      <c r="CR13" s="85" t="n">
        <v>135.2</v>
      </c>
      <c r="CS13" s="85" t="n">
        <v>136</v>
      </c>
      <c r="CT13" s="85" t="n">
        <v>136.6</v>
      </c>
      <c r="CU13" s="85" t="n">
        <v>137.1</v>
      </c>
      <c r="CV13" s="85" t="n">
        <v>136.2</v>
      </c>
      <c r="CW13" s="85" t="n">
        <v>147.8</v>
      </c>
      <c r="CX13" s="85" t="n">
        <v>152.5</v>
      </c>
      <c r="CY13" s="85" t="n">
        <v>152.5</v>
      </c>
      <c r="CZ13" s="85" t="n">
        <v>152.7</v>
      </c>
      <c r="DA13" s="85" t="n">
        <v>140.7</v>
      </c>
      <c r="DB13" s="85" t="n">
        <v>151.3</v>
      </c>
      <c r="DC13" s="85" t="n">
        <v>165.8</v>
      </c>
      <c r="DD13" s="85" t="n">
        <v>158.8</v>
      </c>
      <c r="DE13" s="85" t="n">
        <v>156.9</v>
      </c>
      <c r="DF13" s="85" t="n">
        <v>161.4</v>
      </c>
      <c r="DG13" s="85" t="n">
        <v>159.4</v>
      </c>
      <c r="DH13" s="85" t="n">
        <v>163.7</v>
      </c>
      <c r="DI13" s="85" t="n">
        <v>168</v>
      </c>
      <c r="DJ13" s="85" t="n">
        <v>167.2</v>
      </c>
      <c r="DK13" s="85" t="n">
        <v>170</v>
      </c>
      <c r="DL13" s="85" t="n">
        <v>168.1</v>
      </c>
      <c r="DM13" s="85" t="n">
        <v>175.4</v>
      </c>
      <c r="DN13" s="85" t="n">
        <v>181.1</v>
      </c>
      <c r="DO13" s="85" t="n">
        <v>179.1</v>
      </c>
      <c r="DP13" s="85" t="n">
        <v>186.7</v>
      </c>
      <c r="DQ13" s="85" t="n">
        <v>191.3</v>
      </c>
      <c r="DR13" s="85" t="n">
        <v>190.2</v>
      </c>
      <c r="DS13" s="85" t="n">
        <v>198.3</v>
      </c>
      <c r="DT13" s="85" t="n">
        <v>204.8</v>
      </c>
      <c r="DU13" s="85" t="n">
        <v>204.8</v>
      </c>
      <c r="DV13" s="85" t="n">
        <v>215</v>
      </c>
      <c r="DW13" s="85" t="n">
        <v>230.1</v>
      </c>
      <c r="DX13" s="85" t="n">
        <v>217.4</v>
      </c>
      <c r="DY13" s="85" t="n">
        <v>246.5</v>
      </c>
      <c r="DZ13" s="85" t="n">
        <v>244.9</v>
      </c>
      <c r="EA13" s="85" t="n">
        <v>243.8</v>
      </c>
      <c r="EB13" s="85" t="n">
        <v>251.1</v>
      </c>
      <c r="EC13" s="85" t="n">
        <v>260.3</v>
      </c>
      <c r="ED13" s="85" t="n">
        <v>260.7</v>
      </c>
      <c r="EE13" s="85" t="n">
        <v>260.1</v>
      </c>
      <c r="EF13" s="85" t="n">
        <v>271.7</v>
      </c>
      <c r="EG13" s="85" t="n">
        <v>265.7</v>
      </c>
      <c r="EH13" s="85" t="n">
        <v>283.4</v>
      </c>
      <c r="EI13" s="85" t="n">
        <v>293</v>
      </c>
      <c r="EJ13" s="85" t="n">
        <v>288.3</v>
      </c>
      <c r="EK13" s="85" t="n">
        <v>294.5</v>
      </c>
      <c r="EL13" s="85" t="n">
        <v>301.3</v>
      </c>
      <c r="EM13" s="85" t="n">
        <v>310.8</v>
      </c>
      <c r="EN13" s="85" t="n">
        <v>300.1</v>
      </c>
      <c r="EO13" s="85" t="n">
        <v>305.4</v>
      </c>
      <c r="EP13" s="85" t="n">
        <v>291.3</v>
      </c>
      <c r="EQ13" s="85" t="n">
        <v>294.9</v>
      </c>
      <c r="ER13" s="85" t="n">
        <v>308.7</v>
      </c>
      <c r="ES13" s="85" t="n">
        <v>301.4</v>
      </c>
      <c r="ET13" s="85" t="n">
        <v>332.5</v>
      </c>
      <c r="EU13" s="85" t="n">
        <v>314.7</v>
      </c>
      <c r="EV13" s="85" t="n">
        <v>319.6</v>
      </c>
      <c r="EW13" s="85" t="n">
        <v>329.9</v>
      </c>
      <c r="EX13" s="85" t="n">
        <v>331.6</v>
      </c>
      <c r="EY13" s="85" t="n">
        <v>339.2</v>
      </c>
      <c r="EZ13" s="85" t="n">
        <v>340.8</v>
      </c>
      <c r="FA13" s="85" t="n">
        <v>341.8</v>
      </c>
      <c r="FB13" s="85" t="n">
        <v>358.4</v>
      </c>
      <c r="FC13" s="85" t="n">
        <v>368.9</v>
      </c>
      <c r="FD13" s="85" t="n">
        <v>378.2</v>
      </c>
      <c r="FE13" s="85" t="n">
        <v>372.8</v>
      </c>
      <c r="FF13" s="85" t="n">
        <v>382.1</v>
      </c>
      <c r="FG13" s="85" t="n">
        <v>385.7</v>
      </c>
      <c r="FH13" s="85" t="n">
        <v>405.6</v>
      </c>
      <c r="FI13" s="85" t="n">
        <v>414.1</v>
      </c>
      <c r="FJ13" s="85" t="n">
        <v>418.8</v>
      </c>
      <c r="FK13" s="85" t="n">
        <v>409.7</v>
      </c>
      <c r="FL13" s="85" t="n">
        <v>396.4</v>
      </c>
      <c r="FM13" s="85" t="n">
        <v>399.3</v>
      </c>
      <c r="FN13" s="85" t="n">
        <v>400.6</v>
      </c>
      <c r="FO13" s="85" t="n">
        <v>421.7</v>
      </c>
      <c r="FP13" s="85" t="n">
        <v>419</v>
      </c>
      <c r="FQ13" s="85" t="n">
        <v>428.9</v>
      </c>
      <c r="FR13" s="85" t="n">
        <v>424.8</v>
      </c>
      <c r="FS13" s="85" t="n">
        <v>438.4</v>
      </c>
      <c r="FT13" s="85" t="n">
        <v>448.2</v>
      </c>
      <c r="FU13" s="85" t="n">
        <v>448.6</v>
      </c>
      <c r="FV13" s="85" t="n">
        <v>459.5</v>
      </c>
      <c r="FW13" s="85" t="n">
        <v>481.5</v>
      </c>
      <c r="FX13" s="85" t="n">
        <v>507.2</v>
      </c>
      <c r="FY13" s="85" t="n">
        <v>515.3</v>
      </c>
      <c r="FZ13" s="85" t="n">
        <v>523.6</v>
      </c>
      <c r="GA13" s="85" t="n">
        <v>537.9</v>
      </c>
      <c r="GB13" s="85" t="n">
        <v>540.4</v>
      </c>
      <c r="GC13" s="85" t="n">
        <v>541.8</v>
      </c>
      <c r="GD13" s="85" t="n">
        <v>550.5</v>
      </c>
      <c r="GE13" s="85" t="n">
        <v>558.8</v>
      </c>
      <c r="GF13" s="85" t="n">
        <v>566.5</v>
      </c>
      <c r="GG13" s="85" t="n">
        <v>575.3</v>
      </c>
      <c r="GH13" s="85" t="n">
        <v>572.4</v>
      </c>
      <c r="GI13" s="85" t="n">
        <v>567.9</v>
      </c>
      <c r="GJ13" s="85" t="n">
        <v>578.8</v>
      </c>
      <c r="GK13" s="85" t="n">
        <v>575.8</v>
      </c>
      <c r="GL13" s="85" t="n">
        <v>581.9</v>
      </c>
      <c r="GM13" s="85" t="n">
        <v>592.6</v>
      </c>
      <c r="GN13" s="85" t="n">
        <v>595</v>
      </c>
      <c r="GO13" s="85" t="n">
        <v>589.5</v>
      </c>
      <c r="GP13" s="85" t="n">
        <v>598.7</v>
      </c>
      <c r="GQ13" s="85" t="n">
        <v>614.4</v>
      </c>
      <c r="GR13" s="85" t="n">
        <v>622.4</v>
      </c>
      <c r="GS13" s="85" t="n">
        <v>620.6</v>
      </c>
      <c r="GT13" s="85" t="n">
        <v>606.5</v>
      </c>
      <c r="GU13" s="85" t="n">
        <v>654.6</v>
      </c>
      <c r="GV13" s="85" t="n">
        <v>690.8</v>
      </c>
      <c r="GW13" s="85" t="n">
        <v>678.6</v>
      </c>
      <c r="GX13" s="85" t="n">
        <v>704.9</v>
      </c>
      <c r="GY13" s="85" t="n">
        <v>745.6</v>
      </c>
      <c r="GZ13" s="85" t="n">
        <v>749.2</v>
      </c>
      <c r="HA13" s="85" t="n">
        <v>746.3</v>
      </c>
      <c r="HB13" s="85" t="n">
        <v>791.9</v>
      </c>
      <c r="HC13" t="n">
        <v>819.2</v>
      </c>
      <c r="HD13" t="n">
        <v>819</v>
      </c>
      <c r="HE13" t="n">
        <v>827.5</v>
      </c>
      <c r="HF13" t="n">
        <v>877.6</v>
      </c>
      <c r="HG13" t="n">
        <v>911.6</v>
      </c>
      <c r="HH13" t="n">
        <v>867.2</v>
      </c>
      <c r="HI13" t="n">
        <v>856.2</v>
      </c>
      <c r="HJ13" t="n">
        <v>904.8</v>
      </c>
      <c r="HK13" t="n">
        <v>924.7</v>
      </c>
    </row>
    <row r="14">
      <c r="A14" s="85" t="s">
        <v>2522</v>
      </c>
      <c r="B14" s="85" t="n">
        <v>2.9</v>
      </c>
      <c r="C14" s="85" t="n">
        <v>3.9</v>
      </c>
      <c r="D14" s="85" t="n">
        <v>4.6</v>
      </c>
      <c r="E14" s="85" t="n">
        <v>5.4</v>
      </c>
      <c r="F14" s="85" t="n">
        <v>5.7</v>
      </c>
      <c r="G14" s="85" t="n">
        <v>6.3</v>
      </c>
      <c r="H14" s="85" t="n">
        <v>6.3</v>
      </c>
      <c r="I14" s="85" t="n">
        <v>6.3</v>
      </c>
      <c r="J14" s="85" t="n">
        <v>6.5</v>
      </c>
      <c r="K14" s="85" t="n">
        <v>6.9</v>
      </c>
      <c r="L14" s="85" t="n">
        <v>5.8</v>
      </c>
      <c r="M14" s="85" t="n">
        <v>5</v>
      </c>
      <c r="N14" s="85" t="n">
        <v>4.6</v>
      </c>
      <c r="O14" s="85" t="n">
        <v>4.5</v>
      </c>
      <c r="P14" s="85" t="n">
        <v>4.5</v>
      </c>
      <c r="Q14" s="85" t="n">
        <v>4.7</v>
      </c>
      <c r="R14" s="85" t="n">
        <v>5.8</v>
      </c>
      <c r="S14" s="85" t="n">
        <v>6.7</v>
      </c>
      <c r="T14" s="85" t="n">
        <v>6.9</v>
      </c>
      <c r="U14" s="85" t="n">
        <v>8.6</v>
      </c>
      <c r="V14" s="85" t="n">
        <v>14.2</v>
      </c>
      <c r="W14" s="85" t="n">
        <v>19.4</v>
      </c>
      <c r="X14" s="85" t="n">
        <v>20.2</v>
      </c>
      <c r="Y14" s="85" t="n">
        <v>18.8</v>
      </c>
      <c r="Z14" s="85" t="n">
        <v>17.7</v>
      </c>
      <c r="AA14" s="85" t="n">
        <v>16.3</v>
      </c>
      <c r="AB14" s="85" t="n">
        <v>16.1</v>
      </c>
      <c r="AC14" s="85" t="n">
        <v>15.5</v>
      </c>
      <c r="AD14" s="85" t="n">
        <v>15.5</v>
      </c>
      <c r="AE14" s="85" t="n">
        <v>13.3</v>
      </c>
      <c r="AF14" s="85" t="n">
        <v>11.9</v>
      </c>
      <c r="AG14" s="85" t="n">
        <v>11.8</v>
      </c>
      <c r="AH14" s="85" t="n">
        <v>10.8</v>
      </c>
      <c r="AI14" s="85" t="n">
        <v>9.4</v>
      </c>
      <c r="AJ14" s="85" t="n">
        <v>9</v>
      </c>
      <c r="AK14" s="85" t="n">
        <v>8.5</v>
      </c>
      <c r="AL14" s="85" t="n">
        <v>9.4</v>
      </c>
      <c r="AM14" s="85" t="n">
        <v>9.2</v>
      </c>
      <c r="AN14" s="85" t="n">
        <v>9.6</v>
      </c>
      <c r="AO14" s="85" t="n">
        <v>10.6</v>
      </c>
      <c r="AP14" s="85" t="n">
        <v>12</v>
      </c>
      <c r="AQ14" s="85" t="n">
        <v>15.7</v>
      </c>
      <c r="AR14" s="85" t="n">
        <v>19</v>
      </c>
      <c r="AS14" s="85" t="n">
        <v>17.8</v>
      </c>
      <c r="AT14" s="85" t="n">
        <v>16.4</v>
      </c>
      <c r="AU14" s="85" t="n">
        <v>15.5</v>
      </c>
      <c r="AV14" s="85" t="n">
        <v>15</v>
      </c>
      <c r="AW14" s="85" t="n">
        <v>16.6</v>
      </c>
      <c r="AX14" s="85" t="n">
        <v>19.1</v>
      </c>
      <c r="AY14" s="85" t="n">
        <v>23.9</v>
      </c>
      <c r="AZ14" s="85" t="n">
        <v>26.1</v>
      </c>
      <c r="BA14" s="85" t="n">
        <v>31.8</v>
      </c>
      <c r="BB14" s="85" t="n">
        <v>30.3</v>
      </c>
      <c r="BC14" s="85" t="n">
        <v>32.1</v>
      </c>
      <c r="BD14" s="85" t="n">
        <v>23.3</v>
      </c>
      <c r="BE14" s="85" t="n">
        <v>20</v>
      </c>
      <c r="BF14" s="85" t="n">
        <v>17.3</v>
      </c>
      <c r="BG14" s="85" t="n">
        <v>15.7</v>
      </c>
      <c r="BH14" s="85" t="n">
        <v>15.1</v>
      </c>
      <c r="BI14" s="85" t="n">
        <v>15.9</v>
      </c>
      <c r="BJ14" s="85" t="n">
        <v>16.9</v>
      </c>
      <c r="BK14" s="85" t="n">
        <v>16</v>
      </c>
      <c r="BL14" s="85" t="n">
        <v>15</v>
      </c>
      <c r="BM14" s="85" t="n">
        <v>15.6</v>
      </c>
      <c r="BN14" s="85" t="n">
        <v>15.6</v>
      </c>
      <c r="BO14" s="85" t="n">
        <v>16.4</v>
      </c>
      <c r="BP14" s="85" t="n">
        <v>17</v>
      </c>
      <c r="BQ14" s="85" t="n">
        <v>16.9</v>
      </c>
      <c r="BR14" s="85" t="n">
        <v>15.5</v>
      </c>
      <c r="BS14" s="85" t="n">
        <v>15.1</v>
      </c>
      <c r="BT14" s="85" t="n">
        <v>14.4</v>
      </c>
      <c r="BU14" s="85" t="n">
        <v>13.5</v>
      </c>
      <c r="BV14" s="85" t="n">
        <v>13.9</v>
      </c>
      <c r="BW14" s="85" t="n">
        <v>13.2</v>
      </c>
      <c r="BX14" s="85" t="n">
        <v>13.2</v>
      </c>
      <c r="BY14" s="85" t="n">
        <v>13</v>
      </c>
      <c r="BZ14" s="85" t="n">
        <v>13.6</v>
      </c>
      <c r="CA14" s="85" t="n">
        <v>13.7</v>
      </c>
      <c r="CB14" s="85" t="n">
        <v>14.6</v>
      </c>
      <c r="CC14" s="85" t="n">
        <v>15.8</v>
      </c>
      <c r="CD14" s="85" t="n">
        <v>16.4</v>
      </c>
      <c r="CE14" s="85" t="n">
        <v>17.1</v>
      </c>
      <c r="CF14" s="85" t="n">
        <v>18.2</v>
      </c>
      <c r="CG14" s="85" t="n">
        <v>21</v>
      </c>
      <c r="CH14" s="85" t="n">
        <v>24.3</v>
      </c>
      <c r="CI14" s="85" t="n">
        <v>27.5</v>
      </c>
      <c r="CJ14" s="85" t="n">
        <v>25.9</v>
      </c>
      <c r="CK14" s="85" t="n">
        <v>29.4</v>
      </c>
      <c r="CL14" s="85" t="n">
        <v>39.7</v>
      </c>
      <c r="CM14" s="85" t="n">
        <v>41.2</v>
      </c>
      <c r="CN14" s="85" t="n">
        <v>39.6</v>
      </c>
      <c r="CO14" s="85" t="n">
        <v>38</v>
      </c>
      <c r="CP14" s="85" t="n">
        <v>35.1</v>
      </c>
      <c r="CQ14" s="85" t="n">
        <v>35.5</v>
      </c>
      <c r="CR14" s="85" t="n">
        <v>35.5</v>
      </c>
      <c r="CS14" s="85" t="n">
        <v>33.2</v>
      </c>
      <c r="CT14" s="85" t="n">
        <v>28</v>
      </c>
      <c r="CU14" s="85" t="n">
        <v>24.4</v>
      </c>
      <c r="CV14" s="85" t="n">
        <v>22.1</v>
      </c>
      <c r="CW14" s="85" t="n">
        <v>21.3</v>
      </c>
      <c r="CX14" s="85" t="n">
        <v>20.9</v>
      </c>
      <c r="CY14" s="85" t="n">
        <v>21.6</v>
      </c>
      <c r="CZ14" s="85" t="n">
        <v>22</v>
      </c>
      <c r="DA14" s="85" t="n">
        <v>22.5</v>
      </c>
      <c r="DB14" s="85" t="n">
        <v>23</v>
      </c>
      <c r="DC14" s="85" t="n">
        <v>22.7</v>
      </c>
      <c r="DD14" s="85" t="n">
        <v>21.6</v>
      </c>
      <c r="DE14" s="85" t="n">
        <v>21.7</v>
      </c>
      <c r="DF14" s="85" t="n">
        <v>21</v>
      </c>
      <c r="DG14" s="85" t="n">
        <v>20.4</v>
      </c>
      <c r="DH14" s="85" t="n">
        <v>19.6</v>
      </c>
      <c r="DI14" s="85" t="n">
        <v>19.4</v>
      </c>
      <c r="DJ14" s="85" t="n">
        <v>19.4</v>
      </c>
      <c r="DK14" s="85" t="n">
        <v>19.3</v>
      </c>
      <c r="DL14" s="85" t="n">
        <v>20.3</v>
      </c>
      <c r="DM14" s="85" t="n">
        <v>19.8</v>
      </c>
      <c r="DN14" s="85" t="n">
        <v>20.8</v>
      </c>
      <c r="DO14" s="85" t="n">
        <v>20.9</v>
      </c>
      <c r="DP14" s="85" t="n">
        <v>20.3</v>
      </c>
      <c r="DQ14" s="85" t="n">
        <v>20</v>
      </c>
      <c r="DR14" s="85" t="n">
        <v>20.5</v>
      </c>
      <c r="DS14" s="85" t="n">
        <v>20</v>
      </c>
      <c r="DT14" s="85" t="n">
        <v>20.6</v>
      </c>
      <c r="DU14" s="85" t="n">
        <v>21.9</v>
      </c>
      <c r="DV14" s="85" t="n">
        <v>25.5</v>
      </c>
      <c r="DW14" s="85" t="n">
        <v>28.4</v>
      </c>
      <c r="DX14" s="85" t="n">
        <v>33.1</v>
      </c>
      <c r="DY14" s="85" t="n">
        <v>40.6</v>
      </c>
      <c r="DZ14" s="85" t="n">
        <v>42.8</v>
      </c>
      <c r="EA14" s="85" t="n">
        <v>60.5</v>
      </c>
      <c r="EB14" s="85" t="n">
        <v>56.9</v>
      </c>
      <c r="EC14" s="85" t="n">
        <v>53.7</v>
      </c>
      <c r="ED14" s="85" t="n">
        <v>51.8</v>
      </c>
      <c r="EE14" s="85" t="n">
        <v>55.2</v>
      </c>
      <c r="EF14" s="85" t="n">
        <v>54.2</v>
      </c>
      <c r="EG14" s="85" t="n">
        <v>51.5</v>
      </c>
      <c r="EH14" s="85" t="n">
        <v>42.3</v>
      </c>
      <c r="EI14" s="85" t="n">
        <v>35.9</v>
      </c>
      <c r="EJ14" s="85" t="n">
        <v>34.7</v>
      </c>
      <c r="EK14" s="85" t="n">
        <v>32.9</v>
      </c>
      <c r="EL14" s="85" t="n">
        <v>32.1</v>
      </c>
      <c r="EM14" s="85" t="n">
        <v>30.9</v>
      </c>
      <c r="EN14" s="85" t="n">
        <v>31.6</v>
      </c>
      <c r="EO14" s="85" t="n">
        <v>32.5</v>
      </c>
      <c r="EP14" s="85" t="n">
        <v>30.3</v>
      </c>
      <c r="EQ14" s="85" t="n">
        <v>29.5</v>
      </c>
      <c r="ER14" s="85" t="n">
        <v>30.6</v>
      </c>
      <c r="ES14" s="85" t="n">
        <v>31.1</v>
      </c>
      <c r="ET14" s="85" t="n">
        <v>32.3</v>
      </c>
      <c r="EU14" s="85" t="n">
        <v>31.8</v>
      </c>
      <c r="EV14" s="85" t="n">
        <v>32.8</v>
      </c>
      <c r="EW14" s="85" t="n">
        <v>34</v>
      </c>
      <c r="EX14" s="85" t="n">
        <v>36.3</v>
      </c>
      <c r="EY14" s="85" t="n">
        <v>38.2</v>
      </c>
      <c r="EZ14" s="85" t="n">
        <v>58.2</v>
      </c>
      <c r="FA14" s="85" t="n">
        <v>71.9</v>
      </c>
      <c r="FB14" s="85" t="n">
        <v>101.6</v>
      </c>
      <c r="FC14" s="85" t="n">
        <v>130.3</v>
      </c>
      <c r="FD14" s="85" t="n">
        <v>144.4</v>
      </c>
      <c r="FE14" s="85" t="n">
        <v>148.6</v>
      </c>
      <c r="FF14" s="85" t="n">
        <v>159.3</v>
      </c>
      <c r="FG14" s="85" t="n">
        <v>141.2</v>
      </c>
      <c r="FH14" s="85" t="n">
        <v>131</v>
      </c>
      <c r="FI14" s="85" t="n">
        <v>123.9</v>
      </c>
      <c r="FJ14" s="85" t="n">
        <v>116.7</v>
      </c>
      <c r="FK14" s="85" t="n">
        <v>109.3</v>
      </c>
      <c r="FL14" s="85" t="n">
        <v>102.9</v>
      </c>
      <c r="FM14" s="85" t="n">
        <v>99.8</v>
      </c>
      <c r="FN14" s="85" t="n">
        <v>94.6</v>
      </c>
      <c r="FO14" s="85" t="n">
        <v>86.3</v>
      </c>
      <c r="FP14" s="85" t="n">
        <v>78.4</v>
      </c>
      <c r="FQ14" s="85" t="n">
        <v>75.1</v>
      </c>
      <c r="FR14" s="85" t="n">
        <v>69</v>
      </c>
      <c r="FS14" s="85" t="n">
        <v>64.8</v>
      </c>
      <c r="FT14" s="85" t="n">
        <v>59.1</v>
      </c>
      <c r="FU14" s="85" t="n">
        <v>57.1</v>
      </c>
      <c r="FV14" s="85" t="n">
        <v>39</v>
      </c>
      <c r="FW14" s="85" t="n">
        <v>35.8</v>
      </c>
      <c r="FX14" s="85" t="n">
        <v>34</v>
      </c>
      <c r="FY14" s="85" t="n">
        <v>33</v>
      </c>
      <c r="FZ14" s="85" t="n">
        <v>32.9</v>
      </c>
      <c r="GA14" s="85" t="n">
        <v>32.4</v>
      </c>
      <c r="GB14" s="85" t="n">
        <v>32.5</v>
      </c>
      <c r="GC14" s="85" t="n">
        <v>32.4</v>
      </c>
      <c r="GD14" s="85" t="n">
        <v>32.4</v>
      </c>
      <c r="GE14" s="85" t="n">
        <v>32.3</v>
      </c>
      <c r="GF14" s="85" t="n">
        <v>32.1</v>
      </c>
      <c r="GG14" s="85" t="n">
        <v>31.3</v>
      </c>
      <c r="GH14" s="85" t="n">
        <v>31.3</v>
      </c>
      <c r="GI14" s="85" t="n">
        <v>29.6</v>
      </c>
      <c r="GJ14" s="85" t="n">
        <v>29.6</v>
      </c>
      <c r="GK14" s="85" t="n">
        <v>30.3</v>
      </c>
      <c r="GL14" s="85" t="n">
        <v>30.5</v>
      </c>
      <c r="GM14" s="85" t="n">
        <v>27.5</v>
      </c>
      <c r="GN14" s="85" t="n">
        <v>25.3</v>
      </c>
      <c r="GO14" s="85" t="n">
        <v>27.1</v>
      </c>
      <c r="GP14" s="85" t="n">
        <v>29.6</v>
      </c>
      <c r="GQ14" s="85" t="n">
        <v>27.3</v>
      </c>
      <c r="GR14" s="85" t="n">
        <v>26.4</v>
      </c>
      <c r="GS14" s="85" t="n">
        <v>26.7</v>
      </c>
      <c r="GT14" s="85" t="n">
        <v>40.1</v>
      </c>
      <c r="GU14" s="85" t="n">
        <v>951.5</v>
      </c>
      <c r="GV14" s="85" t="n">
        <v>800</v>
      </c>
      <c r="GW14" s="85" t="n">
        <v>322.7</v>
      </c>
      <c r="GX14" s="85" t="n">
        <v>583.8</v>
      </c>
      <c r="GY14" s="85" t="n">
        <v>440.8</v>
      </c>
      <c r="GZ14" s="85" t="n">
        <v>212.8</v>
      </c>
      <c r="HA14" s="85" t="n">
        <v>31.8</v>
      </c>
      <c r="HB14" s="85" t="n">
        <v>24.5</v>
      </c>
      <c r="HC14" t="n">
        <v>21.7</v>
      </c>
      <c r="HD14" t="n">
        <v>23.1</v>
      </c>
      <c r="HE14" t="n">
        <v>25.9</v>
      </c>
      <c r="HF14" t="n">
        <v>30.1</v>
      </c>
      <c r="HG14" t="n">
        <v>32.7</v>
      </c>
      <c r="HH14" t="n">
        <v>34.7</v>
      </c>
      <c r="HI14" t="n">
        <v>35.3</v>
      </c>
      <c r="HJ14" t="n">
        <v>34.9</v>
      </c>
      <c r="HK14" t="n">
        <v>34.9</v>
      </c>
    </row>
    <row r="15">
      <c r="A15" s="85" t="s">
        <v>2523</v>
      </c>
      <c r="B15" s="85" t="n">
        <v>63</v>
      </c>
      <c r="C15" s="85" t="n">
        <v>73.1</v>
      </c>
      <c r="D15" s="85" t="n">
        <v>73.5</v>
      </c>
      <c r="E15" s="85" t="n">
        <v>77.4</v>
      </c>
      <c r="F15" s="85" t="n">
        <v>79.3</v>
      </c>
      <c r="G15" s="85" t="n">
        <v>86.9</v>
      </c>
      <c r="H15" s="85" t="n">
        <v>86.9</v>
      </c>
      <c r="I15" s="85" t="n">
        <v>88.5</v>
      </c>
      <c r="J15" s="85" t="n">
        <v>91.4</v>
      </c>
      <c r="K15" s="85" t="n">
        <v>91.9</v>
      </c>
      <c r="L15" s="85" t="n">
        <v>92.9</v>
      </c>
      <c r="M15" s="85" t="n">
        <v>103.1</v>
      </c>
      <c r="N15" s="85" t="n">
        <v>105.4</v>
      </c>
      <c r="O15" s="85" t="n">
        <v>107.6</v>
      </c>
      <c r="P15" s="85" t="n">
        <v>109.2</v>
      </c>
      <c r="Q15" s="85" t="n">
        <v>112.3</v>
      </c>
      <c r="R15" s="85" t="n">
        <v>117.5</v>
      </c>
      <c r="S15" s="85" t="n">
        <v>125.4</v>
      </c>
      <c r="T15" s="85" t="n">
        <v>132.2</v>
      </c>
      <c r="U15" s="85" t="n">
        <v>139.1</v>
      </c>
      <c r="V15" s="85" t="n">
        <v>149.8</v>
      </c>
      <c r="W15" s="85" t="n">
        <v>164.6</v>
      </c>
      <c r="X15" s="85" t="n">
        <v>167.7</v>
      </c>
      <c r="Y15" s="85" t="n">
        <v>170.4</v>
      </c>
      <c r="Z15" s="85" t="n">
        <v>174.7</v>
      </c>
      <c r="AA15" s="85" t="n">
        <v>173.1</v>
      </c>
      <c r="AB15" s="85" t="n">
        <v>180.1</v>
      </c>
      <c r="AC15" s="85" t="n">
        <v>182.7</v>
      </c>
      <c r="AD15" s="85" t="n">
        <v>185.5</v>
      </c>
      <c r="AE15" s="85" t="n">
        <v>186.4</v>
      </c>
      <c r="AF15" s="85" t="n">
        <v>191.7</v>
      </c>
      <c r="AG15" s="85" t="n">
        <v>194.3</v>
      </c>
      <c r="AH15" s="85" t="n">
        <v>197.7</v>
      </c>
      <c r="AI15" s="85" t="n">
        <v>199</v>
      </c>
      <c r="AJ15" s="85" t="n">
        <v>207.1</v>
      </c>
      <c r="AK15" s="85" t="n">
        <v>209.9</v>
      </c>
      <c r="AL15" s="85" t="n">
        <v>214.9</v>
      </c>
      <c r="AM15" s="85" t="n">
        <v>219.2</v>
      </c>
      <c r="AN15" s="85" t="n">
        <v>234.6</v>
      </c>
      <c r="AO15" s="85" t="n">
        <v>240.7</v>
      </c>
      <c r="AP15" s="85" t="n">
        <v>251.2</v>
      </c>
      <c r="AQ15" s="85" t="n">
        <v>256.2</v>
      </c>
      <c r="AR15" s="85" t="n">
        <v>287.9</v>
      </c>
      <c r="AS15" s="85" t="n">
        <v>290.7</v>
      </c>
      <c r="AT15" s="85" t="n">
        <v>296.1</v>
      </c>
      <c r="AU15" s="85" t="n">
        <v>299</v>
      </c>
      <c r="AV15" s="85" t="n">
        <v>317</v>
      </c>
      <c r="AW15" s="85" t="n">
        <v>319.2</v>
      </c>
      <c r="AX15" s="85" t="n">
        <v>324.3</v>
      </c>
      <c r="AY15" s="85" t="n">
        <v>333.2</v>
      </c>
      <c r="AZ15" s="85" t="n">
        <v>349.7</v>
      </c>
      <c r="BA15" s="85" t="n">
        <v>365.2</v>
      </c>
      <c r="BB15" s="85" t="n">
        <v>368</v>
      </c>
      <c r="BC15" s="85" t="n">
        <v>373.7</v>
      </c>
      <c r="BD15" s="85" t="n">
        <v>368.5</v>
      </c>
      <c r="BE15" s="85" t="n">
        <v>371.8</v>
      </c>
      <c r="BF15" s="85" t="n">
        <v>376.3</v>
      </c>
      <c r="BG15" s="85" t="n">
        <v>379</v>
      </c>
      <c r="BH15" s="85" t="n">
        <v>380.4</v>
      </c>
      <c r="BI15" s="85" t="n">
        <v>387.9</v>
      </c>
      <c r="BJ15" s="85" t="n">
        <v>398.1</v>
      </c>
      <c r="BK15" s="85" t="n">
        <v>400.5</v>
      </c>
      <c r="BL15" s="85" t="n">
        <v>405.6</v>
      </c>
      <c r="BM15" s="85" t="n">
        <v>408.3</v>
      </c>
      <c r="BN15" s="85" t="n">
        <v>419.9</v>
      </c>
      <c r="BO15" s="85" t="n">
        <v>425.6</v>
      </c>
      <c r="BP15" s="85" t="n">
        <v>433.1</v>
      </c>
      <c r="BQ15" s="85" t="n">
        <v>435.8</v>
      </c>
      <c r="BR15" s="85" t="n">
        <v>441.9</v>
      </c>
      <c r="BS15" s="85" t="n">
        <v>447.5</v>
      </c>
      <c r="BT15" s="85" t="n">
        <v>449.4</v>
      </c>
      <c r="BU15" s="85" t="n">
        <v>452.8</v>
      </c>
      <c r="BV15" s="85" t="n">
        <v>470.3</v>
      </c>
      <c r="BW15" s="85" t="n">
        <v>473.4</v>
      </c>
      <c r="BX15" s="85" t="n">
        <v>478.8</v>
      </c>
      <c r="BY15" s="85" t="n">
        <v>484.9</v>
      </c>
      <c r="BZ15" s="85" t="n">
        <v>508.2</v>
      </c>
      <c r="CA15" s="85" t="n">
        <v>515.7</v>
      </c>
      <c r="CB15" s="85" t="n">
        <v>524.7</v>
      </c>
      <c r="CC15" s="85" t="n">
        <v>535.8</v>
      </c>
      <c r="CD15" s="85" t="n">
        <v>556.2</v>
      </c>
      <c r="CE15" s="85" t="n">
        <v>567.5</v>
      </c>
      <c r="CF15" s="85" t="n">
        <v>578.1</v>
      </c>
      <c r="CG15" s="85" t="n">
        <v>596.8</v>
      </c>
      <c r="CH15" s="85" t="n">
        <v>622.5</v>
      </c>
      <c r="CI15" s="85" t="n">
        <v>643.5</v>
      </c>
      <c r="CJ15" s="85" t="n">
        <v>653.8</v>
      </c>
      <c r="CK15" s="85" t="n">
        <v>682.3</v>
      </c>
      <c r="CL15" s="85" t="n">
        <v>710.5</v>
      </c>
      <c r="CM15" s="85" t="n">
        <v>729.1</v>
      </c>
      <c r="CN15" s="85" t="n">
        <v>741.3</v>
      </c>
      <c r="CO15" s="85" t="n">
        <v>746</v>
      </c>
      <c r="CP15" s="85" t="n">
        <v>766.5</v>
      </c>
      <c r="CQ15" s="85" t="n">
        <v>771.7</v>
      </c>
      <c r="CR15" s="85" t="n">
        <v>786.3</v>
      </c>
      <c r="CS15" s="85" t="n">
        <v>791.3</v>
      </c>
      <c r="CT15" s="85" t="n">
        <v>805.3</v>
      </c>
      <c r="CU15" s="85" t="n">
        <v>810.1</v>
      </c>
      <c r="CV15" s="85" t="n">
        <v>813.6</v>
      </c>
      <c r="CW15" s="85" t="n">
        <v>833.8</v>
      </c>
      <c r="CX15" s="85" t="n">
        <v>857.9</v>
      </c>
      <c r="CY15" s="85" t="n">
        <v>865.6</v>
      </c>
      <c r="CZ15" s="85" t="n">
        <v>870.7</v>
      </c>
      <c r="DA15" s="85" t="n">
        <v>864.6</v>
      </c>
      <c r="DB15" s="85" t="n">
        <v>893.2</v>
      </c>
      <c r="DC15" s="85" t="n">
        <v>912.9</v>
      </c>
      <c r="DD15" s="85" t="n">
        <v>908.5</v>
      </c>
      <c r="DE15" s="85" t="n">
        <v>910.7</v>
      </c>
      <c r="DF15" s="85" t="n">
        <v>930.5</v>
      </c>
      <c r="DG15" s="85" t="n">
        <v>931.3</v>
      </c>
      <c r="DH15" s="85" t="n">
        <v>937.2</v>
      </c>
      <c r="DI15" s="85" t="n">
        <v>942.7</v>
      </c>
      <c r="DJ15" s="85" t="n">
        <v>951.8</v>
      </c>
      <c r="DK15" s="85" t="n">
        <v>956</v>
      </c>
      <c r="DL15" s="85" t="n">
        <v>957.4</v>
      </c>
      <c r="DM15" s="85" t="n">
        <v>966.4</v>
      </c>
      <c r="DN15" s="85" t="n">
        <v>983.4</v>
      </c>
      <c r="DO15" s="85" t="n">
        <v>985</v>
      </c>
      <c r="DP15" s="85" t="n">
        <v>996.1</v>
      </c>
      <c r="DQ15" s="85" t="n">
        <v>1004.3</v>
      </c>
      <c r="DR15" s="85" t="n">
        <v>1016.9</v>
      </c>
      <c r="DS15" s="85" t="n">
        <v>1042.3</v>
      </c>
      <c r="DT15" s="85" t="n">
        <v>1054.7</v>
      </c>
      <c r="DU15" s="85" t="n">
        <v>1065.6</v>
      </c>
      <c r="DV15" s="85" t="n">
        <v>1107.8</v>
      </c>
      <c r="DW15" s="85" t="n">
        <v>1139.1</v>
      </c>
      <c r="DX15" s="85" t="n">
        <v>1145.2</v>
      </c>
      <c r="DY15" s="85" t="n">
        <v>1191.2</v>
      </c>
      <c r="DZ15" s="85" t="n">
        <v>1221</v>
      </c>
      <c r="EA15" s="85" t="n">
        <v>1247.1</v>
      </c>
      <c r="EB15" s="85" t="n">
        <v>1259.9</v>
      </c>
      <c r="EC15" s="85" t="n">
        <v>1276.2</v>
      </c>
      <c r="ED15" s="85" t="n">
        <v>1294.6</v>
      </c>
      <c r="EE15" s="85" t="n">
        <v>1312.6</v>
      </c>
      <c r="EF15" s="85" t="n">
        <v>1335.5</v>
      </c>
      <c r="EG15" s="85" t="n">
        <v>1341.2</v>
      </c>
      <c r="EH15" s="85" t="n">
        <v>1379.6</v>
      </c>
      <c r="EI15" s="85" t="n">
        <v>1400.6</v>
      </c>
      <c r="EJ15" s="85" t="n">
        <v>1409.8</v>
      </c>
      <c r="EK15" s="85" t="n">
        <v>1427.9</v>
      </c>
      <c r="EL15" s="85" t="n">
        <v>1464.4</v>
      </c>
      <c r="EM15" s="85" t="n">
        <v>1486</v>
      </c>
      <c r="EN15" s="85" t="n">
        <v>1501</v>
      </c>
      <c r="EO15" s="85" t="n">
        <v>1512.3</v>
      </c>
      <c r="EP15" s="85" t="n">
        <v>1566.7</v>
      </c>
      <c r="EQ15" s="85" t="n">
        <v>1583.2</v>
      </c>
      <c r="ER15" s="85" t="n">
        <v>1608.5</v>
      </c>
      <c r="ES15" s="85" t="n">
        <v>1613.8</v>
      </c>
      <c r="ET15" s="85" t="n">
        <v>1680.2</v>
      </c>
      <c r="EU15" s="85" t="n">
        <v>1680.4</v>
      </c>
      <c r="EV15" s="85" t="n">
        <v>1700.2</v>
      </c>
      <c r="EW15" s="85" t="n">
        <v>1728.6</v>
      </c>
      <c r="EX15" s="85" t="n">
        <v>1768.2</v>
      </c>
      <c r="EY15" s="85" t="n">
        <v>2113</v>
      </c>
      <c r="EZ15" s="85" t="n">
        <v>1905.3</v>
      </c>
      <c r="FA15" s="85" t="n">
        <v>1890.8</v>
      </c>
      <c r="FB15" s="85" t="n">
        <v>2001.9</v>
      </c>
      <c r="FC15" s="85" t="n">
        <v>2140</v>
      </c>
      <c r="FD15" s="85" t="n">
        <v>2136.9</v>
      </c>
      <c r="FE15" s="85" t="n">
        <v>2152.1</v>
      </c>
      <c r="FF15" s="85" t="n">
        <v>2262.2</v>
      </c>
      <c r="FG15" s="85" t="n">
        <v>2268.7</v>
      </c>
      <c r="FH15" s="85" t="n">
        <v>2292</v>
      </c>
      <c r="FI15" s="85" t="n">
        <v>2302.7</v>
      </c>
      <c r="FJ15" s="85" t="n">
        <v>2313</v>
      </c>
      <c r="FK15" s="85" t="n">
        <v>2312.1</v>
      </c>
      <c r="FL15" s="85" t="n">
        <v>2303.2</v>
      </c>
      <c r="FM15" s="85" t="n">
        <v>2312.2</v>
      </c>
      <c r="FN15" s="85" t="n">
        <v>2296.8</v>
      </c>
      <c r="FO15" s="85" t="n">
        <v>2321.8</v>
      </c>
      <c r="FP15" s="85" t="n">
        <v>2325.6</v>
      </c>
      <c r="FQ15" s="85" t="n">
        <v>2346.1</v>
      </c>
      <c r="FR15" s="85" t="n">
        <v>2365.7</v>
      </c>
      <c r="FS15" s="85" t="n">
        <v>2378.3</v>
      </c>
      <c r="FT15" s="85" t="n">
        <v>2396</v>
      </c>
      <c r="FU15" s="85" t="n">
        <v>2403.7</v>
      </c>
      <c r="FV15" s="85" t="n">
        <v>2433.2</v>
      </c>
      <c r="FW15" s="85" t="n">
        <v>2484.5</v>
      </c>
      <c r="FX15" s="85" t="n">
        <v>2524.6</v>
      </c>
      <c r="FY15" s="85" t="n">
        <v>2552.1</v>
      </c>
      <c r="FZ15" s="85" t="n">
        <v>2597.7</v>
      </c>
      <c r="GA15" s="85" t="n">
        <v>2633.9</v>
      </c>
      <c r="GB15" s="85" t="n">
        <v>2647.8</v>
      </c>
      <c r="GC15" s="85" t="n">
        <v>2661.2</v>
      </c>
      <c r="GD15" s="85" t="n">
        <v>2686.2</v>
      </c>
      <c r="GE15" s="85" t="n">
        <v>2706.5</v>
      </c>
      <c r="GF15" s="85" t="n">
        <v>2726.3</v>
      </c>
      <c r="GG15" s="85" t="n">
        <v>2750.1</v>
      </c>
      <c r="GH15" s="85" t="n">
        <v>2779.1</v>
      </c>
      <c r="GI15" s="85" t="n">
        <v>2789.7</v>
      </c>
      <c r="GJ15" s="85" t="n">
        <v>2823.4</v>
      </c>
      <c r="GK15" s="85" t="n">
        <v>2837.6</v>
      </c>
      <c r="GL15" s="85" t="n">
        <v>2892.2</v>
      </c>
      <c r="GM15" s="85" t="n">
        <v>2917.2</v>
      </c>
      <c r="GN15" s="85" t="n">
        <v>2937.9</v>
      </c>
      <c r="GO15" s="85" t="n">
        <v>2956.5</v>
      </c>
      <c r="GP15" s="85" t="n">
        <v>3048.2</v>
      </c>
      <c r="GQ15" s="85" t="n">
        <v>3084</v>
      </c>
      <c r="GR15" s="85" t="n">
        <v>3109.3</v>
      </c>
      <c r="GS15" s="85" t="n">
        <v>3121.6</v>
      </c>
      <c r="GT15" s="85" t="n">
        <v>3175.2</v>
      </c>
      <c r="GU15" s="85" t="n">
        <v>5465.4</v>
      </c>
      <c r="GV15" s="85" t="n">
        <v>4355</v>
      </c>
      <c r="GW15" s="85" t="n">
        <v>3728.7</v>
      </c>
      <c r="GX15" s="85" t="n">
        <v>6007.8</v>
      </c>
      <c r="GY15" s="85" t="n">
        <v>4311.6</v>
      </c>
      <c r="GZ15" s="85" t="n">
        <v>4048.7</v>
      </c>
      <c r="HA15" s="85" t="n">
        <v>3876</v>
      </c>
      <c r="HB15" s="85" t="n">
        <v>3944.5</v>
      </c>
      <c r="HC15" t="n">
        <v>3986.8</v>
      </c>
      <c r="HD15" t="n">
        <v>4002.9</v>
      </c>
      <c r="HE15" t="n">
        <v>4120.9</v>
      </c>
      <c r="HF15" t="n">
        <v>4121.6</v>
      </c>
      <c r="HG15" t="n">
        <v>4160.2</v>
      </c>
      <c r="HH15" t="n">
        <v>4147.5</v>
      </c>
      <c r="HI15" t="n">
        <v>4156.5</v>
      </c>
      <c r="HJ15" t="n">
        <v>4314.6</v>
      </c>
      <c r="HK15" t="n">
        <v>4380.1</v>
      </c>
    </row>
    <row r="16">
      <c r="A16" s="85" t="s">
        <v>2524</v>
      </c>
      <c r="B16" s="85" t="n">
        <v>1.2</v>
      </c>
      <c r="C16" s="85" t="n">
        <v>1.3</v>
      </c>
      <c r="D16" s="85" t="n">
        <v>1.3</v>
      </c>
      <c r="E16" s="85" t="n">
        <v>1.3</v>
      </c>
      <c r="F16" s="85" t="n">
        <v>1.4</v>
      </c>
      <c r="G16" s="85" t="n">
        <v>1.4</v>
      </c>
      <c r="H16" s="85" t="n">
        <v>1.5</v>
      </c>
      <c r="I16" s="85" t="n">
        <v>1.5</v>
      </c>
      <c r="J16" s="85" t="n">
        <v>1.7</v>
      </c>
      <c r="K16" s="85" t="n">
        <v>1.8</v>
      </c>
      <c r="L16" s="85" t="n">
        <v>1.8</v>
      </c>
      <c r="M16" s="85" t="n">
        <v>1.9</v>
      </c>
      <c r="N16" s="85" t="n">
        <v>1.8</v>
      </c>
      <c r="O16" s="85" t="n">
        <v>1.8</v>
      </c>
      <c r="P16" s="85" t="n">
        <v>1.8</v>
      </c>
      <c r="Q16" s="85" t="n">
        <v>1.9</v>
      </c>
      <c r="R16" s="85" t="n">
        <v>1.9</v>
      </c>
      <c r="S16" s="85" t="n">
        <v>2</v>
      </c>
      <c r="T16" s="85" t="n">
        <v>2.1</v>
      </c>
      <c r="U16" s="85" t="n">
        <v>2.2</v>
      </c>
      <c r="V16" s="85" t="n">
        <v>2.3</v>
      </c>
      <c r="W16" s="85" t="n">
        <v>2.4</v>
      </c>
      <c r="X16" s="85" t="n">
        <v>2.6</v>
      </c>
      <c r="Y16" s="85" t="n">
        <v>2.7</v>
      </c>
      <c r="Z16" s="85" t="n">
        <v>2.8</v>
      </c>
      <c r="AA16" s="85" t="n">
        <v>3</v>
      </c>
      <c r="AB16" s="85" t="n">
        <v>3.1</v>
      </c>
      <c r="AC16" s="85" t="n">
        <v>3.2</v>
      </c>
      <c r="AD16" s="85" t="n">
        <v>3.3</v>
      </c>
      <c r="AE16" s="85" t="n">
        <v>3.4</v>
      </c>
      <c r="AF16" s="85" t="n">
        <v>3.5</v>
      </c>
      <c r="AG16" s="85" t="n">
        <v>3.6</v>
      </c>
      <c r="AH16" s="85" t="n">
        <v>3.7</v>
      </c>
      <c r="AI16" s="85" t="n">
        <v>3.8</v>
      </c>
      <c r="AJ16" s="85" t="n">
        <v>3.9</v>
      </c>
      <c r="AK16" s="85" t="n">
        <v>4</v>
      </c>
      <c r="AL16" s="85" t="n">
        <v>4.1</v>
      </c>
      <c r="AM16" s="85" t="n">
        <v>4.3</v>
      </c>
      <c r="AN16" s="85" t="n">
        <v>4.4</v>
      </c>
      <c r="AO16" s="85" t="n">
        <v>4.5</v>
      </c>
      <c r="AP16" s="85" t="n">
        <v>4.6</v>
      </c>
      <c r="AQ16" s="85" t="n">
        <v>4.8</v>
      </c>
      <c r="AR16" s="85" t="n">
        <v>5</v>
      </c>
      <c r="AS16" s="85" t="n">
        <v>5.3</v>
      </c>
      <c r="AT16" s="85" t="n">
        <v>5.6</v>
      </c>
      <c r="AU16" s="85" t="n">
        <v>5.9</v>
      </c>
      <c r="AV16" s="85" t="n">
        <v>6.1</v>
      </c>
      <c r="AW16" s="85" t="n">
        <v>6.3</v>
      </c>
      <c r="AX16" s="85" t="n">
        <v>6.7</v>
      </c>
      <c r="AY16" s="85" t="n">
        <v>6.9</v>
      </c>
      <c r="AZ16" s="85" t="n">
        <v>7.2</v>
      </c>
      <c r="BA16" s="85" t="n">
        <v>7.5</v>
      </c>
      <c r="BB16" s="85" t="n">
        <v>7.7</v>
      </c>
      <c r="BC16" s="85" t="n">
        <v>8</v>
      </c>
      <c r="BD16" s="85" t="n">
        <v>8.3</v>
      </c>
      <c r="BE16" s="85" t="n">
        <v>8.5</v>
      </c>
      <c r="BF16" s="85" t="n">
        <v>8.8</v>
      </c>
      <c r="BG16" s="85" t="n">
        <v>9.1</v>
      </c>
      <c r="BH16" s="85" t="n">
        <v>9.3</v>
      </c>
      <c r="BI16" s="85" t="n">
        <v>9.5</v>
      </c>
      <c r="BJ16" s="85" t="n">
        <v>9.9</v>
      </c>
      <c r="BK16" s="85" t="n">
        <v>10.2</v>
      </c>
      <c r="BL16" s="85" t="n">
        <v>10.6</v>
      </c>
      <c r="BM16" s="85" t="n">
        <v>11</v>
      </c>
      <c r="BN16" s="85" t="n">
        <v>11.3</v>
      </c>
      <c r="BO16" s="85" t="n">
        <v>11.7</v>
      </c>
      <c r="BP16" s="85" t="n">
        <v>12.1</v>
      </c>
      <c r="BQ16" s="85" t="n">
        <v>12.7</v>
      </c>
      <c r="BR16" s="85" t="n">
        <v>12.7</v>
      </c>
      <c r="BS16" s="85" t="n">
        <v>12.9</v>
      </c>
      <c r="BT16" s="85" t="n">
        <v>13.5</v>
      </c>
      <c r="BU16" s="85" t="n">
        <v>13.7</v>
      </c>
      <c r="BV16" s="85" t="n">
        <v>14.2</v>
      </c>
      <c r="BW16" s="85" t="n">
        <v>14.8</v>
      </c>
      <c r="BX16" s="85" t="n">
        <v>15.1</v>
      </c>
      <c r="BY16" s="85" t="n">
        <v>15.4</v>
      </c>
      <c r="BZ16" s="85" t="n">
        <v>15.9</v>
      </c>
      <c r="CA16" s="85" t="n">
        <v>16.3</v>
      </c>
      <c r="CB16" s="85" t="n">
        <v>16.7</v>
      </c>
      <c r="CC16" s="85" t="n">
        <v>17.1</v>
      </c>
      <c r="CD16" s="85" t="n">
        <v>17.3</v>
      </c>
      <c r="CE16" s="85" t="n">
        <v>17.9</v>
      </c>
      <c r="CF16" s="85" t="n">
        <v>18.7</v>
      </c>
      <c r="CG16" s="85" t="n">
        <v>19.6</v>
      </c>
      <c r="CH16" s="85" t="n">
        <v>20.9</v>
      </c>
      <c r="CI16" s="85" t="n">
        <v>22.1</v>
      </c>
      <c r="CJ16" s="85" t="n">
        <v>23.1</v>
      </c>
      <c r="CK16" s="85" t="n">
        <v>24.2</v>
      </c>
      <c r="CL16" s="85" t="n">
        <v>25</v>
      </c>
      <c r="CM16" s="85" t="n">
        <v>25.8</v>
      </c>
      <c r="CN16" s="85" t="n">
        <v>26.4</v>
      </c>
      <c r="CO16" s="85" t="n">
        <v>26.8</v>
      </c>
      <c r="CP16" s="85" t="n">
        <v>28</v>
      </c>
      <c r="CQ16" s="85" t="n">
        <v>28.3</v>
      </c>
      <c r="CR16" s="85" t="n">
        <v>28.7</v>
      </c>
      <c r="CS16" s="85" t="n">
        <v>29.2</v>
      </c>
      <c r="CT16" s="85" t="n">
        <v>30.1</v>
      </c>
      <c r="CU16" s="85" t="n">
        <v>30.7</v>
      </c>
      <c r="CV16" s="85" t="n">
        <v>31.2</v>
      </c>
      <c r="CW16" s="85" t="n">
        <v>31.6</v>
      </c>
      <c r="CX16" s="85" t="n">
        <v>31.9</v>
      </c>
      <c r="CY16" s="85" t="n">
        <v>32.3</v>
      </c>
      <c r="CZ16" s="85" t="n">
        <v>32.9</v>
      </c>
      <c r="DA16" s="85" t="n">
        <v>33.5</v>
      </c>
      <c r="DB16" s="85" t="n">
        <v>34</v>
      </c>
      <c r="DC16" s="85" t="n">
        <v>34.6</v>
      </c>
      <c r="DD16" s="85" t="n">
        <v>35.2</v>
      </c>
      <c r="DE16" s="85" t="n">
        <v>35.8</v>
      </c>
      <c r="DF16" s="85" t="n">
        <v>37.2</v>
      </c>
      <c r="DG16" s="85" t="n">
        <v>38</v>
      </c>
      <c r="DH16" s="85" t="n">
        <v>38.6</v>
      </c>
      <c r="DI16" s="85" t="n">
        <v>39</v>
      </c>
      <c r="DJ16" s="85" t="n">
        <v>39.1</v>
      </c>
      <c r="DK16" s="85" t="n">
        <v>39.3</v>
      </c>
      <c r="DL16" s="85" t="n">
        <v>40</v>
      </c>
      <c r="DM16" s="85" t="n">
        <v>41.1</v>
      </c>
      <c r="DN16" s="85" t="n">
        <v>42.3</v>
      </c>
      <c r="DO16" s="85" t="n">
        <v>43.5</v>
      </c>
      <c r="DP16" s="85" t="n">
        <v>44.7</v>
      </c>
      <c r="DQ16" s="85" t="n">
        <v>45.8</v>
      </c>
      <c r="DR16" s="85" t="n">
        <v>46.9</v>
      </c>
      <c r="DS16" s="85" t="n">
        <v>48.1</v>
      </c>
      <c r="DT16" s="85" t="n">
        <v>49.3</v>
      </c>
      <c r="DU16" s="85" t="n">
        <v>50.6</v>
      </c>
      <c r="DV16" s="85" t="n">
        <v>51.5</v>
      </c>
      <c r="DW16" s="85" t="n">
        <v>52.5</v>
      </c>
      <c r="DX16" s="85" t="n">
        <v>53.4</v>
      </c>
      <c r="DY16" s="85" t="n">
        <v>54.3</v>
      </c>
      <c r="DZ16" s="85" t="n">
        <v>55.2</v>
      </c>
      <c r="EA16" s="85" t="n">
        <v>56</v>
      </c>
      <c r="EB16" s="85" t="n">
        <v>56.8</v>
      </c>
      <c r="EC16" s="85" t="n">
        <v>57.6</v>
      </c>
      <c r="ED16" s="85" t="n">
        <v>58.5</v>
      </c>
      <c r="EE16" s="85" t="n">
        <v>59.7</v>
      </c>
      <c r="EF16" s="85" t="n">
        <v>61.1</v>
      </c>
      <c r="EG16" s="85" t="n">
        <v>62.7</v>
      </c>
      <c r="EH16" s="85" t="n">
        <v>64.8</v>
      </c>
      <c r="EI16" s="85" t="n">
        <v>66.4</v>
      </c>
      <c r="EJ16" s="85" t="n">
        <v>67.7</v>
      </c>
      <c r="EK16" s="85" t="n">
        <v>68.7</v>
      </c>
      <c r="EL16" s="85" t="n">
        <v>70.3</v>
      </c>
      <c r="EM16" s="85" t="n">
        <v>71.2</v>
      </c>
      <c r="EN16" s="85" t="n">
        <v>72.1</v>
      </c>
      <c r="EO16" s="85" t="n">
        <v>73</v>
      </c>
      <c r="EP16" s="85" t="n">
        <v>74.4</v>
      </c>
      <c r="EQ16" s="85" t="n">
        <v>74.9</v>
      </c>
      <c r="ER16" s="85" t="n">
        <v>75.5</v>
      </c>
      <c r="ES16" s="85" t="n">
        <v>76.3</v>
      </c>
      <c r="ET16" s="85" t="n">
        <v>78</v>
      </c>
      <c r="EU16" s="85" t="n">
        <v>78.8</v>
      </c>
      <c r="EV16" s="85" t="n">
        <v>79.6</v>
      </c>
      <c r="EW16" s="85" t="n">
        <v>80.3</v>
      </c>
      <c r="EX16" s="85" t="n">
        <v>80.5</v>
      </c>
      <c r="EY16" s="85" t="n">
        <v>81</v>
      </c>
      <c r="EZ16" s="85" t="n">
        <v>81.2</v>
      </c>
      <c r="FA16" s="85" t="n">
        <v>81.2</v>
      </c>
      <c r="FB16" s="85" t="n">
        <v>80.6</v>
      </c>
      <c r="FC16" s="85" t="n">
        <v>80.3</v>
      </c>
      <c r="FD16" s="85" t="n">
        <v>79.9</v>
      </c>
      <c r="FE16" s="85" t="n">
        <v>79.5</v>
      </c>
      <c r="FF16" s="85" t="n">
        <v>79.5</v>
      </c>
      <c r="FG16" s="85" t="n">
        <v>79.3</v>
      </c>
      <c r="FH16" s="85" t="n">
        <v>79.3</v>
      </c>
      <c r="FI16" s="85" t="n">
        <v>79.5</v>
      </c>
      <c r="FJ16" s="85" t="n">
        <v>80.4</v>
      </c>
      <c r="FK16" s="85" t="n">
        <v>81.5</v>
      </c>
      <c r="FL16" s="85" t="n">
        <v>82.7</v>
      </c>
      <c r="FM16" s="85" t="n">
        <v>84.1</v>
      </c>
      <c r="FN16" s="85" t="n">
        <v>85.2</v>
      </c>
      <c r="FO16" s="85" t="n">
        <v>86.3</v>
      </c>
      <c r="FP16" s="85" t="n">
        <v>86.9</v>
      </c>
      <c r="FQ16" s="85" t="n">
        <v>86.8</v>
      </c>
      <c r="FR16" s="85" t="n">
        <v>86.7</v>
      </c>
      <c r="FS16" s="85" t="n">
        <v>86.5</v>
      </c>
      <c r="FT16" s="85" t="n">
        <v>86.9</v>
      </c>
      <c r="FU16" s="85" t="n">
        <v>87.9</v>
      </c>
      <c r="FV16" s="85" t="n">
        <v>89.7</v>
      </c>
      <c r="FW16" s="85" t="n">
        <v>91.2</v>
      </c>
      <c r="FX16" s="85" t="n">
        <v>92.7</v>
      </c>
      <c r="FY16" s="85" t="n">
        <v>94.2</v>
      </c>
      <c r="FZ16" s="85" t="n">
        <v>97.5</v>
      </c>
      <c r="GA16" s="85" t="n">
        <v>98.6</v>
      </c>
      <c r="GB16" s="85" t="n">
        <v>99.4</v>
      </c>
      <c r="GC16" s="85" t="n">
        <v>99.9</v>
      </c>
      <c r="GD16" s="85" t="n">
        <v>101.3</v>
      </c>
      <c r="GE16" s="85" t="n">
        <v>101.5</v>
      </c>
      <c r="GF16" s="85" t="n">
        <v>101.8</v>
      </c>
      <c r="GG16" s="85" t="n">
        <v>102.1</v>
      </c>
      <c r="GH16" s="85" t="n">
        <v>103.2</v>
      </c>
      <c r="GI16" s="85" t="n">
        <v>103.9</v>
      </c>
      <c r="GJ16" s="85" t="n">
        <v>104.9</v>
      </c>
      <c r="GK16" s="85" t="n">
        <v>106.3</v>
      </c>
      <c r="GL16" s="85" t="n">
        <v>109.1</v>
      </c>
      <c r="GM16" s="85" t="n">
        <v>110.6</v>
      </c>
      <c r="GN16" s="85" t="n">
        <v>112</v>
      </c>
      <c r="GO16" s="85" t="n">
        <v>113.3</v>
      </c>
      <c r="GP16" s="85" t="n">
        <v>114.1</v>
      </c>
      <c r="GQ16" s="85" t="n">
        <v>114.7</v>
      </c>
      <c r="GR16" s="85" t="n">
        <v>114.9</v>
      </c>
      <c r="GS16" s="85" t="n">
        <v>114.6</v>
      </c>
      <c r="GT16" s="85" t="n">
        <v>107.5</v>
      </c>
      <c r="GU16" s="85" t="n">
        <v>108</v>
      </c>
      <c r="GV16" s="85" t="n">
        <v>109.5</v>
      </c>
      <c r="GW16" s="85" t="n">
        <v>112.3</v>
      </c>
      <c r="GX16" s="85" t="n">
        <v>118.1</v>
      </c>
      <c r="GY16" s="85" t="n">
        <v>121.5</v>
      </c>
      <c r="GZ16" s="85" t="n">
        <v>124.5</v>
      </c>
      <c r="HA16" s="85" t="n">
        <v>127</v>
      </c>
      <c r="HB16" s="85" t="n">
        <v>129.2</v>
      </c>
      <c r="HC16" t="n">
        <v>131</v>
      </c>
      <c r="HD16" t="n">
        <v>132.4</v>
      </c>
      <c r="HE16" t="n">
        <v>133.5</v>
      </c>
      <c r="HF16" t="n">
        <v>134.3</v>
      </c>
      <c r="HG16" t="n">
        <v>135.1</v>
      </c>
      <c r="HH16" t="n">
        <v>136</v>
      </c>
      <c r="HI16" t="n">
        <v>136.9</v>
      </c>
      <c r="HJ16" t="n">
        <v>137.9</v>
      </c>
      <c r="HK16" t="n">
        <v>139</v>
      </c>
    </row>
    <row r="17">
      <c r="A17" s="85" t="s">
        <v>2525</v>
      </c>
      <c r="B17" s="85" t="n">
        <v>104.6</v>
      </c>
      <c r="C17" s="85" t="n">
        <v>105.5</v>
      </c>
      <c r="D17" s="85" t="n">
        <v>100.7</v>
      </c>
      <c r="E17" s="85" t="n">
        <v>101.5</v>
      </c>
      <c r="F17" s="85" t="n">
        <v>98.3</v>
      </c>
      <c r="G17" s="85" t="n">
        <v>100.7</v>
      </c>
      <c r="H17" s="85" t="n">
        <v>102.3</v>
      </c>
      <c r="I17" s="85" t="n">
        <v>105.5</v>
      </c>
      <c r="J17" s="85" t="n">
        <v>119.8</v>
      </c>
      <c r="K17" s="85" t="n">
        <v>123.4</v>
      </c>
      <c r="L17" s="85" t="n">
        <v>124.3</v>
      </c>
      <c r="M17" s="85" t="n">
        <v>127.1</v>
      </c>
      <c r="N17" s="85" t="n">
        <v>126.4</v>
      </c>
      <c r="O17" s="85" t="n">
        <v>129.2</v>
      </c>
      <c r="P17" s="85" t="n">
        <v>134.1</v>
      </c>
      <c r="Q17" s="85" t="n">
        <v>140</v>
      </c>
      <c r="R17" s="85" t="n">
        <v>142.8</v>
      </c>
      <c r="S17" s="85" t="n">
        <v>148.9</v>
      </c>
      <c r="T17" s="85" t="n">
        <v>154.9</v>
      </c>
      <c r="U17" s="85" t="n">
        <v>157.6</v>
      </c>
      <c r="V17" s="85" t="n">
        <v>158</v>
      </c>
      <c r="W17" s="85" t="n">
        <v>121.1</v>
      </c>
      <c r="X17" s="85" t="n">
        <v>152.8</v>
      </c>
      <c r="Y17" s="85" t="n">
        <v>158.5</v>
      </c>
      <c r="Z17" s="85" t="n">
        <v>162.5</v>
      </c>
      <c r="AA17" s="85" t="n">
        <v>169.3</v>
      </c>
      <c r="AB17" s="85" t="n">
        <v>176.1</v>
      </c>
      <c r="AC17" s="85" t="n">
        <v>182.7</v>
      </c>
      <c r="AD17" s="85" t="n">
        <v>188.8</v>
      </c>
      <c r="AE17" s="85" t="n">
        <v>195.7</v>
      </c>
      <c r="AF17" s="85" t="n">
        <v>198.6</v>
      </c>
      <c r="AG17" s="85" t="n">
        <v>208.5</v>
      </c>
      <c r="AH17" s="85" t="n">
        <v>212</v>
      </c>
      <c r="AI17" s="85" t="n">
        <v>223.1</v>
      </c>
      <c r="AJ17" s="85" t="n">
        <v>236.3</v>
      </c>
      <c r="AK17" s="85" t="n">
        <v>247.2</v>
      </c>
      <c r="AL17" s="85" t="n">
        <v>253.6</v>
      </c>
      <c r="AM17" s="85" t="n">
        <v>262</v>
      </c>
      <c r="AN17" s="85" t="n">
        <v>274.8</v>
      </c>
      <c r="AO17" s="85" t="n">
        <v>285.2</v>
      </c>
      <c r="AP17" s="85" t="n">
        <v>284.8</v>
      </c>
      <c r="AQ17" s="85" t="n">
        <v>292.2</v>
      </c>
      <c r="AR17" s="85" t="n">
        <v>302.2</v>
      </c>
      <c r="AS17" s="85" t="n">
        <v>318.9</v>
      </c>
      <c r="AT17" s="85" t="n">
        <v>330.9</v>
      </c>
      <c r="AU17" s="85" t="n">
        <v>342.7</v>
      </c>
      <c r="AV17" s="85" t="n">
        <v>356.9</v>
      </c>
      <c r="AW17" s="85" t="n">
        <v>352.7</v>
      </c>
      <c r="AX17" s="85" t="n">
        <v>352.5</v>
      </c>
      <c r="AY17" s="85" t="n">
        <v>359.7</v>
      </c>
      <c r="AZ17" s="85" t="n">
        <v>350.1</v>
      </c>
      <c r="BA17" s="85" t="n">
        <v>356.6</v>
      </c>
      <c r="BB17" s="85" t="n">
        <v>350.9</v>
      </c>
      <c r="BC17" s="85" t="n">
        <v>359.6</v>
      </c>
      <c r="BD17" s="85" t="n">
        <v>345.4</v>
      </c>
      <c r="BE17" s="85" t="n">
        <v>355.7</v>
      </c>
      <c r="BF17" s="85" t="n">
        <v>361.2</v>
      </c>
      <c r="BG17" s="85" t="n">
        <v>370.4</v>
      </c>
      <c r="BH17" s="85" t="n">
        <v>384.1</v>
      </c>
      <c r="BI17" s="85" t="n">
        <v>395.9</v>
      </c>
      <c r="BJ17" s="85" t="n">
        <v>432.3</v>
      </c>
      <c r="BK17" s="85" t="n">
        <v>388.5</v>
      </c>
      <c r="BL17" s="85" t="n">
        <v>421.5</v>
      </c>
      <c r="BM17" s="85" t="n">
        <v>428.9</v>
      </c>
      <c r="BN17" s="85" t="n">
        <v>426.3</v>
      </c>
      <c r="BO17" s="85" t="n">
        <v>429.4</v>
      </c>
      <c r="BP17" s="85" t="n">
        <v>439.5</v>
      </c>
      <c r="BQ17" s="85" t="n">
        <v>456</v>
      </c>
      <c r="BR17" s="85" t="n">
        <v>450.7</v>
      </c>
      <c r="BS17" s="85" t="n">
        <v>511.7</v>
      </c>
      <c r="BT17" s="85" t="n">
        <v>489</v>
      </c>
      <c r="BU17" s="85" t="n">
        <v>507</v>
      </c>
      <c r="BV17" s="85" t="n">
        <v>502.1</v>
      </c>
      <c r="BW17" s="85" t="n">
        <v>497.8</v>
      </c>
      <c r="BX17" s="85" t="n">
        <v>506.7</v>
      </c>
      <c r="BY17" s="85" t="n">
        <v>517.2</v>
      </c>
      <c r="BZ17" s="85" t="n">
        <v>552.9</v>
      </c>
      <c r="CA17" s="85" t="n">
        <v>566.7</v>
      </c>
      <c r="CB17" s="85" t="n">
        <v>571.6</v>
      </c>
      <c r="CC17" s="85" t="n">
        <v>579.8</v>
      </c>
      <c r="CD17" s="85" t="n">
        <v>582.5</v>
      </c>
      <c r="CE17" s="85" t="n">
        <v>594.6</v>
      </c>
      <c r="CF17" s="85" t="n">
        <v>600.7</v>
      </c>
      <c r="CG17" s="85" t="n">
        <v>600.8</v>
      </c>
      <c r="CH17" s="85" t="n">
        <v>580.8</v>
      </c>
      <c r="CI17" s="85" t="n">
        <v>585.9</v>
      </c>
      <c r="CJ17" s="85" t="n">
        <v>590.2</v>
      </c>
      <c r="CK17" s="85" t="n">
        <v>598.7</v>
      </c>
      <c r="CL17" s="85" t="n">
        <v>588.9</v>
      </c>
      <c r="CM17" s="85" t="n">
        <v>607.2</v>
      </c>
      <c r="CN17" s="85" t="n">
        <v>616.2</v>
      </c>
      <c r="CO17" s="85" t="n">
        <v>638.9</v>
      </c>
      <c r="CP17" s="85" t="n">
        <v>617</v>
      </c>
      <c r="CQ17" s="85" t="n">
        <v>643.5</v>
      </c>
      <c r="CR17" s="85" t="n">
        <v>659.2</v>
      </c>
      <c r="CS17" s="85" t="n">
        <v>675.3</v>
      </c>
      <c r="CT17" s="85" t="n">
        <v>673.7</v>
      </c>
      <c r="CU17" s="85" t="n">
        <v>697.8</v>
      </c>
      <c r="CV17" s="85" t="n">
        <v>695.4</v>
      </c>
      <c r="CW17" s="85" t="n">
        <v>705.4</v>
      </c>
      <c r="CX17" s="85" t="n">
        <v>724.6</v>
      </c>
      <c r="CY17" s="85" t="n">
        <v>746.8</v>
      </c>
      <c r="CZ17" s="85" t="n">
        <v>752.2</v>
      </c>
      <c r="DA17" s="85" t="n">
        <v>770</v>
      </c>
      <c r="DB17" s="85" t="n">
        <v>801.7</v>
      </c>
      <c r="DC17" s="85" t="n">
        <v>839.6</v>
      </c>
      <c r="DD17" s="85" t="n">
        <v>843.5</v>
      </c>
      <c r="DE17" s="85" t="n">
        <v>863.5</v>
      </c>
      <c r="DF17" s="85" t="n">
        <v>902.1</v>
      </c>
      <c r="DG17" s="85" t="n">
        <v>916.2</v>
      </c>
      <c r="DH17" s="85" t="n">
        <v>941.1</v>
      </c>
      <c r="DI17" s="85" t="n">
        <v>967.8</v>
      </c>
      <c r="DJ17" s="85" t="n">
        <v>996.1</v>
      </c>
      <c r="DK17" s="85" t="n">
        <v>1022.4</v>
      </c>
      <c r="DL17" s="85" t="n">
        <v>1043.2</v>
      </c>
      <c r="DM17" s="85" t="n">
        <v>1068</v>
      </c>
      <c r="DN17" s="85" t="n">
        <v>1077.9</v>
      </c>
      <c r="DO17" s="85" t="n">
        <v>1095.2</v>
      </c>
      <c r="DP17" s="85" t="n">
        <v>1120.6</v>
      </c>
      <c r="DQ17" s="85" t="n">
        <v>1154</v>
      </c>
      <c r="DR17" s="85" t="n">
        <v>1208.8</v>
      </c>
      <c r="DS17" s="85" t="n">
        <v>1230.2</v>
      </c>
      <c r="DT17" s="85" t="n">
        <v>1247.7</v>
      </c>
      <c r="DU17" s="85" t="n">
        <v>1258.7</v>
      </c>
      <c r="DV17" s="85" t="n">
        <v>1301.9</v>
      </c>
      <c r="DW17" s="85" t="n">
        <v>1308.9</v>
      </c>
      <c r="DX17" s="85" t="n">
        <v>1113.6</v>
      </c>
      <c r="DY17" s="85" t="n">
        <v>1231.8</v>
      </c>
      <c r="DZ17" s="85" t="n">
        <v>1075.2</v>
      </c>
      <c r="EA17" s="85" t="n">
        <v>1051</v>
      </c>
      <c r="EB17" s="85" t="n">
        <v>1044.1</v>
      </c>
      <c r="EC17" s="85" t="n">
        <v>1038.4</v>
      </c>
      <c r="ED17" s="85" t="n">
        <v>1021.3</v>
      </c>
      <c r="EE17" s="85" t="n">
        <v>1020.8</v>
      </c>
      <c r="EF17" s="85" t="n">
        <v>950.7</v>
      </c>
      <c r="EG17" s="85" t="n">
        <v>1021.3</v>
      </c>
      <c r="EH17" s="85" t="n">
        <v>1012.3</v>
      </c>
      <c r="EI17" s="85" t="n">
        <v>1026.8</v>
      </c>
      <c r="EJ17" s="85" t="n">
        <v>1064.4</v>
      </c>
      <c r="EK17" s="85" t="n">
        <v>1091.6</v>
      </c>
      <c r="EL17" s="85" t="n">
        <v>1172.3</v>
      </c>
      <c r="EM17" s="85" t="n">
        <v>1196.3</v>
      </c>
      <c r="EN17" s="85" t="n">
        <v>1225.5</v>
      </c>
      <c r="EO17" s="85" t="n">
        <v>1255.8</v>
      </c>
      <c r="EP17" s="85" t="n">
        <v>1320.5</v>
      </c>
      <c r="EQ17" s="85" t="n">
        <v>1351.3</v>
      </c>
      <c r="ER17" s="85" t="n">
        <v>1358.6</v>
      </c>
      <c r="ES17" s="85" t="n">
        <v>1397.5</v>
      </c>
      <c r="ET17" s="85" t="n">
        <v>1466.5</v>
      </c>
      <c r="EU17" s="85" t="n">
        <v>1495.9</v>
      </c>
      <c r="EV17" s="85" t="n">
        <v>1498.9</v>
      </c>
      <c r="EW17" s="85" t="n">
        <v>1508.6</v>
      </c>
      <c r="EX17" s="85" t="n">
        <v>1535.1</v>
      </c>
      <c r="EY17" s="85" t="n">
        <v>1552.5</v>
      </c>
      <c r="EZ17" s="85" t="n">
        <v>1497.5</v>
      </c>
      <c r="FA17" s="85" t="n">
        <v>1444.9</v>
      </c>
      <c r="FB17" s="85" t="n">
        <v>1202.4</v>
      </c>
      <c r="FC17" s="85" t="n">
        <v>1131.1</v>
      </c>
      <c r="FD17" s="85" t="n">
        <v>1135.3</v>
      </c>
      <c r="FE17" s="85" t="n">
        <v>1140.7</v>
      </c>
      <c r="FF17" s="85" t="n">
        <v>1191.8</v>
      </c>
      <c r="FG17" s="85" t="n">
        <v>1213.2</v>
      </c>
      <c r="FH17" s="85" t="n">
        <v>1256.3</v>
      </c>
      <c r="FI17" s="85" t="n">
        <v>1289.1</v>
      </c>
      <c r="FJ17" s="85" t="n">
        <v>1426.6</v>
      </c>
      <c r="FK17" s="85" t="n">
        <v>1445.9</v>
      </c>
      <c r="FL17" s="85" t="n">
        <v>1471.4</v>
      </c>
      <c r="FM17" s="85" t="n">
        <v>1470.9</v>
      </c>
      <c r="FN17" s="85" t="n">
        <v>1468.3</v>
      </c>
      <c r="FO17" s="85" t="n">
        <v>1487.7</v>
      </c>
      <c r="FP17" s="85" t="n">
        <v>1510</v>
      </c>
      <c r="FQ17" s="85" t="n">
        <v>1572</v>
      </c>
      <c r="FR17" s="85" t="n">
        <v>1650.8</v>
      </c>
      <c r="FS17" s="85" t="n">
        <v>1683.9</v>
      </c>
      <c r="FT17" s="85" t="n">
        <v>1676.3</v>
      </c>
      <c r="FU17" s="85" t="n">
        <v>1699.1</v>
      </c>
      <c r="FV17" s="85" t="n">
        <v>1745.8</v>
      </c>
      <c r="FW17" s="85" t="n">
        <v>1759.5</v>
      </c>
      <c r="FX17" s="85" t="n">
        <v>1799.8</v>
      </c>
      <c r="FY17" s="85" t="n">
        <v>1837.7</v>
      </c>
      <c r="FZ17" s="85" t="n">
        <v>1905.6</v>
      </c>
      <c r="GA17" s="85" t="n">
        <v>1943.9</v>
      </c>
      <c r="GB17" s="85" t="n">
        <v>1948.3</v>
      </c>
      <c r="GC17" s="85" t="n">
        <v>1965.8</v>
      </c>
      <c r="GD17" s="85" t="n">
        <v>1925.3</v>
      </c>
      <c r="GE17" s="85" t="n">
        <v>1944</v>
      </c>
      <c r="GF17" s="85" t="n">
        <v>1972.5</v>
      </c>
      <c r="GG17" s="85" t="n">
        <v>1993.2</v>
      </c>
      <c r="GH17" s="85" t="n">
        <v>2004.2</v>
      </c>
      <c r="GI17" s="85" t="n">
        <v>2012.3</v>
      </c>
      <c r="GJ17" s="85" t="n">
        <v>2055.1</v>
      </c>
      <c r="GK17" s="85" t="n">
        <v>2123.7</v>
      </c>
      <c r="GL17" s="85" t="n">
        <v>2071.6</v>
      </c>
      <c r="GM17" s="85" t="n">
        <v>2058.1</v>
      </c>
      <c r="GN17" s="85" t="n">
        <v>2085.3</v>
      </c>
      <c r="GO17" s="85" t="n">
        <v>2081.6</v>
      </c>
      <c r="GP17" s="85" t="n">
        <v>2155.4</v>
      </c>
      <c r="GQ17" s="85" t="n">
        <v>2217.7</v>
      </c>
      <c r="GR17" s="85" t="n">
        <v>2195.3</v>
      </c>
      <c r="GS17" s="85" t="n">
        <v>2226.2</v>
      </c>
      <c r="GT17" s="85" t="n">
        <v>2247.7</v>
      </c>
      <c r="GU17" s="85" t="n">
        <v>2107.4</v>
      </c>
      <c r="GV17" s="85" t="n">
        <v>2248.2</v>
      </c>
      <c r="GW17" s="85" t="n">
        <v>2377.8</v>
      </c>
      <c r="GX17" s="85" t="n">
        <v>2547.7</v>
      </c>
      <c r="GY17" s="85" t="n">
        <v>2675.6</v>
      </c>
      <c r="GZ17" s="85" t="n">
        <v>2750</v>
      </c>
      <c r="HA17" s="85" t="n">
        <v>2847</v>
      </c>
      <c r="HB17" s="85" t="n">
        <v>3254.1</v>
      </c>
      <c r="HC17" t="n">
        <v>3297.4</v>
      </c>
      <c r="HD17" t="n">
        <v>3224.9</v>
      </c>
      <c r="HE17" t="n">
        <v>3203.3</v>
      </c>
      <c r="HF17" t="n">
        <v>2834.2</v>
      </c>
      <c r="HG17" t="n">
        <v>2828.4</v>
      </c>
      <c r="HH17" t="n">
        <v>2866</v>
      </c>
      <c r="HI17" t="n">
        <v>2894.3</v>
      </c>
      <c r="HJ17" t="n">
        <v>2965.6</v>
      </c>
      <c r="HK17" t="n">
        <v>3020.9</v>
      </c>
    </row>
    <row r="18">
      <c r="A18" s="85" t="s">
        <v>2526</v>
      </c>
      <c r="B18" s="85" t="n">
        <v>88.5</v>
      </c>
      <c r="C18" s="85" t="n">
        <v>90.5</v>
      </c>
      <c r="D18" s="85" t="n">
        <v>92.5</v>
      </c>
      <c r="E18" s="85" t="n">
        <v>94.1</v>
      </c>
      <c r="F18" s="85" t="n">
        <v>97.7</v>
      </c>
      <c r="G18" s="85" t="n">
        <v>98.9</v>
      </c>
      <c r="H18" s="85" t="n">
        <v>101.7</v>
      </c>
      <c r="I18" s="85" t="n">
        <v>103.7</v>
      </c>
      <c r="J18" s="85" t="n">
        <v>104.6</v>
      </c>
      <c r="K18" s="85" t="n">
        <v>106.8</v>
      </c>
      <c r="L18" s="85" t="n">
        <v>108.9</v>
      </c>
      <c r="M18" s="85" t="n">
        <v>111.5</v>
      </c>
      <c r="N18" s="85" t="n">
        <v>114.6</v>
      </c>
      <c r="O18" s="85" t="n">
        <v>116.2</v>
      </c>
      <c r="P18" s="85" t="n">
        <v>118.4</v>
      </c>
      <c r="Q18" s="85" t="n">
        <v>119.7</v>
      </c>
      <c r="R18" s="85" t="n">
        <v>120.8</v>
      </c>
      <c r="S18" s="85" t="n">
        <v>124.1</v>
      </c>
      <c r="T18" s="85" t="n">
        <v>127.1</v>
      </c>
      <c r="U18" s="85" t="n">
        <v>127.7</v>
      </c>
      <c r="V18" s="85" t="n">
        <v>128.8</v>
      </c>
      <c r="W18" s="85" t="n">
        <v>133</v>
      </c>
      <c r="X18" s="85" t="n">
        <v>138.2</v>
      </c>
      <c r="Y18" s="85" t="n">
        <v>141.1</v>
      </c>
      <c r="Z18" s="85" t="n">
        <v>141.7</v>
      </c>
      <c r="AA18" s="85" t="n">
        <v>144.9</v>
      </c>
      <c r="AB18" s="85" t="n">
        <v>147.7</v>
      </c>
      <c r="AC18" s="85" t="n">
        <v>151.3</v>
      </c>
      <c r="AD18" s="85" t="n">
        <v>154.8</v>
      </c>
      <c r="AE18" s="85" t="n">
        <v>158</v>
      </c>
      <c r="AF18" s="85" t="n">
        <v>161.5</v>
      </c>
      <c r="AG18" s="85" t="n">
        <v>164.3</v>
      </c>
      <c r="AH18" s="85" t="n">
        <v>166.9</v>
      </c>
      <c r="AI18" s="85" t="n">
        <v>173.1</v>
      </c>
      <c r="AJ18" s="85" t="n">
        <v>169.7</v>
      </c>
      <c r="AK18" s="85" t="n">
        <v>173.9</v>
      </c>
      <c r="AL18" s="85" t="n">
        <v>176.4</v>
      </c>
      <c r="AM18" s="85" t="n">
        <v>178.5</v>
      </c>
      <c r="AN18" s="85" t="n">
        <v>180.9</v>
      </c>
      <c r="AO18" s="85" t="n">
        <v>184.6</v>
      </c>
      <c r="AP18" s="85" t="n">
        <v>189.5</v>
      </c>
      <c r="AQ18" s="85" t="n">
        <v>196.9</v>
      </c>
      <c r="AR18" s="85" t="n">
        <v>204.3</v>
      </c>
      <c r="AS18" s="85" t="n">
        <v>210.6</v>
      </c>
      <c r="AT18" s="85" t="n">
        <v>230.8</v>
      </c>
      <c r="AU18" s="85" t="n">
        <v>235.5</v>
      </c>
      <c r="AV18" s="85" t="n">
        <v>237.5</v>
      </c>
      <c r="AW18" s="85" t="n">
        <v>238.8</v>
      </c>
      <c r="AX18" s="85" t="n">
        <v>237.4</v>
      </c>
      <c r="AY18" s="85" t="n">
        <v>238.3</v>
      </c>
      <c r="AZ18" s="85" t="n">
        <v>241.8</v>
      </c>
      <c r="BA18" s="85" t="n">
        <v>246.3</v>
      </c>
      <c r="BB18" s="85" t="n">
        <v>250.7</v>
      </c>
      <c r="BC18" s="85" t="n">
        <v>261.2</v>
      </c>
      <c r="BD18" s="85" t="n">
        <v>267.5</v>
      </c>
      <c r="BE18" s="85" t="n">
        <v>273.7</v>
      </c>
      <c r="BF18" s="85" t="n">
        <v>281.6</v>
      </c>
      <c r="BG18" s="85" t="n">
        <v>287.7</v>
      </c>
      <c r="BH18" s="85" t="n">
        <v>292.2</v>
      </c>
      <c r="BI18" s="85" t="n">
        <v>297.5</v>
      </c>
      <c r="BJ18" s="85" t="n">
        <v>301</v>
      </c>
      <c r="BK18" s="85" t="n">
        <v>305.7</v>
      </c>
      <c r="BL18" s="85" t="n">
        <v>311.9</v>
      </c>
      <c r="BM18" s="85" t="n">
        <v>313.9</v>
      </c>
      <c r="BN18" s="85" t="n">
        <v>317.5</v>
      </c>
      <c r="BO18" s="85" t="n">
        <v>319.5</v>
      </c>
      <c r="BP18" s="85" t="n">
        <v>326.2</v>
      </c>
      <c r="BQ18" s="85" t="n">
        <v>330.4</v>
      </c>
      <c r="BR18" s="85" t="n">
        <v>336</v>
      </c>
      <c r="BS18" s="85" t="n">
        <v>344.4</v>
      </c>
      <c r="BT18" s="85" t="n">
        <v>352.4</v>
      </c>
      <c r="BU18" s="85" t="n">
        <v>357.4</v>
      </c>
      <c r="BV18" s="85" t="n">
        <v>365.2</v>
      </c>
      <c r="BW18" s="85" t="n">
        <v>372.5</v>
      </c>
      <c r="BX18" s="85" t="n">
        <v>377.5</v>
      </c>
      <c r="BY18" s="85" t="n">
        <v>382.6</v>
      </c>
      <c r="BZ18" s="85" t="n">
        <v>391</v>
      </c>
      <c r="CA18" s="85" t="n">
        <v>397.5</v>
      </c>
      <c r="CB18" s="85" t="n">
        <v>403.9</v>
      </c>
      <c r="CC18" s="85" t="n">
        <v>403</v>
      </c>
      <c r="CD18" s="85" t="n">
        <v>419.5</v>
      </c>
      <c r="CE18" s="85" t="n">
        <v>419.5</v>
      </c>
      <c r="CF18" s="85" t="n">
        <v>426.8</v>
      </c>
      <c r="CG18" s="85" t="n">
        <v>434.2</v>
      </c>
      <c r="CH18" s="85" t="n">
        <v>444</v>
      </c>
      <c r="CI18" s="85" t="n">
        <v>451.6</v>
      </c>
      <c r="CJ18" s="85" t="n">
        <v>461.3</v>
      </c>
      <c r="CK18" s="85" t="n">
        <v>471.5</v>
      </c>
      <c r="CL18" s="85" t="n">
        <v>476.4</v>
      </c>
      <c r="CM18" s="85" t="n">
        <v>481.2</v>
      </c>
      <c r="CN18" s="85" t="n">
        <v>486</v>
      </c>
      <c r="CO18" s="85" t="n">
        <v>489.9</v>
      </c>
      <c r="CP18" s="85" t="n">
        <v>489.7</v>
      </c>
      <c r="CQ18" s="85" t="n">
        <v>497.6</v>
      </c>
      <c r="CR18" s="85" t="n">
        <v>504.9</v>
      </c>
      <c r="CS18" s="85" t="n">
        <v>520.3</v>
      </c>
      <c r="CT18" s="85" t="n">
        <v>531.5</v>
      </c>
      <c r="CU18" s="85" t="n">
        <v>544.4</v>
      </c>
      <c r="CV18" s="85" t="n">
        <v>550.5</v>
      </c>
      <c r="CW18" s="85" t="n">
        <v>554.6</v>
      </c>
      <c r="CX18" s="85" t="n">
        <v>555.3</v>
      </c>
      <c r="CY18" s="85" t="n">
        <v>553.6</v>
      </c>
      <c r="CZ18" s="85" t="n">
        <v>558.9</v>
      </c>
      <c r="DA18" s="85" t="n">
        <v>563.8</v>
      </c>
      <c r="DB18" s="85" t="n">
        <v>570.4</v>
      </c>
      <c r="DC18" s="85" t="n">
        <v>577.7</v>
      </c>
      <c r="DD18" s="85" t="n">
        <v>581.8</v>
      </c>
      <c r="DE18" s="85" t="n">
        <v>593.2</v>
      </c>
      <c r="DF18" s="85" t="n">
        <v>595.7</v>
      </c>
      <c r="DG18" s="85" t="n">
        <v>610.4</v>
      </c>
      <c r="DH18" s="85" t="n">
        <v>616.6</v>
      </c>
      <c r="DI18" s="85" t="n">
        <v>623.8</v>
      </c>
      <c r="DJ18" s="85" t="n">
        <v>629.1</v>
      </c>
      <c r="DK18" s="85" t="n">
        <v>635.5</v>
      </c>
      <c r="DL18" s="85" t="n">
        <v>643</v>
      </c>
      <c r="DM18" s="85" t="n">
        <v>650.3</v>
      </c>
      <c r="DN18" s="85" t="n">
        <v>657.5</v>
      </c>
      <c r="DO18" s="85" t="n">
        <v>667.1</v>
      </c>
      <c r="DP18" s="85" t="n">
        <v>679</v>
      </c>
      <c r="DQ18" s="85" t="n">
        <v>690.7</v>
      </c>
      <c r="DR18" s="85" t="n">
        <v>698.6</v>
      </c>
      <c r="DS18" s="85" t="n">
        <v>707.3</v>
      </c>
      <c r="DT18" s="85" t="n">
        <v>711.3</v>
      </c>
      <c r="DU18" s="85" t="n">
        <v>717.1</v>
      </c>
      <c r="DV18" s="85" t="n">
        <v>724.2</v>
      </c>
      <c r="DW18" s="85" t="n">
        <v>724.1</v>
      </c>
      <c r="DX18" s="85" t="n">
        <v>725.3</v>
      </c>
      <c r="DY18" s="85" t="n">
        <v>737.1</v>
      </c>
      <c r="DZ18" s="85" t="n">
        <v>744</v>
      </c>
      <c r="EA18" s="85" t="n">
        <v>751.3</v>
      </c>
      <c r="EB18" s="85" t="n">
        <v>768.5</v>
      </c>
      <c r="EC18" s="85" t="n">
        <v>776.3</v>
      </c>
      <c r="ED18" s="85" t="n">
        <v>788.6</v>
      </c>
      <c r="EE18" s="85" t="n">
        <v>800</v>
      </c>
      <c r="EF18" s="85" t="n">
        <v>813</v>
      </c>
      <c r="EG18" s="85" t="n">
        <v>820.9</v>
      </c>
      <c r="EH18" s="85" t="n">
        <v>847.3</v>
      </c>
      <c r="EI18" s="85" t="n">
        <v>859.9</v>
      </c>
      <c r="EJ18" s="85" t="n">
        <v>871.3</v>
      </c>
      <c r="EK18" s="85" t="n">
        <v>893.8</v>
      </c>
      <c r="EL18" s="85" t="n">
        <v>915.1</v>
      </c>
      <c r="EM18" s="85" t="n">
        <v>937.3</v>
      </c>
      <c r="EN18" s="85" t="n">
        <v>952.1</v>
      </c>
      <c r="EO18" s="85" t="n">
        <v>965.3</v>
      </c>
      <c r="EP18" s="85" t="n">
        <v>981.8</v>
      </c>
      <c r="EQ18" s="85" t="n">
        <v>991.7</v>
      </c>
      <c r="ER18" s="85" t="n">
        <v>1004.1</v>
      </c>
      <c r="ES18" s="85" t="n">
        <v>1010.5</v>
      </c>
      <c r="ET18" s="85" t="n">
        <v>1025.9</v>
      </c>
      <c r="EU18" s="85" t="n">
        <v>1033.1</v>
      </c>
      <c r="EV18" s="85" t="n">
        <v>1035.8</v>
      </c>
      <c r="EW18" s="85" t="n">
        <v>1052.6</v>
      </c>
      <c r="EX18" s="85" t="n">
        <v>1045.7</v>
      </c>
      <c r="EY18" s="85" t="n">
        <v>1054.7</v>
      </c>
      <c r="EZ18" s="85" t="n">
        <v>1058.5</v>
      </c>
      <c r="FA18" s="85" t="n">
        <v>1040</v>
      </c>
      <c r="FB18" s="85" t="n">
        <v>1015.9</v>
      </c>
      <c r="FC18" s="85" t="n">
        <v>1017.3</v>
      </c>
      <c r="FD18" s="85" t="n">
        <v>1028.8</v>
      </c>
      <c r="FE18" s="85" t="n">
        <v>1045.3</v>
      </c>
      <c r="FF18" s="85" t="n">
        <v>1044.6</v>
      </c>
      <c r="FG18" s="85" t="n">
        <v>1062.1</v>
      </c>
      <c r="FH18" s="85" t="n">
        <v>1069.1</v>
      </c>
      <c r="FI18" s="85" t="n">
        <v>1076.4</v>
      </c>
      <c r="FJ18" s="85" t="n">
        <v>1091.5</v>
      </c>
      <c r="FK18" s="85" t="n">
        <v>1105.5</v>
      </c>
      <c r="FL18" s="85" t="n">
        <v>1103.9</v>
      </c>
      <c r="FM18" s="85" t="n">
        <v>1114</v>
      </c>
      <c r="FN18" s="85" t="n">
        <v>1130.9</v>
      </c>
      <c r="FO18" s="85" t="n">
        <v>1133.9</v>
      </c>
      <c r="FP18" s="85" t="n">
        <v>1131.3</v>
      </c>
      <c r="FQ18" s="85" t="n">
        <v>1148.4</v>
      </c>
      <c r="FR18" s="85" t="n">
        <v>1175.4</v>
      </c>
      <c r="FS18" s="85" t="n">
        <v>1179.4</v>
      </c>
      <c r="FT18" s="85" t="n">
        <v>1190.2</v>
      </c>
      <c r="FU18" s="85" t="n">
        <v>1198.3</v>
      </c>
      <c r="FV18" s="85" t="n">
        <v>1215.9</v>
      </c>
      <c r="FW18" s="85" t="n">
        <v>1234.8</v>
      </c>
      <c r="FX18" s="85" t="n">
        <v>1245.6</v>
      </c>
      <c r="FY18" s="85" t="n">
        <v>1254.4</v>
      </c>
      <c r="FZ18" s="85" t="n">
        <v>1259.1</v>
      </c>
      <c r="GA18" s="85" t="n">
        <v>1270.9</v>
      </c>
      <c r="GB18" s="85" t="n">
        <v>1275.8</v>
      </c>
      <c r="GC18" s="85" t="n">
        <v>1288</v>
      </c>
      <c r="GD18" s="85" t="n">
        <v>1292.5</v>
      </c>
      <c r="GE18" s="85" t="n">
        <v>1297.5</v>
      </c>
      <c r="GF18" s="85" t="n">
        <v>1320.1</v>
      </c>
      <c r="GG18" s="85" t="n">
        <v>1326.4</v>
      </c>
      <c r="GH18" s="85" t="n">
        <v>1336.9</v>
      </c>
      <c r="GI18" s="85" t="n">
        <v>1353.5</v>
      </c>
      <c r="GJ18" s="85" t="n">
        <v>1372</v>
      </c>
      <c r="GK18" s="85" t="n">
        <v>1393.5</v>
      </c>
      <c r="GL18" s="85" t="n">
        <v>1423.3</v>
      </c>
      <c r="GM18" s="85" t="n">
        <v>1440.9</v>
      </c>
      <c r="GN18" s="85" t="n">
        <v>1463.6</v>
      </c>
      <c r="GO18" s="85" t="n">
        <v>1500.6</v>
      </c>
      <c r="GP18" s="85" t="n">
        <v>1508.3</v>
      </c>
      <c r="GQ18" s="85" t="n">
        <v>1520.2</v>
      </c>
      <c r="GR18" s="85" t="n">
        <v>1553.6</v>
      </c>
      <c r="GS18" s="85" t="n">
        <v>1552.4</v>
      </c>
      <c r="GT18" s="85" t="n">
        <v>1557.2</v>
      </c>
      <c r="GU18" s="85" t="n">
        <v>1418</v>
      </c>
      <c r="GV18" s="85" t="n">
        <v>1539.4</v>
      </c>
      <c r="GW18" s="85" t="n">
        <v>1570.4</v>
      </c>
      <c r="GX18" s="85" t="n">
        <v>1598.3</v>
      </c>
      <c r="GY18" s="85" t="n">
        <v>1704.8</v>
      </c>
      <c r="GZ18" s="85" t="n">
        <v>1722.1</v>
      </c>
      <c r="HA18" s="85" t="n">
        <v>1775.1</v>
      </c>
      <c r="HB18" s="85" t="n">
        <v>1812.4</v>
      </c>
      <c r="HC18" t="n">
        <v>1853.2</v>
      </c>
      <c r="HD18" t="n">
        <v>1868.5</v>
      </c>
      <c r="HE18" t="n">
        <v>1866.9</v>
      </c>
      <c r="HF18" t="n">
        <v>1877.4</v>
      </c>
      <c r="HG18" t="n">
        <v>1885.2</v>
      </c>
      <c r="HH18" t="n">
        <v>1896.2</v>
      </c>
      <c r="HI18" t="n">
        <v>1913.6</v>
      </c>
      <c r="HJ18" t="n">
        <v>1938</v>
      </c>
      <c r="HK18" t="n">
        <v>1954.7</v>
      </c>
    </row>
    <row r="19">
      <c r="A19" s="85" t="s">
        <v>2527</v>
      </c>
      <c r="B19" s="85" t="n">
        <v>30.7</v>
      </c>
      <c r="C19" s="85" t="n">
        <v>30.8</v>
      </c>
      <c r="D19" s="85" t="n">
        <v>31.7</v>
      </c>
      <c r="E19" s="85" t="n">
        <v>30.2</v>
      </c>
      <c r="F19" s="85" t="n">
        <v>34</v>
      </c>
      <c r="G19" s="85" t="n">
        <v>34.9</v>
      </c>
      <c r="H19" s="85" t="n">
        <v>34.1</v>
      </c>
      <c r="I19" s="85" t="n">
        <v>34.6</v>
      </c>
      <c r="J19" s="85" t="n">
        <v>36.8</v>
      </c>
      <c r="K19" s="85" t="n">
        <v>37.1</v>
      </c>
      <c r="L19" s="85" t="n">
        <v>38.3</v>
      </c>
      <c r="M19" s="85" t="n">
        <v>42.4</v>
      </c>
      <c r="N19" s="85" t="n">
        <v>45.3</v>
      </c>
      <c r="O19" s="85" t="n">
        <v>45.4</v>
      </c>
      <c r="P19" s="85" t="n">
        <v>43.4</v>
      </c>
      <c r="Q19" s="85" t="n">
        <v>45.6</v>
      </c>
      <c r="R19" s="85" t="n">
        <v>43.7</v>
      </c>
      <c r="S19" s="85" t="n">
        <v>45.9</v>
      </c>
      <c r="T19" s="85" t="n">
        <v>50.8</v>
      </c>
      <c r="U19" s="85" t="n">
        <v>44.6</v>
      </c>
      <c r="V19" s="85" t="n">
        <v>37.6</v>
      </c>
      <c r="W19" s="85" t="n">
        <v>40.8</v>
      </c>
      <c r="X19" s="85" t="n">
        <v>51.4</v>
      </c>
      <c r="Y19" s="85" t="n">
        <v>52.3</v>
      </c>
      <c r="Z19" s="85" t="n">
        <v>59.6</v>
      </c>
      <c r="AA19" s="85" t="n">
        <v>58.6</v>
      </c>
      <c r="AB19" s="85" t="n">
        <v>58.1</v>
      </c>
      <c r="AC19" s="85" t="n">
        <v>57.1</v>
      </c>
      <c r="AD19" s="85" t="n">
        <v>61.5</v>
      </c>
      <c r="AE19" s="85" t="n">
        <v>67.1</v>
      </c>
      <c r="AF19" s="85" t="n">
        <v>69.7</v>
      </c>
      <c r="AG19" s="85" t="n">
        <v>70.1</v>
      </c>
      <c r="AH19" s="85" t="n">
        <v>65</v>
      </c>
      <c r="AI19" s="85" t="n">
        <v>78.6</v>
      </c>
      <c r="AJ19" s="85" t="n">
        <v>79.1</v>
      </c>
      <c r="AK19" s="85" t="n">
        <v>83.3</v>
      </c>
      <c r="AL19" s="85" t="n">
        <v>80.3</v>
      </c>
      <c r="AM19" s="85" t="n">
        <v>80.3</v>
      </c>
      <c r="AN19" s="85" t="n">
        <v>78.9</v>
      </c>
      <c r="AO19" s="85" t="n">
        <v>75.3</v>
      </c>
      <c r="AP19" s="85" t="n">
        <v>83.1</v>
      </c>
      <c r="AQ19" s="85" t="n">
        <v>62.6</v>
      </c>
      <c r="AR19" s="85" t="n">
        <v>69.9</v>
      </c>
      <c r="AS19" s="85" t="n">
        <v>76.8</v>
      </c>
      <c r="AT19" s="85" t="n">
        <v>75.4</v>
      </c>
      <c r="AU19" s="85" t="n">
        <v>65.9</v>
      </c>
      <c r="AV19" s="85" t="n">
        <v>68.4</v>
      </c>
      <c r="AW19" s="85" t="n">
        <v>58.9</v>
      </c>
      <c r="AX19" s="85" t="n">
        <v>47.6</v>
      </c>
      <c r="AY19" s="85" t="n">
        <v>49</v>
      </c>
      <c r="AZ19" s="85" t="n">
        <v>49.8</v>
      </c>
      <c r="BA19" s="85" t="n">
        <v>45.1</v>
      </c>
      <c r="BB19" s="85" t="n">
        <v>47.1</v>
      </c>
      <c r="BC19" s="85" t="n">
        <v>61.9</v>
      </c>
      <c r="BD19" s="85" t="n">
        <v>70.7</v>
      </c>
      <c r="BE19" s="85" t="n">
        <v>72.4</v>
      </c>
      <c r="BF19" s="85" t="n">
        <v>84.9</v>
      </c>
      <c r="BG19" s="85" t="n">
        <v>83.7</v>
      </c>
      <c r="BH19" s="85" t="n">
        <v>71.3</v>
      </c>
      <c r="BI19" s="85" t="n">
        <v>72.1</v>
      </c>
      <c r="BJ19" s="85" t="n">
        <v>77.7</v>
      </c>
      <c r="BK19" s="85" t="n">
        <v>76</v>
      </c>
      <c r="BL19" s="85" t="n">
        <v>81.7</v>
      </c>
      <c r="BM19" s="85" t="n">
        <v>79.5</v>
      </c>
      <c r="BN19" s="85" t="n">
        <v>84.4</v>
      </c>
      <c r="BO19" s="85" t="n">
        <v>85.5</v>
      </c>
      <c r="BP19" s="85" t="n">
        <v>86.9</v>
      </c>
      <c r="BQ19" s="85" t="n">
        <v>97.9</v>
      </c>
      <c r="BR19" s="85" t="n">
        <v>98.7</v>
      </c>
      <c r="BS19" s="85" t="n">
        <v>111.8</v>
      </c>
      <c r="BT19" s="85" t="n">
        <v>116.2</v>
      </c>
      <c r="BU19" s="85" t="n">
        <v>110.7</v>
      </c>
      <c r="BV19" s="85" t="n">
        <v>108</v>
      </c>
      <c r="BW19" s="85" t="n">
        <v>115.3</v>
      </c>
      <c r="BX19" s="85" t="n">
        <v>125.1</v>
      </c>
      <c r="BY19" s="85" t="n">
        <v>130.9</v>
      </c>
      <c r="BZ19" s="85" t="n">
        <v>132.7</v>
      </c>
      <c r="CA19" s="85" t="n">
        <v>118.7</v>
      </c>
      <c r="CB19" s="85" t="n">
        <v>114.4</v>
      </c>
      <c r="CC19" s="85" t="n">
        <v>113.5</v>
      </c>
      <c r="CD19" s="85" t="n">
        <v>112.5</v>
      </c>
      <c r="CE19" s="85" t="n">
        <v>116.8</v>
      </c>
      <c r="CF19" s="85" t="n">
        <v>119.9</v>
      </c>
      <c r="CG19" s="85" t="n">
        <v>118.8</v>
      </c>
      <c r="CH19" s="85" t="n">
        <v>115.3</v>
      </c>
      <c r="CI19" s="85" t="n">
        <v>110.9</v>
      </c>
      <c r="CJ19" s="85" t="n">
        <v>111.9</v>
      </c>
      <c r="CK19" s="85" t="n">
        <v>113.1</v>
      </c>
      <c r="CL19" s="85" t="n">
        <v>125</v>
      </c>
      <c r="CM19" s="85" t="n">
        <v>126.8</v>
      </c>
      <c r="CN19" s="85" t="n">
        <v>122.1</v>
      </c>
      <c r="CO19" s="85" t="n">
        <v>131.6</v>
      </c>
      <c r="CP19" s="85" t="n">
        <v>136.4</v>
      </c>
      <c r="CQ19" s="85" t="n">
        <v>148.7</v>
      </c>
      <c r="CR19" s="85" t="n">
        <v>140.7</v>
      </c>
      <c r="CS19" s="85" t="n">
        <v>171.9</v>
      </c>
      <c r="CT19" s="85" t="n">
        <v>149.5</v>
      </c>
      <c r="CU19" s="85" t="n">
        <v>158</v>
      </c>
      <c r="CV19" s="85" t="n">
        <v>173.8</v>
      </c>
      <c r="CW19" s="85" t="n">
        <v>183.6</v>
      </c>
      <c r="CX19" s="85" t="n">
        <v>187.8</v>
      </c>
      <c r="CY19" s="85" t="n">
        <v>184.4</v>
      </c>
      <c r="CZ19" s="85" t="n">
        <v>191</v>
      </c>
      <c r="DA19" s="85" t="n">
        <v>187.1</v>
      </c>
      <c r="DB19" s="85" t="n">
        <v>194.3</v>
      </c>
      <c r="DC19" s="85" t="n">
        <v>205.5</v>
      </c>
      <c r="DD19" s="85" t="n">
        <v>205.9</v>
      </c>
      <c r="DE19" s="85" t="n">
        <v>208.6</v>
      </c>
      <c r="DF19" s="85" t="n">
        <v>210</v>
      </c>
      <c r="DG19" s="85" t="n">
        <v>214</v>
      </c>
      <c r="DH19" s="85" t="n">
        <v>226</v>
      </c>
      <c r="DI19" s="85" t="n">
        <v>215.9</v>
      </c>
      <c r="DJ19" s="85" t="n">
        <v>213.5</v>
      </c>
      <c r="DK19" s="85" t="n">
        <v>209.9</v>
      </c>
      <c r="DL19" s="85" t="n">
        <v>215.8</v>
      </c>
      <c r="DM19" s="85" t="n">
        <v>211.3</v>
      </c>
      <c r="DN19" s="85" t="n">
        <v>222.3</v>
      </c>
      <c r="DO19" s="85" t="n">
        <v>219.9</v>
      </c>
      <c r="DP19" s="85" t="n">
        <v>223.3</v>
      </c>
      <c r="DQ19" s="85" t="n">
        <v>228</v>
      </c>
      <c r="DR19" s="85" t="n">
        <v>239.4</v>
      </c>
      <c r="DS19" s="85" t="n">
        <v>237.6</v>
      </c>
      <c r="DT19" s="85" t="n">
        <v>219</v>
      </c>
      <c r="DU19" s="85" t="n">
        <v>221.3</v>
      </c>
      <c r="DV19" s="85" t="n">
        <v>185.1</v>
      </c>
      <c r="DW19" s="85" t="n">
        <v>179</v>
      </c>
      <c r="DX19" s="85" t="n">
        <v>159.3</v>
      </c>
      <c r="DY19" s="85" t="n">
        <v>142.4</v>
      </c>
      <c r="DZ19" s="85" t="n">
        <v>143.8</v>
      </c>
      <c r="EA19" s="85" t="n">
        <v>150</v>
      </c>
      <c r="EB19" s="85" t="n">
        <v>158</v>
      </c>
      <c r="EC19" s="85" t="n">
        <v>175.5</v>
      </c>
      <c r="ED19" s="85" t="n">
        <v>196.1</v>
      </c>
      <c r="EE19" s="85" t="n">
        <v>192.6</v>
      </c>
      <c r="EF19" s="85" t="n">
        <v>213.9</v>
      </c>
      <c r="EG19" s="85" t="n">
        <v>236.6</v>
      </c>
      <c r="EH19" s="85" t="n">
        <v>247</v>
      </c>
      <c r="EI19" s="85" t="n">
        <v>266.8</v>
      </c>
      <c r="EJ19" s="85" t="n">
        <v>288.3</v>
      </c>
      <c r="EK19" s="85" t="n">
        <v>293.6</v>
      </c>
      <c r="EL19" s="85" t="n">
        <v>370.6</v>
      </c>
      <c r="EM19" s="85" t="n">
        <v>359</v>
      </c>
      <c r="EN19" s="85" t="n">
        <v>365.2</v>
      </c>
      <c r="EO19" s="85" t="n">
        <v>402.9</v>
      </c>
      <c r="EP19" s="85" t="n">
        <v>416.9</v>
      </c>
      <c r="EQ19" s="85" t="n">
        <v>427.6</v>
      </c>
      <c r="ER19" s="85" t="n">
        <v>446.6</v>
      </c>
      <c r="ES19" s="85" t="n">
        <v>409.8</v>
      </c>
      <c r="ET19" s="85" t="n">
        <v>413.6</v>
      </c>
      <c r="EU19" s="85" t="n">
        <v>407.2</v>
      </c>
      <c r="EV19" s="85" t="n">
        <v>370.9</v>
      </c>
      <c r="EW19" s="85" t="n">
        <v>352.7</v>
      </c>
      <c r="EX19" s="85" t="n">
        <v>291.9</v>
      </c>
      <c r="EY19" s="85" t="n">
        <v>278.7</v>
      </c>
      <c r="EZ19" s="85" t="n">
        <v>264.4</v>
      </c>
      <c r="FA19" s="85" t="n">
        <v>162.6</v>
      </c>
      <c r="FB19" s="85" t="n">
        <v>166.5</v>
      </c>
      <c r="FC19" s="85" t="n">
        <v>188.6</v>
      </c>
      <c r="FD19" s="85" t="n">
        <v>200.7</v>
      </c>
      <c r="FE19" s="85" t="n">
        <v>234.2</v>
      </c>
      <c r="FF19" s="85" t="n">
        <v>249.8</v>
      </c>
      <c r="FG19" s="85" t="n">
        <v>255.6</v>
      </c>
      <c r="FH19" s="85" t="n">
        <v>272.6</v>
      </c>
      <c r="FI19" s="85" t="n">
        <v>284</v>
      </c>
      <c r="FJ19" s="85" t="n">
        <v>277.3</v>
      </c>
      <c r="FK19" s="85" t="n">
        <v>276.9</v>
      </c>
      <c r="FL19" s="85" t="n">
        <v>248.2</v>
      </c>
      <c r="FM19" s="85" t="n">
        <v>287</v>
      </c>
      <c r="FN19" s="85" t="n">
        <v>310.7</v>
      </c>
      <c r="FO19" s="85" t="n">
        <v>325</v>
      </c>
      <c r="FP19" s="85" t="n">
        <v>332.9</v>
      </c>
      <c r="FQ19" s="85" t="n">
        <v>332.8</v>
      </c>
      <c r="FR19" s="85" t="n">
        <v>350.6</v>
      </c>
      <c r="FS19" s="85" t="n">
        <v>347.2</v>
      </c>
      <c r="FT19" s="85" t="n">
        <v>353.9</v>
      </c>
      <c r="FU19" s="85" t="n">
        <v>356.6</v>
      </c>
      <c r="FV19" s="85" t="n">
        <v>392.6</v>
      </c>
      <c r="FW19" s="85" t="n">
        <v>414.3</v>
      </c>
      <c r="FX19" s="85" t="n">
        <v>386.7</v>
      </c>
      <c r="FY19" s="85" t="n">
        <v>390.4</v>
      </c>
      <c r="FZ19" s="85" t="n">
        <v>402.7</v>
      </c>
      <c r="GA19" s="85" t="n">
        <v>408.3</v>
      </c>
      <c r="GB19" s="85" t="n">
        <v>380.2</v>
      </c>
      <c r="GC19" s="85" t="n">
        <v>349.3</v>
      </c>
      <c r="GD19" s="85" t="n">
        <v>364.1</v>
      </c>
      <c r="GE19" s="85" t="n">
        <v>367.1</v>
      </c>
      <c r="GF19" s="85" t="n">
        <v>375.5</v>
      </c>
      <c r="GG19" s="85" t="n">
        <v>353.4</v>
      </c>
      <c r="GH19" s="85" t="n">
        <v>266.9</v>
      </c>
      <c r="GI19" s="85" t="n">
        <v>279.6</v>
      </c>
      <c r="GJ19" s="85" t="n">
        <v>295.7</v>
      </c>
      <c r="GK19" s="85" t="n">
        <v>296.9</v>
      </c>
      <c r="GL19" s="85" t="n">
        <v>270.4</v>
      </c>
      <c r="GM19" s="85" t="n">
        <v>289.5</v>
      </c>
      <c r="GN19" s="85" t="n">
        <v>287.1</v>
      </c>
      <c r="GO19" s="85" t="n">
        <v>293.3</v>
      </c>
      <c r="GP19" s="85" t="n">
        <v>269.2</v>
      </c>
      <c r="GQ19" s="85" t="n">
        <v>282.4</v>
      </c>
      <c r="GR19" s="85" t="n">
        <v>281</v>
      </c>
      <c r="GS19" s="85" t="n">
        <v>302.2</v>
      </c>
      <c r="GT19" s="85" t="n">
        <v>255.9</v>
      </c>
      <c r="GU19" s="85" t="n">
        <v>266</v>
      </c>
      <c r="GV19" s="85" t="n">
        <v>340.1</v>
      </c>
      <c r="GW19" s="85" t="n">
        <v>333.6</v>
      </c>
      <c r="GX19" s="85" t="n">
        <v>373.1</v>
      </c>
      <c r="GY19" s="85" t="n">
        <v>437.6</v>
      </c>
      <c r="GZ19" s="85" t="n">
        <v>463.9</v>
      </c>
      <c r="HA19" s="85" t="n">
        <v>526</v>
      </c>
      <c r="HB19" t="n">
        <v>550.4</v>
      </c>
      <c r="HC19" t="n">
        <v>574.7</v>
      </c>
      <c r="HD19" t="n">
        <v>561.2</v>
      </c>
      <c r="HE19" t="n">
        <v>569.1</v>
      </c>
      <c r="HF19" t="n">
        <v>592.9</v>
      </c>
      <c r="HG19" t="n">
        <v>591.9</v>
      </c>
      <c r="HH19" t="n">
        <v>617.8</v>
      </c>
      <c r="HI19" t="n">
        <v>631.7</v>
      </c>
      <c r="HJ19" t="n">
        <v>630.3</v>
      </c>
      <c r="HK19" t="n">
        <v>657.4</v>
      </c>
    </row>
    <row r="20">
      <c r="A20" s="85" t="s">
        <v>2528</v>
      </c>
      <c r="B20" s="85" t="n">
        <v>247.9</v>
      </c>
      <c r="C20" s="85" t="n">
        <v>249.1</v>
      </c>
      <c r="D20" s="85" t="n">
        <v>254.6</v>
      </c>
      <c r="E20" s="85" t="n">
        <v>258.7</v>
      </c>
      <c r="F20" s="85" t="n">
        <v>261.9</v>
      </c>
      <c r="G20" s="85" t="n">
        <v>266.1</v>
      </c>
      <c r="H20" s="85" t="n">
        <v>269.8</v>
      </c>
      <c r="I20" s="85" t="n">
        <v>272.1</v>
      </c>
      <c r="J20" s="85" t="n">
        <v>282.2</v>
      </c>
      <c r="K20" s="85" t="n">
        <v>286.5</v>
      </c>
      <c r="L20" s="85" t="n">
        <v>284.3</v>
      </c>
      <c r="M20" s="85" t="n">
        <v>291.7</v>
      </c>
      <c r="N20" s="85" t="n">
        <v>299.6</v>
      </c>
      <c r="O20" s="85" t="n">
        <v>302.7</v>
      </c>
      <c r="P20" s="85" t="n">
        <v>304.2</v>
      </c>
      <c r="Q20" s="85" t="n">
        <v>312.6</v>
      </c>
      <c r="R20" s="85" t="n">
        <v>324.6</v>
      </c>
      <c r="S20" s="85" t="n">
        <v>335</v>
      </c>
      <c r="T20" s="85" t="n">
        <v>346.7</v>
      </c>
      <c r="U20" s="85" t="n">
        <v>359.2</v>
      </c>
      <c r="V20" s="85" t="n">
        <v>370.1</v>
      </c>
      <c r="W20" s="85" t="n">
        <v>373.4</v>
      </c>
      <c r="X20" s="85" t="n">
        <v>385.4</v>
      </c>
      <c r="Y20" s="85" t="n">
        <v>395.6</v>
      </c>
      <c r="Z20" s="85" t="n">
        <v>401.3</v>
      </c>
      <c r="AA20" s="85" t="n">
        <v>401</v>
      </c>
      <c r="AB20" s="85" t="n">
        <v>403.5</v>
      </c>
      <c r="AC20" s="85" t="n">
        <v>410.8</v>
      </c>
      <c r="AD20" s="85" t="n">
        <v>421.2</v>
      </c>
      <c r="AE20" s="85" t="n">
        <v>431.4</v>
      </c>
      <c r="AF20" s="85" t="n">
        <v>438</v>
      </c>
      <c r="AG20" s="85" t="n">
        <v>446.7</v>
      </c>
      <c r="AH20" s="85" t="n">
        <v>452.6</v>
      </c>
      <c r="AI20" s="85" t="n">
        <v>472.3</v>
      </c>
      <c r="AJ20" s="85" t="n">
        <v>484.2</v>
      </c>
      <c r="AK20" s="85" t="n">
        <v>496.2</v>
      </c>
      <c r="AL20" s="85" t="n">
        <v>501.8</v>
      </c>
      <c r="AM20" s="85" t="n">
        <v>516.5</v>
      </c>
      <c r="AN20" s="85" t="n">
        <v>533.1</v>
      </c>
      <c r="AO20" s="85" t="n">
        <v>547.8</v>
      </c>
      <c r="AP20" s="85" t="n">
        <v>568.8</v>
      </c>
      <c r="AQ20" s="85" t="n">
        <v>588.5</v>
      </c>
      <c r="AR20" s="85" t="n">
        <v>592.2</v>
      </c>
      <c r="AS20" s="85" t="n">
        <v>608.9</v>
      </c>
      <c r="AT20" s="85" t="n">
        <v>633.4</v>
      </c>
      <c r="AU20" s="85" t="n">
        <v>648.7</v>
      </c>
      <c r="AV20" s="85" t="n">
        <v>657.8</v>
      </c>
      <c r="AW20" s="85" t="n">
        <v>677.7</v>
      </c>
      <c r="AX20" s="85" t="n">
        <v>688.1</v>
      </c>
      <c r="AY20" s="85" t="n">
        <v>703.1</v>
      </c>
      <c r="AZ20" s="85" t="n">
        <v>717.3</v>
      </c>
      <c r="BA20" s="85" t="n">
        <v>737.4</v>
      </c>
      <c r="BB20" s="85" t="n">
        <v>747.9</v>
      </c>
      <c r="BC20" s="85" t="n">
        <v>761.1</v>
      </c>
      <c r="BD20" s="85" t="n">
        <v>782.2</v>
      </c>
      <c r="BE20" s="85" t="n">
        <v>775.1</v>
      </c>
      <c r="BF20" s="85" t="n">
        <v>794</v>
      </c>
      <c r="BG20" s="85" t="n">
        <v>819.1</v>
      </c>
      <c r="BH20" s="85" t="n">
        <v>835.7</v>
      </c>
      <c r="BI20" s="85" t="n">
        <v>862.8</v>
      </c>
      <c r="BJ20" s="85" t="n">
        <v>875.6</v>
      </c>
      <c r="BK20" s="85" t="n">
        <v>900.5</v>
      </c>
      <c r="BL20" s="85" t="n">
        <v>927.4</v>
      </c>
      <c r="BM20" s="85" t="n">
        <v>938.6</v>
      </c>
      <c r="BN20" s="85" t="n">
        <v>946.8</v>
      </c>
      <c r="BO20" s="85" t="n">
        <v>967.5</v>
      </c>
      <c r="BP20" s="85" t="n">
        <v>993.6</v>
      </c>
      <c r="BQ20" s="85" t="n">
        <v>996.4</v>
      </c>
      <c r="BR20" s="85" t="n">
        <v>1008.7</v>
      </c>
      <c r="BS20" s="85" t="n">
        <v>1025.2</v>
      </c>
      <c r="BT20" s="85" t="n">
        <v>1036.2</v>
      </c>
      <c r="BU20" s="85" t="n">
        <v>1056</v>
      </c>
      <c r="BV20" s="85" t="n">
        <v>1056.9</v>
      </c>
      <c r="BW20" s="85" t="n">
        <v>1070.4</v>
      </c>
      <c r="BX20" s="85" t="n">
        <v>1078.2</v>
      </c>
      <c r="BY20" s="85" t="n">
        <v>1109.9</v>
      </c>
      <c r="BZ20" s="85" t="n">
        <v>1116.6</v>
      </c>
      <c r="CA20" s="85" t="n">
        <v>1145.8</v>
      </c>
      <c r="CB20" s="85" t="n">
        <v>1164.6</v>
      </c>
      <c r="CC20" s="85" t="n">
        <v>1180.5</v>
      </c>
      <c r="CD20" s="85" t="n">
        <v>1212.5</v>
      </c>
      <c r="CE20" s="85" t="n">
        <v>1230.7</v>
      </c>
      <c r="CF20" s="85" t="n">
        <v>1242.6</v>
      </c>
      <c r="CG20" s="85" t="n">
        <v>1268.5</v>
      </c>
      <c r="CH20" s="85" t="n">
        <v>1284.2</v>
      </c>
      <c r="CI20" s="85" t="n">
        <v>1296.6</v>
      </c>
      <c r="CJ20" s="85" t="n">
        <v>1306.3</v>
      </c>
      <c r="CK20" s="85" t="n">
        <v>1308.8</v>
      </c>
      <c r="CL20" s="85" t="n">
        <v>1326.4</v>
      </c>
      <c r="CM20" s="85" t="n">
        <v>1334.8</v>
      </c>
      <c r="CN20" s="85" t="n">
        <v>1354</v>
      </c>
      <c r="CO20" s="85" t="n">
        <v>1362.8</v>
      </c>
      <c r="CP20" s="85" t="n">
        <v>1351.8</v>
      </c>
      <c r="CQ20" s="85" t="n">
        <v>1359.1</v>
      </c>
      <c r="CR20" s="85" t="n">
        <v>1367.4</v>
      </c>
      <c r="CS20" s="85" t="n">
        <v>1381.4</v>
      </c>
      <c r="CT20" s="85" t="n">
        <v>1373.4</v>
      </c>
      <c r="CU20" s="85" t="n">
        <v>1389.4</v>
      </c>
      <c r="CV20" s="85" t="n">
        <v>1423.4</v>
      </c>
      <c r="CW20" s="85" t="n">
        <v>1422.9</v>
      </c>
      <c r="CX20" s="85" t="n">
        <v>1437.6</v>
      </c>
      <c r="CY20" s="85" t="n">
        <v>1452.9</v>
      </c>
      <c r="CZ20" s="85" t="n">
        <v>1455.7</v>
      </c>
      <c r="DA20" s="85" t="n">
        <v>1451.6</v>
      </c>
      <c r="DB20" s="85" t="n">
        <v>1471.3</v>
      </c>
      <c r="DC20" s="85" t="n">
        <v>1487.7</v>
      </c>
      <c r="DD20" s="85" t="n">
        <v>1496.7</v>
      </c>
      <c r="DE20" s="85" t="n">
        <v>1515.7</v>
      </c>
      <c r="DF20" s="85" t="n">
        <v>1516</v>
      </c>
      <c r="DG20" s="85" t="n">
        <v>1542.5</v>
      </c>
      <c r="DH20" s="85" t="n">
        <v>1555.2</v>
      </c>
      <c r="DI20" s="85" t="n">
        <v>1574.8</v>
      </c>
      <c r="DJ20" s="85" t="n">
        <v>1568</v>
      </c>
      <c r="DK20" s="85" t="n">
        <v>1603.7</v>
      </c>
      <c r="DL20" s="85" t="n">
        <v>1627.3</v>
      </c>
      <c r="DM20" s="85" t="n">
        <v>1647.5</v>
      </c>
      <c r="DN20" s="85" t="n">
        <v>1669.1</v>
      </c>
      <c r="DO20" s="85" t="n">
        <v>1694.8</v>
      </c>
      <c r="DP20" s="85" t="n">
        <v>1734</v>
      </c>
      <c r="DQ20" s="85" t="n">
        <v>1781.7</v>
      </c>
      <c r="DR20" s="85" t="n">
        <v>1789.9</v>
      </c>
      <c r="DS20" s="85" t="n">
        <v>1822.5</v>
      </c>
      <c r="DT20" s="85" t="n">
        <v>1832.1</v>
      </c>
      <c r="DU20" s="85" t="n">
        <v>1861.3</v>
      </c>
      <c r="DV20" s="85" t="n">
        <v>1906.3</v>
      </c>
      <c r="DW20" s="85" t="n">
        <v>1947.7</v>
      </c>
      <c r="DX20" s="85" t="n">
        <v>1953.4</v>
      </c>
      <c r="DY20" s="85" t="n">
        <v>1992.7</v>
      </c>
      <c r="DZ20" s="85" t="n">
        <v>2040</v>
      </c>
      <c r="EA20" s="85" t="n">
        <v>2074.5</v>
      </c>
      <c r="EB20" s="85" t="n">
        <v>2101.3</v>
      </c>
      <c r="EC20" s="85" t="n">
        <v>2142.2</v>
      </c>
      <c r="ED20" s="85" t="n">
        <v>2172</v>
      </c>
      <c r="EE20" s="85" t="n">
        <v>2198.8</v>
      </c>
      <c r="EF20" s="85" t="n">
        <v>2220.4</v>
      </c>
      <c r="EG20" s="85" t="n">
        <v>2251.2</v>
      </c>
      <c r="EH20" s="85" t="n">
        <v>2286.6</v>
      </c>
      <c r="EI20" s="85" t="n">
        <v>2320.7</v>
      </c>
      <c r="EJ20" s="85" t="n">
        <v>2356.4</v>
      </c>
      <c r="EK20" s="85" t="n">
        <v>2388.8</v>
      </c>
      <c r="EL20" s="85" t="n">
        <v>2426.1</v>
      </c>
      <c r="EM20" s="85" t="n">
        <v>2452.2</v>
      </c>
      <c r="EN20" s="85" t="n">
        <v>2494.4</v>
      </c>
      <c r="EO20" s="85" t="n">
        <v>2528.4</v>
      </c>
      <c r="EP20" s="85" t="n">
        <v>2580.1</v>
      </c>
      <c r="EQ20" s="85" t="n">
        <v>2610.6</v>
      </c>
      <c r="ER20" s="85" t="n">
        <v>2630.3</v>
      </c>
      <c r="ES20" s="85" t="n">
        <v>2674.5</v>
      </c>
      <c r="ET20" s="85" t="n">
        <v>2718.5</v>
      </c>
      <c r="EU20" s="85" t="n">
        <v>2770</v>
      </c>
      <c r="EV20" s="85" t="n">
        <v>2808.7</v>
      </c>
      <c r="EW20" s="85" t="n">
        <v>2865.1</v>
      </c>
      <c r="EX20" s="85" t="n">
        <v>2909.6</v>
      </c>
      <c r="EY20" s="85" t="n">
        <v>2971.6</v>
      </c>
      <c r="EZ20" s="85" t="n">
        <v>3029</v>
      </c>
      <c r="FA20" s="85" t="n">
        <v>3021.8</v>
      </c>
      <c r="FB20" s="85" t="n">
        <v>3022</v>
      </c>
      <c r="FC20" s="85" t="n">
        <v>3070.5</v>
      </c>
      <c r="FD20" s="85" t="n">
        <v>3092.1</v>
      </c>
      <c r="FE20" s="85" t="n">
        <v>3120.8</v>
      </c>
      <c r="FF20" s="85" t="n">
        <v>3133.8</v>
      </c>
      <c r="FG20" s="85" t="n">
        <v>3165.8</v>
      </c>
      <c r="FH20" s="85" t="n">
        <v>3158.3</v>
      </c>
      <c r="FI20" s="85" t="n">
        <v>3164.3</v>
      </c>
      <c r="FJ20" s="85" t="n">
        <v>3155.8</v>
      </c>
      <c r="FK20" s="85" t="n">
        <v>3168.3</v>
      </c>
      <c r="FL20" s="85" t="n">
        <v>3136.9</v>
      </c>
      <c r="FM20" s="85" t="n">
        <v>3130.8</v>
      </c>
      <c r="FN20" s="85" t="n">
        <v>3144</v>
      </c>
      <c r="FO20" s="85" t="n">
        <v>3130.4</v>
      </c>
      <c r="FP20" s="85" t="n">
        <v>3139.1</v>
      </c>
      <c r="FQ20" s="85" t="n">
        <v>3132.3</v>
      </c>
      <c r="FR20" s="85" t="n">
        <v>3123.5</v>
      </c>
      <c r="FS20" s="85" t="n">
        <v>3131.1</v>
      </c>
      <c r="FT20" s="85" t="n">
        <v>3135.2</v>
      </c>
      <c r="FU20" s="85" t="n">
        <v>3140.5</v>
      </c>
      <c r="FV20" s="85" t="n">
        <v>3139.1</v>
      </c>
      <c r="FW20" s="85" t="n">
        <v>3154.4</v>
      </c>
      <c r="FX20" s="85" t="n">
        <v>3191.7</v>
      </c>
      <c r="FY20" s="85" t="n">
        <v>3189.3</v>
      </c>
      <c r="FZ20" s="85" t="n">
        <v>3187.9</v>
      </c>
      <c r="GA20" s="85" t="n">
        <v>3234.1</v>
      </c>
      <c r="GB20" s="85" t="n">
        <v>3253.6</v>
      </c>
      <c r="GC20" s="85" t="n">
        <v>3258.1</v>
      </c>
      <c r="GD20" s="85" t="n">
        <v>3270.1</v>
      </c>
      <c r="GE20" s="85" t="n">
        <v>3289.6</v>
      </c>
      <c r="GF20" s="85" t="n">
        <v>3315.2</v>
      </c>
      <c r="GG20" s="85" t="n">
        <v>3337.2</v>
      </c>
      <c r="GH20" s="85" t="n">
        <v>3353.1</v>
      </c>
      <c r="GI20" s="85" t="n">
        <v>3370.4</v>
      </c>
      <c r="GJ20" s="85" t="n">
        <v>3398.9</v>
      </c>
      <c r="GK20" s="85" t="n">
        <v>3466.1</v>
      </c>
      <c r="GL20" s="85" t="n">
        <v>3513.9</v>
      </c>
      <c r="GM20" s="85" t="n">
        <v>3570.7</v>
      </c>
      <c r="GN20" s="85" t="n">
        <v>3626.1</v>
      </c>
      <c r="GO20" s="85" t="n">
        <v>3650.8</v>
      </c>
      <c r="GP20" s="85" t="n">
        <v>3702.9</v>
      </c>
      <c r="GQ20" s="85" t="n">
        <v>3761.2</v>
      </c>
      <c r="GR20" s="85" t="n">
        <v>3814.8</v>
      </c>
      <c r="GS20" s="85" t="n">
        <v>3865</v>
      </c>
      <c r="GT20" s="85" t="n">
        <v>3943</v>
      </c>
      <c r="GU20" s="85" t="n">
        <v>4026</v>
      </c>
      <c r="GV20" s="85" t="n">
        <v>4001.6</v>
      </c>
      <c r="GW20" s="85" t="n">
        <v>4028</v>
      </c>
      <c r="GX20" s="85" t="n">
        <v>4147.6</v>
      </c>
      <c r="GY20" s="85" t="n">
        <v>4170</v>
      </c>
      <c r="GZ20" s="85" t="n">
        <v>4214</v>
      </c>
      <c r="HA20" s="85" t="n">
        <v>4282.3</v>
      </c>
      <c r="HB20" s="85" t="n">
        <v>4332.6</v>
      </c>
      <c r="HC20" t="n">
        <v>4437.6</v>
      </c>
      <c r="HD20" t="n">
        <v>4480.1</v>
      </c>
      <c r="HE20" t="n">
        <v>4564.8</v>
      </c>
      <c r="HF20" t="n">
        <v>4624.6</v>
      </c>
      <c r="HG20" t="n">
        <v>4645.9</v>
      </c>
      <c r="HH20" t="n">
        <v>4756.4</v>
      </c>
      <c r="HI20" t="n">
        <v>4815.2</v>
      </c>
      <c r="HJ20" t="n">
        <v>4881</v>
      </c>
      <c r="HK20" t="n">
        <v>4943</v>
      </c>
    </row>
    <row r="21">
      <c r="A21" s="85" t="s">
        <v>2529</v>
      </c>
      <c r="B21" s="85" t="n">
        <v>46.2</v>
      </c>
      <c r="C21" s="85" t="n">
        <v>46.5</v>
      </c>
      <c r="D21" s="85" t="n">
        <v>46.9</v>
      </c>
      <c r="E21" s="85" t="n">
        <v>46.7</v>
      </c>
      <c r="F21" s="85" t="n">
        <v>50.8</v>
      </c>
      <c r="G21" s="85" t="n">
        <v>51.4</v>
      </c>
      <c r="H21" s="85" t="n">
        <v>51.6</v>
      </c>
      <c r="I21" s="85" t="n">
        <v>52.2</v>
      </c>
      <c r="J21" s="85" t="n">
        <v>58.5</v>
      </c>
      <c r="K21" s="85" t="n">
        <v>59.2</v>
      </c>
      <c r="L21" s="85" t="n">
        <v>59.9</v>
      </c>
      <c r="M21" s="85" t="n">
        <v>60.8</v>
      </c>
      <c r="N21" s="85" t="n">
        <v>74.1</v>
      </c>
      <c r="O21" s="85" t="n">
        <v>75.3</v>
      </c>
      <c r="P21" s="85" t="n">
        <v>76.6</v>
      </c>
      <c r="Q21" s="85" t="n">
        <v>78.1</v>
      </c>
      <c r="R21" s="85" t="n">
        <v>83.7</v>
      </c>
      <c r="S21" s="85" t="n">
        <v>85.3</v>
      </c>
      <c r="T21" s="85" t="n">
        <v>86.9</v>
      </c>
      <c r="U21" s="85" t="n">
        <v>87.1</v>
      </c>
      <c r="V21" s="85" t="n">
        <v>88.2</v>
      </c>
      <c r="W21" s="85" t="n">
        <v>88.6</v>
      </c>
      <c r="X21" s="85" t="n">
        <v>90.3</v>
      </c>
      <c r="Y21" s="85" t="n">
        <v>92.4</v>
      </c>
      <c r="Z21" s="85" t="n">
        <v>99.6</v>
      </c>
      <c r="AA21" s="85" t="n">
        <v>101.1</v>
      </c>
      <c r="AB21" s="85" t="n">
        <v>102.8</v>
      </c>
      <c r="AC21" s="85" t="n">
        <v>104.4</v>
      </c>
      <c r="AD21" s="85" t="n">
        <v>110</v>
      </c>
      <c r="AE21" s="85" t="n">
        <v>112.8</v>
      </c>
      <c r="AF21" s="85" t="n">
        <v>115.1</v>
      </c>
      <c r="AG21" s="85" t="n">
        <v>117.5</v>
      </c>
      <c r="AH21" s="85" t="n">
        <v>124.7</v>
      </c>
      <c r="AI21" s="85" t="n">
        <v>129.9</v>
      </c>
      <c r="AJ21" s="85" t="n">
        <v>134.2</v>
      </c>
      <c r="AK21" s="85" t="n">
        <v>139.6</v>
      </c>
      <c r="AL21" s="85" t="n">
        <v>146.9</v>
      </c>
      <c r="AM21" s="85" t="n">
        <v>151.2</v>
      </c>
      <c r="AN21" s="85" t="n">
        <v>156.3</v>
      </c>
      <c r="AO21" s="85" t="n">
        <v>160.3</v>
      </c>
      <c r="AP21" s="85" t="n">
        <v>162.9</v>
      </c>
      <c r="AQ21" s="85" t="n">
        <v>163.9</v>
      </c>
      <c r="AR21" s="85" t="n">
        <v>168</v>
      </c>
      <c r="AS21" s="85" t="n">
        <v>174</v>
      </c>
      <c r="AT21" s="85" t="n">
        <v>191</v>
      </c>
      <c r="AU21" s="85" t="n">
        <v>194.8</v>
      </c>
      <c r="AV21" s="85" t="n">
        <v>199.5</v>
      </c>
      <c r="AW21" s="85" t="n">
        <v>202.2</v>
      </c>
      <c r="AX21" s="85" t="n">
        <v>207.2</v>
      </c>
      <c r="AY21" s="85" t="n">
        <v>209.2</v>
      </c>
      <c r="AZ21" s="85" t="n">
        <v>211.5</v>
      </c>
      <c r="BA21" s="85" t="n">
        <v>212.4</v>
      </c>
      <c r="BB21" s="85" t="n">
        <v>220.2</v>
      </c>
      <c r="BC21" s="85" t="n">
        <v>224.2</v>
      </c>
      <c r="BD21" s="85" t="n">
        <v>228.9</v>
      </c>
      <c r="BE21" s="85" t="n">
        <v>235.5</v>
      </c>
      <c r="BF21" s="85" t="n">
        <v>250.8</v>
      </c>
      <c r="BG21" s="85" t="n">
        <v>256.8</v>
      </c>
      <c r="BH21" s="85" t="n">
        <v>261.8</v>
      </c>
      <c r="BI21" s="85" t="n">
        <v>265.8</v>
      </c>
      <c r="BJ21" s="85" t="n">
        <v>275.7</v>
      </c>
      <c r="BK21" s="85" t="n">
        <v>279.8</v>
      </c>
      <c r="BL21" s="85" t="n">
        <v>284.6</v>
      </c>
      <c r="BM21" s="85" t="n">
        <v>291.1</v>
      </c>
      <c r="BN21" s="85" t="n">
        <v>298.2</v>
      </c>
      <c r="BO21" s="85" t="n">
        <v>301.9</v>
      </c>
      <c r="BP21" s="85" t="n">
        <v>306.9</v>
      </c>
      <c r="BQ21" s="85" t="n">
        <v>312.6</v>
      </c>
      <c r="BR21" s="85" t="n">
        <v>317.4</v>
      </c>
      <c r="BS21" s="85" t="n">
        <v>321.5</v>
      </c>
      <c r="BT21" s="85" t="n">
        <v>326.3</v>
      </c>
      <c r="BU21" s="85" t="n">
        <v>333.3</v>
      </c>
      <c r="BV21" s="85" t="n">
        <v>352.7</v>
      </c>
      <c r="BW21" s="85" t="n">
        <v>360</v>
      </c>
      <c r="BX21" s="85" t="n">
        <v>366.2</v>
      </c>
      <c r="BY21" s="85" t="n">
        <v>373.7</v>
      </c>
      <c r="BZ21" s="85" t="n">
        <v>379.7</v>
      </c>
      <c r="CA21" s="85" t="n">
        <v>384.3</v>
      </c>
      <c r="CB21" s="85" t="n">
        <v>388.9</v>
      </c>
      <c r="CC21" s="85" t="n">
        <v>394.9</v>
      </c>
      <c r="CD21" s="85" t="n">
        <v>403.5</v>
      </c>
      <c r="CE21" s="85" t="n">
        <v>408.8</v>
      </c>
      <c r="CF21" s="85" t="n">
        <v>416.6</v>
      </c>
      <c r="CG21" s="85" t="n">
        <v>419.4</v>
      </c>
      <c r="CH21" s="85" t="n">
        <v>423</v>
      </c>
      <c r="CI21" s="85" t="n">
        <v>429.7</v>
      </c>
      <c r="CJ21" s="85" t="n">
        <v>435.6</v>
      </c>
      <c r="CK21" s="85" t="n">
        <v>440.6</v>
      </c>
      <c r="CL21" s="85" t="n">
        <v>452.5</v>
      </c>
      <c r="CM21" s="85" t="n">
        <v>458.1</v>
      </c>
      <c r="CN21" s="85" t="n">
        <v>461.2</v>
      </c>
      <c r="CO21" s="85" t="n">
        <v>456.5</v>
      </c>
      <c r="CP21" s="85" t="n">
        <v>475.9</v>
      </c>
      <c r="CQ21" s="85" t="n">
        <v>476.4</v>
      </c>
      <c r="CR21" s="85" t="n">
        <v>481</v>
      </c>
      <c r="CS21" s="85" t="n">
        <v>485.2</v>
      </c>
      <c r="CT21" s="85" t="n">
        <v>500.4</v>
      </c>
      <c r="CU21" s="85" t="n">
        <v>507.6</v>
      </c>
      <c r="CV21" s="85" t="n">
        <v>513.6</v>
      </c>
      <c r="CW21" s="85" t="n">
        <v>521.1</v>
      </c>
      <c r="CX21" s="85" t="n">
        <v>528.2</v>
      </c>
      <c r="CY21" s="85" t="n">
        <v>532.7</v>
      </c>
      <c r="CZ21" s="85" t="n">
        <v>538.1</v>
      </c>
      <c r="DA21" s="85" t="n">
        <v>543.1</v>
      </c>
      <c r="DB21" s="85" t="n">
        <v>545.9</v>
      </c>
      <c r="DC21" s="85" t="n">
        <v>554.4</v>
      </c>
      <c r="DD21" s="85" t="n">
        <v>561.8</v>
      </c>
      <c r="DE21" s="85" t="n">
        <v>569.4</v>
      </c>
      <c r="DF21" s="85" t="n">
        <v>577.3</v>
      </c>
      <c r="DG21" s="85" t="n">
        <v>584.9</v>
      </c>
      <c r="DH21" s="85" t="n">
        <v>593.6</v>
      </c>
      <c r="DI21" s="85" t="n">
        <v>605.3</v>
      </c>
      <c r="DJ21" s="85" t="n">
        <v>613.3</v>
      </c>
      <c r="DK21" s="85" t="n">
        <v>622.8</v>
      </c>
      <c r="DL21" s="85" t="n">
        <v>632.6</v>
      </c>
      <c r="DM21" s="85" t="n">
        <v>642.4</v>
      </c>
      <c r="DN21" s="85" t="n">
        <v>653.3</v>
      </c>
      <c r="DO21" s="85" t="n">
        <v>659</v>
      </c>
      <c r="DP21" s="85" t="n">
        <v>666.4</v>
      </c>
      <c r="DQ21" s="85" t="n">
        <v>679.6</v>
      </c>
      <c r="DR21" s="85" t="n">
        <v>699.5</v>
      </c>
      <c r="DS21" s="85" t="n">
        <v>701.9</v>
      </c>
      <c r="DT21" s="85" t="n">
        <v>715.2</v>
      </c>
      <c r="DU21" s="85" t="n">
        <v>721</v>
      </c>
      <c r="DV21" s="85" t="n">
        <v>736.1</v>
      </c>
      <c r="DW21" s="85" t="n">
        <v>736.9</v>
      </c>
      <c r="DX21" s="85" t="n">
        <v>736.1</v>
      </c>
      <c r="DY21" s="85" t="n">
        <v>738.7</v>
      </c>
      <c r="DZ21" s="85" t="n">
        <v>746.9</v>
      </c>
      <c r="EA21" s="85" t="n">
        <v>755.3</v>
      </c>
      <c r="EB21" s="85" t="n">
        <v>758.1</v>
      </c>
      <c r="EC21" s="85" t="n">
        <v>760.8</v>
      </c>
      <c r="ED21" s="85" t="n">
        <v>767.1</v>
      </c>
      <c r="EE21" s="85" t="n">
        <v>777.8</v>
      </c>
      <c r="EF21" s="85" t="n">
        <v>787.7</v>
      </c>
      <c r="EG21" s="85" t="n">
        <v>800.1</v>
      </c>
      <c r="EH21" s="85" t="n">
        <v>813.4</v>
      </c>
      <c r="EI21" s="85" t="n">
        <v>828</v>
      </c>
      <c r="EJ21" s="85" t="n">
        <v>843.7</v>
      </c>
      <c r="EK21" s="85" t="n">
        <v>849.5</v>
      </c>
      <c r="EL21" s="85" t="n">
        <v>862.7</v>
      </c>
      <c r="EM21" s="85" t="n">
        <v>871</v>
      </c>
      <c r="EN21" s="85" t="n">
        <v>884.2</v>
      </c>
      <c r="EO21" s="85" t="n">
        <v>894.1</v>
      </c>
      <c r="EP21" s="85" t="n">
        <v>917.9</v>
      </c>
      <c r="EQ21" s="85" t="n">
        <v>922.7</v>
      </c>
      <c r="ER21" s="85" t="n">
        <v>927.2</v>
      </c>
      <c r="ES21" s="85" t="n">
        <v>940.8</v>
      </c>
      <c r="ET21" s="85" t="n">
        <v>960.4</v>
      </c>
      <c r="EU21" s="85" t="n">
        <v>962</v>
      </c>
      <c r="EV21" s="85" t="n">
        <v>965.3</v>
      </c>
      <c r="EW21" s="85" t="n">
        <v>976.9</v>
      </c>
      <c r="EX21" s="85" t="n">
        <v>988.8</v>
      </c>
      <c r="EY21" s="85" t="n">
        <v>991</v>
      </c>
      <c r="EZ21" s="85" t="n">
        <v>996.4</v>
      </c>
      <c r="FA21" s="85" t="n">
        <v>996.6</v>
      </c>
      <c r="FB21" s="85" t="n">
        <v>964.7</v>
      </c>
      <c r="FC21" s="85" t="n">
        <v>971.2</v>
      </c>
      <c r="FD21" s="85" t="n">
        <v>968.8</v>
      </c>
      <c r="FE21" s="85" t="n">
        <v>972.2</v>
      </c>
      <c r="FF21" s="85" t="n">
        <v>978.6</v>
      </c>
      <c r="FG21" s="85" t="n">
        <v>989.5</v>
      </c>
      <c r="FH21" s="85" t="n">
        <v>992.3</v>
      </c>
      <c r="FI21" s="85" t="n">
        <v>994.3</v>
      </c>
      <c r="FJ21" s="85" t="n">
        <v>916.2</v>
      </c>
      <c r="FK21" s="85" t="n">
        <v>918.9</v>
      </c>
      <c r="FL21" s="85" t="n">
        <v>927.3</v>
      </c>
      <c r="FM21" s="85" t="n">
        <v>921.9</v>
      </c>
      <c r="FN21" s="85" t="n">
        <v>944.9</v>
      </c>
      <c r="FO21" s="85" t="n">
        <v>949.4</v>
      </c>
      <c r="FP21" s="85" t="n">
        <v>952.3</v>
      </c>
      <c r="FQ21" s="85" t="n">
        <v>974.1</v>
      </c>
      <c r="FR21" s="85" t="n">
        <v>1095.9</v>
      </c>
      <c r="FS21" s="85" t="n">
        <v>1108.2</v>
      </c>
      <c r="FT21" s="85" t="n">
        <v>1111.4</v>
      </c>
      <c r="FU21" s="85" t="n">
        <v>1122.3</v>
      </c>
      <c r="FV21" s="85" t="n">
        <v>1145</v>
      </c>
      <c r="FW21" s="85" t="n">
        <v>1149.7</v>
      </c>
      <c r="FX21" s="85" t="n">
        <v>1161.4</v>
      </c>
      <c r="FY21" s="85" t="n">
        <v>1179.1</v>
      </c>
      <c r="FZ21" s="85" t="n">
        <v>1194.2</v>
      </c>
      <c r="GA21" s="85" t="n">
        <v>1206.1</v>
      </c>
      <c r="GB21" s="85" t="n">
        <v>1216.1</v>
      </c>
      <c r="GC21" s="85" t="n">
        <v>1223.6</v>
      </c>
      <c r="GD21" s="85" t="n">
        <v>1230.8</v>
      </c>
      <c r="GE21" s="85" t="n">
        <v>1237</v>
      </c>
      <c r="GF21" s="85" t="n">
        <v>1248.1</v>
      </c>
      <c r="GG21" s="85" t="n">
        <v>1261.5</v>
      </c>
      <c r="GH21" s="85" t="n">
        <v>1282.6</v>
      </c>
      <c r="GI21" s="85" t="n">
        <v>1294.9</v>
      </c>
      <c r="GJ21" s="85" t="n">
        <v>1310.1</v>
      </c>
      <c r="GK21" s="85" t="n">
        <v>1329.1</v>
      </c>
      <c r="GL21" s="85" t="n">
        <v>1349.1</v>
      </c>
      <c r="GM21" s="85" t="n">
        <v>1359</v>
      </c>
      <c r="GN21" s="85" t="n">
        <v>1375.7</v>
      </c>
      <c r="GO21" s="85" t="n">
        <v>1384.3</v>
      </c>
      <c r="GP21" s="85" t="n">
        <v>1416.9</v>
      </c>
      <c r="GQ21" s="85" t="n">
        <v>1424.3</v>
      </c>
      <c r="GR21" s="85" t="n">
        <v>1430.9</v>
      </c>
      <c r="GS21" s="85" t="n">
        <v>1448.6</v>
      </c>
      <c r="GT21" s="85" t="n">
        <v>1473.5</v>
      </c>
      <c r="GU21" s="85" t="n">
        <v>1403</v>
      </c>
      <c r="GV21" s="85" t="n">
        <v>1452.9</v>
      </c>
      <c r="GW21" s="85" t="n">
        <v>1490.8</v>
      </c>
      <c r="GX21" s="85" t="n">
        <v>1508.4</v>
      </c>
      <c r="GY21" s="85" t="n">
        <v>1544.5</v>
      </c>
      <c r="GZ21" s="85" t="n">
        <v>1581.6</v>
      </c>
      <c r="HA21" s="85" t="n">
        <v>1626.7</v>
      </c>
      <c r="HB21" s="85" t="n">
        <v>1666.3</v>
      </c>
      <c r="HC21" t="n">
        <v>1689</v>
      </c>
      <c r="HD21" t="n">
        <v>1735.8</v>
      </c>
      <c r="HE21" t="n">
        <v>1751.8</v>
      </c>
      <c r="HF21" t="n">
        <v>1781.9</v>
      </c>
      <c r="HG21" t="n">
        <v>1810.5</v>
      </c>
      <c r="HH21" t="n">
        <v>1839.3</v>
      </c>
      <c r="HI21" t="n">
        <v>1858.9</v>
      </c>
      <c r="HJ21" t="n">
        <v>1889</v>
      </c>
      <c r="HK21" t="n">
        <v>1908.5</v>
      </c>
    </row>
    <row r="22">
      <c r="A22" s="85" t="s">
        <v>2530</v>
      </c>
      <c r="B22" s="85" t="n">
        <v>19.443</v>
      </c>
      <c r="C22" s="85" t="n">
        <v>19.659</v>
      </c>
      <c r="D22" s="85" t="n">
        <v>19.85</v>
      </c>
      <c r="E22" s="85" t="n">
        <v>20.107</v>
      </c>
      <c r="F22" s="85" t="n">
        <v>20.297</v>
      </c>
      <c r="G22" s="85" t="n">
        <v>20.528</v>
      </c>
      <c r="H22" s="85" t="n">
        <v>20.729</v>
      </c>
      <c r="I22" s="85" t="n">
        <v>20.857</v>
      </c>
      <c r="J22" s="85" t="n">
        <v>21.076</v>
      </c>
      <c r="K22" s="85" t="n">
        <v>21.198</v>
      </c>
      <c r="L22" s="85" t="n">
        <v>21.384</v>
      </c>
      <c r="M22" s="85" t="n">
        <v>21.559</v>
      </c>
      <c r="N22" s="85" t="n">
        <v>21.821</v>
      </c>
      <c r="O22" s="85" t="n">
        <v>22.241</v>
      </c>
      <c r="P22" s="85" t="n">
        <v>22.647</v>
      </c>
      <c r="Q22" s="85" t="n">
        <v>23.112</v>
      </c>
      <c r="R22" s="85" t="n">
        <v>23.8</v>
      </c>
      <c r="S22" s="85" t="n">
        <v>24.474</v>
      </c>
      <c r="T22" s="85" t="n">
        <v>25.134</v>
      </c>
      <c r="U22" s="85" t="n">
        <v>25.77</v>
      </c>
      <c r="V22" s="85" t="n">
        <v>26.251</v>
      </c>
      <c r="W22" s="85" t="n">
        <v>26.571</v>
      </c>
      <c r="X22" s="85" t="n">
        <v>27.067</v>
      </c>
      <c r="Y22" s="85" t="n">
        <v>27.521</v>
      </c>
      <c r="Z22" s="85" t="n">
        <v>27.826</v>
      </c>
      <c r="AA22" s="85" t="n">
        <v>28.06</v>
      </c>
      <c r="AB22" s="85" t="n">
        <v>28.488</v>
      </c>
      <c r="AC22" s="85" t="n">
        <v>28.938</v>
      </c>
      <c r="AD22" s="85" t="n">
        <v>29.46</v>
      </c>
      <c r="AE22" s="85" t="n">
        <v>29.963</v>
      </c>
      <c r="AF22" s="85" t="n">
        <v>30.414</v>
      </c>
      <c r="AG22" s="85" t="n">
        <v>30.846</v>
      </c>
      <c r="AH22" s="85" t="n">
        <v>31.35</v>
      </c>
      <c r="AI22" s="85" t="n">
        <v>31.994</v>
      </c>
      <c r="AJ22" s="85" t="n">
        <v>32.556</v>
      </c>
      <c r="AK22" s="85" t="n">
        <v>33.172</v>
      </c>
      <c r="AL22" s="85" t="n">
        <v>33.798</v>
      </c>
      <c r="AM22" s="85" t="n">
        <v>34.723</v>
      </c>
      <c r="AN22" s="85" t="n">
        <v>35.585</v>
      </c>
      <c r="AO22" s="85" t="n">
        <v>36.448</v>
      </c>
      <c r="AP22" s="85" t="n">
        <v>37.542</v>
      </c>
      <c r="AQ22" s="85" t="n">
        <v>38.462</v>
      </c>
      <c r="AR22" s="85" t="n">
        <v>39.362</v>
      </c>
      <c r="AS22" s="85" t="n">
        <v>40.337</v>
      </c>
      <c r="AT22" s="85" t="n">
        <v>41.385</v>
      </c>
      <c r="AU22" s="85" t="n">
        <v>42.079</v>
      </c>
      <c r="AV22" s="85" t="n">
        <v>42.772</v>
      </c>
      <c r="AW22" s="85" t="n">
        <v>43.426</v>
      </c>
      <c r="AX22" s="85" t="n">
        <v>43.975</v>
      </c>
      <c r="AY22" s="85" t="n">
        <v>44.397</v>
      </c>
      <c r="AZ22" s="85" t="n">
        <v>45.096</v>
      </c>
      <c r="BA22" s="85" t="n">
        <v>45.592</v>
      </c>
      <c r="BB22" s="85" t="n">
        <v>45.967</v>
      </c>
      <c r="BC22" s="85" t="n">
        <v>46.387</v>
      </c>
      <c r="BD22" s="85" t="n">
        <v>46.997</v>
      </c>
      <c r="BE22" s="85" t="n">
        <v>47.309</v>
      </c>
      <c r="BF22" s="85" t="n">
        <v>47.823</v>
      </c>
      <c r="BG22" s="85" t="n">
        <v>48.288</v>
      </c>
      <c r="BH22" s="85" t="n">
        <v>48.661</v>
      </c>
      <c r="BI22" s="85" t="n">
        <v>48.962</v>
      </c>
      <c r="BJ22" s="85" t="n">
        <v>49.538</v>
      </c>
      <c r="BK22" s="85" t="n">
        <v>49.94</v>
      </c>
      <c r="BL22" s="85" t="n">
        <v>50.332</v>
      </c>
      <c r="BM22" s="85" t="n">
        <v>50.683</v>
      </c>
      <c r="BN22" s="85" t="n">
        <v>51.044</v>
      </c>
      <c r="BO22" s="85" t="n">
        <v>50.991</v>
      </c>
      <c r="BP22" s="85" t="n">
        <v>51.26</v>
      </c>
      <c r="BQ22" s="85" t="n">
        <v>51.57</v>
      </c>
      <c r="BR22" s="85" t="n">
        <v>52.057</v>
      </c>
      <c r="BS22" s="85" t="n">
        <v>52.559</v>
      </c>
      <c r="BT22" s="85" t="n">
        <v>53.056</v>
      </c>
      <c r="BU22" s="85" t="n">
        <v>53.514</v>
      </c>
      <c r="BV22" s="85" t="n">
        <v>53.936</v>
      </c>
      <c r="BW22" s="85" t="n">
        <v>54.532</v>
      </c>
      <c r="BX22" s="85" t="n">
        <v>55.204</v>
      </c>
      <c r="BY22" s="85" t="n">
        <v>55.762</v>
      </c>
      <c r="BZ22" s="85" t="n">
        <v>56.404</v>
      </c>
      <c r="CA22" s="85" t="n">
        <v>57.165</v>
      </c>
      <c r="CB22" s="85" t="n">
        <v>57.503</v>
      </c>
      <c r="CC22" s="85" t="n">
        <v>57.957</v>
      </c>
      <c r="CD22" s="85" t="n">
        <v>58.799</v>
      </c>
      <c r="CE22" s="85" t="n">
        <v>59.333</v>
      </c>
      <c r="CF22" s="85" t="n">
        <v>60.087</v>
      </c>
      <c r="CG22" s="85" t="n">
        <v>60.882</v>
      </c>
      <c r="CH22" s="85" t="n">
        <v>61.201</v>
      </c>
      <c r="CI22" s="85" t="n">
        <v>61.534</v>
      </c>
      <c r="CJ22" s="85" t="n">
        <v>61.951</v>
      </c>
      <c r="CK22" s="85" t="n">
        <v>62.4</v>
      </c>
      <c r="CL22" s="85" t="n">
        <v>62.79</v>
      </c>
      <c r="CM22" s="85" t="n">
        <v>63.207</v>
      </c>
      <c r="CN22" s="85" t="n">
        <v>63.61</v>
      </c>
      <c r="CO22" s="85" t="n">
        <v>64.054</v>
      </c>
      <c r="CP22" s="85" t="n">
        <v>64.436</v>
      </c>
      <c r="CQ22" s="85" t="n">
        <v>64.869</v>
      </c>
      <c r="CR22" s="85" t="n">
        <v>65.151</v>
      </c>
      <c r="CS22" s="85" t="n">
        <v>65.527</v>
      </c>
      <c r="CT22" s="85" t="n">
        <v>65.761</v>
      </c>
      <c r="CU22" s="85" t="n">
        <v>66.128</v>
      </c>
      <c r="CV22" s="85" t="n">
        <v>66.603</v>
      </c>
      <c r="CW22" s="85" t="n">
        <v>66.916</v>
      </c>
      <c r="CX22" s="85" t="n">
        <v>67.244</v>
      </c>
      <c r="CY22" s="85" t="n">
        <v>67.635</v>
      </c>
      <c r="CZ22" s="85" t="n">
        <v>67.912</v>
      </c>
      <c r="DA22" s="85" t="n">
        <v>68.21</v>
      </c>
      <c r="DB22" s="85" t="n">
        <v>68.589</v>
      </c>
      <c r="DC22" s="85" t="n">
        <v>69.048</v>
      </c>
      <c r="DD22" s="85" t="n">
        <v>69.342</v>
      </c>
      <c r="DE22" s="85" t="n">
        <v>69.815</v>
      </c>
      <c r="DF22" s="85" t="n">
        <v>70.124</v>
      </c>
      <c r="DG22" s="85" t="n">
        <v>70.3</v>
      </c>
      <c r="DH22" s="85" t="n">
        <v>70.485</v>
      </c>
      <c r="DI22" s="85" t="n">
        <v>70.707</v>
      </c>
      <c r="DJ22" s="85" t="n">
        <v>70.713</v>
      </c>
      <c r="DK22" s="85" t="n">
        <v>70.84</v>
      </c>
      <c r="DL22" s="85" t="n">
        <v>71.058</v>
      </c>
      <c r="DM22" s="85" t="n">
        <v>71.245</v>
      </c>
      <c r="DN22" s="85" t="n">
        <v>71.384</v>
      </c>
      <c r="DO22" s="85" t="n">
        <v>71.789</v>
      </c>
      <c r="DP22" s="85" t="n">
        <v>72.183</v>
      </c>
      <c r="DQ22" s="85" t="n">
        <v>72.622</v>
      </c>
      <c r="DR22" s="85" t="n">
        <v>73.212</v>
      </c>
      <c r="DS22" s="85" t="n">
        <v>73.562</v>
      </c>
      <c r="DT22" s="85" t="n">
        <v>74.037</v>
      </c>
      <c r="DU22" s="85" t="n">
        <v>74.457</v>
      </c>
      <c r="DV22" s="85" t="n">
        <v>75.011</v>
      </c>
      <c r="DW22" s="85" t="n">
        <v>75.363</v>
      </c>
      <c r="DX22" s="85" t="n">
        <v>75.401</v>
      </c>
      <c r="DY22" s="85" t="n">
        <v>75.431</v>
      </c>
      <c r="DZ22" s="85" t="n">
        <v>75.582</v>
      </c>
      <c r="EA22" s="85" t="n">
        <v>76.142</v>
      </c>
      <c r="EB22" s="85" t="n">
        <v>76.535</v>
      </c>
      <c r="EC22" s="85" t="n">
        <v>76.892</v>
      </c>
      <c r="ED22" s="85" t="n">
        <v>77.48</v>
      </c>
      <c r="EE22" s="85" t="n">
        <v>77.557</v>
      </c>
      <c r="EF22" s="85" t="n">
        <v>78.068</v>
      </c>
      <c r="EG22" s="85" t="n">
        <v>78.451</v>
      </c>
      <c r="EH22" s="85" t="n">
        <v>79.056</v>
      </c>
      <c r="EI22" s="85" t="n">
        <v>79.587</v>
      </c>
      <c r="EJ22" s="85" t="n">
        <v>79.979</v>
      </c>
      <c r="EK22" s="85" t="n">
        <v>80.662</v>
      </c>
      <c r="EL22" s="85" t="n">
        <v>81.131</v>
      </c>
      <c r="EM22" s="85" t="n">
        <v>81.644</v>
      </c>
      <c r="EN22" s="85" t="n">
        <v>82.526</v>
      </c>
      <c r="EO22" s="85" t="n">
        <v>83.184</v>
      </c>
      <c r="EP22" s="85" t="n">
        <v>83.617</v>
      </c>
      <c r="EQ22" s="85" t="n">
        <v>84.352</v>
      </c>
      <c r="ER22" s="85" t="n">
        <v>84.959</v>
      </c>
      <c r="ES22" s="85" t="n">
        <v>84.818</v>
      </c>
      <c r="ET22" s="85" t="n">
        <v>85.593</v>
      </c>
      <c r="EU22" s="85" t="n">
        <v>86.319</v>
      </c>
      <c r="EV22" s="85" t="n">
        <v>86.808</v>
      </c>
      <c r="EW22" s="85" t="n">
        <v>87.691</v>
      </c>
      <c r="EX22" s="85" t="n">
        <v>88.407</v>
      </c>
      <c r="EY22" s="85" t="n">
        <v>89.269</v>
      </c>
      <c r="EZ22" s="85" t="n">
        <v>90.222</v>
      </c>
      <c r="FA22" s="85" t="n">
        <v>88.781</v>
      </c>
      <c r="FB22" s="85" t="n">
        <v>88.181</v>
      </c>
      <c r="FC22" s="85" t="n">
        <v>88.531</v>
      </c>
      <c r="FD22" s="85" t="n">
        <v>89.141</v>
      </c>
      <c r="FE22" s="85" t="n">
        <v>89.828</v>
      </c>
      <c r="FF22" s="85" t="n">
        <v>90.175</v>
      </c>
      <c r="FG22" s="85" t="n">
        <v>90.314</v>
      </c>
      <c r="FH22" s="85" t="n">
        <v>90.488</v>
      </c>
      <c r="FI22" s="85" t="n">
        <v>91.068</v>
      </c>
      <c r="FJ22" s="85" t="n">
        <v>91.833</v>
      </c>
      <c r="FK22" s="85" t="n">
        <v>92.737</v>
      </c>
      <c r="FL22" s="85" t="n">
        <v>93.166</v>
      </c>
      <c r="FM22" s="85" t="n">
        <v>93.474</v>
      </c>
      <c r="FN22" s="85" t="n">
        <v>94.093</v>
      </c>
      <c r="FO22" s="85" t="n">
        <v>94.32</v>
      </c>
      <c r="FP22" s="85" t="n">
        <v>94.594</v>
      </c>
      <c r="FQ22" s="85" t="n">
        <v>95.124</v>
      </c>
      <c r="FR22" s="85" t="n">
        <v>95.458</v>
      </c>
      <c r="FS22" s="85" t="n">
        <v>95.506</v>
      </c>
      <c r="FT22" s="85" t="n">
        <v>95.899</v>
      </c>
      <c r="FU22" s="85" t="n">
        <v>96.252</v>
      </c>
      <c r="FV22" s="85" t="n">
        <v>96.694</v>
      </c>
      <c r="FW22" s="85" t="n">
        <v>97.126</v>
      </c>
      <c r="FX22" s="85" t="n">
        <v>97.392</v>
      </c>
      <c r="FY22" s="85" t="n">
        <v>97.263</v>
      </c>
      <c r="FZ22" s="85" t="n">
        <v>96.827</v>
      </c>
      <c r="GA22" s="85" t="n">
        <v>97.311</v>
      </c>
      <c r="GB22" s="85" t="n">
        <v>97.563</v>
      </c>
      <c r="GC22" s="85" t="n">
        <v>97.488</v>
      </c>
      <c r="GD22" s="85" t="n">
        <v>97.535</v>
      </c>
      <c r="GE22" s="85" t="n">
        <v>98.154</v>
      </c>
      <c r="GF22" s="85" t="n">
        <v>98.492</v>
      </c>
      <c r="GG22" s="85" t="n">
        <v>98.943</v>
      </c>
      <c r="GH22" s="85" t="n">
        <v>99.52</v>
      </c>
      <c r="GI22" s="85" t="n">
        <v>99.72</v>
      </c>
      <c r="GJ22" s="85" t="n">
        <v>100.073</v>
      </c>
      <c r="GK22" s="85" t="n">
        <v>100.672</v>
      </c>
      <c r="GL22" s="85" t="n">
        <v>101.377</v>
      </c>
      <c r="GM22" s="85" t="n">
        <v>101.91</v>
      </c>
      <c r="GN22" s="85" t="n">
        <v>102.252</v>
      </c>
      <c r="GO22" s="85" t="n">
        <v>102.64</v>
      </c>
      <c r="GP22" s="85" t="n">
        <v>102.848</v>
      </c>
      <c r="GQ22" s="85" t="n">
        <v>103.423</v>
      </c>
      <c r="GR22" s="85" t="n">
        <v>103.67</v>
      </c>
      <c r="GS22" s="85" t="n">
        <v>104.076</v>
      </c>
      <c r="GT22" s="85" t="n">
        <v>104.395</v>
      </c>
      <c r="GU22" s="85" t="n">
        <v>103.975</v>
      </c>
      <c r="GV22" s="85" t="n">
        <v>104.814</v>
      </c>
      <c r="GW22" s="85" t="n">
        <v>105.316</v>
      </c>
      <c r="GX22" s="85" t="n">
        <v>106.496</v>
      </c>
      <c r="GY22" s="85" t="n">
        <v>108.152</v>
      </c>
      <c r="GZ22" s="85" t="n">
        <v>109.646</v>
      </c>
      <c r="HA22" s="85" t="n">
        <v>111.461</v>
      </c>
      <c r="HB22" s="85" t="n">
        <v>113.567</v>
      </c>
      <c r="HC22" t="n">
        <v>115.663</v>
      </c>
      <c r="HD22" t="n">
        <v>117.01</v>
      </c>
      <c r="HE22" t="n">
        <v>118.169</v>
      </c>
      <c r="HF22" t="n">
        <v>119.316</v>
      </c>
      <c r="HG22" t="n">
        <v>120.177</v>
      </c>
      <c r="HH22" t="n">
        <v>120.978</v>
      </c>
      <c r="HI22" t="n">
        <v>121.473</v>
      </c>
      <c r="HJ22" t="n">
        <v>122.501</v>
      </c>
      <c r="HK22" t="n">
        <v>123.269</v>
      </c>
    </row>
    <row r="23">
      <c r="A23" s="85" t="s">
        <v>2531</v>
      </c>
      <c r="B23" s="85" t="n">
        <v>133.6</v>
      </c>
      <c r="C23" s="85" t="n">
        <v>131.8</v>
      </c>
      <c r="D23" s="85" t="n">
        <v>132.4</v>
      </c>
      <c r="E23" s="85" t="n">
        <v>133.5</v>
      </c>
      <c r="F23" s="85" t="n">
        <v>133.3</v>
      </c>
      <c r="G23" s="85" t="n">
        <v>134.3</v>
      </c>
      <c r="H23" s="85" t="n">
        <v>135.6</v>
      </c>
      <c r="I23" s="85" t="n">
        <v>134.7</v>
      </c>
      <c r="J23" s="85" t="n">
        <v>141.4</v>
      </c>
      <c r="K23" s="85" t="n">
        <v>144.2</v>
      </c>
      <c r="L23" s="85" t="n">
        <v>138.8</v>
      </c>
      <c r="M23" s="85" t="n">
        <v>142.2</v>
      </c>
      <c r="N23" s="85" t="n">
        <v>146.4</v>
      </c>
      <c r="O23" s="85" t="n">
        <v>146.5</v>
      </c>
      <c r="P23" s="85" t="n">
        <v>144.2</v>
      </c>
      <c r="Q23" s="85" t="n">
        <v>147.6</v>
      </c>
      <c r="R23" s="85" t="n">
        <v>152.7</v>
      </c>
      <c r="S23" s="85" t="n">
        <v>154.9</v>
      </c>
      <c r="T23" s="85" t="n">
        <v>160.4</v>
      </c>
      <c r="U23" s="85" t="n">
        <v>167.4</v>
      </c>
      <c r="V23" s="85" t="n">
        <v>168.6</v>
      </c>
      <c r="W23" s="85" t="n">
        <v>169.4</v>
      </c>
      <c r="X23" s="85" t="n">
        <v>176.1</v>
      </c>
      <c r="Y23" s="85" t="n">
        <v>180.8</v>
      </c>
      <c r="Z23" s="85" t="n">
        <v>181.6</v>
      </c>
      <c r="AA23" s="85" t="n">
        <v>182.5</v>
      </c>
      <c r="AB23" s="85" t="n">
        <v>184.9</v>
      </c>
      <c r="AC23" s="85" t="n">
        <v>190.2</v>
      </c>
      <c r="AD23" s="85" t="n">
        <v>194.2</v>
      </c>
      <c r="AE23" s="85" t="n">
        <v>198.9</v>
      </c>
      <c r="AF23" s="85" t="n">
        <v>201.9</v>
      </c>
      <c r="AG23" s="85" t="n">
        <v>206.3</v>
      </c>
      <c r="AH23" s="85" t="n">
        <v>208.8</v>
      </c>
      <c r="AI23" s="85" t="n">
        <v>217</v>
      </c>
      <c r="AJ23" s="85" t="n">
        <v>222.1</v>
      </c>
      <c r="AK23" s="85" t="n">
        <v>227.8</v>
      </c>
      <c r="AL23" s="85" t="n">
        <v>231.7</v>
      </c>
      <c r="AM23" s="85" t="n">
        <v>237.6</v>
      </c>
      <c r="AN23" s="85" t="n">
        <v>243.7</v>
      </c>
      <c r="AO23" s="85" t="n">
        <v>249.3</v>
      </c>
      <c r="AP23" s="85" t="n">
        <v>261.1</v>
      </c>
      <c r="AQ23" s="85" t="n">
        <v>276.5</v>
      </c>
      <c r="AR23" s="85" t="n">
        <v>276.1</v>
      </c>
      <c r="AS23" s="85" t="n">
        <v>285.8</v>
      </c>
      <c r="AT23" s="85" t="n">
        <v>297.2</v>
      </c>
      <c r="AU23" s="85" t="n">
        <v>311.9</v>
      </c>
      <c r="AV23" s="85" t="n">
        <v>317.4</v>
      </c>
      <c r="AW23" s="85" t="n">
        <v>329.3</v>
      </c>
      <c r="AX23" s="85" t="n">
        <v>334.9</v>
      </c>
      <c r="AY23" s="85" t="n">
        <v>342.9</v>
      </c>
      <c r="AZ23" s="85" t="n">
        <v>351.5</v>
      </c>
      <c r="BA23" s="85" t="n">
        <v>364.1</v>
      </c>
      <c r="BB23" s="85" t="n">
        <v>370.5</v>
      </c>
      <c r="BC23" s="85" t="n">
        <v>380.3</v>
      </c>
      <c r="BD23" s="85" t="n">
        <v>394.4</v>
      </c>
      <c r="BE23" s="85" t="n">
        <v>384.2</v>
      </c>
      <c r="BF23" s="85" t="n">
        <v>392.4</v>
      </c>
      <c r="BG23" s="85" t="n">
        <v>408.3</v>
      </c>
      <c r="BH23" s="85" t="n">
        <v>414</v>
      </c>
      <c r="BI23" s="85" t="n">
        <v>432.5</v>
      </c>
      <c r="BJ23" s="85" t="n">
        <v>434.8</v>
      </c>
      <c r="BK23" s="85" t="n">
        <v>447.3</v>
      </c>
      <c r="BL23" s="85" t="n">
        <v>463.1</v>
      </c>
      <c r="BM23" s="85" t="n">
        <v>466.4</v>
      </c>
      <c r="BN23" s="85" t="n">
        <v>464</v>
      </c>
      <c r="BO23" s="85" t="n">
        <v>477.8</v>
      </c>
      <c r="BP23" s="85" t="n">
        <v>495.1</v>
      </c>
      <c r="BQ23" s="85" t="n">
        <v>489.8</v>
      </c>
      <c r="BR23" s="85" t="n">
        <v>492.1</v>
      </c>
      <c r="BS23" s="85" t="n">
        <v>501.2</v>
      </c>
      <c r="BT23" s="85" t="n">
        <v>504.1</v>
      </c>
      <c r="BU23" s="85" t="n">
        <v>513.7</v>
      </c>
      <c r="BV23" s="85" t="n">
        <v>505.8</v>
      </c>
      <c r="BW23" s="85" t="n">
        <v>506.9</v>
      </c>
      <c r="BX23" s="85" t="n">
        <v>507.4</v>
      </c>
      <c r="BY23" s="85" t="n">
        <v>525.6</v>
      </c>
      <c r="BZ23" s="85" t="n">
        <v>519.9</v>
      </c>
      <c r="CA23" s="85" t="n">
        <v>534.3</v>
      </c>
      <c r="CB23" s="85" t="n">
        <v>541.4</v>
      </c>
      <c r="CC23" s="85" t="n">
        <v>540.8</v>
      </c>
      <c r="CD23" s="85" t="n">
        <v>553.7</v>
      </c>
      <c r="CE23" s="85" t="n">
        <v>563.9</v>
      </c>
      <c r="CF23" s="85" t="n">
        <v>562.2</v>
      </c>
      <c r="CG23" s="85" t="n">
        <v>569.7</v>
      </c>
      <c r="CH23" s="85" t="n">
        <v>581.4</v>
      </c>
      <c r="CI23" s="85" t="n">
        <v>586.6</v>
      </c>
      <c r="CJ23" s="85" t="n">
        <v>586.3</v>
      </c>
      <c r="CK23" s="85" t="n">
        <v>577.4</v>
      </c>
      <c r="CL23" s="85" t="n">
        <v>580.3</v>
      </c>
      <c r="CM23" s="85" t="n">
        <v>580.9</v>
      </c>
      <c r="CN23" s="85" t="n">
        <v>594.2</v>
      </c>
      <c r="CO23" s="85" t="n">
        <v>598.4</v>
      </c>
      <c r="CP23" s="85" t="n">
        <v>580.3</v>
      </c>
      <c r="CQ23" s="85" t="n">
        <v>576.7</v>
      </c>
      <c r="CR23" s="85" t="n">
        <v>578.7</v>
      </c>
      <c r="CS23" s="85" t="n">
        <v>584.9</v>
      </c>
      <c r="CT23" s="85" t="n">
        <v>567</v>
      </c>
      <c r="CU23" s="85" t="n">
        <v>569.4</v>
      </c>
      <c r="CV23" s="85" t="n">
        <v>586.5</v>
      </c>
      <c r="CW23" s="85" t="n">
        <v>575.8</v>
      </c>
      <c r="CX23" s="85" t="n">
        <v>579.1</v>
      </c>
      <c r="CY23" s="85" t="n">
        <v>581</v>
      </c>
      <c r="CZ23" s="85" t="n">
        <v>579.3</v>
      </c>
      <c r="DA23" s="85" t="n">
        <v>567.3</v>
      </c>
      <c r="DB23" s="85" t="n">
        <v>579.8</v>
      </c>
      <c r="DC23" s="85" t="n">
        <v>582.1</v>
      </c>
      <c r="DD23" s="85" t="n">
        <v>577.8</v>
      </c>
      <c r="DE23" s="85" t="n">
        <v>576.9</v>
      </c>
      <c r="DF23" s="85" t="n">
        <v>570.7</v>
      </c>
      <c r="DG23" s="85" t="n">
        <v>587.2</v>
      </c>
      <c r="DH23" s="85" t="n">
        <v>586</v>
      </c>
      <c r="DI23" s="85" t="n">
        <v>589.2</v>
      </c>
      <c r="DJ23" s="85" t="n">
        <v>572.2</v>
      </c>
      <c r="DK23" s="85" t="n">
        <v>587.1</v>
      </c>
      <c r="DL23" s="85" t="n">
        <v>588.6</v>
      </c>
      <c r="DM23" s="85" t="n">
        <v>594.2</v>
      </c>
      <c r="DN23" s="85" t="n">
        <v>595.1</v>
      </c>
      <c r="DO23" s="85" t="n">
        <v>599.2</v>
      </c>
      <c r="DP23" s="85" t="n">
        <v>614.2</v>
      </c>
      <c r="DQ23" s="85" t="n">
        <v>634.3</v>
      </c>
      <c r="DR23" s="85" t="n">
        <v>619.4</v>
      </c>
      <c r="DS23" s="85" t="n">
        <v>641.2</v>
      </c>
      <c r="DT23" s="85" t="n">
        <v>633.6</v>
      </c>
      <c r="DU23" s="85" t="n">
        <v>638.2</v>
      </c>
      <c r="DV23" s="85" t="n">
        <v>653.3</v>
      </c>
      <c r="DW23" s="85" t="n">
        <v>666.2</v>
      </c>
      <c r="DX23" s="85" t="n">
        <v>674.4</v>
      </c>
      <c r="DY23" s="85" t="n">
        <v>686.9</v>
      </c>
      <c r="DZ23" s="85" t="n">
        <v>714</v>
      </c>
      <c r="EA23" s="85" t="n">
        <v>734.8</v>
      </c>
      <c r="EB23" s="85" t="n">
        <v>748.4</v>
      </c>
      <c r="EC23" s="85" t="n">
        <v>775.2</v>
      </c>
      <c r="ED23" s="85" t="n">
        <v>792.7</v>
      </c>
      <c r="EE23" s="85" t="n">
        <v>826</v>
      </c>
      <c r="EF23" s="85" t="n">
        <v>833.3</v>
      </c>
      <c r="EG23" s="85" t="n">
        <v>855.1</v>
      </c>
      <c r="EH23" s="85" t="n">
        <v>871.8</v>
      </c>
      <c r="EI23" s="85" t="n">
        <v>884.6</v>
      </c>
      <c r="EJ23" s="85" t="n">
        <v>902.5</v>
      </c>
      <c r="EK23" s="85" t="n">
        <v>909.6</v>
      </c>
      <c r="EL23" s="85" t="n">
        <v>931.8</v>
      </c>
      <c r="EM23" s="85" t="n">
        <v>939.3</v>
      </c>
      <c r="EN23" s="85" t="n">
        <v>956.4</v>
      </c>
      <c r="EO23" s="85" t="n">
        <v>963.7</v>
      </c>
      <c r="EP23" s="85" t="n">
        <v>997.1</v>
      </c>
      <c r="EQ23" s="85" t="n">
        <v>997.2</v>
      </c>
      <c r="ER23" s="85" t="n">
        <v>995.4</v>
      </c>
      <c r="ES23" s="85" t="n">
        <v>1015.1</v>
      </c>
      <c r="ET23" s="85" t="n">
        <v>1017.5</v>
      </c>
      <c r="EU23" s="85" t="n">
        <v>1042.5</v>
      </c>
      <c r="EV23" s="85" t="n">
        <v>1058.8</v>
      </c>
      <c r="EW23" s="85" t="n">
        <v>1085.3</v>
      </c>
      <c r="EX23" s="85" t="n">
        <v>1111.2</v>
      </c>
      <c r="EY23" s="85" t="n">
        <v>1146.6</v>
      </c>
      <c r="EZ23" s="85" t="n">
        <v>1170.2</v>
      </c>
      <c r="FA23" s="85" t="n">
        <v>1179.8</v>
      </c>
      <c r="FB23" s="85" t="n">
        <v>1185.2</v>
      </c>
      <c r="FC23" s="85" t="n">
        <v>1213.5</v>
      </c>
      <c r="FD23" s="85" t="n">
        <v>1228.3</v>
      </c>
      <c r="FE23" s="85" t="n">
        <v>1256.2</v>
      </c>
      <c r="FF23" s="85" t="n">
        <v>1278.4</v>
      </c>
      <c r="FG23" s="85" t="n">
        <v>1305</v>
      </c>
      <c r="FH23" s="85" t="n">
        <v>1304.3</v>
      </c>
      <c r="FI23" s="85" t="n">
        <v>1312.9</v>
      </c>
      <c r="FJ23" s="85" t="n">
        <v>1306</v>
      </c>
      <c r="FK23" s="85" t="n">
        <v>1312.7</v>
      </c>
      <c r="FL23" s="85" t="n">
        <v>1288.7</v>
      </c>
      <c r="FM23" s="85" t="n">
        <v>1291.7</v>
      </c>
      <c r="FN23" s="85" t="n">
        <v>1296.1</v>
      </c>
      <c r="FO23" s="85" t="n">
        <v>1288.6</v>
      </c>
      <c r="FP23" s="85" t="n">
        <v>1293.8</v>
      </c>
      <c r="FQ23" s="85" t="n">
        <v>1269.6</v>
      </c>
      <c r="FR23" s="85" t="n">
        <v>1240.1</v>
      </c>
      <c r="FS23" s="85" t="n">
        <v>1232.6</v>
      </c>
      <c r="FT23" s="85" t="n">
        <v>1219.6</v>
      </c>
      <c r="FU23" s="85" t="n">
        <v>1217.3</v>
      </c>
      <c r="FV23" s="85" t="n">
        <v>1212.9</v>
      </c>
      <c r="FW23" s="85" t="n">
        <v>1211</v>
      </c>
      <c r="FX23" s="85" t="n">
        <v>1230.6</v>
      </c>
      <c r="FY23" s="85" t="n">
        <v>1213.7</v>
      </c>
      <c r="FZ23" s="85" t="n">
        <v>1216.2</v>
      </c>
      <c r="GA23" s="85" t="n">
        <v>1222.4</v>
      </c>
      <c r="GB23" s="85" t="n">
        <v>1222.4</v>
      </c>
      <c r="GC23" s="85" t="n">
        <v>1230.1</v>
      </c>
      <c r="GD23" s="85" t="n">
        <v>1229.6</v>
      </c>
      <c r="GE23" s="85" t="n">
        <v>1230</v>
      </c>
      <c r="GF23" s="85" t="n">
        <v>1241.3</v>
      </c>
      <c r="GG23" s="85" t="n">
        <v>1248.5</v>
      </c>
      <c r="GH23" s="85" t="n">
        <v>1249.1</v>
      </c>
      <c r="GI23" s="85" t="n">
        <v>1259.9</v>
      </c>
      <c r="GJ23" s="85" t="n">
        <v>1264.6</v>
      </c>
      <c r="GK23" s="85" t="n">
        <v>1290.7</v>
      </c>
      <c r="GL23" s="85" t="n">
        <v>1316.2</v>
      </c>
      <c r="GM23" s="85" t="n">
        <v>1334.7</v>
      </c>
      <c r="GN23" s="85" t="n">
        <v>1358.9</v>
      </c>
      <c r="GO23" s="85" t="n">
        <v>1375.4</v>
      </c>
      <c r="GP23" s="85" t="n">
        <v>1403.2</v>
      </c>
      <c r="GQ23" s="85" t="n">
        <v>1408</v>
      </c>
      <c r="GR23" s="85" t="n">
        <v>1426.9</v>
      </c>
      <c r="GS23" s="85" t="n">
        <v>1439.9</v>
      </c>
      <c r="GT23" s="85" t="n">
        <v>1459.3</v>
      </c>
      <c r="GU23" s="85" t="n">
        <v>1567.7</v>
      </c>
      <c r="GV23" s="85" t="n">
        <v>1526.5</v>
      </c>
      <c r="GW23" s="85" t="n">
        <v>1538.6</v>
      </c>
      <c r="GX23" s="85" t="n">
        <v>1613.4</v>
      </c>
      <c r="GY23" s="85" t="n">
        <v>1597.4</v>
      </c>
      <c r="GZ23" s="85" t="n">
        <v>1585</v>
      </c>
      <c r="HA23" s="85" t="n">
        <v>1616.9</v>
      </c>
      <c r="HB23" s="85" t="n">
        <v>1606.5</v>
      </c>
      <c r="HC23" t="n">
        <v>1622.1</v>
      </c>
      <c r="HD23" t="n">
        <v>1641.4</v>
      </c>
      <c r="HE23" t="n">
        <v>1694.2</v>
      </c>
      <c r="HF23" t="n">
        <v>1731.6</v>
      </c>
      <c r="HG23" t="n">
        <v>1741.8</v>
      </c>
      <c r="HH23" t="n">
        <v>1780.9</v>
      </c>
      <c r="HI23" t="n">
        <v>1796.2</v>
      </c>
      <c r="HJ23" t="n">
        <v>1810.3</v>
      </c>
      <c r="HK23" t="n">
        <v>1842.2</v>
      </c>
    </row>
    <row r="24">
      <c r="A24" s="85" t="s">
        <v>2532</v>
      </c>
      <c r="B24" s="85" t="n">
        <v>114.3</v>
      </c>
      <c r="C24" s="85" t="n">
        <v>117.4</v>
      </c>
      <c r="D24" s="85" t="n">
        <v>122.2</v>
      </c>
      <c r="E24" s="85" t="n">
        <v>125.2</v>
      </c>
      <c r="F24" s="85" t="n">
        <v>128.6</v>
      </c>
      <c r="G24" s="85" t="n">
        <v>131.9</v>
      </c>
      <c r="H24" s="85" t="n">
        <v>134.2</v>
      </c>
      <c r="I24" s="85" t="n">
        <v>137.4</v>
      </c>
      <c r="J24" s="85" t="n">
        <v>140.8</v>
      </c>
      <c r="K24" s="85" t="n">
        <v>142.2</v>
      </c>
      <c r="L24" s="85" t="n">
        <v>145.6</v>
      </c>
      <c r="M24" s="85" t="n">
        <v>149.6</v>
      </c>
      <c r="N24" s="85" t="n">
        <v>153.2</v>
      </c>
      <c r="O24" s="85" t="n">
        <v>156.2</v>
      </c>
      <c r="P24" s="85" t="n">
        <v>159.9</v>
      </c>
      <c r="Q24" s="85" t="n">
        <v>165</v>
      </c>
      <c r="R24" s="85" t="n">
        <v>171.9</v>
      </c>
      <c r="S24" s="85" t="n">
        <v>180.1</v>
      </c>
      <c r="T24" s="85" t="n">
        <v>186.3</v>
      </c>
      <c r="U24" s="85" t="n">
        <v>191.9</v>
      </c>
      <c r="V24" s="85" t="n">
        <v>201.5</v>
      </c>
      <c r="W24" s="85" t="n">
        <v>204</v>
      </c>
      <c r="X24" s="85" t="n">
        <v>209.3</v>
      </c>
      <c r="Y24" s="85" t="n">
        <v>214.8</v>
      </c>
      <c r="Z24" s="85" t="n">
        <v>219.7</v>
      </c>
      <c r="AA24" s="85" t="n">
        <v>218.5</v>
      </c>
      <c r="AB24" s="85" t="n">
        <v>218.6</v>
      </c>
      <c r="AC24" s="85" t="n">
        <v>220.6</v>
      </c>
      <c r="AD24" s="85" t="n">
        <v>227</v>
      </c>
      <c r="AE24" s="85" t="n">
        <v>232.4</v>
      </c>
      <c r="AF24" s="85" t="n">
        <v>236.1</v>
      </c>
      <c r="AG24" s="85" t="n">
        <v>240.5</v>
      </c>
      <c r="AH24" s="85" t="n">
        <v>243.8</v>
      </c>
      <c r="AI24" s="85" t="n">
        <v>255.3</v>
      </c>
      <c r="AJ24" s="85" t="n">
        <v>262.2</v>
      </c>
      <c r="AK24" s="85" t="n">
        <v>268.4</v>
      </c>
      <c r="AL24" s="85" t="n">
        <v>270.1</v>
      </c>
      <c r="AM24" s="85" t="n">
        <v>278.9</v>
      </c>
      <c r="AN24" s="85" t="n">
        <v>289.4</v>
      </c>
      <c r="AO24" s="85" t="n">
        <v>298.4</v>
      </c>
      <c r="AP24" s="85" t="n">
        <v>307.7</v>
      </c>
      <c r="AQ24" s="85" t="n">
        <v>312</v>
      </c>
      <c r="AR24" s="85" t="n">
        <v>316.1</v>
      </c>
      <c r="AS24" s="85" t="n">
        <v>323.1</v>
      </c>
      <c r="AT24" s="85" t="n">
        <v>336.1</v>
      </c>
      <c r="AU24" s="85" t="n">
        <v>336.8</v>
      </c>
      <c r="AV24" s="85" t="n">
        <v>340.3</v>
      </c>
      <c r="AW24" s="85" t="n">
        <v>348.4</v>
      </c>
      <c r="AX24" s="85" t="n">
        <v>353.2</v>
      </c>
      <c r="AY24" s="85" t="n">
        <v>360.2</v>
      </c>
      <c r="AZ24" s="85" t="n">
        <v>365.8</v>
      </c>
      <c r="BA24" s="85" t="n">
        <v>373.3</v>
      </c>
      <c r="BB24" s="85" t="n">
        <v>377.4</v>
      </c>
      <c r="BC24" s="85" t="n">
        <v>380.7</v>
      </c>
      <c r="BD24" s="85" t="n">
        <v>387.8</v>
      </c>
      <c r="BE24" s="85" t="n">
        <v>390.9</v>
      </c>
      <c r="BF24" s="85" t="n">
        <v>401.6</v>
      </c>
      <c r="BG24" s="85" t="n">
        <v>410.8</v>
      </c>
      <c r="BH24" s="85" t="n">
        <v>421.7</v>
      </c>
      <c r="BI24" s="85" t="n">
        <v>430.2</v>
      </c>
      <c r="BJ24" s="85" t="n">
        <v>440.8</v>
      </c>
      <c r="BK24" s="85" t="n">
        <v>453.2</v>
      </c>
      <c r="BL24" s="85" t="n">
        <v>464.3</v>
      </c>
      <c r="BM24" s="85" t="n">
        <v>472.1</v>
      </c>
      <c r="BN24" s="85" t="n">
        <v>482.8</v>
      </c>
      <c r="BO24" s="85" t="n">
        <v>489.7</v>
      </c>
      <c r="BP24" s="85" t="n">
        <v>498.5</v>
      </c>
      <c r="BQ24" s="85" t="n">
        <v>506.6</v>
      </c>
      <c r="BR24" s="85" t="n">
        <v>516.5</v>
      </c>
      <c r="BS24" s="85" t="n">
        <v>524</v>
      </c>
      <c r="BT24" s="85" t="n">
        <v>532.1</v>
      </c>
      <c r="BU24" s="85" t="n">
        <v>542.3</v>
      </c>
      <c r="BV24" s="85" t="n">
        <v>551.1</v>
      </c>
      <c r="BW24" s="85" t="n">
        <v>563.5</v>
      </c>
      <c r="BX24" s="85" t="n">
        <v>570.8</v>
      </c>
      <c r="BY24" s="85" t="n">
        <v>584.3</v>
      </c>
      <c r="BZ24" s="85" t="n">
        <v>596.7</v>
      </c>
      <c r="CA24" s="85" t="n">
        <v>611.5</v>
      </c>
      <c r="CB24" s="85" t="n">
        <v>623.2</v>
      </c>
      <c r="CC24" s="85" t="n">
        <v>639.7</v>
      </c>
      <c r="CD24" s="85" t="n">
        <v>658.8</v>
      </c>
      <c r="CE24" s="85" t="n">
        <v>666.8</v>
      </c>
      <c r="CF24" s="85" t="n">
        <v>680.3</v>
      </c>
      <c r="CG24" s="85" t="n">
        <v>698.8</v>
      </c>
      <c r="CH24" s="85" t="n">
        <v>702.8</v>
      </c>
      <c r="CI24" s="85" t="n">
        <v>709.9</v>
      </c>
      <c r="CJ24" s="85" t="n">
        <v>719.9</v>
      </c>
      <c r="CK24" s="85" t="n">
        <v>731.4</v>
      </c>
      <c r="CL24" s="85" t="n">
        <v>746.1</v>
      </c>
      <c r="CM24" s="85" t="n">
        <v>753.9</v>
      </c>
      <c r="CN24" s="85" t="n">
        <v>759.8</v>
      </c>
      <c r="CO24" s="85" t="n">
        <v>764.4</v>
      </c>
      <c r="CP24" s="85" t="n">
        <v>771.5</v>
      </c>
      <c r="CQ24" s="85" t="n">
        <v>782.3</v>
      </c>
      <c r="CR24" s="85" t="n">
        <v>788.7</v>
      </c>
      <c r="CS24" s="85" t="n">
        <v>796.5</v>
      </c>
      <c r="CT24" s="85" t="n">
        <v>806.3</v>
      </c>
      <c r="CU24" s="85" t="n">
        <v>820</v>
      </c>
      <c r="CV24" s="85" t="n">
        <v>836.9</v>
      </c>
      <c r="CW24" s="85" t="n">
        <v>847.1</v>
      </c>
      <c r="CX24" s="85" t="n">
        <v>858.5</v>
      </c>
      <c r="CY24" s="85" t="n">
        <v>871.9</v>
      </c>
      <c r="CZ24" s="85" t="n">
        <v>876.3</v>
      </c>
      <c r="DA24" s="85" t="n">
        <v>884.3</v>
      </c>
      <c r="DB24" s="85" t="n">
        <v>891.5</v>
      </c>
      <c r="DC24" s="85" t="n">
        <v>905.5</v>
      </c>
      <c r="DD24" s="85" t="n">
        <v>919</v>
      </c>
      <c r="DE24" s="85" t="n">
        <v>938.8</v>
      </c>
      <c r="DF24" s="85" t="n">
        <v>945.3</v>
      </c>
      <c r="DG24" s="85" t="n">
        <v>955.4</v>
      </c>
      <c r="DH24" s="85" t="n">
        <v>969.2</v>
      </c>
      <c r="DI24" s="85" t="n">
        <v>985.6</v>
      </c>
      <c r="DJ24" s="85" t="n">
        <v>995.9</v>
      </c>
      <c r="DK24" s="85" t="n">
        <v>1016.6</v>
      </c>
      <c r="DL24" s="85" t="n">
        <v>1038.6</v>
      </c>
      <c r="DM24" s="85" t="n">
        <v>1053.2</v>
      </c>
      <c r="DN24" s="85" t="n">
        <v>1074</v>
      </c>
      <c r="DO24" s="85" t="n">
        <v>1095.5</v>
      </c>
      <c r="DP24" s="85" t="n">
        <v>1119.8</v>
      </c>
      <c r="DQ24" s="85" t="n">
        <v>1147.4</v>
      </c>
      <c r="DR24" s="85" t="n">
        <v>1170.5</v>
      </c>
      <c r="DS24" s="85" t="n">
        <v>1181.3</v>
      </c>
      <c r="DT24" s="85" t="n">
        <v>1198.5</v>
      </c>
      <c r="DU24" s="85" t="n">
        <v>1223.1</v>
      </c>
      <c r="DV24" s="85" t="n">
        <v>1253</v>
      </c>
      <c r="DW24" s="85" t="n">
        <v>1281.5</v>
      </c>
      <c r="DX24" s="85" t="n">
        <v>1279</v>
      </c>
      <c r="DY24" s="85" t="n">
        <v>1305.9</v>
      </c>
      <c r="DZ24" s="85" t="n">
        <v>1326</v>
      </c>
      <c r="EA24" s="85" t="n">
        <v>1339.7</v>
      </c>
      <c r="EB24" s="85" t="n">
        <v>1352.9</v>
      </c>
      <c r="EC24" s="85" t="n">
        <v>1367</v>
      </c>
      <c r="ED24" s="85" t="n">
        <v>1379.3</v>
      </c>
      <c r="EE24" s="85" t="n">
        <v>1372.8</v>
      </c>
      <c r="EF24" s="85" t="n">
        <v>1387.2</v>
      </c>
      <c r="EG24" s="85" t="n">
        <v>1396</v>
      </c>
      <c r="EH24" s="85" t="n">
        <v>1414.8</v>
      </c>
      <c r="EI24" s="85" t="n">
        <v>1436.1</v>
      </c>
      <c r="EJ24" s="85" t="n">
        <v>1453.9</v>
      </c>
      <c r="EK24" s="85" t="n">
        <v>1479.2</v>
      </c>
      <c r="EL24" s="85" t="n">
        <v>1494.3</v>
      </c>
      <c r="EM24" s="85" t="n">
        <v>1513</v>
      </c>
      <c r="EN24" s="85" t="n">
        <v>1538</v>
      </c>
      <c r="EO24" s="85" t="n">
        <v>1564.8</v>
      </c>
      <c r="EP24" s="85" t="n">
        <v>1583</v>
      </c>
      <c r="EQ24" s="85" t="n">
        <v>1613.4</v>
      </c>
      <c r="ER24" s="85" t="n">
        <v>1634.8</v>
      </c>
      <c r="ES24" s="85" t="n">
        <v>1659.4</v>
      </c>
      <c r="ET24" s="85" t="n">
        <v>1700.9</v>
      </c>
      <c r="EU24" s="85" t="n">
        <v>1727.5</v>
      </c>
      <c r="EV24" s="85" t="n">
        <v>1749.9</v>
      </c>
      <c r="EW24" s="85" t="n">
        <v>1779.8</v>
      </c>
      <c r="EX24" s="85" t="n">
        <v>1798.5</v>
      </c>
      <c r="EY24" s="85" t="n">
        <v>1825</v>
      </c>
      <c r="EZ24" s="85" t="n">
        <v>1858.8</v>
      </c>
      <c r="FA24" s="85" t="n">
        <v>1842</v>
      </c>
      <c r="FB24" s="85" t="n">
        <v>1836.8</v>
      </c>
      <c r="FC24" s="85" t="n">
        <v>1857</v>
      </c>
      <c r="FD24" s="85" t="n">
        <v>1863.8</v>
      </c>
      <c r="FE24" s="85" t="n">
        <v>1864.6</v>
      </c>
      <c r="FF24" s="85" t="n">
        <v>1855.5</v>
      </c>
      <c r="FG24" s="85" t="n">
        <v>1860.7</v>
      </c>
      <c r="FH24" s="85" t="n">
        <v>1854</v>
      </c>
      <c r="FI24" s="85" t="n">
        <v>1851.4</v>
      </c>
      <c r="FJ24" s="85" t="n">
        <v>1849.8</v>
      </c>
      <c r="FK24" s="85" t="n">
        <v>1855.5</v>
      </c>
      <c r="FL24" s="85" t="n">
        <v>1848.3</v>
      </c>
      <c r="FM24" s="85" t="n">
        <v>1839.1</v>
      </c>
      <c r="FN24" s="85" t="n">
        <v>1847.9</v>
      </c>
      <c r="FO24" s="85" t="n">
        <v>1841.8</v>
      </c>
      <c r="FP24" s="85" t="n">
        <v>1845.3</v>
      </c>
      <c r="FQ24" s="85" t="n">
        <v>1862.7</v>
      </c>
      <c r="FR24" s="85" t="n">
        <v>1883.4</v>
      </c>
      <c r="FS24" s="85" t="n">
        <v>1898.6</v>
      </c>
      <c r="FT24" s="85" t="n">
        <v>1915.6</v>
      </c>
      <c r="FU24" s="85" t="n">
        <v>1923.3</v>
      </c>
      <c r="FV24" s="85" t="n">
        <v>1926.1</v>
      </c>
      <c r="FW24" s="85" t="n">
        <v>1943.4</v>
      </c>
      <c r="FX24" s="85" t="n">
        <v>1961.1</v>
      </c>
      <c r="FY24" s="85" t="n">
        <v>1975.5</v>
      </c>
      <c r="FZ24" s="85" t="n">
        <v>1971.7</v>
      </c>
      <c r="GA24" s="85" t="n">
        <v>2011.7</v>
      </c>
      <c r="GB24" s="85" t="n">
        <v>2031.2</v>
      </c>
      <c r="GC24" s="85" t="n">
        <v>2028.1</v>
      </c>
      <c r="GD24" s="85" t="n">
        <v>2040.5</v>
      </c>
      <c r="GE24" s="85" t="n">
        <v>2059.6</v>
      </c>
      <c r="GF24" s="85" t="n">
        <v>2073.9</v>
      </c>
      <c r="GG24" s="85" t="n">
        <v>2088.8</v>
      </c>
      <c r="GH24" s="85" t="n">
        <v>2104</v>
      </c>
      <c r="GI24" s="85" t="n">
        <v>2110.6</v>
      </c>
      <c r="GJ24" s="85" t="n">
        <v>2134.3</v>
      </c>
      <c r="GK24" s="85" t="n">
        <v>2175.4</v>
      </c>
      <c r="GL24" s="85" t="n">
        <v>2197.7</v>
      </c>
      <c r="GM24" s="85" t="n">
        <v>2236</v>
      </c>
      <c r="GN24" s="85" t="n">
        <v>2267.2</v>
      </c>
      <c r="GO24" s="85" t="n">
        <v>2275.5</v>
      </c>
      <c r="GP24" s="85" t="n">
        <v>2299.8</v>
      </c>
      <c r="GQ24" s="85" t="n">
        <v>2353.2</v>
      </c>
      <c r="GR24" s="85" t="n">
        <v>2388</v>
      </c>
      <c r="GS24" s="85" t="n">
        <v>2425.1</v>
      </c>
      <c r="GT24" s="85" t="n">
        <v>2483.7</v>
      </c>
      <c r="GU24" s="85" t="n">
        <v>2458.2</v>
      </c>
      <c r="GV24" s="85" t="n">
        <v>2475.1</v>
      </c>
      <c r="GW24" s="85" t="n">
        <v>2489.4</v>
      </c>
      <c r="GX24" s="85" t="n">
        <v>2534.2</v>
      </c>
      <c r="GY24" s="85" t="n">
        <v>2572.6</v>
      </c>
      <c r="GZ24" s="85" t="n">
        <v>2629</v>
      </c>
      <c r="HA24" s="85" t="n">
        <v>2665.4</v>
      </c>
      <c r="HB24" s="85" t="n">
        <v>2726.1</v>
      </c>
      <c r="HC24" t="n">
        <v>2815.5</v>
      </c>
      <c r="HD24" t="n">
        <v>2838.7</v>
      </c>
      <c r="HE24" t="n">
        <v>2870.6</v>
      </c>
      <c r="HF24" t="n">
        <v>2893</v>
      </c>
      <c r="HG24" t="n">
        <v>2904.1</v>
      </c>
      <c r="HH24" t="n">
        <v>2975.5</v>
      </c>
      <c r="HI24" t="n">
        <v>3019</v>
      </c>
      <c r="HJ24" t="n">
        <v>3070.7</v>
      </c>
      <c r="HK24" t="n">
        <v>3100.9</v>
      </c>
    </row>
    <row r="25">
      <c r="A25" s="85" t="s">
        <v>2533</v>
      </c>
      <c r="B25" s="85" t="n">
        <v>753.5</v>
      </c>
      <c r="C25" s="85" t="n">
        <v>733.7</v>
      </c>
      <c r="D25" s="85" t="n">
        <v>724.6</v>
      </c>
      <c r="E25" s="85" t="n">
        <v>721.9</v>
      </c>
      <c r="F25" s="85" t="n">
        <v>698.7</v>
      </c>
      <c r="G25" s="85" t="n">
        <v>690.5</v>
      </c>
      <c r="H25" s="85" t="n">
        <v>687.5</v>
      </c>
      <c r="I25" s="85" t="n">
        <v>669.4</v>
      </c>
      <c r="J25" s="85" t="n">
        <v>674.9</v>
      </c>
      <c r="K25" s="85" t="n">
        <v>681.4</v>
      </c>
      <c r="L25" s="85" t="n">
        <v>650.2</v>
      </c>
      <c r="M25" s="85" t="n">
        <v>651.9</v>
      </c>
      <c r="N25" s="85" t="n">
        <v>660.3</v>
      </c>
      <c r="O25" s="85" t="n">
        <v>649.7</v>
      </c>
      <c r="P25" s="85" t="n">
        <v>626.7</v>
      </c>
      <c r="Q25" s="85" t="n">
        <v>628.1</v>
      </c>
      <c r="R25" s="85" t="n">
        <v>643.2</v>
      </c>
      <c r="S25" s="85" t="n">
        <v>641</v>
      </c>
      <c r="T25" s="85" t="n">
        <v>645.1</v>
      </c>
      <c r="U25" s="85" t="n">
        <v>651.5</v>
      </c>
      <c r="V25" s="85" t="n">
        <v>644.7</v>
      </c>
      <c r="W25" s="85" t="n">
        <v>638.3</v>
      </c>
      <c r="X25" s="85" t="n">
        <v>654.7</v>
      </c>
      <c r="Y25" s="85" t="n">
        <v>656.9</v>
      </c>
      <c r="Z25" s="85" t="n">
        <v>650.4</v>
      </c>
      <c r="AA25" s="85" t="n">
        <v>648.2</v>
      </c>
      <c r="AB25" s="85" t="n">
        <v>649.1</v>
      </c>
      <c r="AC25" s="85" t="n">
        <v>650.5</v>
      </c>
      <c r="AD25" s="85" t="n">
        <v>655</v>
      </c>
      <c r="AE25" s="85" t="n">
        <v>663.3</v>
      </c>
      <c r="AF25" s="85" t="n">
        <v>669.9</v>
      </c>
      <c r="AG25" s="85" t="n">
        <v>665.3</v>
      </c>
      <c r="AH25" s="85" t="n">
        <v>665.8</v>
      </c>
      <c r="AI25" s="85" t="n">
        <v>678.7</v>
      </c>
      <c r="AJ25" s="85" t="n">
        <v>683.1</v>
      </c>
      <c r="AK25" s="85" t="n">
        <v>688.9</v>
      </c>
      <c r="AL25" s="85" t="n">
        <v>687.8</v>
      </c>
      <c r="AM25" s="85" t="n">
        <v>694.8</v>
      </c>
      <c r="AN25" s="85" t="n">
        <v>696.4</v>
      </c>
      <c r="AO25" s="85" t="n">
        <v>697.2</v>
      </c>
      <c r="AP25" s="85" t="n">
        <v>715.8</v>
      </c>
      <c r="AQ25" s="85" t="n">
        <v>729.9</v>
      </c>
      <c r="AR25" s="85" t="n">
        <v>721.5</v>
      </c>
      <c r="AS25" s="85" t="n">
        <v>725.2</v>
      </c>
      <c r="AT25" s="85" t="n">
        <v>739.4</v>
      </c>
      <c r="AU25" s="85" t="n">
        <v>758.4</v>
      </c>
      <c r="AV25" s="85" t="n">
        <v>755.3</v>
      </c>
      <c r="AW25" s="85" t="n">
        <v>768.8</v>
      </c>
      <c r="AX25" s="85" t="n">
        <v>769.3</v>
      </c>
      <c r="AY25" s="85" t="n">
        <v>772.5</v>
      </c>
      <c r="AZ25" s="85" t="n">
        <v>785.2</v>
      </c>
      <c r="BA25" s="85" t="n">
        <v>803.7</v>
      </c>
      <c r="BB25" s="85" t="n">
        <v>816.4</v>
      </c>
      <c r="BC25" s="85" t="n">
        <v>831.6</v>
      </c>
      <c r="BD25" s="85" t="n">
        <v>853.1</v>
      </c>
      <c r="BE25" s="85" t="n">
        <v>825.5</v>
      </c>
      <c r="BF25" s="85" t="n">
        <v>832.5</v>
      </c>
      <c r="BG25" s="85" t="n">
        <v>857.7</v>
      </c>
      <c r="BH25" s="85" t="n">
        <v>857</v>
      </c>
      <c r="BI25" s="85" t="n">
        <v>884.4</v>
      </c>
      <c r="BJ25" s="85" t="n">
        <v>892.5</v>
      </c>
      <c r="BK25" s="85" t="n">
        <v>916</v>
      </c>
      <c r="BL25" s="85" t="n">
        <v>943.3</v>
      </c>
      <c r="BM25" s="85" t="n">
        <v>943.8</v>
      </c>
      <c r="BN25" s="85" t="n">
        <v>941.2</v>
      </c>
      <c r="BO25" s="85" t="n">
        <v>971.7</v>
      </c>
      <c r="BP25" s="85" t="n">
        <v>1005.3</v>
      </c>
      <c r="BQ25" s="85" t="n">
        <v>993.6</v>
      </c>
      <c r="BR25" s="85" t="n">
        <v>1000</v>
      </c>
      <c r="BS25" s="85" t="n">
        <v>1013.6</v>
      </c>
      <c r="BT25" s="85" t="n">
        <v>1012.2</v>
      </c>
      <c r="BU25" s="85" t="n">
        <v>1029.3</v>
      </c>
      <c r="BV25" s="85" t="n">
        <v>999.8</v>
      </c>
      <c r="BW25" s="85" t="n">
        <v>992.3</v>
      </c>
      <c r="BX25" s="85" t="n">
        <v>987.6</v>
      </c>
      <c r="BY25" s="85" t="n">
        <v>1014.9</v>
      </c>
      <c r="BZ25" s="85" t="n">
        <v>996.4</v>
      </c>
      <c r="CA25" s="85" t="n">
        <v>1016.6</v>
      </c>
      <c r="CB25" s="85" t="n">
        <v>1025</v>
      </c>
      <c r="CC25" s="85" t="n">
        <v>1020.2</v>
      </c>
      <c r="CD25" s="85" t="n">
        <v>1037.2</v>
      </c>
      <c r="CE25" s="85" t="n">
        <v>1038.6</v>
      </c>
      <c r="CF25" s="85" t="n">
        <v>1034</v>
      </c>
      <c r="CG25" s="85" t="n">
        <v>1035.3</v>
      </c>
      <c r="CH25" s="85" t="n">
        <v>1047.1</v>
      </c>
      <c r="CI25" s="85" t="n">
        <v>1051.4</v>
      </c>
      <c r="CJ25" s="85" t="n">
        <v>1037.5</v>
      </c>
      <c r="CK25" s="85" t="n">
        <v>1011.5</v>
      </c>
      <c r="CL25" s="85" t="n">
        <v>1015.3</v>
      </c>
      <c r="CM25" s="85" t="n">
        <v>1012.6</v>
      </c>
      <c r="CN25" s="85" t="n">
        <v>1026.9</v>
      </c>
      <c r="CO25" s="85" t="n">
        <v>1027.6</v>
      </c>
      <c r="CP25" s="85" t="n">
        <v>994</v>
      </c>
      <c r="CQ25" s="85" t="n">
        <v>983.6</v>
      </c>
      <c r="CR25" s="85" t="n">
        <v>979.9</v>
      </c>
      <c r="CS25" s="85" t="n">
        <v>981.5</v>
      </c>
      <c r="CT25" s="85" t="n">
        <v>947.3</v>
      </c>
      <c r="CU25" s="85" t="n">
        <v>943.2</v>
      </c>
      <c r="CV25" s="85" t="n">
        <v>966.1</v>
      </c>
      <c r="CW25" s="85" t="n">
        <v>940.6</v>
      </c>
      <c r="CX25" s="85" t="n">
        <v>938</v>
      </c>
      <c r="CY25" s="85" t="n">
        <v>934.9</v>
      </c>
      <c r="CZ25" s="85" t="n">
        <v>927.4</v>
      </c>
      <c r="DA25" s="85" t="n">
        <v>895.8</v>
      </c>
      <c r="DB25" s="85" t="n">
        <v>913.5</v>
      </c>
      <c r="DC25" s="85" t="n">
        <v>922.1</v>
      </c>
      <c r="DD25" s="85" t="n">
        <v>909.9</v>
      </c>
      <c r="DE25" s="85" t="n">
        <v>905.5</v>
      </c>
      <c r="DF25" s="85" t="n">
        <v>892.7</v>
      </c>
      <c r="DG25" s="85" t="n">
        <v>912.5</v>
      </c>
      <c r="DH25" s="85" t="n">
        <v>908.6</v>
      </c>
      <c r="DI25" s="85" t="n">
        <v>907.2</v>
      </c>
      <c r="DJ25" s="85" t="n">
        <v>884.6</v>
      </c>
      <c r="DK25" s="85" t="n">
        <v>901.9</v>
      </c>
      <c r="DL25" s="85" t="n">
        <v>898.4</v>
      </c>
      <c r="DM25" s="85" t="n">
        <v>904</v>
      </c>
      <c r="DN25" s="85" t="n">
        <v>902.6</v>
      </c>
      <c r="DO25" s="85" t="n">
        <v>901.3</v>
      </c>
      <c r="DP25" s="85" t="n">
        <v>915.4</v>
      </c>
      <c r="DQ25" s="85" t="n">
        <v>934</v>
      </c>
      <c r="DR25" s="85" t="n">
        <v>903</v>
      </c>
      <c r="DS25" s="85" t="n">
        <v>931.2</v>
      </c>
      <c r="DT25" s="85" t="n">
        <v>913.6</v>
      </c>
      <c r="DU25" s="85" t="n">
        <v>916.1</v>
      </c>
      <c r="DV25" s="85" t="n">
        <v>936.2</v>
      </c>
      <c r="DW25" s="85" t="n">
        <v>949.8</v>
      </c>
      <c r="DX25" s="85" t="n">
        <v>955.5</v>
      </c>
      <c r="DY25" s="85" t="n">
        <v>966.9</v>
      </c>
      <c r="DZ25" s="85" t="n">
        <v>998.7</v>
      </c>
      <c r="EA25" s="85" t="n">
        <v>1018.1</v>
      </c>
      <c r="EB25" s="85" t="n">
        <v>1028.1</v>
      </c>
      <c r="EC25" s="85" t="n">
        <v>1045.6</v>
      </c>
      <c r="ED25" s="85" t="n">
        <v>1057.7</v>
      </c>
      <c r="EE25" s="85" t="n">
        <v>1094.2</v>
      </c>
      <c r="EF25" s="85" t="n">
        <v>1094</v>
      </c>
      <c r="EG25" s="85" t="n">
        <v>1114.3</v>
      </c>
      <c r="EH25" s="85" t="n">
        <v>1126.4</v>
      </c>
      <c r="EI25" s="85" t="n">
        <v>1133</v>
      </c>
      <c r="EJ25" s="85" t="n">
        <v>1145.5</v>
      </c>
      <c r="EK25" s="85" t="n">
        <v>1143.4</v>
      </c>
      <c r="EL25" s="85" t="n">
        <v>1156.1</v>
      </c>
      <c r="EM25" s="85" t="n">
        <v>1154.9</v>
      </c>
      <c r="EN25" s="85" t="n">
        <v>1163.8</v>
      </c>
      <c r="EO25" s="85" t="n">
        <v>1164.3</v>
      </c>
      <c r="EP25" s="85" t="n">
        <v>1194.5</v>
      </c>
      <c r="EQ25" s="85" t="n">
        <v>1186.4</v>
      </c>
      <c r="ER25" s="85" t="n">
        <v>1175.6</v>
      </c>
      <c r="ES25" s="85" t="n">
        <v>1192.7</v>
      </c>
      <c r="ET25" s="85" t="n">
        <v>1185.5</v>
      </c>
      <c r="EU25" s="85" t="n">
        <v>1205</v>
      </c>
      <c r="EV25" s="85" t="n">
        <v>1215.5</v>
      </c>
      <c r="EW25" s="85" t="n">
        <v>1235.8</v>
      </c>
      <c r="EX25" s="85" t="n">
        <v>1254.6</v>
      </c>
      <c r="EY25" s="85" t="n">
        <v>1281.4</v>
      </c>
      <c r="EZ25" s="85" t="n">
        <v>1298</v>
      </c>
      <c r="FA25" s="85" t="n">
        <v>1314.9</v>
      </c>
      <c r="FB25" s="85" t="n">
        <v>1332.3</v>
      </c>
      <c r="FC25" s="85" t="n">
        <v>1363.9</v>
      </c>
      <c r="FD25" s="85" t="n">
        <v>1376.4</v>
      </c>
      <c r="FE25" s="85" t="n">
        <v>1396.9</v>
      </c>
      <c r="FF25" s="85" t="n">
        <v>1412.5</v>
      </c>
      <c r="FG25" s="85" t="n">
        <v>1431</v>
      </c>
      <c r="FH25" s="85" t="n">
        <v>1424.5</v>
      </c>
      <c r="FI25" s="85" t="n">
        <v>1422.3</v>
      </c>
      <c r="FJ25" s="85" t="n">
        <v>1402.2</v>
      </c>
      <c r="FK25" s="85" t="n">
        <v>1396.8</v>
      </c>
      <c r="FL25" s="85" t="n">
        <v>1366.4</v>
      </c>
      <c r="FM25" s="85" t="n">
        <v>1371.5</v>
      </c>
      <c r="FN25" s="85" t="n">
        <v>1371.4</v>
      </c>
      <c r="FO25" s="85" t="n">
        <v>1360.5</v>
      </c>
      <c r="FP25" s="85" t="n">
        <v>1363.3</v>
      </c>
      <c r="FQ25" s="85" t="n">
        <v>1336.2</v>
      </c>
      <c r="FR25" s="85" t="n">
        <v>1306</v>
      </c>
      <c r="FS25" s="85" t="n">
        <v>1295.9</v>
      </c>
      <c r="FT25" s="85" t="n">
        <v>1277.8</v>
      </c>
      <c r="FU25" s="85" t="n">
        <v>1256</v>
      </c>
      <c r="FV25" s="85" t="n">
        <v>1254.9</v>
      </c>
      <c r="FW25" s="85" t="n">
        <v>1247.7</v>
      </c>
      <c r="FX25" s="85" t="n">
        <v>1262.1</v>
      </c>
      <c r="FY25" s="85" t="n">
        <v>1243.1</v>
      </c>
      <c r="FZ25" s="85" t="n">
        <v>1248</v>
      </c>
      <c r="GA25" s="85" t="n">
        <v>1251.9</v>
      </c>
      <c r="GB25" s="85" t="n">
        <v>1250.8</v>
      </c>
      <c r="GC25" s="85" t="n">
        <v>1260.2</v>
      </c>
      <c r="GD25" s="85" t="n">
        <v>1261.1</v>
      </c>
      <c r="GE25" s="85" t="n">
        <v>1254.8</v>
      </c>
      <c r="GF25" s="85" t="n">
        <v>1261.4</v>
      </c>
      <c r="GG25" s="85" t="n">
        <v>1262.5</v>
      </c>
      <c r="GH25" s="85" t="n">
        <v>1257.2</v>
      </c>
      <c r="GI25" s="85" t="n">
        <v>1263.9</v>
      </c>
      <c r="GJ25" s="85" t="n">
        <v>1263.1</v>
      </c>
      <c r="GK25" s="85" t="n">
        <v>1280</v>
      </c>
      <c r="GL25" s="85" t="n">
        <v>1293</v>
      </c>
      <c r="GM25" s="85" t="n">
        <v>1302.3</v>
      </c>
      <c r="GN25" s="85" t="n">
        <v>1319.1</v>
      </c>
      <c r="GO25" s="85" t="n">
        <v>1325.3</v>
      </c>
      <c r="GP25" s="85" t="n">
        <v>1339.8</v>
      </c>
      <c r="GQ25" s="85" t="n">
        <v>1353.4</v>
      </c>
      <c r="GR25" s="85" t="n">
        <v>1370.3</v>
      </c>
      <c r="GS25" s="85" t="n">
        <v>1377.8</v>
      </c>
      <c r="GT25" s="85" t="n">
        <v>1392.2</v>
      </c>
      <c r="GU25" s="85" t="n">
        <v>1494.7</v>
      </c>
      <c r="GV25" s="85" t="n">
        <v>1447.4</v>
      </c>
      <c r="GW25" s="85" t="n">
        <v>1447.9</v>
      </c>
      <c r="GX25" s="85" t="n">
        <v>1506.7</v>
      </c>
      <c r="GY25" s="85" t="n">
        <v>1475.7</v>
      </c>
      <c r="GZ25" s="85" t="n">
        <v>1447.2</v>
      </c>
      <c r="HA25" s="85" t="n">
        <v>1458.4</v>
      </c>
      <c r="HB25" s="85" t="n">
        <v>1426.3</v>
      </c>
      <c r="HC25" t="n">
        <v>1414.4</v>
      </c>
      <c r="HD25" t="n">
        <v>1412.9</v>
      </c>
      <c r="HE25" t="n">
        <v>1443.6</v>
      </c>
      <c r="HF25" t="n">
        <v>1460</v>
      </c>
      <c r="HG25" t="n">
        <v>1456</v>
      </c>
      <c r="HH25" t="n">
        <v>1474.8</v>
      </c>
      <c r="HI25" t="n">
        <v>1473.5</v>
      </c>
      <c r="HJ25" t="n">
        <v>1472.2</v>
      </c>
      <c r="HK25" t="n">
        <v>1487.8</v>
      </c>
    </row>
    <row r="26">
      <c r="A26" s="85" t="s">
        <v>2534</v>
      </c>
      <c r="B26" s="85" t="n">
        <v>902.2</v>
      </c>
      <c r="C26" s="85" t="n">
        <v>907.1</v>
      </c>
      <c r="D26" s="85" t="n">
        <v>927.8</v>
      </c>
      <c r="E26" s="85" t="n">
        <v>932.5</v>
      </c>
      <c r="F26" s="85" t="n">
        <v>936.4</v>
      </c>
      <c r="G26" s="85" t="n">
        <v>943.3</v>
      </c>
      <c r="H26" s="85" t="n">
        <v>946.5</v>
      </c>
      <c r="I26" s="85" t="n">
        <v>958.4</v>
      </c>
      <c r="J26" s="85" t="n">
        <v>961</v>
      </c>
      <c r="K26" s="85" t="n">
        <v>959.4</v>
      </c>
      <c r="L26" s="85" t="n">
        <v>967.1</v>
      </c>
      <c r="M26" s="85" t="n">
        <v>980.4</v>
      </c>
      <c r="N26" s="85" t="n">
        <v>984.9</v>
      </c>
      <c r="O26" s="85" t="n">
        <v>986.5</v>
      </c>
      <c r="P26" s="85" t="n">
        <v>996.8</v>
      </c>
      <c r="Q26" s="85" t="n">
        <v>1008.9</v>
      </c>
      <c r="R26" s="85" t="n">
        <v>1021.7</v>
      </c>
      <c r="S26" s="85" t="n">
        <v>1034.3</v>
      </c>
      <c r="T26" s="85" t="n">
        <v>1032.4</v>
      </c>
      <c r="U26" s="85" t="n">
        <v>1032.8</v>
      </c>
      <c r="V26" s="85" t="n">
        <v>1063.3</v>
      </c>
      <c r="W26" s="85" t="n">
        <v>1055.7</v>
      </c>
      <c r="X26" s="85" t="n">
        <v>1069.2</v>
      </c>
      <c r="Y26" s="85" t="n">
        <v>1083.5</v>
      </c>
      <c r="Z26" s="85" t="n">
        <v>1095.7</v>
      </c>
      <c r="AA26" s="85" t="n">
        <v>1076.5</v>
      </c>
      <c r="AB26" s="85" t="n">
        <v>1069.3</v>
      </c>
      <c r="AC26" s="85" t="n">
        <v>1066.1</v>
      </c>
      <c r="AD26" s="85" t="n">
        <v>1076.7</v>
      </c>
      <c r="AE26" s="85" t="n">
        <v>1083.3</v>
      </c>
      <c r="AF26" s="85" t="n">
        <v>1082.2</v>
      </c>
      <c r="AG26" s="85" t="n">
        <v>1083.8</v>
      </c>
      <c r="AH26" s="85" t="n">
        <v>1083.6</v>
      </c>
      <c r="AI26" s="85" t="n">
        <v>1116.2</v>
      </c>
      <c r="AJ26" s="85" t="n">
        <v>1129</v>
      </c>
      <c r="AK26" s="85" t="n">
        <v>1139.7</v>
      </c>
      <c r="AL26" s="85" t="n">
        <v>1120.4</v>
      </c>
      <c r="AM26" s="85" t="n">
        <v>1130.9</v>
      </c>
      <c r="AN26" s="85" t="n">
        <v>1134.8</v>
      </c>
      <c r="AO26" s="85" t="n">
        <v>1147.5</v>
      </c>
      <c r="AP26" s="85" t="n">
        <v>1152.9</v>
      </c>
      <c r="AQ26" s="85" t="n">
        <v>1137.6</v>
      </c>
      <c r="AR26" s="85" t="n">
        <v>1120</v>
      </c>
      <c r="AS26" s="85" t="n">
        <v>1114.5</v>
      </c>
      <c r="AT26" s="85" t="n">
        <v>1123.2</v>
      </c>
      <c r="AU26" s="85" t="n">
        <v>1101.8</v>
      </c>
      <c r="AV26" s="85" t="n">
        <v>1098.6</v>
      </c>
      <c r="AW26" s="85" t="n">
        <v>1107.2</v>
      </c>
      <c r="AX26" s="85" t="n">
        <v>1104.1</v>
      </c>
      <c r="AY26" s="85" t="n">
        <v>1107.9</v>
      </c>
      <c r="AZ26" s="85" t="n">
        <v>1108</v>
      </c>
      <c r="BA26" s="85" t="n">
        <v>1116.4</v>
      </c>
      <c r="BB26" s="85" t="n">
        <v>1120.4</v>
      </c>
      <c r="BC26" s="85" t="n">
        <v>1118.2</v>
      </c>
      <c r="BD26" s="85" t="n">
        <v>1127.9</v>
      </c>
      <c r="BE26" s="85" t="n">
        <v>1128.6</v>
      </c>
      <c r="BF26" s="85" t="n">
        <v>1142.9</v>
      </c>
      <c r="BG26" s="85" t="n">
        <v>1158.1</v>
      </c>
      <c r="BH26" s="85" t="n">
        <v>1177.9</v>
      </c>
      <c r="BI26" s="85" t="n">
        <v>1189.9</v>
      </c>
      <c r="BJ26" s="85" t="n">
        <v>1204.9</v>
      </c>
      <c r="BK26" s="85" t="n">
        <v>1226.7</v>
      </c>
      <c r="BL26" s="85" t="n">
        <v>1246.2</v>
      </c>
      <c r="BM26" s="85" t="n">
        <v>1255.7</v>
      </c>
      <c r="BN26" s="85" t="n">
        <v>1278.8</v>
      </c>
      <c r="BO26" s="85" t="n">
        <v>1291.3</v>
      </c>
      <c r="BP26" s="85" t="n">
        <v>1303.3</v>
      </c>
      <c r="BQ26" s="85" t="n">
        <v>1307.7</v>
      </c>
      <c r="BR26" s="85" t="n">
        <v>1314.6</v>
      </c>
      <c r="BS26" s="85" t="n">
        <v>1317.5</v>
      </c>
      <c r="BT26" s="85" t="n">
        <v>1322</v>
      </c>
      <c r="BU26" s="85" t="n">
        <v>1339.5</v>
      </c>
      <c r="BV26" s="85" t="n">
        <v>1354.2</v>
      </c>
      <c r="BW26" s="85" t="n">
        <v>1371.3</v>
      </c>
      <c r="BX26" s="85" t="n">
        <v>1377.5</v>
      </c>
      <c r="BY26" s="85" t="n">
        <v>1394.1</v>
      </c>
      <c r="BZ26" s="85" t="n">
        <v>1405.3</v>
      </c>
      <c r="CA26" s="85" t="n">
        <v>1420.8</v>
      </c>
      <c r="CB26" s="85" t="n">
        <v>1434.5</v>
      </c>
      <c r="CC26" s="85" t="n">
        <v>1453.7</v>
      </c>
      <c r="CD26" s="85" t="n">
        <v>1476.1</v>
      </c>
      <c r="CE26" s="85" t="n">
        <v>1478.9</v>
      </c>
      <c r="CF26" s="85" t="n">
        <v>1488.7</v>
      </c>
      <c r="CG26" s="85" t="n">
        <v>1505.3</v>
      </c>
      <c r="CH26" s="85" t="n">
        <v>1507.6</v>
      </c>
      <c r="CI26" s="85" t="n">
        <v>1513.7</v>
      </c>
      <c r="CJ26" s="85" t="n">
        <v>1522.5</v>
      </c>
      <c r="CK26" s="85" t="n">
        <v>1533.2</v>
      </c>
      <c r="CL26" s="85" t="n">
        <v>1553</v>
      </c>
      <c r="CM26" s="85" t="n">
        <v>1550.7</v>
      </c>
      <c r="CN26" s="85" t="n">
        <v>1551.4</v>
      </c>
      <c r="CO26" s="85" t="n">
        <v>1550.2</v>
      </c>
      <c r="CP26" s="85" t="n">
        <v>1555.6</v>
      </c>
      <c r="CQ26" s="85" t="n">
        <v>1568.2</v>
      </c>
      <c r="CR26" s="85" t="n">
        <v>1576.4</v>
      </c>
      <c r="CS26" s="85" t="n">
        <v>1584.1</v>
      </c>
      <c r="CT26" s="85" t="n">
        <v>1590.7</v>
      </c>
      <c r="CU26" s="85" t="n">
        <v>1608.8</v>
      </c>
      <c r="CV26" s="85" t="n">
        <v>1627.8</v>
      </c>
      <c r="CW26" s="85" t="n">
        <v>1633.7</v>
      </c>
      <c r="CX26" s="85" t="n">
        <v>1646.5</v>
      </c>
      <c r="CY26" s="85" t="n">
        <v>1659.4</v>
      </c>
      <c r="CZ26" s="85" t="n">
        <v>1661.1</v>
      </c>
      <c r="DA26" s="85" t="n">
        <v>1669.7</v>
      </c>
      <c r="DB26" s="85" t="n">
        <v>1666.8</v>
      </c>
      <c r="DC26" s="85" t="n">
        <v>1690.8</v>
      </c>
      <c r="DD26" s="85" t="n">
        <v>1705.1</v>
      </c>
      <c r="DE26" s="85" t="n">
        <v>1729.5</v>
      </c>
      <c r="DF26" s="85" t="n">
        <v>1729.9</v>
      </c>
      <c r="DG26" s="85" t="n">
        <v>1742.7</v>
      </c>
      <c r="DH26" s="85" t="n">
        <v>1760.3</v>
      </c>
      <c r="DI26" s="85" t="n">
        <v>1776.1</v>
      </c>
      <c r="DJ26" s="85" t="n">
        <v>1792.3</v>
      </c>
      <c r="DK26" s="85" t="n">
        <v>1821.7</v>
      </c>
      <c r="DL26" s="85" t="n">
        <v>1847.3</v>
      </c>
      <c r="DM26" s="85" t="n">
        <v>1857.8</v>
      </c>
      <c r="DN26" s="85" t="n">
        <v>1880</v>
      </c>
      <c r="DO26" s="85" t="n">
        <v>1892.1</v>
      </c>
      <c r="DP26" s="85" t="n">
        <v>1911.1</v>
      </c>
      <c r="DQ26" s="85" t="n">
        <v>1935.9</v>
      </c>
      <c r="DR26" s="85" t="n">
        <v>1949.9</v>
      </c>
      <c r="DS26" s="85" t="n">
        <v>1947.2</v>
      </c>
      <c r="DT26" s="85" t="n">
        <v>1954.5</v>
      </c>
      <c r="DU26" s="85" t="n">
        <v>1969.9</v>
      </c>
      <c r="DV26" s="85" t="n">
        <v>1994.2</v>
      </c>
      <c r="DW26" s="85" t="n">
        <v>2031.7</v>
      </c>
      <c r="DX26" s="85" t="n">
        <v>2022.5</v>
      </c>
      <c r="DY26" s="85" t="n">
        <v>2061</v>
      </c>
      <c r="DZ26" s="85" t="n">
        <v>2080.5</v>
      </c>
      <c r="EA26" s="85" t="n">
        <v>2083.2</v>
      </c>
      <c r="EB26" s="85" t="n">
        <v>2088.6</v>
      </c>
      <c r="EC26" s="85" t="n">
        <v>2092.7</v>
      </c>
      <c r="ED26" s="85" t="n">
        <v>2081.8</v>
      </c>
      <c r="EE26" s="85" t="n">
        <v>2070.4</v>
      </c>
      <c r="EF26" s="85" t="n">
        <v>2078.3</v>
      </c>
      <c r="EG26" s="85" t="n">
        <v>2075.2</v>
      </c>
      <c r="EH26" s="85" t="n">
        <v>2076.5</v>
      </c>
      <c r="EI26" s="85" t="n">
        <v>2078</v>
      </c>
      <c r="EJ26" s="85" t="n">
        <v>2070.3</v>
      </c>
      <c r="EK26" s="85" t="n">
        <v>2070.6</v>
      </c>
      <c r="EL26" s="85" t="n">
        <v>2072.9</v>
      </c>
      <c r="EM26" s="85" t="n">
        <v>2072.3</v>
      </c>
      <c r="EN26" s="85" t="n">
        <v>2073.5</v>
      </c>
      <c r="EO26" s="85" t="n">
        <v>2075.6</v>
      </c>
      <c r="EP26" s="85" t="n">
        <v>2084.9</v>
      </c>
      <c r="EQ26" s="85" t="n">
        <v>2092.7</v>
      </c>
      <c r="ER26" s="85" t="n">
        <v>2099.2</v>
      </c>
      <c r="ES26" s="85" t="n">
        <v>2108.4</v>
      </c>
      <c r="ET26" s="85" t="n">
        <v>2120.6</v>
      </c>
      <c r="EU26" s="85" t="n">
        <v>2130.6</v>
      </c>
      <c r="EV26" s="85" t="n">
        <v>2134.9</v>
      </c>
      <c r="EW26" s="85" t="n">
        <v>2140.6</v>
      </c>
      <c r="EX26" s="85" t="n">
        <v>2128.8</v>
      </c>
      <c r="EY26" s="85" t="n">
        <v>2130.3</v>
      </c>
      <c r="EZ26" s="85" t="n">
        <v>2140.8</v>
      </c>
      <c r="FA26" s="85" t="n">
        <v>2147.4</v>
      </c>
      <c r="FB26" s="85" t="n">
        <v>2169.1</v>
      </c>
      <c r="FC26" s="85" t="n">
        <v>2187.9</v>
      </c>
      <c r="FD26" s="85" t="n">
        <v>2184.6</v>
      </c>
      <c r="FE26" s="85" t="n">
        <v>2169.8</v>
      </c>
      <c r="FF26" s="85" t="n">
        <v>2137.8</v>
      </c>
      <c r="FG26" s="85" t="n">
        <v>2129.5</v>
      </c>
      <c r="FH26" s="85" t="n">
        <v>2110.6</v>
      </c>
      <c r="FI26" s="85" t="n">
        <v>2090.2</v>
      </c>
      <c r="FJ26" s="85" t="n">
        <v>2067.3</v>
      </c>
      <c r="FK26" s="85" t="n">
        <v>2048.8</v>
      </c>
      <c r="FL26" s="85" t="n">
        <v>2030.4</v>
      </c>
      <c r="FM26" s="85" t="n">
        <v>2022.8</v>
      </c>
      <c r="FN26" s="85" t="n">
        <v>2008.2</v>
      </c>
      <c r="FO26" s="85" t="n">
        <v>2001.4</v>
      </c>
      <c r="FP26" s="85" t="n">
        <v>1993.4</v>
      </c>
      <c r="FQ26" s="85" t="n">
        <v>1987.8</v>
      </c>
      <c r="FR26" s="85" t="n">
        <v>1987.2</v>
      </c>
      <c r="FS26" s="85" t="n">
        <v>1993.1</v>
      </c>
      <c r="FT26" s="85" t="n">
        <v>1995.1</v>
      </c>
      <c r="FU26" s="85" t="n">
        <v>1991.6</v>
      </c>
      <c r="FV26" s="85" t="n">
        <v>1978.8</v>
      </c>
      <c r="FW26" s="85" t="n">
        <v>1990.3</v>
      </c>
      <c r="FX26" s="85" t="n">
        <v>1997.9</v>
      </c>
      <c r="FY26" s="85" t="n">
        <v>2014.4</v>
      </c>
      <c r="FZ26" s="85" t="n">
        <v>2029.1</v>
      </c>
      <c r="GA26" s="85" t="n">
        <v>2057.3</v>
      </c>
      <c r="GB26" s="85" t="n">
        <v>2075.9</v>
      </c>
      <c r="GC26" s="85" t="n">
        <v>2080.8</v>
      </c>
      <c r="GD26" s="85" t="n">
        <v>2110.5</v>
      </c>
      <c r="GE26" s="85" t="n">
        <v>2114.2</v>
      </c>
      <c r="GF26" s="85" t="n">
        <v>2122.3</v>
      </c>
      <c r="GG26" s="85" t="n">
        <v>2127.2</v>
      </c>
      <c r="GH26" s="85" t="n">
        <v>2123.1</v>
      </c>
      <c r="GI26" s="85" t="n">
        <v>2125.9</v>
      </c>
      <c r="GJ26" s="85" t="n">
        <v>2130.9</v>
      </c>
      <c r="GK26" s="85" t="n">
        <v>2144.5</v>
      </c>
      <c r="GL26" s="85" t="n">
        <v>2138.7</v>
      </c>
      <c r="GM26" s="85" t="n">
        <v>2154</v>
      </c>
      <c r="GN26" s="85" t="n">
        <v>2164.7</v>
      </c>
      <c r="GO26" s="85" t="n">
        <v>2163.2</v>
      </c>
      <c r="GP26" s="85" t="n">
        <v>2197</v>
      </c>
      <c r="GQ26" s="85" t="n">
        <v>2231.3</v>
      </c>
      <c r="GR26" s="85" t="n">
        <v>2255.4</v>
      </c>
      <c r="GS26" s="85" t="n">
        <v>2277</v>
      </c>
      <c r="GT26" s="85" t="n">
        <v>2302.2</v>
      </c>
      <c r="GU26" s="85" t="n">
        <v>2281.5</v>
      </c>
      <c r="GV26" s="85" t="n">
        <v>2269.8</v>
      </c>
      <c r="GW26" s="85" t="n">
        <v>2255.3</v>
      </c>
      <c r="GX26" s="85" t="n">
        <v>2246.1</v>
      </c>
      <c r="GY26" s="85" t="n">
        <v>2236.1</v>
      </c>
      <c r="GZ26" s="85" t="n">
        <v>2249</v>
      </c>
      <c r="HA26" s="85" t="n">
        <v>2236</v>
      </c>
      <c r="HB26" s="85" t="n">
        <v>2235.3</v>
      </c>
      <c r="HC26" t="n">
        <v>2232.9</v>
      </c>
      <c r="HD26" t="n">
        <v>2248</v>
      </c>
      <c r="HE26" t="n">
        <v>2266.9</v>
      </c>
      <c r="HF26" t="n">
        <v>2296.6</v>
      </c>
      <c r="HG26" t="n">
        <v>2327.1</v>
      </c>
      <c r="HH26" t="n">
        <v>2360.8</v>
      </c>
      <c r="HI26" t="n">
        <v>2395.9</v>
      </c>
      <c r="HJ26" t="n">
        <v>2414</v>
      </c>
      <c r="HK26" t="n">
        <v>2427.9</v>
      </c>
    </row>
    <row r="27">
      <c r="A27" s="85" t="s">
        <v>2535</v>
      </c>
      <c r="B27" s="85" t="n">
        <v>90.6</v>
      </c>
      <c r="C27" s="85" t="n">
        <v>91.4</v>
      </c>
      <c r="D27" s="85" t="n">
        <v>86.3</v>
      </c>
      <c r="E27" s="85" t="n">
        <v>87.2</v>
      </c>
      <c r="F27" s="85" t="n">
        <v>83.6</v>
      </c>
      <c r="G27" s="85" t="n">
        <v>85.1</v>
      </c>
      <c r="H27" s="85" t="n">
        <v>86.3</v>
      </c>
      <c r="I27" s="85" t="n">
        <v>88.2</v>
      </c>
      <c r="J27" s="85" t="n">
        <v>100.3</v>
      </c>
      <c r="K27" s="85" t="n">
        <v>102.4</v>
      </c>
      <c r="L27" s="85" t="n">
        <v>103.1</v>
      </c>
      <c r="M27" s="85" t="n">
        <v>105.3</v>
      </c>
      <c r="N27" s="85" t="n">
        <v>104.5</v>
      </c>
      <c r="O27" s="85" t="n">
        <v>106.9</v>
      </c>
      <c r="P27" s="85" t="n">
        <v>111</v>
      </c>
      <c r="Q27" s="85" t="n">
        <v>116</v>
      </c>
      <c r="R27" s="85" t="n">
        <v>119.5</v>
      </c>
      <c r="S27" s="85" t="n">
        <v>124.8</v>
      </c>
      <c r="T27" s="85" t="n">
        <v>129.7</v>
      </c>
      <c r="U27" s="85" t="n">
        <v>132</v>
      </c>
      <c r="V27" s="85" t="n">
        <v>132.3</v>
      </c>
      <c r="W27" s="85" t="n">
        <v>94.6</v>
      </c>
      <c r="X27" s="85" t="n">
        <v>125.7</v>
      </c>
      <c r="Y27" s="85" t="n">
        <v>130.4</v>
      </c>
      <c r="Z27" s="85" t="n">
        <v>133</v>
      </c>
      <c r="AA27" s="85" t="n">
        <v>138.7</v>
      </c>
      <c r="AB27" s="85" t="n">
        <v>144.5</v>
      </c>
      <c r="AC27" s="85" t="n">
        <v>150.1</v>
      </c>
      <c r="AD27" s="85" t="n">
        <v>155.3</v>
      </c>
      <c r="AE27" s="85" t="n">
        <v>161</v>
      </c>
      <c r="AF27" s="85" t="n">
        <v>162.6</v>
      </c>
      <c r="AG27" s="85" t="n">
        <v>171.2</v>
      </c>
      <c r="AH27" s="85" t="n">
        <v>173.4</v>
      </c>
      <c r="AI27" s="85" t="n">
        <v>182.9</v>
      </c>
      <c r="AJ27" s="85" t="n">
        <v>195.4</v>
      </c>
      <c r="AK27" s="85" t="n">
        <v>205.1</v>
      </c>
      <c r="AL27" s="85" t="n">
        <v>211.6</v>
      </c>
      <c r="AM27" s="85" t="n">
        <v>219.9</v>
      </c>
      <c r="AN27" s="85" t="n">
        <v>229.4</v>
      </c>
      <c r="AO27" s="85" t="n">
        <v>238.6</v>
      </c>
      <c r="AP27" s="85" t="n">
        <v>238.3</v>
      </c>
      <c r="AQ27" s="85" t="n">
        <v>244.2</v>
      </c>
      <c r="AR27" s="85" t="n">
        <v>252.8</v>
      </c>
      <c r="AS27" s="85" t="n">
        <v>267.2</v>
      </c>
      <c r="AT27" s="85" t="n">
        <v>278.4</v>
      </c>
      <c r="AU27" s="85" t="n">
        <v>289</v>
      </c>
      <c r="AV27" s="85" t="n">
        <v>301.4</v>
      </c>
      <c r="AW27" s="85" t="n">
        <v>295.9</v>
      </c>
      <c r="AX27" s="85" t="n">
        <v>295.2</v>
      </c>
      <c r="AY27" s="85" t="n">
        <v>301.7</v>
      </c>
      <c r="AZ27" s="85" t="n">
        <v>289.7</v>
      </c>
      <c r="BA27" s="85" t="n">
        <v>295.8</v>
      </c>
      <c r="BB27" s="85" t="n">
        <v>289.5</v>
      </c>
      <c r="BC27" s="85" t="n">
        <v>295.3</v>
      </c>
      <c r="BD27" s="85" t="n">
        <v>277.3</v>
      </c>
      <c r="BE27" s="85" t="n">
        <v>284.9</v>
      </c>
      <c r="BF27" s="85" t="n">
        <v>287.9</v>
      </c>
      <c r="BG27" s="85" t="n">
        <v>294.6</v>
      </c>
      <c r="BH27" s="85" t="n">
        <v>307.3</v>
      </c>
      <c r="BI27" s="85" t="n">
        <v>317.7</v>
      </c>
      <c r="BJ27" s="85" t="n">
        <v>353</v>
      </c>
      <c r="BK27" s="85" t="n">
        <v>307.6</v>
      </c>
      <c r="BL27" s="85" t="n">
        <v>340</v>
      </c>
      <c r="BM27" s="85" t="n">
        <v>345.2</v>
      </c>
      <c r="BN27" s="85" t="n">
        <v>341.8</v>
      </c>
      <c r="BO27" s="85" t="n">
        <v>344.4</v>
      </c>
      <c r="BP27" s="85" t="n">
        <v>352</v>
      </c>
      <c r="BQ27" s="85" t="n">
        <v>364.2</v>
      </c>
      <c r="BR27" s="85" t="n">
        <v>358.3</v>
      </c>
      <c r="BS27" s="85" t="n">
        <v>410.2</v>
      </c>
      <c r="BT27" s="85" t="n">
        <v>394.9</v>
      </c>
      <c r="BU27" s="85" t="n">
        <v>408.5</v>
      </c>
      <c r="BV27" s="85" t="n">
        <v>402.6</v>
      </c>
      <c r="BW27" s="85" t="n">
        <v>400.6</v>
      </c>
      <c r="BX27" s="85" t="n">
        <v>402.5</v>
      </c>
      <c r="BY27" s="85" t="n">
        <v>409.6</v>
      </c>
      <c r="BZ27" s="85" t="n">
        <v>439.5</v>
      </c>
      <c r="CA27" s="85" t="n">
        <v>448.4</v>
      </c>
      <c r="CB27" s="85" t="n">
        <v>457.1</v>
      </c>
      <c r="CC27" s="85" t="n">
        <v>467.4</v>
      </c>
      <c r="CD27" s="85" t="n">
        <v>463.2</v>
      </c>
      <c r="CE27" s="85" t="n">
        <v>472</v>
      </c>
      <c r="CF27" s="85" t="n">
        <v>477</v>
      </c>
      <c r="CG27" s="85" t="n">
        <v>476.2</v>
      </c>
      <c r="CH27" s="85" t="n">
        <v>459.6</v>
      </c>
      <c r="CI27" s="85" t="n">
        <v>461.4</v>
      </c>
      <c r="CJ27" s="85" t="n">
        <v>464.1</v>
      </c>
      <c r="CK27" s="85" t="n">
        <v>469.2</v>
      </c>
      <c r="CL27" s="85" t="n">
        <v>461.3</v>
      </c>
      <c r="CM27" s="85" t="n">
        <v>470.2</v>
      </c>
      <c r="CN27" s="85" t="n">
        <v>479.4</v>
      </c>
      <c r="CO27" s="85" t="n">
        <v>499</v>
      </c>
      <c r="CP27" s="85" t="n">
        <v>480.3</v>
      </c>
      <c r="CQ27" s="85" t="n">
        <v>505.3</v>
      </c>
      <c r="CR27" s="85" t="n">
        <v>515.6</v>
      </c>
      <c r="CS27" s="85" t="n">
        <v>529.5</v>
      </c>
      <c r="CT27" s="85" t="n">
        <v>526.7</v>
      </c>
      <c r="CU27" s="85" t="n">
        <v>555.9</v>
      </c>
      <c r="CV27" s="85" t="n">
        <v>544.2</v>
      </c>
      <c r="CW27" s="85" t="n">
        <v>553.4</v>
      </c>
      <c r="CX27" s="85" t="n">
        <v>567.7</v>
      </c>
      <c r="CY27" s="85" t="n">
        <v>594.4</v>
      </c>
      <c r="CZ27" s="85" t="n">
        <v>591.5</v>
      </c>
      <c r="DA27" s="85" t="n">
        <v>607.6</v>
      </c>
      <c r="DB27" s="85" t="n">
        <v>636.4</v>
      </c>
      <c r="DC27" s="85" t="n">
        <v>673.6</v>
      </c>
      <c r="DD27" s="85" t="n">
        <v>674.2</v>
      </c>
      <c r="DE27" s="85" t="n">
        <v>689.4</v>
      </c>
      <c r="DF27" s="85" t="n">
        <v>724.3</v>
      </c>
      <c r="DG27" s="85" t="n">
        <v>739.3</v>
      </c>
      <c r="DH27" s="85" t="n">
        <v>757</v>
      </c>
      <c r="DI27" s="85" t="n">
        <v>778.6</v>
      </c>
      <c r="DJ27" s="85" t="n">
        <v>800.6</v>
      </c>
      <c r="DK27" s="85" t="n">
        <v>820.9</v>
      </c>
      <c r="DL27" s="85" t="n">
        <v>841.6</v>
      </c>
      <c r="DM27" s="85" t="n">
        <v>861.7</v>
      </c>
      <c r="DN27" s="85" t="n">
        <v>869.8</v>
      </c>
      <c r="DO27" s="85" t="n">
        <v>885.8</v>
      </c>
      <c r="DP27" s="85" t="n">
        <v>904.2</v>
      </c>
      <c r="DQ27" s="85" t="n">
        <v>930</v>
      </c>
      <c r="DR27" s="85" t="n">
        <v>976.6</v>
      </c>
      <c r="DS27" s="85" t="n">
        <v>986.9</v>
      </c>
      <c r="DT27" s="85" t="n">
        <v>1011.1</v>
      </c>
      <c r="DU27" s="85" t="n">
        <v>1023.9</v>
      </c>
      <c r="DV27" s="85" t="n">
        <v>1051</v>
      </c>
      <c r="DW27" s="85" t="n">
        <v>1049</v>
      </c>
      <c r="DX27" s="85" t="n">
        <v>881.7</v>
      </c>
      <c r="DY27" s="85" t="n">
        <v>1002.4</v>
      </c>
      <c r="DZ27" s="85" t="n">
        <v>847.8</v>
      </c>
      <c r="EA27" s="85" t="n">
        <v>836.7</v>
      </c>
      <c r="EB27" s="85" t="n">
        <v>825.3</v>
      </c>
      <c r="EC27" s="85" t="n">
        <v>819.6</v>
      </c>
      <c r="ED27" s="85" t="n">
        <v>803.5</v>
      </c>
      <c r="EE27" s="85" t="n">
        <v>812.9</v>
      </c>
      <c r="EF27" s="85" t="n">
        <v>716.5</v>
      </c>
      <c r="EG27" s="85" t="n">
        <v>781.6</v>
      </c>
      <c r="EH27" s="85" t="n">
        <v>773.2</v>
      </c>
      <c r="EI27" s="85" t="n">
        <v>792.4</v>
      </c>
      <c r="EJ27" s="85" t="n">
        <v>816.7</v>
      </c>
      <c r="EK27" s="85" t="n">
        <v>829.8</v>
      </c>
      <c r="EL27" s="85" t="n">
        <v>902.9</v>
      </c>
      <c r="EM27" s="85" t="n">
        <v>925.8</v>
      </c>
      <c r="EN27" s="85" t="n">
        <v>949.5</v>
      </c>
      <c r="EO27" s="85" t="n">
        <v>970.6</v>
      </c>
      <c r="EP27" s="85" t="n">
        <v>1025.5</v>
      </c>
      <c r="EQ27" s="85" t="n">
        <v>1041.2</v>
      </c>
      <c r="ER27" s="85" t="n">
        <v>1060.9</v>
      </c>
      <c r="ES27" s="85" t="n">
        <v>1095.8</v>
      </c>
      <c r="ET27" s="85" t="n">
        <v>1146</v>
      </c>
      <c r="EU27" s="85" t="n">
        <v>1163.9</v>
      </c>
      <c r="EV27" s="85" t="n">
        <v>1179.3</v>
      </c>
      <c r="EW27" s="85" t="n">
        <v>1194.4</v>
      </c>
      <c r="EX27" s="85" t="n">
        <v>1201.7</v>
      </c>
      <c r="EY27" s="85" t="n">
        <v>1191.3</v>
      </c>
      <c r="EZ27" s="85" t="n">
        <v>1173.7</v>
      </c>
      <c r="FA27" s="85" t="n">
        <v>1139.8</v>
      </c>
      <c r="FB27" s="85" t="n">
        <v>921.2</v>
      </c>
      <c r="FC27" s="85" t="n">
        <v>855.5</v>
      </c>
      <c r="FD27" s="85" t="n">
        <v>842</v>
      </c>
      <c r="FE27" s="85" t="n">
        <v>847.5</v>
      </c>
      <c r="FF27" s="85" t="n">
        <v>903.4</v>
      </c>
      <c r="FG27" s="85" t="n">
        <v>935.2</v>
      </c>
      <c r="FH27" s="85" t="n">
        <v>958.5</v>
      </c>
      <c r="FI27" s="85" t="n">
        <v>977.2</v>
      </c>
      <c r="FJ27" s="85" t="n">
        <v>1111.4</v>
      </c>
      <c r="FK27" s="85" t="n">
        <v>1126.5</v>
      </c>
      <c r="FL27" s="85" t="n">
        <v>1144.2</v>
      </c>
      <c r="FM27" s="85" t="n">
        <v>1141</v>
      </c>
      <c r="FN27" s="85" t="n">
        <v>1138.3</v>
      </c>
      <c r="FO27" s="85" t="n">
        <v>1150.6</v>
      </c>
      <c r="FP27" s="85" t="n">
        <v>1163.8</v>
      </c>
      <c r="FQ27" s="85" t="n">
        <v>1212.9</v>
      </c>
      <c r="FR27" s="85" t="n">
        <v>1273.5</v>
      </c>
      <c r="FS27" s="85" t="n">
        <v>1296.4</v>
      </c>
      <c r="FT27" s="85" t="n">
        <v>1308.3</v>
      </c>
      <c r="FU27" s="85" t="n">
        <v>1333.2</v>
      </c>
      <c r="FV27" s="85" t="n">
        <v>1369.1</v>
      </c>
      <c r="FW27" s="85" t="n">
        <v>1389</v>
      </c>
      <c r="FX27" s="85" t="n">
        <v>1413.3</v>
      </c>
      <c r="FY27" s="85" t="n">
        <v>1443.5</v>
      </c>
      <c r="FZ27" s="85" t="n">
        <v>1509.1</v>
      </c>
      <c r="GA27" s="85" t="n">
        <v>1527.7</v>
      </c>
      <c r="GB27" s="85" t="n">
        <v>1540.9</v>
      </c>
      <c r="GC27" s="85" t="n">
        <v>1552.6</v>
      </c>
      <c r="GD27" s="85" t="n">
        <v>1526.8</v>
      </c>
      <c r="GE27" s="85" t="n">
        <v>1536.7</v>
      </c>
      <c r="GF27" s="85" t="n">
        <v>1553.8</v>
      </c>
      <c r="GG27" s="85" t="n">
        <v>1574.5</v>
      </c>
      <c r="GH27" s="85" t="n">
        <v>1580</v>
      </c>
      <c r="GI27" s="85" t="n">
        <v>1600.1</v>
      </c>
      <c r="GJ27" s="85" t="n">
        <v>1623.2</v>
      </c>
      <c r="GK27" s="85" t="n">
        <v>1649.1</v>
      </c>
      <c r="GL27" s="85" t="n">
        <v>1597.3</v>
      </c>
      <c r="GM27" s="85" t="n">
        <v>1607.2</v>
      </c>
      <c r="GN27" s="85" t="n">
        <v>1624.8</v>
      </c>
      <c r="GO27" s="85" t="n">
        <v>1627.8</v>
      </c>
      <c r="GP27" s="85" t="n">
        <v>1681.9</v>
      </c>
      <c r="GQ27" s="85" t="n">
        <v>1686.7</v>
      </c>
      <c r="GR27" s="85" t="n">
        <v>1699.8</v>
      </c>
      <c r="GS27" s="85" t="n">
        <v>1736.2</v>
      </c>
      <c r="GT27" s="85" t="n">
        <v>1755.2</v>
      </c>
      <c r="GU27" s="85" t="n">
        <v>1622.1</v>
      </c>
      <c r="GV27" s="85" t="n">
        <v>1736.6</v>
      </c>
      <c r="GW27" s="85" t="n">
        <v>1849.4</v>
      </c>
      <c r="GX27" s="85" t="n">
        <v>1988.7</v>
      </c>
      <c r="GY27" s="85" t="n">
        <v>2089.5</v>
      </c>
      <c r="GZ27" s="85" t="n">
        <v>2173.6</v>
      </c>
      <c r="HA27" s="85" t="n">
        <v>2248</v>
      </c>
      <c r="HB27" s="85" t="n">
        <v>2597.4</v>
      </c>
      <c r="HC27" t="n">
        <v>2604.3</v>
      </c>
      <c r="HD27" t="n">
        <v>2628.3</v>
      </c>
      <c r="HE27" t="n">
        <v>2595.7</v>
      </c>
      <c r="HF27" t="n">
        <v>2256.3</v>
      </c>
      <c r="HG27" t="n">
        <v>2246.8</v>
      </c>
      <c r="HH27" t="n">
        <v>2260.5</v>
      </c>
      <c r="HI27" t="n">
        <v>2282.2</v>
      </c>
      <c r="HJ27" t="n">
        <v>2356.1</v>
      </c>
      <c r="HK27" t="n">
        <v>2390.9</v>
      </c>
    </row>
    <row r="28">
      <c r="A28" s="85" t="s">
        <v>2536</v>
      </c>
      <c r="B28" s="85" t="n">
        <v>17.9</v>
      </c>
      <c r="C28" s="85" t="n">
        <v>18.1</v>
      </c>
      <c r="D28" s="85" t="n">
        <v>18.2</v>
      </c>
      <c r="E28" s="85" t="n">
        <v>18.2</v>
      </c>
      <c r="F28" s="85" t="n">
        <v>19.4</v>
      </c>
      <c r="G28" s="85" t="n">
        <v>18.7</v>
      </c>
      <c r="H28" s="85" t="n">
        <v>18.9</v>
      </c>
      <c r="I28" s="85" t="n">
        <v>19</v>
      </c>
      <c r="J28" s="85" t="n">
        <v>18.2</v>
      </c>
      <c r="K28" s="85" t="n">
        <v>18.3</v>
      </c>
      <c r="L28" s="85" t="n">
        <v>18.5</v>
      </c>
      <c r="M28" s="85" t="n">
        <v>19</v>
      </c>
      <c r="N28" s="85" t="n">
        <v>19.5</v>
      </c>
      <c r="O28" s="85" t="n">
        <v>19.9</v>
      </c>
      <c r="P28" s="85" t="n">
        <v>19.7</v>
      </c>
      <c r="Q28" s="85" t="n">
        <v>20.1</v>
      </c>
      <c r="R28" s="85" t="n">
        <v>19.8</v>
      </c>
      <c r="S28" s="85" t="n">
        <v>20.1</v>
      </c>
      <c r="T28" s="85" t="n">
        <v>20.2</v>
      </c>
      <c r="U28" s="85" t="n">
        <v>20.2</v>
      </c>
      <c r="V28" s="85" t="n">
        <v>19.8</v>
      </c>
      <c r="W28" s="85" t="n">
        <v>21.3</v>
      </c>
      <c r="X28" s="85" t="n">
        <v>23.3</v>
      </c>
      <c r="Y28" s="85" t="n">
        <v>23.9</v>
      </c>
      <c r="Z28" s="85" t="n">
        <v>20.8</v>
      </c>
      <c r="AA28" s="85" t="n">
        <v>21.3</v>
      </c>
      <c r="AB28" s="85" t="n">
        <v>21.7</v>
      </c>
      <c r="AC28" s="85" t="n">
        <v>21.7</v>
      </c>
      <c r="AD28" s="85" t="n">
        <v>22</v>
      </c>
      <c r="AE28" s="85" t="n">
        <v>22.5</v>
      </c>
      <c r="AF28" s="85" t="n">
        <v>23.2</v>
      </c>
      <c r="AG28" s="85" t="n">
        <v>23.2</v>
      </c>
      <c r="AH28" s="85" t="n">
        <v>24</v>
      </c>
      <c r="AI28" s="85" t="n">
        <v>25.4</v>
      </c>
      <c r="AJ28" s="85" t="n">
        <v>25.5</v>
      </c>
      <c r="AK28" s="85" t="n">
        <v>26.3</v>
      </c>
      <c r="AL28" s="85" t="n">
        <v>25.9</v>
      </c>
      <c r="AM28" s="85" t="n">
        <v>25.9</v>
      </c>
      <c r="AN28" s="85" t="n">
        <v>25.3</v>
      </c>
      <c r="AO28" s="85" t="n">
        <v>25.6</v>
      </c>
      <c r="AP28" s="85" t="n">
        <v>27.6</v>
      </c>
      <c r="AQ28" s="85" t="n">
        <v>33.6</v>
      </c>
      <c r="AR28" s="85" t="n">
        <v>36.1</v>
      </c>
      <c r="AS28" s="85" t="n">
        <v>37.3</v>
      </c>
      <c r="AT28" s="85" t="n">
        <v>50.7</v>
      </c>
      <c r="AU28" s="85" t="n">
        <v>51.8</v>
      </c>
      <c r="AV28" s="85" t="n">
        <v>49.1</v>
      </c>
      <c r="AW28" s="85" t="n">
        <v>48.1</v>
      </c>
      <c r="AX28" s="85" t="n">
        <v>43.5</v>
      </c>
      <c r="AY28" s="85" t="n">
        <v>40</v>
      </c>
      <c r="AZ28" s="85" t="n">
        <v>40.1</v>
      </c>
      <c r="BA28" s="85" t="n">
        <v>40.3</v>
      </c>
      <c r="BB28" s="85" t="n">
        <v>41.1</v>
      </c>
      <c r="BC28" s="85" t="n">
        <v>45.3</v>
      </c>
      <c r="BD28" s="85" t="n">
        <v>45.5</v>
      </c>
      <c r="BE28" s="85" t="n">
        <v>45.8</v>
      </c>
      <c r="BF28" s="85" t="n">
        <v>47</v>
      </c>
      <c r="BG28" s="85" t="n">
        <v>47.5</v>
      </c>
      <c r="BH28" s="85" t="n">
        <v>47.4</v>
      </c>
      <c r="BI28" s="85" t="n">
        <v>47.3</v>
      </c>
      <c r="BJ28" s="85" t="n">
        <v>46.4</v>
      </c>
      <c r="BK28" s="85" t="n">
        <v>45.7</v>
      </c>
      <c r="BL28" s="85" t="n">
        <v>46.8</v>
      </c>
      <c r="BM28" s="85" t="n">
        <v>45.4</v>
      </c>
      <c r="BN28" s="85" t="n">
        <v>44.5</v>
      </c>
      <c r="BO28" s="85" t="n">
        <v>42.9</v>
      </c>
      <c r="BP28" s="85" t="n">
        <v>43.8</v>
      </c>
      <c r="BQ28" s="85" t="n">
        <v>43.6</v>
      </c>
      <c r="BR28" s="85" t="n">
        <v>44.1</v>
      </c>
      <c r="BS28" s="85" t="n">
        <v>45.8</v>
      </c>
      <c r="BT28" s="85" t="n">
        <v>46.4</v>
      </c>
      <c r="BU28" s="85" t="n">
        <v>47.4</v>
      </c>
      <c r="BV28" s="85" t="n">
        <v>49.6</v>
      </c>
      <c r="BW28" s="85" t="n">
        <v>49.3</v>
      </c>
      <c r="BX28" s="85" t="n">
        <v>50.2</v>
      </c>
      <c r="BY28" s="85" t="n">
        <v>50.2</v>
      </c>
      <c r="BZ28" s="85" t="n">
        <v>50.8</v>
      </c>
      <c r="CA28" s="85" t="n">
        <v>49.2</v>
      </c>
      <c r="CB28" s="85" t="n">
        <v>50</v>
      </c>
      <c r="CC28" s="85" t="n">
        <v>48.9</v>
      </c>
      <c r="CD28" s="85" t="n">
        <v>50.3</v>
      </c>
      <c r="CE28" s="85" t="n">
        <v>50.8</v>
      </c>
      <c r="CF28" s="85" t="n">
        <v>51.1</v>
      </c>
      <c r="CG28" s="85" t="n">
        <v>51.5</v>
      </c>
      <c r="CH28" s="85" t="n">
        <v>59.7</v>
      </c>
      <c r="CI28" s="85" t="n">
        <v>61.3</v>
      </c>
      <c r="CJ28" s="85" t="n">
        <v>61.8</v>
      </c>
      <c r="CK28" s="85" t="n">
        <v>64.2</v>
      </c>
      <c r="CL28" s="85" t="n">
        <v>63.6</v>
      </c>
      <c r="CM28" s="85" t="n">
        <v>63.1</v>
      </c>
      <c r="CN28" s="85" t="n">
        <v>61.9</v>
      </c>
      <c r="CO28" s="85" t="n">
        <v>64.6</v>
      </c>
      <c r="CP28" s="85" t="n">
        <v>62.2</v>
      </c>
      <c r="CQ28" s="85" t="n">
        <v>64.8</v>
      </c>
      <c r="CR28" s="85" t="n">
        <v>65.4</v>
      </c>
      <c r="CS28" s="85" t="n">
        <v>73.1</v>
      </c>
      <c r="CT28" s="85" t="n">
        <v>75.5</v>
      </c>
      <c r="CU28" s="85" t="n">
        <v>78.6</v>
      </c>
      <c r="CV28" s="85" t="n">
        <v>80.5</v>
      </c>
      <c r="CW28" s="85" t="n">
        <v>81.4</v>
      </c>
      <c r="CX28" s="85" t="n">
        <v>76.6</v>
      </c>
      <c r="CY28" s="85" t="n">
        <v>75.7</v>
      </c>
      <c r="CZ28" s="85" t="n">
        <v>75.4</v>
      </c>
      <c r="DA28" s="85" t="n">
        <v>74.5</v>
      </c>
      <c r="DB28" s="85" t="n">
        <v>72.6</v>
      </c>
      <c r="DC28" s="85" t="n">
        <v>71.2</v>
      </c>
      <c r="DD28" s="85" t="n">
        <v>71.7</v>
      </c>
      <c r="DE28" s="85" t="n">
        <v>75.9</v>
      </c>
      <c r="DF28" s="85" t="n">
        <v>72</v>
      </c>
      <c r="DG28" s="85" t="n">
        <v>79.7</v>
      </c>
      <c r="DH28" s="85" t="n">
        <v>79.9</v>
      </c>
      <c r="DI28" s="85" t="n">
        <v>79.7</v>
      </c>
      <c r="DJ28" s="85" t="n">
        <v>79.5</v>
      </c>
      <c r="DK28" s="85" t="n">
        <v>80.1</v>
      </c>
      <c r="DL28" s="85" t="n">
        <v>81.5</v>
      </c>
      <c r="DM28" s="85" t="n">
        <v>81.7</v>
      </c>
      <c r="DN28" s="85" t="n">
        <v>81.3</v>
      </c>
      <c r="DO28" s="85" t="n">
        <v>81.6</v>
      </c>
      <c r="DP28" s="85" t="n">
        <v>83.8</v>
      </c>
      <c r="DQ28" s="85" t="n">
        <v>87</v>
      </c>
      <c r="DR28" s="85" t="n">
        <v>86.1</v>
      </c>
      <c r="DS28" s="85" t="n">
        <v>88.4</v>
      </c>
      <c r="DT28" s="85" t="n">
        <v>87.5</v>
      </c>
      <c r="DU28" s="85" t="n">
        <v>87</v>
      </c>
      <c r="DV28" s="85" t="n">
        <v>87.1</v>
      </c>
      <c r="DW28" s="85" t="n">
        <v>86.3</v>
      </c>
      <c r="DX28" s="85" t="n">
        <v>83.6</v>
      </c>
      <c r="DY28" s="85" t="n">
        <v>84.1</v>
      </c>
      <c r="DZ28" s="85" t="n">
        <v>84.7</v>
      </c>
      <c r="EA28" s="85" t="n">
        <v>87.3</v>
      </c>
      <c r="EB28" s="85" t="n">
        <v>88</v>
      </c>
      <c r="EC28" s="85" t="n">
        <v>87.3</v>
      </c>
      <c r="ED28" s="85" t="n">
        <v>90.1</v>
      </c>
      <c r="EE28" s="85" t="n">
        <v>90</v>
      </c>
      <c r="EF28" s="85" t="n">
        <v>89.6</v>
      </c>
      <c r="EG28" s="85" t="n">
        <v>91.1</v>
      </c>
      <c r="EH28" s="85" t="n">
        <v>94.1</v>
      </c>
      <c r="EI28" s="85" t="n">
        <v>94.8</v>
      </c>
      <c r="EJ28" s="85" t="n">
        <v>95.9</v>
      </c>
      <c r="EK28" s="85" t="n">
        <v>96.2</v>
      </c>
      <c r="EL28" s="85" t="n">
        <v>97.2</v>
      </c>
      <c r="EM28" s="85" t="n">
        <v>101.4</v>
      </c>
      <c r="EN28" s="85" t="n">
        <v>100.3</v>
      </c>
      <c r="EO28" s="85" t="n">
        <v>98.7</v>
      </c>
      <c r="EP28" s="85" t="n">
        <v>99.1</v>
      </c>
      <c r="EQ28" s="85" t="n">
        <v>99.5</v>
      </c>
      <c r="ER28" s="85" t="n">
        <v>100.2</v>
      </c>
      <c r="ES28" s="85" t="n">
        <v>98.1</v>
      </c>
      <c r="ET28" s="85" t="n">
        <v>93.9</v>
      </c>
      <c r="EU28" s="85" t="n">
        <v>93.7</v>
      </c>
      <c r="EV28" s="85" t="n">
        <v>95.4</v>
      </c>
      <c r="EW28" s="85" t="n">
        <v>95.5</v>
      </c>
      <c r="EX28" s="85" t="n">
        <v>93.2</v>
      </c>
      <c r="EY28" s="85" t="n">
        <v>95.3</v>
      </c>
      <c r="EZ28" s="85" t="n">
        <v>93.7</v>
      </c>
      <c r="FA28" s="85" t="n">
        <v>93.7</v>
      </c>
      <c r="FB28" s="85" t="n">
        <v>86.7</v>
      </c>
      <c r="FC28" s="85" t="n">
        <v>94.3</v>
      </c>
      <c r="FD28" s="85" t="n">
        <v>91.4</v>
      </c>
      <c r="FE28" s="85" t="n">
        <v>93.2</v>
      </c>
      <c r="FF28" s="85" t="n">
        <v>93.1</v>
      </c>
      <c r="FG28" s="85" t="n">
        <v>96.4</v>
      </c>
      <c r="FH28" s="85" t="n">
        <v>98.9</v>
      </c>
      <c r="FI28" s="85" t="n">
        <v>98.7</v>
      </c>
      <c r="FJ28" s="85" t="n">
        <v>104.7</v>
      </c>
      <c r="FK28" s="85" t="n">
        <v>109.1</v>
      </c>
      <c r="FL28" s="85" t="n">
        <v>109.4</v>
      </c>
      <c r="FM28" s="85" t="n">
        <v>111.4</v>
      </c>
      <c r="FN28" s="85" t="n">
        <v>113.9</v>
      </c>
      <c r="FO28" s="85" t="n">
        <v>114.4</v>
      </c>
      <c r="FP28" s="85" t="n">
        <v>114.7</v>
      </c>
      <c r="FQ28" s="85" t="n">
        <v>117.6</v>
      </c>
      <c r="FR28" s="85" t="n">
        <v>122.3</v>
      </c>
      <c r="FS28" s="85" t="n">
        <v>124.4</v>
      </c>
      <c r="FT28" s="85" t="n">
        <v>126.4</v>
      </c>
      <c r="FU28" s="85" t="n">
        <v>128.8</v>
      </c>
      <c r="FV28" s="85" t="n">
        <v>136.7</v>
      </c>
      <c r="FW28" s="85" t="n">
        <v>135.5</v>
      </c>
      <c r="FX28" s="85" t="n">
        <v>137.4</v>
      </c>
      <c r="FY28" s="85" t="n">
        <v>137.2</v>
      </c>
      <c r="FZ28" s="85" t="n">
        <v>141.2</v>
      </c>
      <c r="GA28" s="85" t="n">
        <v>145.1</v>
      </c>
      <c r="GB28" s="85" t="n">
        <v>137.8</v>
      </c>
      <c r="GC28" s="85" t="n">
        <v>143.3</v>
      </c>
      <c r="GD28" s="85" t="n">
        <v>139.5</v>
      </c>
      <c r="GE28" s="85" t="n">
        <v>136.6</v>
      </c>
      <c r="GF28" s="85" t="n">
        <v>136.6</v>
      </c>
      <c r="GG28" s="85" t="n">
        <v>136.4</v>
      </c>
      <c r="GH28" s="85" t="n">
        <v>127.6</v>
      </c>
      <c r="GI28" s="85" t="n">
        <v>131.7</v>
      </c>
      <c r="GJ28" s="85" t="n">
        <v>131.8</v>
      </c>
      <c r="GK28" s="85" t="n">
        <v>134.7</v>
      </c>
      <c r="GL28" s="85" t="n">
        <v>150.1</v>
      </c>
      <c r="GM28" s="85" t="n">
        <v>155.7</v>
      </c>
      <c r="GN28" s="85" t="n">
        <v>163.4</v>
      </c>
      <c r="GO28" s="85" t="n">
        <v>184.6</v>
      </c>
      <c r="GP28" s="85" t="n">
        <v>174.8</v>
      </c>
      <c r="GQ28" s="85" t="n">
        <v>169.2</v>
      </c>
      <c r="GR28" s="85" t="n">
        <v>176.8</v>
      </c>
      <c r="GS28" s="85" t="n">
        <v>178.8</v>
      </c>
      <c r="GT28" s="85" t="n">
        <v>184.1</v>
      </c>
      <c r="GU28" s="85" t="n">
        <v>129.3</v>
      </c>
      <c r="GV28" s="85" t="n">
        <v>149.3</v>
      </c>
      <c r="GW28" s="85" t="n">
        <v>158.7</v>
      </c>
      <c r="GX28" s="85" t="n">
        <v>162.2</v>
      </c>
      <c r="GY28" s="85" t="n">
        <v>180.5</v>
      </c>
      <c r="GZ28" s="85" t="n">
        <v>183.8</v>
      </c>
      <c r="HA28" s="85" t="n">
        <v>195.8</v>
      </c>
      <c r="HB28" s="85" t="n">
        <v>207.1</v>
      </c>
      <c r="HC28" t="n">
        <v>209</v>
      </c>
      <c r="HD28" t="n">
        <v>200.3</v>
      </c>
      <c r="HE28" t="n">
        <v>190</v>
      </c>
      <c r="HF28" t="n">
        <v>179.7</v>
      </c>
      <c r="HG28" t="n">
        <v>175.8</v>
      </c>
      <c r="HH28" t="n">
        <v>172.2</v>
      </c>
      <c r="HI28" t="n">
        <v>169.3</v>
      </c>
      <c r="HJ28" t="n">
        <v>177.2</v>
      </c>
      <c r="HK28" t="n">
        <v>172.4</v>
      </c>
    </row>
    <row r="29">
      <c r="A29" s="85" t="s">
        <v>2537</v>
      </c>
      <c r="B29" s="85" t="n">
        <v>27</v>
      </c>
      <c r="C29" s="85" t="n">
        <v>27</v>
      </c>
      <c r="D29" s="85" t="n">
        <v>27.9</v>
      </c>
      <c r="E29" s="85" t="n">
        <v>26.6</v>
      </c>
      <c r="F29" s="85" t="n">
        <v>29.9</v>
      </c>
      <c r="G29" s="85" t="n">
        <v>30.7</v>
      </c>
      <c r="H29" s="85" t="n">
        <v>29.8</v>
      </c>
      <c r="I29" s="85" t="n">
        <v>30.1</v>
      </c>
      <c r="J29" s="85" t="n">
        <v>31.8</v>
      </c>
      <c r="K29" s="85" t="n">
        <v>32</v>
      </c>
      <c r="L29" s="85" t="n">
        <v>33.1</v>
      </c>
      <c r="M29" s="85" t="n">
        <v>36.6</v>
      </c>
      <c r="N29" s="85" t="n">
        <v>39.3</v>
      </c>
      <c r="O29" s="85" t="n">
        <v>39.4</v>
      </c>
      <c r="P29" s="85" t="n">
        <v>37.6</v>
      </c>
      <c r="Q29" s="85" t="n">
        <v>39.4</v>
      </c>
      <c r="R29" s="85" t="n">
        <v>37.4</v>
      </c>
      <c r="S29" s="85" t="n">
        <v>39.3</v>
      </c>
      <c r="T29" s="85" t="n">
        <v>43.5</v>
      </c>
      <c r="U29" s="85" t="n">
        <v>38.1</v>
      </c>
      <c r="V29" s="85" t="n">
        <v>31.5</v>
      </c>
      <c r="W29" s="85" t="n">
        <v>34.2</v>
      </c>
      <c r="X29" s="85" t="n">
        <v>43.2</v>
      </c>
      <c r="Y29" s="85" t="n">
        <v>43.9</v>
      </c>
      <c r="Z29" s="85" t="n">
        <v>49.9</v>
      </c>
      <c r="AA29" s="85" t="n">
        <v>49</v>
      </c>
      <c r="AB29" s="85" t="n">
        <v>48.5</v>
      </c>
      <c r="AC29" s="85" t="n">
        <v>47.5</v>
      </c>
      <c r="AD29" s="85" t="n">
        <v>51</v>
      </c>
      <c r="AE29" s="85" t="n">
        <v>55.7</v>
      </c>
      <c r="AF29" s="85" t="n">
        <v>57.9</v>
      </c>
      <c r="AG29" s="85" t="n">
        <v>58.1</v>
      </c>
      <c r="AH29" s="85" t="n">
        <v>54.4</v>
      </c>
      <c r="AI29" s="85" t="n">
        <v>66.2</v>
      </c>
      <c r="AJ29" s="85" t="n">
        <v>66.7</v>
      </c>
      <c r="AK29" s="85" t="n">
        <v>70.3</v>
      </c>
      <c r="AL29" s="85" t="n">
        <v>66.6</v>
      </c>
      <c r="AM29" s="85" t="n">
        <v>66.5</v>
      </c>
      <c r="AN29" s="85" t="n">
        <v>65.3</v>
      </c>
      <c r="AO29" s="85" t="n">
        <v>62.1</v>
      </c>
      <c r="AP29" s="85" t="n">
        <v>67</v>
      </c>
      <c r="AQ29" s="85" t="n">
        <v>49.8</v>
      </c>
      <c r="AR29" s="85" t="n">
        <v>56</v>
      </c>
      <c r="AS29" s="85" t="n">
        <v>61.7</v>
      </c>
      <c r="AT29" s="85" t="n">
        <v>58.5</v>
      </c>
      <c r="AU29" s="85" t="n">
        <v>50.7</v>
      </c>
      <c r="AV29" s="85" t="n">
        <v>52.7</v>
      </c>
      <c r="AW29" s="85" t="n">
        <v>44.8</v>
      </c>
      <c r="AX29" s="85" t="n">
        <v>33.5</v>
      </c>
      <c r="AY29" s="85" t="n">
        <v>34.7</v>
      </c>
      <c r="AZ29" s="85" t="n">
        <v>35.4</v>
      </c>
      <c r="BA29" s="85" t="n">
        <v>31.7</v>
      </c>
      <c r="BB29" s="85" t="n">
        <v>34.3</v>
      </c>
      <c r="BC29" s="85" t="n">
        <v>46.3</v>
      </c>
      <c r="BD29" s="85" t="n">
        <v>53.3</v>
      </c>
      <c r="BE29" s="85" t="n">
        <v>54.6</v>
      </c>
      <c r="BF29" s="85" t="n">
        <v>64.8</v>
      </c>
      <c r="BG29" s="85" t="n">
        <v>63.8</v>
      </c>
      <c r="BH29" s="85" t="n">
        <v>53.8</v>
      </c>
      <c r="BI29" s="85" t="n">
        <v>54.3</v>
      </c>
      <c r="BJ29" s="85" t="n">
        <v>57.7</v>
      </c>
      <c r="BK29" s="85" t="n">
        <v>56.3</v>
      </c>
      <c r="BL29" s="85" t="n">
        <v>60.8</v>
      </c>
      <c r="BM29" s="85" t="n">
        <v>59</v>
      </c>
      <c r="BN29" s="85" t="n">
        <v>63</v>
      </c>
      <c r="BO29" s="85" t="n">
        <v>63.4</v>
      </c>
      <c r="BP29" s="85" t="n">
        <v>64.6</v>
      </c>
      <c r="BQ29" s="85" t="n">
        <v>73.1</v>
      </c>
      <c r="BR29" s="85" t="n">
        <v>76</v>
      </c>
      <c r="BS29" s="85" t="n">
        <v>87.3</v>
      </c>
      <c r="BT29" s="85" t="n">
        <v>91.3</v>
      </c>
      <c r="BU29" s="85" t="n">
        <v>87.1</v>
      </c>
      <c r="BV29" s="85" t="n">
        <v>84.5</v>
      </c>
      <c r="BW29" s="85" t="n">
        <v>90</v>
      </c>
      <c r="BX29" s="85" t="n">
        <v>97.8</v>
      </c>
      <c r="BY29" s="85" t="n">
        <v>102.7</v>
      </c>
      <c r="BZ29" s="85" t="n">
        <v>104.9</v>
      </c>
      <c r="CA29" s="85" t="n">
        <v>94.4</v>
      </c>
      <c r="CB29" s="85" t="n">
        <v>91.6</v>
      </c>
      <c r="CC29" s="85" t="n">
        <v>91.4</v>
      </c>
      <c r="CD29" s="85" t="n">
        <v>91.1</v>
      </c>
      <c r="CE29" s="85" t="n">
        <v>94.7</v>
      </c>
      <c r="CF29" s="85" t="n">
        <v>97</v>
      </c>
      <c r="CG29" s="85" t="n">
        <v>95.4</v>
      </c>
      <c r="CH29" s="85" t="n">
        <v>91.5</v>
      </c>
      <c r="CI29" s="85" t="n">
        <v>87.5</v>
      </c>
      <c r="CJ29" s="85" t="n">
        <v>88.2</v>
      </c>
      <c r="CK29" s="85" t="n">
        <v>89.5</v>
      </c>
      <c r="CL29" s="85" t="n">
        <v>99.8</v>
      </c>
      <c r="CM29" s="85" t="n">
        <v>102</v>
      </c>
      <c r="CN29" s="85" t="n">
        <v>98.9</v>
      </c>
      <c r="CO29" s="85" t="n">
        <v>107.2</v>
      </c>
      <c r="CP29" s="85" t="n">
        <v>111.5</v>
      </c>
      <c r="CQ29" s="85" t="n">
        <v>121.9</v>
      </c>
      <c r="CR29" s="85" t="n">
        <v>115.5</v>
      </c>
      <c r="CS29" s="85" t="n">
        <v>141</v>
      </c>
      <c r="CT29" s="85" t="n">
        <v>122.4</v>
      </c>
      <c r="CU29" s="85" t="n">
        <v>129.3</v>
      </c>
      <c r="CV29" s="85" t="n">
        <v>142.4</v>
      </c>
      <c r="CW29" s="85" t="n">
        <v>150.9</v>
      </c>
      <c r="CX29" s="85" t="n">
        <v>155.3</v>
      </c>
      <c r="CY29" s="85" t="n">
        <v>153.1</v>
      </c>
      <c r="CZ29" s="85" t="n">
        <v>159.1</v>
      </c>
      <c r="DA29" s="85" t="n">
        <v>156.2</v>
      </c>
      <c r="DB29" s="85" t="n">
        <v>162.4</v>
      </c>
      <c r="DC29" s="85" t="n">
        <v>171.9</v>
      </c>
      <c r="DD29" s="85" t="n">
        <v>172.6</v>
      </c>
      <c r="DE29" s="85" t="n">
        <v>175.3</v>
      </c>
      <c r="DF29" s="85" t="n">
        <v>176.9</v>
      </c>
      <c r="DG29" s="85" t="n">
        <v>180.5</v>
      </c>
      <c r="DH29" s="85" t="n">
        <v>190.5</v>
      </c>
      <c r="DI29" s="85" t="n">
        <v>181.5</v>
      </c>
      <c r="DJ29" s="85" t="n">
        <v>178.8</v>
      </c>
      <c r="DK29" s="85" t="n">
        <v>175.4</v>
      </c>
      <c r="DL29" s="85" t="n">
        <v>180.1</v>
      </c>
      <c r="DM29" s="85" t="n">
        <v>176.4</v>
      </c>
      <c r="DN29" s="85" t="n">
        <v>186</v>
      </c>
      <c r="DO29" s="85" t="n">
        <v>184.4</v>
      </c>
      <c r="DP29" s="85" t="n">
        <v>187.7</v>
      </c>
      <c r="DQ29" s="85" t="n">
        <v>192.1</v>
      </c>
      <c r="DR29" s="85" t="n">
        <v>202.2</v>
      </c>
      <c r="DS29" s="85" t="n">
        <v>201.1</v>
      </c>
      <c r="DT29" s="85" t="n">
        <v>185.6</v>
      </c>
      <c r="DU29" s="85" t="n">
        <v>187.6</v>
      </c>
      <c r="DV29" s="85" t="n">
        <v>154.9</v>
      </c>
      <c r="DW29" s="85" t="n">
        <v>148.7</v>
      </c>
      <c r="DX29" s="85" t="n">
        <v>130.9</v>
      </c>
      <c r="DY29" s="85" t="n">
        <v>115.8</v>
      </c>
      <c r="DZ29" s="85" t="n">
        <v>115.5</v>
      </c>
      <c r="EA29" s="85" t="n">
        <v>119.9</v>
      </c>
      <c r="EB29" s="85" t="n">
        <v>126.5</v>
      </c>
      <c r="EC29" s="85" t="n">
        <v>142</v>
      </c>
      <c r="ED29" s="85" t="n">
        <v>161.5</v>
      </c>
      <c r="EE29" s="85" t="n">
        <v>160.9</v>
      </c>
      <c r="EF29" s="85" t="n">
        <v>180.3</v>
      </c>
      <c r="EG29" s="85" t="n">
        <v>200.4</v>
      </c>
      <c r="EH29" s="85" t="n">
        <v>209.2</v>
      </c>
      <c r="EI29" s="85" t="n">
        <v>226</v>
      </c>
      <c r="EJ29" s="85" t="n">
        <v>244.5</v>
      </c>
      <c r="EK29" s="85" t="n">
        <v>249.2</v>
      </c>
      <c r="EL29" s="85" t="n">
        <v>315.3</v>
      </c>
      <c r="EM29" s="85" t="n">
        <v>306.1</v>
      </c>
      <c r="EN29" s="85" t="n">
        <v>311.9</v>
      </c>
      <c r="EO29" s="85" t="n">
        <v>344.7</v>
      </c>
      <c r="EP29" s="85" t="n">
        <v>357.2</v>
      </c>
      <c r="EQ29" s="85" t="n">
        <v>367.3</v>
      </c>
      <c r="ER29" s="85" t="n">
        <v>384.8</v>
      </c>
      <c r="ES29" s="85" t="n">
        <v>354.6</v>
      </c>
      <c r="ET29" s="85" t="n">
        <v>354.5</v>
      </c>
      <c r="EU29" s="85" t="n">
        <v>347.7</v>
      </c>
      <c r="EV29" s="85" t="n">
        <v>314.6</v>
      </c>
      <c r="EW29" s="85" t="n">
        <v>296.2</v>
      </c>
      <c r="EX29" s="85" t="n">
        <v>241.7</v>
      </c>
      <c r="EY29" s="85" t="n">
        <v>227.1</v>
      </c>
      <c r="EZ29" s="85" t="n">
        <v>211.5</v>
      </c>
      <c r="FA29" s="85" t="n">
        <v>127.5</v>
      </c>
      <c r="FB29" s="85" t="n">
        <v>122.7</v>
      </c>
      <c r="FC29" s="85" t="n">
        <v>138.9</v>
      </c>
      <c r="FD29" s="85" t="n">
        <v>159.4</v>
      </c>
      <c r="FE29" s="85" t="n">
        <v>190.8</v>
      </c>
      <c r="FF29" s="85" t="n">
        <v>204.7</v>
      </c>
      <c r="FG29" s="85" t="n">
        <v>212.2</v>
      </c>
      <c r="FH29" s="85" t="n">
        <v>227.1</v>
      </c>
      <c r="FI29" s="85" t="n">
        <v>233.6</v>
      </c>
      <c r="FJ29" s="85" t="n">
        <v>228.9</v>
      </c>
      <c r="FK29" s="85" t="n">
        <v>227.2</v>
      </c>
      <c r="FL29" s="85" t="n">
        <v>201.7</v>
      </c>
      <c r="FM29" s="85" t="n">
        <v>238</v>
      </c>
      <c r="FN29" s="85" t="n">
        <v>261.5</v>
      </c>
      <c r="FO29" s="85" t="n">
        <v>275.5</v>
      </c>
      <c r="FP29" s="85" t="n">
        <v>280.8</v>
      </c>
      <c r="FQ29" s="85" t="n">
        <v>280.9</v>
      </c>
      <c r="FR29" s="85" t="n">
        <v>298</v>
      </c>
      <c r="FS29" s="85" t="n">
        <v>292.9</v>
      </c>
      <c r="FT29" s="85" t="n">
        <v>300.6</v>
      </c>
      <c r="FU29" s="85" t="n">
        <v>302.2</v>
      </c>
      <c r="FV29" s="85" t="n">
        <v>337.4</v>
      </c>
      <c r="FW29" s="85" t="n">
        <v>359</v>
      </c>
      <c r="FX29" s="85" t="n">
        <v>329.6</v>
      </c>
      <c r="FY29" s="85" t="n">
        <v>332.6</v>
      </c>
      <c r="FZ29" s="85" t="n">
        <v>345.4</v>
      </c>
      <c r="GA29" s="85" t="n">
        <v>350.7</v>
      </c>
      <c r="GB29" s="85" t="n">
        <v>324.7</v>
      </c>
      <c r="GC29" s="85" t="n">
        <v>295.6</v>
      </c>
      <c r="GD29" s="85" t="n">
        <v>310.8</v>
      </c>
      <c r="GE29" s="85" t="n">
        <v>314.7</v>
      </c>
      <c r="GF29" s="85" t="n">
        <v>322.6</v>
      </c>
      <c r="GG29" s="85" t="n">
        <v>299.2</v>
      </c>
      <c r="GH29" s="85" t="n">
        <v>211.8</v>
      </c>
      <c r="GI29" s="85" t="n">
        <v>225.7</v>
      </c>
      <c r="GJ29" s="85" t="n">
        <v>241.5</v>
      </c>
      <c r="GK29" s="85" t="n">
        <v>242.4</v>
      </c>
      <c r="GL29" s="85" t="n">
        <v>215.5</v>
      </c>
      <c r="GM29" s="85" t="n">
        <v>229.1</v>
      </c>
      <c r="GN29" s="85" t="n">
        <v>225.5</v>
      </c>
      <c r="GO29" s="85" t="n">
        <v>229.7</v>
      </c>
      <c r="GP29" s="85" t="n">
        <v>197.4</v>
      </c>
      <c r="GQ29" s="85" t="n">
        <v>205.6</v>
      </c>
      <c r="GR29" s="85" t="n">
        <v>206.9</v>
      </c>
      <c r="GS29" s="85" t="n">
        <v>231.9</v>
      </c>
      <c r="GT29" s="85" t="n">
        <v>191.5</v>
      </c>
      <c r="GU29" s="85" t="n">
        <v>199.6</v>
      </c>
      <c r="GV29" s="85" t="n">
        <v>258.6</v>
      </c>
      <c r="GW29" s="85" t="n">
        <v>251.2</v>
      </c>
      <c r="GX29" s="85" t="n">
        <v>289.9</v>
      </c>
      <c r="GY29" s="85" t="n">
        <v>343.9</v>
      </c>
      <c r="GZ29" s="85" t="n">
        <v>344.5</v>
      </c>
      <c r="HA29" s="85" t="n">
        <v>357.9</v>
      </c>
      <c r="HB29" t="n">
        <v>379.6</v>
      </c>
      <c r="HC29" t="n">
        <v>417.1</v>
      </c>
      <c r="HD29" t="n">
        <v>402.2</v>
      </c>
      <c r="HE29" t="n">
        <v>406.9</v>
      </c>
      <c r="HF29" t="n">
        <v>434.3</v>
      </c>
      <c r="HG29" t="n">
        <v>429.4</v>
      </c>
      <c r="HH29" t="n">
        <v>451.9</v>
      </c>
      <c r="HI29" t="n">
        <v>464.8</v>
      </c>
      <c r="HJ29" t="n">
        <v>459.9</v>
      </c>
      <c r="HK29" t="n">
        <v>493.4</v>
      </c>
    </row>
    <row r="30">
      <c r="A30" s="85" t="s">
        <v>2538</v>
      </c>
      <c r="B30" s="85" t="n">
        <v>45.1</v>
      </c>
      <c r="C30" s="85" t="n">
        <v>45.4</v>
      </c>
      <c r="D30" s="85" t="n">
        <v>45.9</v>
      </c>
      <c r="E30" s="85" t="n">
        <v>45.6</v>
      </c>
      <c r="F30" s="85" t="n">
        <v>49.6</v>
      </c>
      <c r="G30" s="85" t="n">
        <v>50.2</v>
      </c>
      <c r="H30" s="85" t="n">
        <v>50.5</v>
      </c>
      <c r="I30" s="85" t="n">
        <v>51</v>
      </c>
      <c r="J30" s="85" t="n">
        <v>57.3</v>
      </c>
      <c r="K30" s="85" t="n">
        <v>57.9</v>
      </c>
      <c r="L30" s="85" t="n">
        <v>58.5</v>
      </c>
      <c r="M30" s="85" t="n">
        <v>59.4</v>
      </c>
      <c r="N30" s="85" t="n">
        <v>72.7</v>
      </c>
      <c r="O30" s="85" t="n">
        <v>73.8</v>
      </c>
      <c r="P30" s="85" t="n">
        <v>75.1</v>
      </c>
      <c r="Q30" s="85" t="n">
        <v>76.6</v>
      </c>
      <c r="R30" s="85" t="n">
        <v>82.1</v>
      </c>
      <c r="S30" s="85" t="n">
        <v>83.6</v>
      </c>
      <c r="T30" s="85" t="n">
        <v>85.2</v>
      </c>
      <c r="U30" s="85" t="n">
        <v>85.4</v>
      </c>
      <c r="V30" s="85" t="n">
        <v>86.5</v>
      </c>
      <c r="W30" s="85" t="n">
        <v>86.8</v>
      </c>
      <c r="X30" s="85" t="n">
        <v>88.5</v>
      </c>
      <c r="Y30" s="85" t="n">
        <v>90.5</v>
      </c>
      <c r="Z30" s="85" t="n">
        <v>97.5</v>
      </c>
      <c r="AA30" s="85" t="n">
        <v>98.9</v>
      </c>
      <c r="AB30" s="85" t="n">
        <v>100.6</v>
      </c>
      <c r="AC30" s="85" t="n">
        <v>102.1</v>
      </c>
      <c r="AD30" s="85" t="n">
        <v>107.5</v>
      </c>
      <c r="AE30" s="85" t="n">
        <v>110.1</v>
      </c>
      <c r="AF30" s="85" t="n">
        <v>112.2</v>
      </c>
      <c r="AG30" s="85" t="n">
        <v>114.4</v>
      </c>
      <c r="AH30" s="85" t="n">
        <v>121.6</v>
      </c>
      <c r="AI30" s="85" t="n">
        <v>126.5</v>
      </c>
      <c r="AJ30" s="85" t="n">
        <v>130.8</v>
      </c>
      <c r="AK30" s="85" t="n">
        <v>136</v>
      </c>
      <c r="AL30" s="85" t="n">
        <v>143.1</v>
      </c>
      <c r="AM30" s="85" t="n">
        <v>147.4</v>
      </c>
      <c r="AN30" s="85" t="n">
        <v>152.4</v>
      </c>
      <c r="AO30" s="85" t="n">
        <v>156.3</v>
      </c>
      <c r="AP30" s="85" t="n">
        <v>159.3</v>
      </c>
      <c r="AQ30" s="85" t="n">
        <v>161</v>
      </c>
      <c r="AR30" s="85" t="n">
        <v>164.2</v>
      </c>
      <c r="AS30" s="85" t="n">
        <v>170.1</v>
      </c>
      <c r="AT30" s="85" t="n">
        <v>187.3</v>
      </c>
      <c r="AU30" s="85" t="n">
        <v>190.9</v>
      </c>
      <c r="AV30" s="85" t="n">
        <v>195.6</v>
      </c>
      <c r="AW30" s="85" t="n">
        <v>198.2</v>
      </c>
      <c r="AX30" s="85" t="n">
        <v>203.2</v>
      </c>
      <c r="AY30" s="85" t="n">
        <v>205.2</v>
      </c>
      <c r="AZ30" s="85" t="n">
        <v>207.5</v>
      </c>
      <c r="BA30" s="85" t="n">
        <v>208.3</v>
      </c>
      <c r="BB30" s="85" t="n">
        <v>216.1</v>
      </c>
      <c r="BC30" s="85" t="n">
        <v>220.2</v>
      </c>
      <c r="BD30" s="85" t="n">
        <v>224.8</v>
      </c>
      <c r="BE30" s="85" t="n">
        <v>231.2</v>
      </c>
      <c r="BF30" s="85" t="n">
        <v>246.3</v>
      </c>
      <c r="BG30" s="85" t="n">
        <v>252.1</v>
      </c>
      <c r="BH30" s="85" t="n">
        <v>257.1</v>
      </c>
      <c r="BI30" s="85" t="n">
        <v>261.1</v>
      </c>
      <c r="BJ30" s="85" t="n">
        <v>271</v>
      </c>
      <c r="BK30" s="85" t="n">
        <v>275</v>
      </c>
      <c r="BL30" s="85" t="n">
        <v>279.7</v>
      </c>
      <c r="BM30" s="85" t="n">
        <v>285.9</v>
      </c>
      <c r="BN30" s="85" t="n">
        <v>292.7</v>
      </c>
      <c r="BO30" s="85" t="n">
        <v>296.1</v>
      </c>
      <c r="BP30" s="85" t="n">
        <v>300.8</v>
      </c>
      <c r="BQ30" s="85" t="n">
        <v>306.2</v>
      </c>
      <c r="BR30" s="85" t="n">
        <v>310.7</v>
      </c>
      <c r="BS30" s="85" t="n">
        <v>314.5</v>
      </c>
      <c r="BT30" s="85" t="n">
        <v>319</v>
      </c>
      <c r="BU30" s="85" t="n">
        <v>325.6</v>
      </c>
      <c r="BV30" s="85" t="n">
        <v>344.7</v>
      </c>
      <c r="BW30" s="85" t="n">
        <v>351.7</v>
      </c>
      <c r="BX30" s="85" t="n">
        <v>357.7</v>
      </c>
      <c r="BY30" s="85" t="n">
        <v>365</v>
      </c>
      <c r="BZ30" s="85" t="n">
        <v>370.9</v>
      </c>
      <c r="CA30" s="85" t="n">
        <v>375.4</v>
      </c>
      <c r="CB30" s="85" t="n">
        <v>379.8</v>
      </c>
      <c r="CC30" s="85" t="n">
        <v>385.6</v>
      </c>
      <c r="CD30" s="85" t="n">
        <v>394</v>
      </c>
      <c r="CE30" s="85" t="n">
        <v>399</v>
      </c>
      <c r="CF30" s="85" t="n">
        <v>406.4</v>
      </c>
      <c r="CG30" s="85" t="n">
        <v>408.9</v>
      </c>
      <c r="CH30" s="85" t="n">
        <v>412</v>
      </c>
      <c r="CI30" s="85" t="n">
        <v>418.3</v>
      </c>
      <c r="CJ30" s="85" t="n">
        <v>423.7</v>
      </c>
      <c r="CK30" s="85" t="n">
        <v>428.4</v>
      </c>
      <c r="CL30" s="85" t="n">
        <v>439.9</v>
      </c>
      <c r="CM30" s="85" t="n">
        <v>445.1</v>
      </c>
      <c r="CN30" s="85" t="n">
        <v>447.9</v>
      </c>
      <c r="CO30" s="85" t="n">
        <v>442.9</v>
      </c>
      <c r="CP30" s="85" t="n">
        <v>462.1</v>
      </c>
      <c r="CQ30" s="85" t="n">
        <v>462.4</v>
      </c>
      <c r="CR30" s="85" t="n">
        <v>466.8</v>
      </c>
      <c r="CS30" s="85" t="n">
        <v>470.8</v>
      </c>
      <c r="CT30" s="85" t="n">
        <v>485.8</v>
      </c>
      <c r="CU30" s="85" t="n">
        <v>493</v>
      </c>
      <c r="CV30" s="85" t="n">
        <v>499</v>
      </c>
      <c r="CW30" s="85" t="n">
        <v>506.8</v>
      </c>
      <c r="CX30" s="85" t="n">
        <v>514.2</v>
      </c>
      <c r="CY30" s="85" t="n">
        <v>519</v>
      </c>
      <c r="CZ30" s="85" t="n">
        <v>524.6</v>
      </c>
      <c r="DA30" s="85" t="n">
        <v>529.9</v>
      </c>
      <c r="DB30" s="85" t="n">
        <v>532.9</v>
      </c>
      <c r="DC30" s="85" t="n">
        <v>541.7</v>
      </c>
      <c r="DD30" s="85" t="n">
        <v>549.5</v>
      </c>
      <c r="DE30" s="85" t="n">
        <v>557.5</v>
      </c>
      <c r="DF30" s="85" t="n">
        <v>566</v>
      </c>
      <c r="DG30" s="85" t="n">
        <v>574</v>
      </c>
      <c r="DH30" s="85" t="n">
        <v>582.9</v>
      </c>
      <c r="DI30" s="85" t="n">
        <v>594.8</v>
      </c>
      <c r="DJ30" s="85" t="n">
        <v>602.8</v>
      </c>
      <c r="DK30" s="85" t="n">
        <v>612.3</v>
      </c>
      <c r="DL30" s="85" t="n">
        <v>622.2</v>
      </c>
      <c r="DM30" s="85" t="n">
        <v>632.2</v>
      </c>
      <c r="DN30" s="85" t="n">
        <v>643.5</v>
      </c>
      <c r="DO30" s="85" t="n">
        <v>649.3</v>
      </c>
      <c r="DP30" s="85" t="n">
        <v>656.7</v>
      </c>
      <c r="DQ30" s="85" t="n">
        <v>669.8</v>
      </c>
      <c r="DR30" s="85" t="n">
        <v>689.4</v>
      </c>
      <c r="DS30" s="85" t="n">
        <v>691.5</v>
      </c>
      <c r="DT30" s="85" t="n">
        <v>704.2</v>
      </c>
      <c r="DU30" s="85" t="n">
        <v>709.2</v>
      </c>
      <c r="DV30" s="85" t="n">
        <v>723.4</v>
      </c>
      <c r="DW30" s="85" t="n">
        <v>723.4</v>
      </c>
      <c r="DX30" s="85" t="n">
        <v>722</v>
      </c>
      <c r="DY30" s="85" t="n">
        <v>724.2</v>
      </c>
      <c r="DZ30" s="85" t="n">
        <v>732</v>
      </c>
      <c r="EA30" s="85" t="n">
        <v>739.9</v>
      </c>
      <c r="EB30" s="85" t="n">
        <v>742</v>
      </c>
      <c r="EC30" s="85" t="n">
        <v>743.8</v>
      </c>
      <c r="ED30" s="85" t="n">
        <v>749.1</v>
      </c>
      <c r="EE30" s="85" t="n">
        <v>758.6</v>
      </c>
      <c r="EF30" s="85" t="n">
        <v>767.2</v>
      </c>
      <c r="EG30" s="85" t="n">
        <v>778.2</v>
      </c>
      <c r="EH30" s="85" t="n">
        <v>790</v>
      </c>
      <c r="EI30" s="85" t="n">
        <v>803.5</v>
      </c>
      <c r="EJ30" s="85" t="n">
        <v>818.4</v>
      </c>
      <c r="EK30" s="85" t="n">
        <v>824</v>
      </c>
      <c r="EL30" s="85" t="n">
        <v>837.4</v>
      </c>
      <c r="EM30" s="85" t="n">
        <v>846</v>
      </c>
      <c r="EN30" s="85" t="n">
        <v>859.8</v>
      </c>
      <c r="EO30" s="85" t="n">
        <v>870.4</v>
      </c>
      <c r="EP30" s="85" t="n">
        <v>895.1</v>
      </c>
      <c r="EQ30" s="85" t="n">
        <v>900.8</v>
      </c>
      <c r="ER30" s="85" t="n">
        <v>906.2</v>
      </c>
      <c r="ES30" s="85" t="n">
        <v>920.6</v>
      </c>
      <c r="ET30" s="85" t="n">
        <v>940.9</v>
      </c>
      <c r="EU30" s="85" t="n">
        <v>943.1</v>
      </c>
      <c r="EV30" s="85" t="n">
        <v>946.7</v>
      </c>
      <c r="EW30" s="85" t="n">
        <v>958.4</v>
      </c>
      <c r="EX30" s="85" t="n">
        <v>970.2</v>
      </c>
      <c r="EY30" s="85" t="n">
        <v>972.3</v>
      </c>
      <c r="EZ30" s="85" t="n">
        <v>977.6</v>
      </c>
      <c r="FA30" s="85" t="n">
        <v>977.8</v>
      </c>
      <c r="FB30" s="85" t="n">
        <v>946</v>
      </c>
      <c r="FC30" s="85" t="n">
        <v>952.6</v>
      </c>
      <c r="FD30" s="85" t="n">
        <v>950.3</v>
      </c>
      <c r="FE30" s="85" t="n">
        <v>953.9</v>
      </c>
      <c r="FF30" s="85" t="n">
        <v>960.6</v>
      </c>
      <c r="FG30" s="85" t="n">
        <v>971.7</v>
      </c>
      <c r="FH30" s="85" t="n">
        <v>974.6</v>
      </c>
      <c r="FI30" s="85" t="n">
        <v>976.6</v>
      </c>
      <c r="FJ30" s="85" t="n">
        <v>898.3</v>
      </c>
      <c r="FK30" s="85" t="n">
        <v>900.9</v>
      </c>
      <c r="FL30" s="85" t="n">
        <v>909.4</v>
      </c>
      <c r="FM30" s="85" t="n">
        <v>904.2</v>
      </c>
      <c r="FN30" s="85" t="n">
        <v>927.5</v>
      </c>
      <c r="FO30" s="85" t="n">
        <v>932.2</v>
      </c>
      <c r="FP30" s="85" t="n">
        <v>935.2</v>
      </c>
      <c r="FQ30" s="85" t="n">
        <v>957</v>
      </c>
      <c r="FR30" s="85" t="n">
        <v>1078.6</v>
      </c>
      <c r="FS30" s="85" t="n">
        <v>1090.7</v>
      </c>
      <c r="FT30" s="85" t="n">
        <v>1093.6</v>
      </c>
      <c r="FU30" s="85" t="n">
        <v>1104.2</v>
      </c>
      <c r="FV30" s="85" t="n">
        <v>1126.6</v>
      </c>
      <c r="FW30" s="85" t="n">
        <v>1131</v>
      </c>
      <c r="FX30" s="85" t="n">
        <v>1142.5</v>
      </c>
      <c r="FY30" s="85" t="n">
        <v>1160.1</v>
      </c>
      <c r="FZ30" s="85" t="n">
        <v>1175.2</v>
      </c>
      <c r="GA30" s="85" t="n">
        <v>1187</v>
      </c>
      <c r="GB30" s="85" t="n">
        <v>1196.8</v>
      </c>
      <c r="GC30" s="85" t="n">
        <v>1204.1</v>
      </c>
      <c r="GD30" s="85" t="n">
        <v>1211</v>
      </c>
      <c r="GE30" s="85" t="n">
        <v>1217</v>
      </c>
      <c r="GF30" s="85" t="n">
        <v>1228</v>
      </c>
      <c r="GG30" s="85" t="n">
        <v>1241.5</v>
      </c>
      <c r="GH30" s="85" t="n">
        <v>1262.7</v>
      </c>
      <c r="GI30" s="85" t="n">
        <v>1275.1</v>
      </c>
      <c r="GJ30" s="85" t="n">
        <v>1290.3</v>
      </c>
      <c r="GK30" s="85" t="n">
        <v>1309.1</v>
      </c>
      <c r="GL30" s="85" t="n">
        <v>1328.9</v>
      </c>
      <c r="GM30" s="85" t="n">
        <v>1338.7</v>
      </c>
      <c r="GN30" s="85" t="n">
        <v>1355.2</v>
      </c>
      <c r="GO30" s="85" t="n">
        <v>1363.7</v>
      </c>
      <c r="GP30" s="85" t="n">
        <v>1396</v>
      </c>
      <c r="GQ30" s="85" t="n">
        <v>1403.5</v>
      </c>
      <c r="GR30" s="85" t="n">
        <v>1410.3</v>
      </c>
      <c r="GS30" s="85" t="n">
        <v>1428.2</v>
      </c>
      <c r="GT30" s="85" t="n">
        <v>1453.2</v>
      </c>
      <c r="GU30" s="85" t="n">
        <v>1383.7</v>
      </c>
      <c r="GV30" s="85" t="n">
        <v>1433</v>
      </c>
      <c r="GW30" s="85" t="n">
        <v>1470.2</v>
      </c>
      <c r="GX30" s="85" t="n">
        <v>1487.2</v>
      </c>
      <c r="GY30" s="85" t="n">
        <v>1522.5</v>
      </c>
      <c r="GZ30" s="85" t="n">
        <v>1559</v>
      </c>
      <c r="HA30" s="85" t="n">
        <v>1603.5</v>
      </c>
      <c r="HB30" s="85" t="n">
        <v>1642.9</v>
      </c>
      <c r="HC30" t="n">
        <v>1665.9</v>
      </c>
      <c r="HD30" t="n">
        <v>1713.2</v>
      </c>
      <c r="HE30" t="n">
        <v>1729.9</v>
      </c>
      <c r="HF30" t="n">
        <v>1761.2</v>
      </c>
      <c r="HG30" t="n">
        <v>1789.9</v>
      </c>
      <c r="HH30" t="n">
        <v>1818</v>
      </c>
      <c r="HI30" t="n">
        <v>1836.2</v>
      </c>
      <c r="HJ30" t="n">
        <v>1864.1</v>
      </c>
      <c r="HK30" t="n">
        <v>1881.8</v>
      </c>
    </row>
    <row r="31">
      <c r="A31" s="85" t="s">
        <v>2539</v>
      </c>
      <c r="B31" s="85" t="n">
        <v>48.3</v>
      </c>
      <c r="C31" s="85" t="n">
        <v>57.5</v>
      </c>
      <c r="D31" s="85" t="n">
        <v>56.9</v>
      </c>
      <c r="E31" s="85" t="n">
        <v>59.8</v>
      </c>
      <c r="F31" s="85" t="n">
        <v>61</v>
      </c>
      <c r="G31" s="85" t="n">
        <v>67.9</v>
      </c>
      <c r="H31" s="85" t="n">
        <v>67.2</v>
      </c>
      <c r="I31" s="85" t="n">
        <v>68.2</v>
      </c>
      <c r="J31" s="85" t="n">
        <v>70.2</v>
      </c>
      <c r="K31" s="85" t="n">
        <v>70.2</v>
      </c>
      <c r="L31" s="85" t="n">
        <v>70.3</v>
      </c>
      <c r="M31" s="85" t="n">
        <v>80.6</v>
      </c>
      <c r="N31" s="85" t="n">
        <v>82.2</v>
      </c>
      <c r="O31" s="85" t="n">
        <v>83.6</v>
      </c>
      <c r="P31" s="85" t="n">
        <v>85.1</v>
      </c>
      <c r="Q31" s="85" t="n">
        <v>87.3</v>
      </c>
      <c r="R31" s="85" t="n">
        <v>94.1</v>
      </c>
      <c r="S31" s="85" t="n">
        <v>100.7</v>
      </c>
      <c r="T31" s="85" t="n">
        <v>106.4</v>
      </c>
      <c r="U31" s="85" t="n">
        <v>112</v>
      </c>
      <c r="V31" s="85" t="n">
        <v>120.5</v>
      </c>
      <c r="W31" s="85" t="n">
        <v>134.2</v>
      </c>
      <c r="X31" s="85" t="n">
        <v>136.8</v>
      </c>
      <c r="Y31" s="85" t="n">
        <v>137.8</v>
      </c>
      <c r="Z31" s="85" t="n">
        <v>141.3</v>
      </c>
      <c r="AA31" s="85" t="n">
        <v>139.6</v>
      </c>
      <c r="AB31" s="85" t="n">
        <v>145.4</v>
      </c>
      <c r="AC31" s="85" t="n">
        <v>147.7</v>
      </c>
      <c r="AD31" s="85" t="n">
        <v>149.8</v>
      </c>
      <c r="AE31" s="85" t="n">
        <v>148.9</v>
      </c>
      <c r="AF31" s="85" t="n">
        <v>154.4</v>
      </c>
      <c r="AG31" s="85" t="n">
        <v>156.6</v>
      </c>
      <c r="AH31" s="85" t="n">
        <v>158.5</v>
      </c>
      <c r="AI31" s="85" t="n">
        <v>158</v>
      </c>
      <c r="AJ31" s="85" t="n">
        <v>165.9</v>
      </c>
      <c r="AK31" s="85" t="n">
        <v>168.3</v>
      </c>
      <c r="AL31" s="85" t="n">
        <v>172.5</v>
      </c>
      <c r="AM31" s="85" t="n">
        <v>175.7</v>
      </c>
      <c r="AN31" s="85" t="n">
        <v>190.1</v>
      </c>
      <c r="AO31" s="85" t="n">
        <v>193.8</v>
      </c>
      <c r="AP31" s="85" t="n">
        <v>202.1</v>
      </c>
      <c r="AQ31" s="85" t="n">
        <v>207.3</v>
      </c>
      <c r="AR31" s="85" t="n">
        <v>235.4</v>
      </c>
      <c r="AS31" s="85" t="n">
        <v>236.4</v>
      </c>
      <c r="AT31" s="85" t="n">
        <v>240.5</v>
      </c>
      <c r="AU31" s="85" t="n">
        <v>241.6</v>
      </c>
      <c r="AV31" s="85" t="n">
        <v>259.3</v>
      </c>
      <c r="AW31" s="85" t="n">
        <v>261.5</v>
      </c>
      <c r="AX31" s="85" t="n">
        <v>265.2</v>
      </c>
      <c r="AY31" s="85" t="n">
        <v>272.2</v>
      </c>
      <c r="AZ31" s="85" t="n">
        <v>287.5</v>
      </c>
      <c r="BA31" s="85" t="n">
        <v>302.6</v>
      </c>
      <c r="BB31" s="85" t="n">
        <v>302.2</v>
      </c>
      <c r="BC31" s="85" t="n">
        <v>307.4</v>
      </c>
      <c r="BD31" s="85" t="n">
        <v>301.3</v>
      </c>
      <c r="BE31" s="85" t="n">
        <v>303.5</v>
      </c>
      <c r="BF31" s="85" t="n">
        <v>306.4</v>
      </c>
      <c r="BG31" s="85" t="n">
        <v>308.4</v>
      </c>
      <c r="BH31" s="85" t="n">
        <v>309.1</v>
      </c>
      <c r="BI31" s="85" t="n">
        <v>315.1</v>
      </c>
      <c r="BJ31" s="85" t="n">
        <v>323.2</v>
      </c>
      <c r="BK31" s="85" t="n">
        <v>324.2</v>
      </c>
      <c r="BL31" s="85" t="n">
        <v>327.5</v>
      </c>
      <c r="BM31" s="85" t="n">
        <v>328.5</v>
      </c>
      <c r="BN31" s="85" t="n">
        <v>338.3</v>
      </c>
      <c r="BO31" s="85" t="n">
        <v>342</v>
      </c>
      <c r="BP31" s="85" t="n">
        <v>347.8</v>
      </c>
      <c r="BQ31" s="85" t="n">
        <v>348.9</v>
      </c>
      <c r="BR31" s="85" t="n">
        <v>353.6</v>
      </c>
      <c r="BS31" s="85" t="n">
        <v>357.6</v>
      </c>
      <c r="BT31" s="85" t="n">
        <v>357.9</v>
      </c>
      <c r="BU31" s="85" t="n">
        <v>359.7</v>
      </c>
      <c r="BV31" s="85" t="n">
        <v>375</v>
      </c>
      <c r="BW31" s="85" t="n">
        <v>376.1</v>
      </c>
      <c r="BX31" s="85" t="n">
        <v>379.3</v>
      </c>
      <c r="BY31" s="85" t="n">
        <v>383</v>
      </c>
      <c r="BZ31" s="85" t="n">
        <v>403.9</v>
      </c>
      <c r="CA31" s="85" t="n">
        <v>408.3</v>
      </c>
      <c r="CB31" s="85" t="n">
        <v>413.7</v>
      </c>
      <c r="CC31" s="85" t="n">
        <v>420.9</v>
      </c>
      <c r="CD31" s="85" t="n">
        <v>437.5</v>
      </c>
      <c r="CE31" s="85" t="n">
        <v>443.4</v>
      </c>
      <c r="CF31" s="85" t="n">
        <v>447.9</v>
      </c>
      <c r="CG31" s="85" t="n">
        <v>459.4</v>
      </c>
      <c r="CH31" s="85" t="n">
        <v>481</v>
      </c>
      <c r="CI31" s="85" t="n">
        <v>491.3</v>
      </c>
      <c r="CJ31" s="85" t="n">
        <v>495.1</v>
      </c>
      <c r="CK31" s="85" t="n">
        <v>508.5</v>
      </c>
      <c r="CL31" s="85" t="n">
        <v>540</v>
      </c>
      <c r="CM31" s="85" t="n">
        <v>550.5</v>
      </c>
      <c r="CN31" s="85" t="n">
        <v>555.5</v>
      </c>
      <c r="CO31" s="85" t="n">
        <v>561.1</v>
      </c>
      <c r="CP31" s="85" t="n">
        <v>577.6</v>
      </c>
      <c r="CQ31" s="85" t="n">
        <v>582</v>
      </c>
      <c r="CR31" s="85" t="n">
        <v>585.7</v>
      </c>
      <c r="CS31" s="85" t="n">
        <v>589.6</v>
      </c>
      <c r="CT31" s="85" t="n">
        <v>601.8</v>
      </c>
      <c r="CU31" s="85" t="n">
        <v>606.2</v>
      </c>
      <c r="CV31" s="85" t="n">
        <v>610</v>
      </c>
      <c r="CW31" s="85" t="n">
        <v>618.1</v>
      </c>
      <c r="CX31" s="85" t="n">
        <v>637.6</v>
      </c>
      <c r="CY31" s="85" t="n">
        <v>644.9</v>
      </c>
      <c r="CZ31" s="85" t="n">
        <v>650</v>
      </c>
      <c r="DA31" s="85" t="n">
        <v>655.8</v>
      </c>
      <c r="DB31" s="85" t="n">
        <v>675</v>
      </c>
      <c r="DC31" s="85" t="n">
        <v>680.7</v>
      </c>
      <c r="DD31" s="85" t="n">
        <v>683.7</v>
      </c>
      <c r="DE31" s="85" t="n">
        <v>688.9</v>
      </c>
      <c r="DF31" s="85" t="n">
        <v>704.5</v>
      </c>
      <c r="DG31" s="85" t="n">
        <v>707.5</v>
      </c>
      <c r="DH31" s="85" t="n">
        <v>709.2</v>
      </c>
      <c r="DI31" s="85" t="n">
        <v>710.2</v>
      </c>
      <c r="DJ31" s="85" t="n">
        <v>719.7</v>
      </c>
      <c r="DK31" s="85" t="n">
        <v>720.7</v>
      </c>
      <c r="DL31" s="85" t="n">
        <v>723.5</v>
      </c>
      <c r="DM31" s="85" t="n">
        <v>724.7</v>
      </c>
      <c r="DN31" s="85" t="n">
        <v>735.5</v>
      </c>
      <c r="DO31" s="85" t="n">
        <v>738.6</v>
      </c>
      <c r="DP31" s="85" t="n">
        <v>741.1</v>
      </c>
      <c r="DQ31" s="85" t="n">
        <v>744.2</v>
      </c>
      <c r="DR31" s="85" t="n">
        <v>756.8</v>
      </c>
      <c r="DS31" s="85" t="n">
        <v>772.9</v>
      </c>
      <c r="DT31" s="85" t="n">
        <v>777.5</v>
      </c>
      <c r="DU31" s="85" t="n">
        <v>786.5</v>
      </c>
      <c r="DV31" s="85" t="n">
        <v>817.3</v>
      </c>
      <c r="DW31" s="85" t="n">
        <v>831</v>
      </c>
      <c r="DX31" s="85" t="n">
        <v>849.4</v>
      </c>
      <c r="DY31" s="85" t="n">
        <v>865.2</v>
      </c>
      <c r="DZ31" s="85" t="n">
        <v>895</v>
      </c>
      <c r="EA31" s="85" t="n">
        <v>921</v>
      </c>
      <c r="EB31" s="85" t="n">
        <v>925.2</v>
      </c>
      <c r="EC31" s="85" t="n">
        <v>930.8</v>
      </c>
      <c r="ED31" s="85" t="n">
        <v>947.7</v>
      </c>
      <c r="EE31" s="85" t="n">
        <v>964.3</v>
      </c>
      <c r="EF31" s="85" t="n">
        <v>973.7</v>
      </c>
      <c r="EG31" s="85" t="n">
        <v>984.3</v>
      </c>
      <c r="EH31" s="85" t="n">
        <v>1003.6</v>
      </c>
      <c r="EI31" s="85" t="n">
        <v>1013.5</v>
      </c>
      <c r="EJ31" s="85" t="n">
        <v>1024.1</v>
      </c>
      <c r="EK31" s="85" t="n">
        <v>1036.9</v>
      </c>
      <c r="EL31" s="85" t="n">
        <v>1065.3</v>
      </c>
      <c r="EM31" s="85" t="n">
        <v>1076</v>
      </c>
      <c r="EN31" s="85" t="n">
        <v>1091.8</v>
      </c>
      <c r="EO31" s="85" t="n">
        <v>1104.4</v>
      </c>
      <c r="EP31" s="85" t="n">
        <v>1172.7</v>
      </c>
      <c r="EQ31" s="85" t="n">
        <v>1184</v>
      </c>
      <c r="ER31" s="85" t="n">
        <v>1194.1</v>
      </c>
      <c r="ES31" s="85" t="n">
        <v>1205.6</v>
      </c>
      <c r="ET31" s="85" t="n">
        <v>1240.1</v>
      </c>
      <c r="EU31" s="85" t="n">
        <v>1256.7</v>
      </c>
      <c r="EV31" s="85" t="n">
        <v>1270.2</v>
      </c>
      <c r="EW31" s="85" t="n">
        <v>1286.3</v>
      </c>
      <c r="EX31" s="85" t="n">
        <v>1321.9</v>
      </c>
      <c r="EY31" s="85" t="n">
        <v>1657</v>
      </c>
      <c r="EZ31" s="85" t="n">
        <v>1445.3</v>
      </c>
      <c r="FA31" s="85" t="n">
        <v>1428.7</v>
      </c>
      <c r="FB31" s="85" t="n">
        <v>1521.8</v>
      </c>
      <c r="FC31" s="85" t="n">
        <v>1648</v>
      </c>
      <c r="FD31" s="85" t="n">
        <v>1634.5</v>
      </c>
      <c r="FE31" s="85" t="n">
        <v>1653.9</v>
      </c>
      <c r="FF31" s="85" t="n">
        <v>1753.5</v>
      </c>
      <c r="FG31" s="85" t="n">
        <v>1755.7</v>
      </c>
      <c r="FH31" s="85" t="n">
        <v>1758.8</v>
      </c>
      <c r="FI31" s="85" t="n">
        <v>1761.9</v>
      </c>
      <c r="FJ31" s="85" t="n">
        <v>1768.6</v>
      </c>
      <c r="FK31" s="85" t="n">
        <v>1777.4</v>
      </c>
      <c r="FL31" s="85" t="n">
        <v>1782.4</v>
      </c>
      <c r="FM31" s="85" t="n">
        <v>1789.3</v>
      </c>
      <c r="FN31" s="85" t="n">
        <v>1772.9</v>
      </c>
      <c r="FO31" s="85" t="n">
        <v>1777.5</v>
      </c>
      <c r="FP31" s="85" t="n">
        <v>1783.6</v>
      </c>
      <c r="FQ31" s="85" t="n">
        <v>1793.4</v>
      </c>
      <c r="FR31" s="85" t="n">
        <v>1817.3</v>
      </c>
      <c r="FS31" s="85" t="n">
        <v>1815.5</v>
      </c>
      <c r="FT31" s="85" t="n">
        <v>1823.2</v>
      </c>
      <c r="FU31" s="85" t="n">
        <v>1830.1</v>
      </c>
      <c r="FV31" s="85" t="n">
        <v>1848.1</v>
      </c>
      <c r="FW31" s="85" t="n">
        <v>1876.8</v>
      </c>
      <c r="FX31" s="85" t="n">
        <v>1890.5</v>
      </c>
      <c r="FY31" s="85" t="n">
        <v>1909</v>
      </c>
      <c r="FZ31" s="85" t="n">
        <v>1945.5</v>
      </c>
      <c r="GA31" s="85" t="n">
        <v>1966.6</v>
      </c>
      <c r="GB31" s="85" t="n">
        <v>1977.6</v>
      </c>
      <c r="GC31" s="85" t="n">
        <v>1989.7</v>
      </c>
      <c r="GD31" s="85" t="n">
        <v>2006.2</v>
      </c>
      <c r="GE31" s="85" t="n">
        <v>2018</v>
      </c>
      <c r="GF31" s="85" t="n">
        <v>2029.1</v>
      </c>
      <c r="GG31" s="85" t="n">
        <v>2043.5</v>
      </c>
      <c r="GH31" s="85" t="n">
        <v>2074</v>
      </c>
      <c r="GI31" s="85" t="n">
        <v>2087.4</v>
      </c>
      <c r="GJ31" s="85" t="n">
        <v>2105.5</v>
      </c>
      <c r="GK31" s="85" t="n">
        <v>2124.2</v>
      </c>
      <c r="GL31" s="85" t="n">
        <v>2171.5</v>
      </c>
      <c r="GM31" s="85" t="n">
        <v>2184.4</v>
      </c>
      <c r="GN31" s="85" t="n">
        <v>2200.6</v>
      </c>
      <c r="GO31" s="85" t="n">
        <v>2223</v>
      </c>
      <c r="GP31" s="85" t="n">
        <v>2303.8</v>
      </c>
      <c r="GQ31" s="85" t="n">
        <v>2321.7</v>
      </c>
      <c r="GR31" s="85" t="n">
        <v>2337.1</v>
      </c>
      <c r="GS31" s="85" t="n">
        <v>2349.5</v>
      </c>
      <c r="GT31" s="85" t="n">
        <v>2414.4</v>
      </c>
      <c r="GU31" s="85" t="n">
        <v>4654.1</v>
      </c>
      <c r="GV31" s="85" t="n">
        <v>3504.7</v>
      </c>
      <c r="GW31" s="85" t="n">
        <v>2888.4</v>
      </c>
      <c r="GX31" s="85" t="n">
        <v>5138.1</v>
      </c>
      <c r="GY31" s="85" t="n">
        <v>3397.8</v>
      </c>
      <c r="GZ31" s="85" t="n">
        <v>3124.9</v>
      </c>
      <c r="HA31" s="85" t="n">
        <v>2952.6</v>
      </c>
      <c r="HB31" s="85" t="n">
        <v>2970.9</v>
      </c>
      <c r="HC31" t="n">
        <v>2976.2</v>
      </c>
      <c r="HD31" t="n">
        <v>2970.4</v>
      </c>
      <c r="HE31" t="n">
        <v>3024.4</v>
      </c>
      <c r="HF31" t="n">
        <v>3038.4</v>
      </c>
      <c r="HG31" t="n">
        <v>3049.1</v>
      </c>
      <c r="HH31" t="n">
        <v>3078</v>
      </c>
      <c r="HI31" t="n">
        <v>3095.6</v>
      </c>
      <c r="HJ31" t="n">
        <v>3201.1</v>
      </c>
      <c r="HK31" t="n">
        <v>3243.1</v>
      </c>
    </row>
    <row r="32">
      <c r="A32" s="85" t="s">
        <v>2540</v>
      </c>
      <c r="B32" s="85" t="n">
        <v>16.6</v>
      </c>
      <c r="C32" s="85" t="n">
        <v>17.9</v>
      </c>
      <c r="D32" s="85" t="n">
        <v>19.2</v>
      </c>
      <c r="E32" s="85" t="n">
        <v>19.8</v>
      </c>
      <c r="F32" s="85" t="n">
        <v>20.5</v>
      </c>
      <c r="G32" s="85" t="n">
        <v>22.1</v>
      </c>
      <c r="H32" s="85" t="n">
        <v>22.4</v>
      </c>
      <c r="I32" s="85" t="n">
        <v>23.7</v>
      </c>
      <c r="J32" s="85" t="n">
        <v>24.4</v>
      </c>
      <c r="K32" s="85" t="n">
        <v>32.7</v>
      </c>
      <c r="L32" s="85" t="n">
        <v>25.6</v>
      </c>
      <c r="M32" s="85" t="n">
        <v>39.3</v>
      </c>
      <c r="N32" s="85" t="n">
        <v>34.3</v>
      </c>
      <c r="O32" s="85" t="n">
        <v>33.4</v>
      </c>
      <c r="P32" s="85" t="n">
        <v>32.6</v>
      </c>
      <c r="Q32" s="85" t="n">
        <v>33.6</v>
      </c>
      <c r="R32" s="85" t="n">
        <v>33.3</v>
      </c>
      <c r="S32" s="85" t="n">
        <v>34.1</v>
      </c>
      <c r="T32" s="85" t="n">
        <v>35.4</v>
      </c>
      <c r="U32" s="85" t="n">
        <v>36.8</v>
      </c>
      <c r="V32" s="85" t="n">
        <v>39.3</v>
      </c>
      <c r="W32" s="85" t="n">
        <v>44.3</v>
      </c>
      <c r="X32" s="85" t="n">
        <v>45</v>
      </c>
      <c r="Y32" s="85" t="n">
        <v>45.9</v>
      </c>
      <c r="Z32" s="85" t="n">
        <v>47</v>
      </c>
      <c r="AA32" s="85" t="n">
        <v>47.8</v>
      </c>
      <c r="AB32" s="85" t="n">
        <v>48.7</v>
      </c>
      <c r="AC32" s="85" t="n">
        <v>52.7</v>
      </c>
      <c r="AD32" s="85" t="n">
        <v>50.7</v>
      </c>
      <c r="AE32" s="85" t="n">
        <v>53.7</v>
      </c>
      <c r="AF32" s="85" t="n">
        <v>57.3</v>
      </c>
      <c r="AG32" s="85" t="n">
        <v>57.3</v>
      </c>
      <c r="AH32" s="85" t="n">
        <v>61.5</v>
      </c>
      <c r="AI32" s="85" t="n">
        <v>64.1</v>
      </c>
      <c r="AJ32" s="85" t="n">
        <v>63.4</v>
      </c>
      <c r="AK32" s="85" t="n">
        <v>64.9</v>
      </c>
      <c r="AL32" s="85" t="n">
        <v>62.1</v>
      </c>
      <c r="AM32" s="85" t="n">
        <v>62.6</v>
      </c>
      <c r="AN32" s="85" t="n">
        <v>65.2</v>
      </c>
      <c r="AO32" s="85" t="n">
        <v>65.9</v>
      </c>
      <c r="AP32" s="85" t="n">
        <v>66.7</v>
      </c>
      <c r="AQ32" s="85" t="n">
        <v>68.2</v>
      </c>
      <c r="AR32" s="85" t="n">
        <v>70.7</v>
      </c>
      <c r="AS32" s="85" t="n">
        <v>73.1</v>
      </c>
      <c r="AT32" s="85" t="n">
        <v>71.5</v>
      </c>
      <c r="AU32" s="85" t="n">
        <v>71.4</v>
      </c>
      <c r="AV32" s="85" t="n">
        <v>68.8</v>
      </c>
      <c r="AW32" s="85" t="n">
        <v>66</v>
      </c>
      <c r="AX32" s="85" t="n">
        <v>65.8</v>
      </c>
      <c r="AY32" s="85" t="n">
        <v>67.3</v>
      </c>
      <c r="AZ32" s="85" t="n">
        <v>65.6</v>
      </c>
      <c r="BA32" s="85" t="n">
        <v>66.3</v>
      </c>
      <c r="BB32" s="85" t="n">
        <v>67.2</v>
      </c>
      <c r="BC32" s="85" t="n">
        <v>69.2</v>
      </c>
      <c r="BD32" s="85" t="n">
        <v>68.4</v>
      </c>
      <c r="BE32" s="85" t="n">
        <v>67</v>
      </c>
      <c r="BF32" s="85" t="n">
        <v>71.3</v>
      </c>
      <c r="BG32" s="85" t="n">
        <v>73.1</v>
      </c>
      <c r="BH32" s="85" t="n">
        <v>70.7</v>
      </c>
      <c r="BI32" s="85" t="n">
        <v>74.3</v>
      </c>
      <c r="BJ32" s="85" t="n">
        <v>74.8</v>
      </c>
      <c r="BK32" s="85" t="n">
        <v>75.3</v>
      </c>
      <c r="BL32" s="85" t="n">
        <v>76.4</v>
      </c>
      <c r="BM32" s="85" t="n">
        <v>78.1</v>
      </c>
      <c r="BN32" s="85" t="n">
        <v>79.7</v>
      </c>
      <c r="BO32" s="85" t="n">
        <v>83.8</v>
      </c>
      <c r="BP32" s="85" t="n">
        <v>86.7</v>
      </c>
      <c r="BQ32" s="85" t="n">
        <v>79.5</v>
      </c>
      <c r="BR32" s="85" t="n">
        <v>76.9</v>
      </c>
      <c r="BS32" s="85" t="n">
        <v>80.2</v>
      </c>
      <c r="BT32" s="85" t="n">
        <v>78.2</v>
      </c>
      <c r="BU32" s="85" t="n">
        <v>78.2</v>
      </c>
      <c r="BV32" s="85" t="n">
        <v>84.1</v>
      </c>
      <c r="BW32" s="85" t="n">
        <v>84.1</v>
      </c>
      <c r="BX32" s="85" t="n">
        <v>87</v>
      </c>
      <c r="BY32" s="85" t="n">
        <v>87.7</v>
      </c>
      <c r="BZ32" s="85" t="n">
        <v>88.7</v>
      </c>
      <c r="CA32" s="85" t="n">
        <v>89.1</v>
      </c>
      <c r="CB32" s="85" t="n">
        <v>95</v>
      </c>
      <c r="CC32" s="85" t="n">
        <v>94.5</v>
      </c>
      <c r="CD32" s="85" t="n">
        <v>99.9</v>
      </c>
      <c r="CE32" s="85" t="n">
        <v>103.2</v>
      </c>
      <c r="CF32" s="85" t="n">
        <v>105.5</v>
      </c>
      <c r="CG32" s="85" t="n">
        <v>108.8</v>
      </c>
      <c r="CH32" s="85" t="n">
        <v>115.6</v>
      </c>
      <c r="CI32" s="85" t="n">
        <v>120.5</v>
      </c>
      <c r="CJ32" s="85" t="n">
        <v>127</v>
      </c>
      <c r="CK32" s="85" t="n">
        <v>132.9</v>
      </c>
      <c r="CL32" s="85" t="n">
        <v>136.2</v>
      </c>
      <c r="CM32" s="85" t="n">
        <v>139</v>
      </c>
      <c r="CN32" s="85" t="n">
        <v>145</v>
      </c>
      <c r="CO32" s="85" t="n">
        <v>146.5</v>
      </c>
      <c r="CP32" s="85" t="n">
        <v>148.8</v>
      </c>
      <c r="CQ32" s="85" t="n">
        <v>151.4</v>
      </c>
      <c r="CR32" s="85" t="n">
        <v>157.2</v>
      </c>
      <c r="CS32" s="85" t="n">
        <v>165.5</v>
      </c>
      <c r="CT32" s="85" t="n">
        <v>162.4</v>
      </c>
      <c r="CU32" s="85" t="n">
        <v>164.9</v>
      </c>
      <c r="CV32" s="85" t="n">
        <v>167.3</v>
      </c>
      <c r="CW32" s="85" t="n">
        <v>172.8</v>
      </c>
      <c r="CX32" s="85" t="n">
        <v>175.6</v>
      </c>
      <c r="CY32" s="85" t="n">
        <v>174.8</v>
      </c>
      <c r="CZ32" s="85" t="n">
        <v>175.8</v>
      </c>
      <c r="DA32" s="85" t="n">
        <v>171.7</v>
      </c>
      <c r="DB32" s="85" t="n">
        <v>177.1</v>
      </c>
      <c r="DC32" s="85" t="n">
        <v>185.5</v>
      </c>
      <c r="DD32" s="85" t="n">
        <v>182.9</v>
      </c>
      <c r="DE32" s="85" t="n">
        <v>180.3</v>
      </c>
      <c r="DF32" s="85" t="n">
        <v>184.6</v>
      </c>
      <c r="DG32" s="85" t="n">
        <v>184.2</v>
      </c>
      <c r="DH32" s="85" t="n">
        <v>187.5</v>
      </c>
      <c r="DI32" s="85" t="n">
        <v>196.3</v>
      </c>
      <c r="DJ32" s="85" t="n">
        <v>197.3</v>
      </c>
      <c r="DK32" s="85" t="n">
        <v>197</v>
      </c>
      <c r="DL32" s="85" t="n">
        <v>201.8</v>
      </c>
      <c r="DM32" s="85" t="n">
        <v>207</v>
      </c>
      <c r="DN32" s="85" t="n">
        <v>214.7</v>
      </c>
      <c r="DO32" s="85" t="n">
        <v>211.8</v>
      </c>
      <c r="DP32" s="85" t="n">
        <v>223.1</v>
      </c>
      <c r="DQ32" s="85" t="n">
        <v>227</v>
      </c>
      <c r="DR32" s="85" t="n">
        <v>224.5</v>
      </c>
      <c r="DS32" s="85" t="n">
        <v>227.4</v>
      </c>
      <c r="DT32" s="85" t="n">
        <v>239.5</v>
      </c>
      <c r="DU32" s="85" t="n">
        <v>241.1</v>
      </c>
      <c r="DV32" s="85" t="n">
        <v>254</v>
      </c>
      <c r="DW32" s="85" t="n">
        <v>262.2</v>
      </c>
      <c r="DX32" s="85" t="n">
        <v>258.5</v>
      </c>
      <c r="DY32" s="85" t="n">
        <v>270.4</v>
      </c>
      <c r="DZ32" s="85" t="n">
        <v>277.3</v>
      </c>
      <c r="EA32" s="85" t="n">
        <v>285.7</v>
      </c>
      <c r="EB32" s="85" t="n">
        <v>294.3</v>
      </c>
      <c r="EC32" s="85" t="n">
        <v>297.4</v>
      </c>
      <c r="ED32" s="85" t="n">
        <v>299.6</v>
      </c>
      <c r="EE32" s="85" t="n">
        <v>323.3</v>
      </c>
      <c r="EF32" s="85" t="n">
        <v>329.6</v>
      </c>
      <c r="EG32" s="85" t="n">
        <v>334.3</v>
      </c>
      <c r="EH32" s="85" t="n">
        <v>328</v>
      </c>
      <c r="EI32" s="85" t="n">
        <v>332.8</v>
      </c>
      <c r="EJ32" s="85" t="n">
        <v>328.4</v>
      </c>
      <c r="EK32" s="85" t="n">
        <v>340</v>
      </c>
      <c r="EL32" s="85" t="n">
        <v>341.6</v>
      </c>
      <c r="EM32" s="85" t="n">
        <v>344.8</v>
      </c>
      <c r="EN32" s="85" t="n">
        <v>342.5</v>
      </c>
      <c r="EO32" s="85" t="n">
        <v>345.1</v>
      </c>
      <c r="EP32" s="85" t="n">
        <v>340</v>
      </c>
      <c r="EQ32" s="85" t="n">
        <v>341.5</v>
      </c>
      <c r="ER32" s="85" t="n">
        <v>347.9</v>
      </c>
      <c r="ES32" s="85" t="n">
        <v>334.7</v>
      </c>
      <c r="ET32" s="85" t="n">
        <v>358.4</v>
      </c>
      <c r="EU32" s="85" t="n">
        <v>359.4</v>
      </c>
      <c r="EV32" s="85" t="n">
        <v>359.8</v>
      </c>
      <c r="EW32" s="85" t="n">
        <v>358.9</v>
      </c>
      <c r="EX32" s="85" t="n">
        <v>365.7</v>
      </c>
      <c r="EY32" s="85" t="n">
        <v>371.5</v>
      </c>
      <c r="EZ32" s="85" t="n">
        <v>368.8</v>
      </c>
      <c r="FA32" s="85" t="n">
        <v>378.6</v>
      </c>
      <c r="FB32" s="85" t="n">
        <v>421.1</v>
      </c>
      <c r="FC32" s="85" t="n">
        <v>473.9</v>
      </c>
      <c r="FD32" s="85" t="n">
        <v>465.4</v>
      </c>
      <c r="FE32" s="85" t="n">
        <v>472.1</v>
      </c>
      <c r="FF32" s="85" t="n">
        <v>496.2</v>
      </c>
      <c r="FG32" s="85" t="n">
        <v>492.6</v>
      </c>
      <c r="FH32" s="85" t="n">
        <v>517.8</v>
      </c>
      <c r="FI32" s="85" t="n">
        <v>514.4</v>
      </c>
      <c r="FJ32" s="85" t="n">
        <v>500.5</v>
      </c>
      <c r="FK32" s="85" t="n">
        <v>503.4</v>
      </c>
      <c r="FL32" s="85" t="n">
        <v>448.3</v>
      </c>
      <c r="FM32" s="85" t="n">
        <v>437.7</v>
      </c>
      <c r="FN32" s="85" t="n">
        <v>441.7</v>
      </c>
      <c r="FO32" s="85" t="n">
        <v>447.9</v>
      </c>
      <c r="FP32" s="85" t="n">
        <v>440</v>
      </c>
      <c r="FQ32" s="85" t="n">
        <v>448.2</v>
      </c>
      <c r="FR32" s="85" t="n">
        <v>440</v>
      </c>
      <c r="FS32" s="85" t="n">
        <v>459.2</v>
      </c>
      <c r="FT32" s="85" t="n">
        <v>454</v>
      </c>
      <c r="FU32" s="85" t="n">
        <v>447.3</v>
      </c>
      <c r="FV32" s="85" t="n">
        <v>467.8</v>
      </c>
      <c r="FW32" s="85" t="n">
        <v>492.5</v>
      </c>
      <c r="FX32" s="85" t="n">
        <v>511.1</v>
      </c>
      <c r="FY32" s="85" t="n">
        <v>508.8</v>
      </c>
      <c r="FZ32" s="85" t="n">
        <v>524.8</v>
      </c>
      <c r="GA32" s="85" t="n">
        <v>528.9</v>
      </c>
      <c r="GB32" s="85" t="n">
        <v>530.4</v>
      </c>
      <c r="GC32" s="85" t="n">
        <v>548.2</v>
      </c>
      <c r="GD32" s="85" t="n">
        <v>544.4</v>
      </c>
      <c r="GE32" s="85" t="n">
        <v>546.6</v>
      </c>
      <c r="GF32" s="85" t="n">
        <v>562.8</v>
      </c>
      <c r="GG32" s="85" t="n">
        <v>573.1</v>
      </c>
      <c r="GH32" s="85" t="n">
        <v>562.8</v>
      </c>
      <c r="GI32" s="85" t="n">
        <v>542.4</v>
      </c>
      <c r="GJ32" s="85" t="n">
        <v>562.9</v>
      </c>
      <c r="GK32" s="85" t="n">
        <v>573.6</v>
      </c>
      <c r="GL32" s="85" t="n">
        <v>582</v>
      </c>
      <c r="GM32" s="85" t="n">
        <v>576.7</v>
      </c>
      <c r="GN32" s="85" t="n">
        <v>581.4</v>
      </c>
      <c r="GO32" s="85" t="n">
        <v>590.1</v>
      </c>
      <c r="GP32" s="85" t="n">
        <v>591.2</v>
      </c>
      <c r="GQ32" s="85" t="n">
        <v>610.7</v>
      </c>
      <c r="GR32" s="85" t="n">
        <v>608.8</v>
      </c>
      <c r="GS32" s="85" t="n">
        <v>625</v>
      </c>
      <c r="GT32" s="85" t="n">
        <v>635</v>
      </c>
      <c r="GU32" s="85" t="n">
        <v>1387</v>
      </c>
      <c r="GV32" s="85" t="n">
        <v>734.9</v>
      </c>
      <c r="GW32" s="85" t="n">
        <v>757.9</v>
      </c>
      <c r="GX32" s="85" t="n">
        <v>777.7</v>
      </c>
      <c r="GY32" s="85" t="n">
        <v>1640.8</v>
      </c>
      <c r="GZ32" s="85" t="n">
        <v>1085.6</v>
      </c>
      <c r="HA32" s="85" t="n">
        <v>936.3</v>
      </c>
      <c r="HB32" s="85" t="n">
        <v>930</v>
      </c>
      <c r="HC32" t="n">
        <v>951.4</v>
      </c>
      <c r="HD32" t="n">
        <v>956.4</v>
      </c>
      <c r="HE32" t="n">
        <v>955.4</v>
      </c>
      <c r="HF32" t="n">
        <v>977.7</v>
      </c>
      <c r="HG32" t="n">
        <v>967.9</v>
      </c>
      <c r="HH32" t="n">
        <v>915.6</v>
      </c>
      <c r="HI32" t="n">
        <v>941.4</v>
      </c>
      <c r="HJ32" t="n">
        <v>941</v>
      </c>
      <c r="HK32" t="n">
        <v>949.1</v>
      </c>
    </row>
    <row r="33">
      <c r="A33" s="85" t="s">
        <v>2541</v>
      </c>
      <c r="B33" s="85" t="n">
        <v>14</v>
      </c>
      <c r="C33" s="85" t="n">
        <v>14.1</v>
      </c>
      <c r="D33" s="85" t="n">
        <v>14.3</v>
      </c>
      <c r="E33" s="85" t="n">
        <v>14.4</v>
      </c>
      <c r="F33" s="85" t="n">
        <v>14.7</v>
      </c>
      <c r="G33" s="85" t="n">
        <v>15.6</v>
      </c>
      <c r="H33" s="85" t="n">
        <v>16</v>
      </c>
      <c r="I33" s="85" t="n">
        <v>17.3</v>
      </c>
      <c r="J33" s="85" t="n">
        <v>19.5</v>
      </c>
      <c r="K33" s="85" t="n">
        <v>21</v>
      </c>
      <c r="L33" s="85" t="n">
        <v>21.2</v>
      </c>
      <c r="M33" s="85" t="n">
        <v>21.8</v>
      </c>
      <c r="N33" s="85" t="n">
        <v>21.9</v>
      </c>
      <c r="O33" s="85" t="n">
        <v>22.3</v>
      </c>
      <c r="P33" s="85" t="n">
        <v>23.1</v>
      </c>
      <c r="Q33" s="85" t="n">
        <v>24</v>
      </c>
      <c r="R33" s="85" t="n">
        <v>23.3</v>
      </c>
      <c r="S33" s="85" t="n">
        <v>24.1</v>
      </c>
      <c r="T33" s="85" t="n">
        <v>25.2</v>
      </c>
      <c r="U33" s="85" t="n">
        <v>25.6</v>
      </c>
      <c r="V33" s="85" t="n">
        <v>25.7</v>
      </c>
      <c r="W33" s="85" t="n">
        <v>26.5</v>
      </c>
      <c r="X33" s="85" t="n">
        <v>27.2</v>
      </c>
      <c r="Y33" s="85" t="n">
        <v>28.2</v>
      </c>
      <c r="Z33" s="85" t="n">
        <v>29.5</v>
      </c>
      <c r="AA33" s="85" t="n">
        <v>30.6</v>
      </c>
      <c r="AB33" s="85" t="n">
        <v>31.6</v>
      </c>
      <c r="AC33" s="85" t="n">
        <v>32.6</v>
      </c>
      <c r="AD33" s="85" t="n">
        <v>33.5</v>
      </c>
      <c r="AE33" s="85" t="n">
        <v>34.7</v>
      </c>
      <c r="AF33" s="85" t="n">
        <v>35.9</v>
      </c>
      <c r="AG33" s="85" t="n">
        <v>37.3</v>
      </c>
      <c r="AH33" s="85" t="n">
        <v>38.6</v>
      </c>
      <c r="AI33" s="85" t="n">
        <v>40.1</v>
      </c>
      <c r="AJ33" s="85" t="n">
        <v>40.9</v>
      </c>
      <c r="AK33" s="85" t="n">
        <v>42.1</v>
      </c>
      <c r="AL33" s="85" t="n">
        <v>42</v>
      </c>
      <c r="AM33" s="85" t="n">
        <v>42.1</v>
      </c>
      <c r="AN33" s="85" t="n">
        <v>45.4</v>
      </c>
      <c r="AO33" s="85" t="n">
        <v>46.6</v>
      </c>
      <c r="AP33" s="85" t="n">
        <v>46.6</v>
      </c>
      <c r="AQ33" s="85" t="n">
        <v>48</v>
      </c>
      <c r="AR33" s="85" t="n">
        <v>49.4</v>
      </c>
      <c r="AS33" s="85" t="n">
        <v>51.6</v>
      </c>
      <c r="AT33" s="85" t="n">
        <v>52.5</v>
      </c>
      <c r="AU33" s="85" t="n">
        <v>53.7</v>
      </c>
      <c r="AV33" s="85" t="n">
        <v>55.5</v>
      </c>
      <c r="AW33" s="85" t="n">
        <v>56.8</v>
      </c>
      <c r="AX33" s="85" t="n">
        <v>57.3</v>
      </c>
      <c r="AY33" s="85" t="n">
        <v>58.1</v>
      </c>
      <c r="AZ33" s="85" t="n">
        <v>60.4</v>
      </c>
      <c r="BA33" s="85" t="n">
        <v>60.8</v>
      </c>
      <c r="BB33" s="85" t="n">
        <v>61.3</v>
      </c>
      <c r="BC33" s="85" t="n">
        <v>64.3</v>
      </c>
      <c r="BD33" s="85" t="n">
        <v>68.1</v>
      </c>
      <c r="BE33" s="85" t="n">
        <v>70.7</v>
      </c>
      <c r="BF33" s="85" t="n">
        <v>73.3</v>
      </c>
      <c r="BG33" s="85" t="n">
        <v>75.8</v>
      </c>
      <c r="BH33" s="85" t="n">
        <v>76.8</v>
      </c>
      <c r="BI33" s="85" t="n">
        <v>78.2</v>
      </c>
      <c r="BJ33" s="85" t="n">
        <v>79.3</v>
      </c>
      <c r="BK33" s="85" t="n">
        <v>80.9</v>
      </c>
      <c r="BL33" s="85" t="n">
        <v>81.5</v>
      </c>
      <c r="BM33" s="85" t="n">
        <v>83.7</v>
      </c>
      <c r="BN33" s="85" t="n">
        <v>84.5</v>
      </c>
      <c r="BO33" s="85" t="n">
        <v>85</v>
      </c>
      <c r="BP33" s="85" t="n">
        <v>87.5</v>
      </c>
      <c r="BQ33" s="85" t="n">
        <v>91.8</v>
      </c>
      <c r="BR33" s="85" t="n">
        <v>92.4</v>
      </c>
      <c r="BS33" s="85" t="n">
        <v>101.5</v>
      </c>
      <c r="BT33" s="85" t="n">
        <v>94.1</v>
      </c>
      <c r="BU33" s="85" t="n">
        <v>98.4</v>
      </c>
      <c r="BV33" s="85" t="n">
        <v>99.4</v>
      </c>
      <c r="BW33" s="85" t="n">
        <v>97.2</v>
      </c>
      <c r="BX33" s="85" t="n">
        <v>104.1</v>
      </c>
      <c r="BY33" s="85" t="n">
        <v>107.6</v>
      </c>
      <c r="BZ33" s="85" t="n">
        <v>113.4</v>
      </c>
      <c r="CA33" s="85" t="n">
        <v>118.3</v>
      </c>
      <c r="CB33" s="85" t="n">
        <v>114.5</v>
      </c>
      <c r="CC33" s="85" t="n">
        <v>112.4</v>
      </c>
      <c r="CD33" s="85" t="n">
        <v>119.4</v>
      </c>
      <c r="CE33" s="85" t="n">
        <v>122.6</v>
      </c>
      <c r="CF33" s="85" t="n">
        <v>123.7</v>
      </c>
      <c r="CG33" s="85" t="n">
        <v>124.6</v>
      </c>
      <c r="CH33" s="85" t="n">
        <v>121.2</v>
      </c>
      <c r="CI33" s="85" t="n">
        <v>124.5</v>
      </c>
      <c r="CJ33" s="85" t="n">
        <v>126.1</v>
      </c>
      <c r="CK33" s="85" t="n">
        <v>129.5</v>
      </c>
      <c r="CL33" s="85" t="n">
        <v>127.6</v>
      </c>
      <c r="CM33" s="85" t="n">
        <v>136.9</v>
      </c>
      <c r="CN33" s="85" t="n">
        <v>136.8</v>
      </c>
      <c r="CO33" s="85" t="n">
        <v>140</v>
      </c>
      <c r="CP33" s="85" t="n">
        <v>136.7</v>
      </c>
      <c r="CQ33" s="85" t="n">
        <v>138.3</v>
      </c>
      <c r="CR33" s="85" t="n">
        <v>143.6</v>
      </c>
      <c r="CS33" s="85" t="n">
        <v>145.8</v>
      </c>
      <c r="CT33" s="85" t="n">
        <v>146.9</v>
      </c>
      <c r="CU33" s="85" t="n">
        <v>141.9</v>
      </c>
      <c r="CV33" s="85" t="n">
        <v>151.2</v>
      </c>
      <c r="CW33" s="85" t="n">
        <v>152</v>
      </c>
      <c r="CX33" s="85" t="n">
        <v>156.9</v>
      </c>
      <c r="CY33" s="85" t="n">
        <v>152.4</v>
      </c>
      <c r="CZ33" s="85" t="n">
        <v>160.7</v>
      </c>
      <c r="DA33" s="85" t="n">
        <v>162.4</v>
      </c>
      <c r="DB33" s="85" t="n">
        <v>165.3</v>
      </c>
      <c r="DC33" s="85" t="n">
        <v>165.9</v>
      </c>
      <c r="DD33" s="85" t="n">
        <v>169.3</v>
      </c>
      <c r="DE33" s="85" t="n">
        <v>174.1</v>
      </c>
      <c r="DF33" s="85" t="n">
        <v>177.8</v>
      </c>
      <c r="DG33" s="85" t="n">
        <v>176.9</v>
      </c>
      <c r="DH33" s="85" t="n">
        <v>184.1</v>
      </c>
      <c r="DI33" s="85" t="n">
        <v>189.2</v>
      </c>
      <c r="DJ33" s="85" t="n">
        <v>195.6</v>
      </c>
      <c r="DK33" s="85" t="n">
        <v>201.4</v>
      </c>
      <c r="DL33" s="85" t="n">
        <v>201.6</v>
      </c>
      <c r="DM33" s="85" t="n">
        <v>206.3</v>
      </c>
      <c r="DN33" s="85" t="n">
        <v>208.2</v>
      </c>
      <c r="DO33" s="85" t="n">
        <v>209.4</v>
      </c>
      <c r="DP33" s="85" t="n">
        <v>216.4</v>
      </c>
      <c r="DQ33" s="85" t="n">
        <v>224</v>
      </c>
      <c r="DR33" s="85" t="n">
        <v>232.2</v>
      </c>
      <c r="DS33" s="85" t="n">
        <v>243.3</v>
      </c>
      <c r="DT33" s="85" t="n">
        <v>236.6</v>
      </c>
      <c r="DU33" s="85" t="n">
        <v>234.8</v>
      </c>
      <c r="DV33" s="85" t="n">
        <v>250.9</v>
      </c>
      <c r="DW33" s="85" t="n">
        <v>259.9</v>
      </c>
      <c r="DX33" s="85" t="n">
        <v>231.9</v>
      </c>
      <c r="DY33" s="85" t="n">
        <v>229.3</v>
      </c>
      <c r="DZ33" s="85" t="n">
        <v>227.4</v>
      </c>
      <c r="EA33" s="85" t="n">
        <v>214.3</v>
      </c>
      <c r="EB33" s="85" t="n">
        <v>218.8</v>
      </c>
      <c r="EC33" s="85" t="n">
        <v>218.9</v>
      </c>
      <c r="ED33" s="85" t="n">
        <v>217.9</v>
      </c>
      <c r="EE33" s="85" t="n">
        <v>207.9</v>
      </c>
      <c r="EF33" s="85" t="n">
        <v>234.2</v>
      </c>
      <c r="EG33" s="85" t="n">
        <v>239.7</v>
      </c>
      <c r="EH33" s="85" t="n">
        <v>239</v>
      </c>
      <c r="EI33" s="85" t="n">
        <v>234.3</v>
      </c>
      <c r="EJ33" s="85" t="n">
        <v>247.7</v>
      </c>
      <c r="EK33" s="85" t="n">
        <v>261.8</v>
      </c>
      <c r="EL33" s="85" t="n">
        <v>269.4</v>
      </c>
      <c r="EM33" s="85" t="n">
        <v>270.4</v>
      </c>
      <c r="EN33" s="85" t="n">
        <v>276</v>
      </c>
      <c r="EO33" s="85" t="n">
        <v>285.2</v>
      </c>
      <c r="EP33" s="85" t="n">
        <v>294.9</v>
      </c>
      <c r="EQ33" s="85" t="n">
        <v>310.1</v>
      </c>
      <c r="ER33" s="85" t="n">
        <v>297.7</v>
      </c>
      <c r="ES33" s="85" t="n">
        <v>301.7</v>
      </c>
      <c r="ET33" s="85" t="n">
        <v>320.5</v>
      </c>
      <c r="EU33" s="85" t="n">
        <v>332</v>
      </c>
      <c r="EV33" s="85" t="n">
        <v>319.6</v>
      </c>
      <c r="EW33" s="85" t="n">
        <v>314.2</v>
      </c>
      <c r="EX33" s="85" t="n">
        <v>333.4</v>
      </c>
      <c r="EY33" s="85" t="n">
        <v>361.1</v>
      </c>
      <c r="EZ33" s="85" t="n">
        <v>323.8</v>
      </c>
      <c r="FA33" s="85" t="n">
        <v>305.1</v>
      </c>
      <c r="FB33" s="85" t="n">
        <v>281.1</v>
      </c>
      <c r="FC33" s="85" t="n">
        <v>275.6</v>
      </c>
      <c r="FD33" s="85" t="n">
        <v>293.3</v>
      </c>
      <c r="FE33" s="85" t="n">
        <v>293.3</v>
      </c>
      <c r="FF33" s="85" t="n">
        <v>288.4</v>
      </c>
      <c r="FG33" s="85" t="n">
        <v>278</v>
      </c>
      <c r="FH33" s="85" t="n">
        <v>297.8</v>
      </c>
      <c r="FI33" s="85" t="n">
        <v>311.9</v>
      </c>
      <c r="FJ33" s="85" t="n">
        <v>315.2</v>
      </c>
      <c r="FK33" s="85" t="n">
        <v>319.4</v>
      </c>
      <c r="FL33" s="85" t="n">
        <v>327.2</v>
      </c>
      <c r="FM33" s="85" t="n">
        <v>329.9</v>
      </c>
      <c r="FN33" s="85" t="n">
        <v>330.1</v>
      </c>
      <c r="FO33" s="85" t="n">
        <v>337</v>
      </c>
      <c r="FP33" s="85" t="n">
        <v>346.2</v>
      </c>
      <c r="FQ33" s="85" t="n">
        <v>359.2</v>
      </c>
      <c r="FR33" s="85" t="n">
        <v>377.3</v>
      </c>
      <c r="FS33" s="85" t="n">
        <v>387.5</v>
      </c>
      <c r="FT33" s="85" t="n">
        <v>368</v>
      </c>
      <c r="FU33" s="85" t="n">
        <v>365.9</v>
      </c>
      <c r="FV33" s="85" t="n">
        <v>376.7</v>
      </c>
      <c r="FW33" s="85" t="n">
        <v>370.5</v>
      </c>
      <c r="FX33" s="85" t="n">
        <v>386.5</v>
      </c>
      <c r="FY33" s="85" t="n">
        <v>394.1</v>
      </c>
      <c r="FZ33" s="85" t="n">
        <v>396.4</v>
      </c>
      <c r="GA33" s="85" t="n">
        <v>416.2</v>
      </c>
      <c r="GB33" s="85" t="n">
        <v>407.4</v>
      </c>
      <c r="GC33" s="85" t="n">
        <v>413.2</v>
      </c>
      <c r="GD33" s="85" t="n">
        <v>398.5</v>
      </c>
      <c r="GE33" s="85" t="n">
        <v>407.3</v>
      </c>
      <c r="GF33" s="85" t="n">
        <v>418.7</v>
      </c>
      <c r="GG33" s="85" t="n">
        <v>418.7</v>
      </c>
      <c r="GH33" s="85" t="n">
        <v>424.3</v>
      </c>
      <c r="GI33" s="85" t="n">
        <v>412.2</v>
      </c>
      <c r="GJ33" s="85" t="n">
        <v>431.9</v>
      </c>
      <c r="GK33" s="85" t="n">
        <v>474.6</v>
      </c>
      <c r="GL33" s="85" t="n">
        <v>474.3</v>
      </c>
      <c r="GM33" s="85" t="n">
        <v>450.9</v>
      </c>
      <c r="GN33" s="85" t="n">
        <v>460.4</v>
      </c>
      <c r="GO33" s="85" t="n">
        <v>453.8</v>
      </c>
      <c r="GP33" s="85" t="n">
        <v>473.5</v>
      </c>
      <c r="GQ33" s="85" t="n">
        <v>531</v>
      </c>
      <c r="GR33" s="85" t="n">
        <v>495.6</v>
      </c>
      <c r="GS33" s="85" t="n">
        <v>490.1</v>
      </c>
      <c r="GT33" s="85" t="n">
        <v>492.5</v>
      </c>
      <c r="GU33" s="85" t="n">
        <v>485.2</v>
      </c>
      <c r="GV33" s="85" t="n">
        <v>511.6</v>
      </c>
      <c r="GW33" s="85" t="n">
        <v>528.4</v>
      </c>
      <c r="GX33" s="85" t="n">
        <v>559</v>
      </c>
      <c r="GY33" s="85" t="n">
        <v>586.1</v>
      </c>
      <c r="GZ33" s="85" t="n">
        <v>576.4</v>
      </c>
      <c r="HA33" s="85" t="n">
        <v>599.1</v>
      </c>
      <c r="HB33" s="85" t="n">
        <v>656.7</v>
      </c>
      <c r="HC33" t="n">
        <v>693.1</v>
      </c>
      <c r="HD33" t="n">
        <v>596.6</v>
      </c>
      <c r="HE33" t="n">
        <v>607.6</v>
      </c>
      <c r="HF33" t="n">
        <v>578</v>
      </c>
      <c r="HG33" t="n">
        <v>581.6</v>
      </c>
      <c r="HH33" t="n">
        <v>605.5</v>
      </c>
      <c r="HI33" t="n">
        <v>612.1</v>
      </c>
      <c r="HJ33" t="n">
        <v>609.5</v>
      </c>
      <c r="HK33" t="n">
        <v>630</v>
      </c>
    </row>
    <row r="34">
      <c r="A34" s="85" t="s">
        <v>2542</v>
      </c>
      <c r="B34" s="85" t="n">
        <v>70.6</v>
      </c>
      <c r="C34" s="85" t="n">
        <v>72.4</v>
      </c>
      <c r="D34" s="85" t="n">
        <v>74.3</v>
      </c>
      <c r="E34" s="85" t="n">
        <v>76</v>
      </c>
      <c r="F34" s="85" t="n">
        <v>78.3</v>
      </c>
      <c r="G34" s="85" t="n">
        <v>80.2</v>
      </c>
      <c r="H34" s="85" t="n">
        <v>82.8</v>
      </c>
      <c r="I34" s="85" t="n">
        <v>84.7</v>
      </c>
      <c r="J34" s="85" t="n">
        <v>86.4</v>
      </c>
      <c r="K34" s="85" t="n">
        <v>88.5</v>
      </c>
      <c r="L34" s="85" t="n">
        <v>90.4</v>
      </c>
      <c r="M34" s="85" t="n">
        <v>92.5</v>
      </c>
      <c r="N34" s="85" t="n">
        <v>95.1</v>
      </c>
      <c r="O34" s="85" t="n">
        <v>96.3</v>
      </c>
      <c r="P34" s="85" t="n">
        <v>98.7</v>
      </c>
      <c r="Q34" s="85" t="n">
        <v>99.6</v>
      </c>
      <c r="R34" s="85" t="n">
        <v>101</v>
      </c>
      <c r="S34" s="85" t="n">
        <v>104</v>
      </c>
      <c r="T34" s="85" t="n">
        <v>106.8</v>
      </c>
      <c r="U34" s="85" t="n">
        <v>107.5</v>
      </c>
      <c r="V34" s="85" t="n">
        <v>109</v>
      </c>
      <c r="W34" s="85" t="n">
        <v>111.7</v>
      </c>
      <c r="X34" s="85" t="n">
        <v>114.9</v>
      </c>
      <c r="Y34" s="85" t="n">
        <v>117.3</v>
      </c>
      <c r="Z34" s="85" t="n">
        <v>120.9</v>
      </c>
      <c r="AA34" s="85" t="n">
        <v>123.5</v>
      </c>
      <c r="AB34" s="85" t="n">
        <v>126</v>
      </c>
      <c r="AC34" s="85" t="n">
        <v>129.6</v>
      </c>
      <c r="AD34" s="85" t="n">
        <v>132.9</v>
      </c>
      <c r="AE34" s="85" t="n">
        <v>135.5</v>
      </c>
      <c r="AF34" s="85" t="n">
        <v>138.3</v>
      </c>
      <c r="AG34" s="85" t="n">
        <v>141.1</v>
      </c>
      <c r="AH34" s="85" t="n">
        <v>143</v>
      </c>
      <c r="AI34" s="85" t="n">
        <v>147.7</v>
      </c>
      <c r="AJ34" s="85" t="n">
        <v>144.2</v>
      </c>
      <c r="AK34" s="85" t="n">
        <v>147.6</v>
      </c>
      <c r="AL34" s="85" t="n">
        <v>150.6</v>
      </c>
      <c r="AM34" s="85" t="n">
        <v>152.6</v>
      </c>
      <c r="AN34" s="85" t="n">
        <v>155.6</v>
      </c>
      <c r="AO34" s="85" t="n">
        <v>159</v>
      </c>
      <c r="AP34" s="85" t="n">
        <v>161.9</v>
      </c>
      <c r="AQ34" s="85" t="n">
        <v>163.3</v>
      </c>
      <c r="AR34" s="85" t="n">
        <v>168.2</v>
      </c>
      <c r="AS34" s="85" t="n">
        <v>173.3</v>
      </c>
      <c r="AT34" s="85" t="n">
        <v>180.2</v>
      </c>
      <c r="AU34" s="85" t="n">
        <v>183.7</v>
      </c>
      <c r="AV34" s="85" t="n">
        <v>188.3</v>
      </c>
      <c r="AW34" s="85" t="n">
        <v>190.7</v>
      </c>
      <c r="AX34" s="85" t="n">
        <v>193.9</v>
      </c>
      <c r="AY34" s="85" t="n">
        <v>198.3</v>
      </c>
      <c r="AZ34" s="85" t="n">
        <v>201.7</v>
      </c>
      <c r="BA34" s="85" t="n">
        <v>206</v>
      </c>
      <c r="BB34" s="85" t="n">
        <v>209.6</v>
      </c>
      <c r="BC34" s="85" t="n">
        <v>216</v>
      </c>
      <c r="BD34" s="85" t="n">
        <v>222</v>
      </c>
      <c r="BE34" s="85" t="n">
        <v>228</v>
      </c>
      <c r="BF34" s="85" t="n">
        <v>234.7</v>
      </c>
      <c r="BG34" s="85" t="n">
        <v>240.3</v>
      </c>
      <c r="BH34" s="85" t="n">
        <v>244.7</v>
      </c>
      <c r="BI34" s="85" t="n">
        <v>250.2</v>
      </c>
      <c r="BJ34" s="85" t="n">
        <v>254.7</v>
      </c>
      <c r="BK34" s="85" t="n">
        <v>260</v>
      </c>
      <c r="BL34" s="85" t="n">
        <v>265.1</v>
      </c>
      <c r="BM34" s="85" t="n">
        <v>268.5</v>
      </c>
      <c r="BN34" s="85" t="n">
        <v>273</v>
      </c>
      <c r="BO34" s="85" t="n">
        <v>276.6</v>
      </c>
      <c r="BP34" s="85" t="n">
        <v>282.3</v>
      </c>
      <c r="BQ34" s="85" t="n">
        <v>286.8</v>
      </c>
      <c r="BR34" s="85" t="n">
        <v>291.9</v>
      </c>
      <c r="BS34" s="85" t="n">
        <v>298.5</v>
      </c>
      <c r="BT34" s="85" t="n">
        <v>306</v>
      </c>
      <c r="BU34" s="85" t="n">
        <v>310</v>
      </c>
      <c r="BV34" s="85" t="n">
        <v>315.7</v>
      </c>
      <c r="BW34" s="85" t="n">
        <v>323.2</v>
      </c>
      <c r="BX34" s="85" t="n">
        <v>327.3</v>
      </c>
      <c r="BY34" s="85" t="n">
        <v>332.4</v>
      </c>
      <c r="BZ34" s="85" t="n">
        <v>340.2</v>
      </c>
      <c r="CA34" s="85" t="n">
        <v>348.2</v>
      </c>
      <c r="CB34" s="85" t="n">
        <v>353.9</v>
      </c>
      <c r="CC34" s="85" t="n">
        <v>354.2</v>
      </c>
      <c r="CD34" s="85" t="n">
        <v>369.3</v>
      </c>
      <c r="CE34" s="85" t="n">
        <v>368.7</v>
      </c>
      <c r="CF34" s="85" t="n">
        <v>375.6</v>
      </c>
      <c r="CG34" s="85" t="n">
        <v>382.7</v>
      </c>
      <c r="CH34" s="85" t="n">
        <v>384.3</v>
      </c>
      <c r="CI34" s="85" t="n">
        <v>390.2</v>
      </c>
      <c r="CJ34" s="85" t="n">
        <v>399.4</v>
      </c>
      <c r="CK34" s="85" t="n">
        <v>407.3</v>
      </c>
      <c r="CL34" s="85" t="n">
        <v>412.8</v>
      </c>
      <c r="CM34" s="85" t="n">
        <v>418.2</v>
      </c>
      <c r="CN34" s="85" t="n">
        <v>424.1</v>
      </c>
      <c r="CO34" s="85" t="n">
        <v>425.3</v>
      </c>
      <c r="CP34" s="85" t="n">
        <v>427.5</v>
      </c>
      <c r="CQ34" s="85" t="n">
        <v>432.8</v>
      </c>
      <c r="CR34" s="85" t="n">
        <v>439.5</v>
      </c>
      <c r="CS34" s="85" t="n">
        <v>447.2</v>
      </c>
      <c r="CT34" s="85" t="n">
        <v>456</v>
      </c>
      <c r="CU34" s="85" t="n">
        <v>465.8</v>
      </c>
      <c r="CV34" s="85" t="n">
        <v>470</v>
      </c>
      <c r="CW34" s="85" t="n">
        <v>473.3</v>
      </c>
      <c r="CX34" s="85" t="n">
        <v>478.8</v>
      </c>
      <c r="CY34" s="85" t="n">
        <v>477.9</v>
      </c>
      <c r="CZ34" s="85" t="n">
        <v>483.5</v>
      </c>
      <c r="DA34" s="85" t="n">
        <v>489.3</v>
      </c>
      <c r="DB34" s="85" t="n">
        <v>497.8</v>
      </c>
      <c r="DC34" s="85" t="n">
        <v>506.5</v>
      </c>
      <c r="DD34" s="85" t="n">
        <v>510.1</v>
      </c>
      <c r="DE34" s="85" t="n">
        <v>517.3</v>
      </c>
      <c r="DF34" s="85" t="n">
        <v>523.8</v>
      </c>
      <c r="DG34" s="85" t="n">
        <v>530.7</v>
      </c>
      <c r="DH34" s="85" t="n">
        <v>536.6</v>
      </c>
      <c r="DI34" s="85" t="n">
        <v>544</v>
      </c>
      <c r="DJ34" s="85" t="n">
        <v>549.6</v>
      </c>
      <c r="DK34" s="85" t="n">
        <v>555.4</v>
      </c>
      <c r="DL34" s="85" t="n">
        <v>561.6</v>
      </c>
      <c r="DM34" s="85" t="n">
        <v>568.6</v>
      </c>
      <c r="DN34" s="85" t="n">
        <v>576.2</v>
      </c>
      <c r="DO34" s="85" t="n">
        <v>585.4</v>
      </c>
      <c r="DP34" s="85" t="n">
        <v>595.2</v>
      </c>
      <c r="DQ34" s="85" t="n">
        <v>603.7</v>
      </c>
      <c r="DR34" s="85" t="n">
        <v>612.4</v>
      </c>
      <c r="DS34" s="85" t="n">
        <v>618.9</v>
      </c>
      <c r="DT34" s="85" t="n">
        <v>623.7</v>
      </c>
      <c r="DU34" s="85" t="n">
        <v>630.1</v>
      </c>
      <c r="DV34" s="85" t="n">
        <v>637.1</v>
      </c>
      <c r="DW34" s="85" t="n">
        <v>637.8</v>
      </c>
      <c r="DX34" s="85" t="n">
        <v>641.7</v>
      </c>
      <c r="DY34" s="85" t="n">
        <v>653</v>
      </c>
      <c r="DZ34" s="85" t="n">
        <v>659.3</v>
      </c>
      <c r="EA34" s="85" t="n">
        <v>664</v>
      </c>
      <c r="EB34" s="85" t="n">
        <v>680.5</v>
      </c>
      <c r="EC34" s="85" t="n">
        <v>689</v>
      </c>
      <c r="ED34" s="85" t="n">
        <v>698.5</v>
      </c>
      <c r="EE34" s="85" t="n">
        <v>709.9</v>
      </c>
      <c r="EF34" s="85" t="n">
        <v>723.4</v>
      </c>
      <c r="EG34" s="85" t="n">
        <v>729.8</v>
      </c>
      <c r="EH34" s="85" t="n">
        <v>753.2</v>
      </c>
      <c r="EI34" s="85" t="n">
        <v>765.1</v>
      </c>
      <c r="EJ34" s="85" t="n">
        <v>775.4</v>
      </c>
      <c r="EK34" s="85" t="n">
        <v>797.6</v>
      </c>
      <c r="EL34" s="85" t="n">
        <v>817.9</v>
      </c>
      <c r="EM34" s="85" t="n">
        <v>835.9</v>
      </c>
      <c r="EN34" s="85" t="n">
        <v>851.8</v>
      </c>
      <c r="EO34" s="85" t="n">
        <v>866.6</v>
      </c>
      <c r="EP34" s="85" t="n">
        <v>882.7</v>
      </c>
      <c r="EQ34" s="85" t="n">
        <v>892.2</v>
      </c>
      <c r="ER34" s="85" t="n">
        <v>903.9</v>
      </c>
      <c r="ES34" s="85" t="n">
        <v>912.4</v>
      </c>
      <c r="ET34" s="85" t="n">
        <v>931.9</v>
      </c>
      <c r="EU34" s="85" t="n">
        <v>939.4</v>
      </c>
      <c r="EV34" s="85" t="n">
        <v>940.4</v>
      </c>
      <c r="EW34" s="85" t="n">
        <v>957.1</v>
      </c>
      <c r="EX34" s="85" t="n">
        <v>952.5</v>
      </c>
      <c r="EY34" s="85" t="n">
        <v>959.4</v>
      </c>
      <c r="EZ34" s="85" t="n">
        <v>964.8</v>
      </c>
      <c r="FA34" s="85" t="n">
        <v>946.3</v>
      </c>
      <c r="FB34" s="85" t="n">
        <v>929.2</v>
      </c>
      <c r="FC34" s="85" t="n">
        <v>923</v>
      </c>
      <c r="FD34" s="85" t="n">
        <v>937.4</v>
      </c>
      <c r="FE34" s="85" t="n">
        <v>952.1</v>
      </c>
      <c r="FF34" s="85" t="n">
        <v>951.6</v>
      </c>
      <c r="FG34" s="85" t="n">
        <v>965.7</v>
      </c>
      <c r="FH34" s="85" t="n">
        <v>970.1</v>
      </c>
      <c r="FI34" s="85" t="n">
        <v>977.7</v>
      </c>
      <c r="FJ34" s="85" t="n">
        <v>986.8</v>
      </c>
      <c r="FK34" s="85" t="n">
        <v>996.4</v>
      </c>
      <c r="FL34" s="85" t="n">
        <v>994.5</v>
      </c>
      <c r="FM34" s="85" t="n">
        <v>1002.7</v>
      </c>
      <c r="FN34" s="85" t="n">
        <v>1016.9</v>
      </c>
      <c r="FO34" s="85" t="n">
        <v>1019.5</v>
      </c>
      <c r="FP34" s="85" t="n">
        <v>1016.6</v>
      </c>
      <c r="FQ34" s="85" t="n">
        <v>1030.8</v>
      </c>
      <c r="FR34" s="85" t="n">
        <v>1053.1</v>
      </c>
      <c r="FS34" s="85" t="n">
        <v>1054.9</v>
      </c>
      <c r="FT34" s="85" t="n">
        <v>1063.8</v>
      </c>
      <c r="FU34" s="85" t="n">
        <v>1069.5</v>
      </c>
      <c r="FV34" s="85" t="n">
        <v>1079.3</v>
      </c>
      <c r="FW34" s="85" t="n">
        <v>1099.4</v>
      </c>
      <c r="FX34" s="85" t="n">
        <v>1108.2</v>
      </c>
      <c r="FY34" s="85" t="n">
        <v>1117.2</v>
      </c>
      <c r="FZ34" s="85" t="n">
        <v>1117.9</v>
      </c>
      <c r="GA34" s="85" t="n">
        <v>1125.8</v>
      </c>
      <c r="GB34" s="85" t="n">
        <v>1138</v>
      </c>
      <c r="GC34" s="85" t="n">
        <v>1144.7</v>
      </c>
      <c r="GD34" s="85" t="n">
        <v>1153</v>
      </c>
      <c r="GE34" s="85" t="n">
        <v>1160.9</v>
      </c>
      <c r="GF34" s="85" t="n">
        <v>1183.6</v>
      </c>
      <c r="GG34" s="85" t="n">
        <v>1190</v>
      </c>
      <c r="GH34" s="85" t="n">
        <v>1209.4</v>
      </c>
      <c r="GI34" s="85" t="n">
        <v>1221.8</v>
      </c>
      <c r="GJ34" s="85" t="n">
        <v>1240.2</v>
      </c>
      <c r="GK34" s="85" t="n">
        <v>1258.8</v>
      </c>
      <c r="GL34" s="85" t="n">
        <v>1273.2</v>
      </c>
      <c r="GM34" s="85" t="n">
        <v>1285.3</v>
      </c>
      <c r="GN34" s="85" t="n">
        <v>1300.2</v>
      </c>
      <c r="GO34" s="85" t="n">
        <v>1315.9</v>
      </c>
      <c r="GP34" s="85" t="n">
        <v>1333.5</v>
      </c>
      <c r="GQ34" s="85" t="n">
        <v>1351</v>
      </c>
      <c r="GR34" s="85" t="n">
        <v>1376.8</v>
      </c>
      <c r="GS34" s="85" t="n">
        <v>1373.6</v>
      </c>
      <c r="GT34" s="85" t="n">
        <v>1373.1</v>
      </c>
      <c r="GU34" s="85" t="n">
        <v>1288.7</v>
      </c>
      <c r="GV34" s="85" t="n">
        <v>1390.2</v>
      </c>
      <c r="GW34" s="85" t="n">
        <v>1411.7</v>
      </c>
      <c r="GX34" s="85" t="n">
        <v>1436.2</v>
      </c>
      <c r="GY34" s="85" t="n">
        <v>1524.3</v>
      </c>
      <c r="GZ34" s="85" t="n">
        <v>1538.3</v>
      </c>
      <c r="HA34" s="85" t="n">
        <v>1579.3</v>
      </c>
      <c r="HB34" s="85" t="n">
        <v>1605.3</v>
      </c>
      <c r="HC34" t="n">
        <v>1644.2</v>
      </c>
      <c r="HD34" t="n">
        <v>1668.2</v>
      </c>
      <c r="HE34" t="n">
        <v>1676.9</v>
      </c>
      <c r="HF34" t="n">
        <v>1697.8</v>
      </c>
      <c r="HG34" t="n">
        <v>1709.4</v>
      </c>
      <c r="HH34" t="n">
        <v>1724</v>
      </c>
      <c r="HI34" t="n">
        <v>1744.3</v>
      </c>
      <c r="HJ34" t="n">
        <v>1760.8</v>
      </c>
      <c r="HK34" t="n">
        <v>1782.3</v>
      </c>
    </row>
    <row r="35">
      <c r="A35" s="85" t="s">
        <v>2543</v>
      </c>
      <c r="B35" s="85" t="n">
        <v>3.8</v>
      </c>
      <c r="C35" s="85" t="n">
        <v>3.7</v>
      </c>
      <c r="D35" s="85" t="n">
        <v>3.8</v>
      </c>
      <c r="E35" s="85" t="n">
        <v>3.6</v>
      </c>
      <c r="F35" s="85" t="n">
        <v>4.1</v>
      </c>
      <c r="G35" s="85" t="n">
        <v>4.2</v>
      </c>
      <c r="H35" s="85" t="n">
        <v>4.4</v>
      </c>
      <c r="I35" s="85" t="n">
        <v>4.5</v>
      </c>
      <c r="J35" s="85" t="n">
        <v>5</v>
      </c>
      <c r="K35" s="85" t="n">
        <v>5</v>
      </c>
      <c r="L35" s="85" t="n">
        <v>5.2</v>
      </c>
      <c r="M35" s="85" t="n">
        <v>5.7</v>
      </c>
      <c r="N35" s="85" t="n">
        <v>6</v>
      </c>
      <c r="O35" s="85" t="n">
        <v>6.1</v>
      </c>
      <c r="P35" s="85" t="n">
        <v>5.9</v>
      </c>
      <c r="Q35" s="85" t="n">
        <v>6.1</v>
      </c>
      <c r="R35" s="85" t="n">
        <v>6.3</v>
      </c>
      <c r="S35" s="85" t="n">
        <v>6.6</v>
      </c>
      <c r="T35" s="85" t="n">
        <v>7.3</v>
      </c>
      <c r="U35" s="85" t="n">
        <v>6.5</v>
      </c>
      <c r="V35" s="85" t="n">
        <v>6.1</v>
      </c>
      <c r="W35" s="85" t="n">
        <v>6.6</v>
      </c>
      <c r="X35" s="85" t="n">
        <v>8.2</v>
      </c>
      <c r="Y35" s="85" t="n">
        <v>8.4</v>
      </c>
      <c r="Z35" s="85" t="n">
        <v>9.7</v>
      </c>
      <c r="AA35" s="85" t="n">
        <v>9.6</v>
      </c>
      <c r="AB35" s="85" t="n">
        <v>9.7</v>
      </c>
      <c r="AC35" s="85" t="n">
        <v>9.6</v>
      </c>
      <c r="AD35" s="85" t="n">
        <v>10.5</v>
      </c>
      <c r="AE35" s="85" t="n">
        <v>11.4</v>
      </c>
      <c r="AF35" s="85" t="n">
        <v>11.8</v>
      </c>
      <c r="AG35" s="85" t="n">
        <v>12</v>
      </c>
      <c r="AH35" s="85" t="n">
        <v>10.5</v>
      </c>
      <c r="AI35" s="85" t="n">
        <v>12.4</v>
      </c>
      <c r="AJ35" s="85" t="n">
        <v>12.5</v>
      </c>
      <c r="AK35" s="85" t="n">
        <v>13.1</v>
      </c>
      <c r="AL35" s="85" t="n">
        <v>13.7</v>
      </c>
      <c r="AM35" s="85" t="n">
        <v>13.8</v>
      </c>
      <c r="AN35" s="85" t="n">
        <v>13.6</v>
      </c>
      <c r="AO35" s="85" t="n">
        <v>13.2</v>
      </c>
      <c r="AP35" s="85" t="n">
        <v>16.1</v>
      </c>
      <c r="AQ35" s="85" t="n">
        <v>12.8</v>
      </c>
      <c r="AR35" s="85" t="n">
        <v>14</v>
      </c>
      <c r="AS35" s="85" t="n">
        <v>15.1</v>
      </c>
      <c r="AT35" s="85" t="n">
        <v>16.8</v>
      </c>
      <c r="AU35" s="85" t="n">
        <v>15.2</v>
      </c>
      <c r="AV35" s="85" t="n">
        <v>15.7</v>
      </c>
      <c r="AW35" s="85" t="n">
        <v>14.1</v>
      </c>
      <c r="AX35" s="85" t="n">
        <v>14.1</v>
      </c>
      <c r="AY35" s="85" t="n">
        <v>14.3</v>
      </c>
      <c r="AZ35" s="85" t="n">
        <v>14.4</v>
      </c>
      <c r="BA35" s="85" t="n">
        <v>13.3</v>
      </c>
      <c r="BB35" s="85" t="n">
        <v>12.8</v>
      </c>
      <c r="BC35" s="85" t="n">
        <v>15.7</v>
      </c>
      <c r="BD35" s="85" t="n">
        <v>17.4</v>
      </c>
      <c r="BE35" s="85" t="n">
        <v>17.7</v>
      </c>
      <c r="BF35" s="85" t="n">
        <v>20.1</v>
      </c>
      <c r="BG35" s="85" t="n">
        <v>19.9</v>
      </c>
      <c r="BH35" s="85" t="n">
        <v>17.5</v>
      </c>
      <c r="BI35" s="85" t="n">
        <v>17.7</v>
      </c>
      <c r="BJ35" s="85" t="n">
        <v>20</v>
      </c>
      <c r="BK35" s="85" t="n">
        <v>19.6</v>
      </c>
      <c r="BL35" s="85" t="n">
        <v>20.9</v>
      </c>
      <c r="BM35" s="85" t="n">
        <v>20.5</v>
      </c>
      <c r="BN35" s="85" t="n">
        <v>21.4</v>
      </c>
      <c r="BO35" s="85" t="n">
        <v>22</v>
      </c>
      <c r="BP35" s="85" t="n">
        <v>22.4</v>
      </c>
      <c r="BQ35" s="85" t="n">
        <v>24.8</v>
      </c>
      <c r="BR35" s="85" t="n">
        <v>22.7</v>
      </c>
      <c r="BS35" s="85" t="n">
        <v>24.5</v>
      </c>
      <c r="BT35" s="85" t="n">
        <v>24.8</v>
      </c>
      <c r="BU35" s="85" t="n">
        <v>23.6</v>
      </c>
      <c r="BV35" s="85" t="n">
        <v>23.4</v>
      </c>
      <c r="BW35" s="85" t="n">
        <v>25.2</v>
      </c>
      <c r="BX35" s="85" t="n">
        <v>27.3</v>
      </c>
      <c r="BY35" s="85" t="n">
        <v>28.2</v>
      </c>
      <c r="BZ35" s="85" t="n">
        <v>27.8</v>
      </c>
      <c r="CA35" s="85" t="n">
        <v>24.2</v>
      </c>
      <c r="CB35" s="85" t="n">
        <v>22.8</v>
      </c>
      <c r="CC35" s="85" t="n">
        <v>22.1</v>
      </c>
      <c r="CD35" s="85" t="n">
        <v>21.4</v>
      </c>
      <c r="CE35" s="85" t="n">
        <v>22.1</v>
      </c>
      <c r="CF35" s="85" t="n">
        <v>23</v>
      </c>
      <c r="CG35" s="85" t="n">
        <v>23.4</v>
      </c>
      <c r="CH35" s="85" t="n">
        <v>23.8</v>
      </c>
      <c r="CI35" s="85" t="n">
        <v>23.4</v>
      </c>
      <c r="CJ35" s="85" t="n">
        <v>23.7</v>
      </c>
      <c r="CK35" s="85" t="n">
        <v>23.6</v>
      </c>
      <c r="CL35" s="85" t="n">
        <v>25.2</v>
      </c>
      <c r="CM35" s="85" t="n">
        <v>24.7</v>
      </c>
      <c r="CN35" s="85" t="n">
        <v>23.2</v>
      </c>
      <c r="CO35" s="85" t="n">
        <v>24.4</v>
      </c>
      <c r="CP35" s="85" t="n">
        <v>24.8</v>
      </c>
      <c r="CQ35" s="85" t="n">
        <v>26.8</v>
      </c>
      <c r="CR35" s="85" t="n">
        <v>25.2</v>
      </c>
      <c r="CS35" s="85" t="n">
        <v>30.8</v>
      </c>
      <c r="CT35" s="85" t="n">
        <v>27.1</v>
      </c>
      <c r="CU35" s="85" t="n">
        <v>28.7</v>
      </c>
      <c r="CV35" s="85" t="n">
        <v>31.4</v>
      </c>
      <c r="CW35" s="85" t="n">
        <v>32.7</v>
      </c>
      <c r="CX35" s="85" t="n">
        <v>32.5</v>
      </c>
      <c r="CY35" s="85" t="n">
        <v>31.3</v>
      </c>
      <c r="CZ35" s="85" t="n">
        <v>31.9</v>
      </c>
      <c r="DA35" s="85" t="n">
        <v>30.9</v>
      </c>
      <c r="DB35" s="85" t="n">
        <v>31.9</v>
      </c>
      <c r="DC35" s="85" t="n">
        <v>33.5</v>
      </c>
      <c r="DD35" s="85" t="n">
        <v>33.3</v>
      </c>
      <c r="DE35" s="85" t="n">
        <v>33.4</v>
      </c>
      <c r="DF35" s="85" t="n">
        <v>33.1</v>
      </c>
      <c r="DG35" s="85" t="n">
        <v>33.6</v>
      </c>
      <c r="DH35" s="85" t="n">
        <v>35.5</v>
      </c>
      <c r="DI35" s="85" t="n">
        <v>34.4</v>
      </c>
      <c r="DJ35" s="85" t="n">
        <v>34.7</v>
      </c>
      <c r="DK35" s="85" t="n">
        <v>34.5</v>
      </c>
      <c r="DL35" s="85" t="n">
        <v>35.7</v>
      </c>
      <c r="DM35" s="85" t="n">
        <v>34.8</v>
      </c>
      <c r="DN35" s="85" t="n">
        <v>36.3</v>
      </c>
      <c r="DO35" s="85" t="n">
        <v>35.5</v>
      </c>
      <c r="DP35" s="85" t="n">
        <v>35.6</v>
      </c>
      <c r="DQ35" s="85" t="n">
        <v>35.9</v>
      </c>
      <c r="DR35" s="85" t="n">
        <v>37.2</v>
      </c>
      <c r="DS35" s="85" t="n">
        <v>36.5</v>
      </c>
      <c r="DT35" s="85" t="n">
        <v>33.5</v>
      </c>
      <c r="DU35" s="85" t="n">
        <v>33.7</v>
      </c>
      <c r="DV35" s="85" t="n">
        <v>30.1</v>
      </c>
      <c r="DW35" s="85" t="n">
        <v>30.4</v>
      </c>
      <c r="DX35" s="85" t="n">
        <v>28.3</v>
      </c>
      <c r="DY35" s="85" t="n">
        <v>26.6</v>
      </c>
      <c r="DZ35" s="85" t="n">
        <v>28.3</v>
      </c>
      <c r="EA35" s="85" t="n">
        <v>30.2</v>
      </c>
      <c r="EB35" s="85" t="n">
        <v>31.5</v>
      </c>
      <c r="EC35" s="85" t="n">
        <v>33.5</v>
      </c>
      <c r="ED35" s="85" t="n">
        <v>34.5</v>
      </c>
      <c r="EE35" s="85" t="n">
        <v>31.7</v>
      </c>
      <c r="EF35" s="85" t="n">
        <v>33.6</v>
      </c>
      <c r="EG35" s="85" t="n">
        <v>36.2</v>
      </c>
      <c r="EH35" s="85" t="n">
        <v>37.8</v>
      </c>
      <c r="EI35" s="85" t="n">
        <v>40.8</v>
      </c>
      <c r="EJ35" s="85" t="n">
        <v>43.9</v>
      </c>
      <c r="EK35" s="85" t="n">
        <v>44.3</v>
      </c>
      <c r="EL35" s="85" t="n">
        <v>55.3</v>
      </c>
      <c r="EM35" s="85" t="n">
        <v>53</v>
      </c>
      <c r="EN35" s="85" t="n">
        <v>53.3</v>
      </c>
      <c r="EO35" s="85" t="n">
        <v>58.2</v>
      </c>
      <c r="EP35" s="85" t="n">
        <v>59.6</v>
      </c>
      <c r="EQ35" s="85" t="n">
        <v>60.3</v>
      </c>
      <c r="ER35" s="85" t="n">
        <v>61.8</v>
      </c>
      <c r="ES35" s="85" t="n">
        <v>55.2</v>
      </c>
      <c r="ET35" s="85" t="n">
        <v>59.2</v>
      </c>
      <c r="EU35" s="85" t="n">
        <v>59.4</v>
      </c>
      <c r="EV35" s="85" t="n">
        <v>56.3</v>
      </c>
      <c r="EW35" s="85" t="n">
        <v>56.6</v>
      </c>
      <c r="EX35" s="85" t="n">
        <v>50.2</v>
      </c>
      <c r="EY35" s="85" t="n">
        <v>51.6</v>
      </c>
      <c r="EZ35" s="85" t="n">
        <v>52.8</v>
      </c>
      <c r="FA35" s="85" t="n">
        <v>35.1</v>
      </c>
      <c r="FB35" s="85" t="n">
        <v>43.7</v>
      </c>
      <c r="FC35" s="85" t="n">
        <v>49.6</v>
      </c>
      <c r="FD35" s="85" t="n">
        <v>41.3</v>
      </c>
      <c r="FE35" s="85" t="n">
        <v>43.4</v>
      </c>
      <c r="FF35" s="85" t="n">
        <v>45.1</v>
      </c>
      <c r="FG35" s="85" t="n">
        <v>43.4</v>
      </c>
      <c r="FH35" s="85" t="n">
        <v>45.5</v>
      </c>
      <c r="FI35" s="85" t="n">
        <v>50.4</v>
      </c>
      <c r="FJ35" s="85" t="n">
        <v>48.4</v>
      </c>
      <c r="FK35" s="85" t="n">
        <v>49.8</v>
      </c>
      <c r="FL35" s="85" t="n">
        <v>46.4</v>
      </c>
      <c r="FM35" s="85" t="n">
        <v>49</v>
      </c>
      <c r="FN35" s="85" t="n">
        <v>49.2</v>
      </c>
      <c r="FO35" s="85" t="n">
        <v>49.5</v>
      </c>
      <c r="FP35" s="85" t="n">
        <v>52.1</v>
      </c>
      <c r="FQ35" s="85" t="n">
        <v>51.9</v>
      </c>
      <c r="FR35" s="85" t="n">
        <v>52.6</v>
      </c>
      <c r="FS35" s="85" t="n">
        <v>54.3</v>
      </c>
      <c r="FT35" s="85" t="n">
        <v>53.3</v>
      </c>
      <c r="FU35" s="85" t="n">
        <v>54.4</v>
      </c>
      <c r="FV35" s="85" t="n">
        <v>55.2</v>
      </c>
      <c r="FW35" s="85" t="n">
        <v>55.3</v>
      </c>
      <c r="FX35" s="85" t="n">
        <v>57.1</v>
      </c>
      <c r="FY35" s="85" t="n">
        <v>57.8</v>
      </c>
      <c r="FZ35" s="85" t="n">
        <v>57.3</v>
      </c>
      <c r="GA35" s="85" t="n">
        <v>57.6</v>
      </c>
      <c r="GB35" s="85" t="n">
        <v>55.6</v>
      </c>
      <c r="GC35" s="85" t="n">
        <v>53.7</v>
      </c>
      <c r="GD35" s="85" t="n">
        <v>53.3</v>
      </c>
      <c r="GE35" s="85" t="n">
        <v>52.4</v>
      </c>
      <c r="GF35" s="85" t="n">
        <v>52.9</v>
      </c>
      <c r="GG35" s="85" t="n">
        <v>54.2</v>
      </c>
      <c r="GH35" s="85" t="n">
        <v>55.1</v>
      </c>
      <c r="GI35" s="85" t="n">
        <v>53.8</v>
      </c>
      <c r="GJ35" s="85" t="n">
        <v>54.2</v>
      </c>
      <c r="GK35" s="85" t="n">
        <v>54.5</v>
      </c>
      <c r="GL35" s="85" t="n">
        <v>54.9</v>
      </c>
      <c r="GM35" s="85" t="n">
        <v>60.4</v>
      </c>
      <c r="GN35" s="85" t="n">
        <v>61.6</v>
      </c>
      <c r="GO35" s="85" t="n">
        <v>63.6</v>
      </c>
      <c r="GP35" s="85" t="n">
        <v>71.8</v>
      </c>
      <c r="GQ35" s="85" t="n">
        <v>76.8</v>
      </c>
      <c r="GR35" s="85" t="n">
        <v>74.1</v>
      </c>
      <c r="GS35" s="85" t="n">
        <v>70.3</v>
      </c>
      <c r="GT35" s="85" t="n">
        <v>64.5</v>
      </c>
      <c r="GU35" s="85" t="n">
        <v>66.4</v>
      </c>
      <c r="GV35" s="85" t="n">
        <v>81.5</v>
      </c>
      <c r="GW35" s="85" t="n">
        <v>82.4</v>
      </c>
      <c r="GX35" s="85" t="n">
        <v>83.1</v>
      </c>
      <c r="GY35" s="85" t="n">
        <v>93.7</v>
      </c>
      <c r="GZ35" s="85" t="n">
        <v>119.3</v>
      </c>
      <c r="HA35" s="85" t="n">
        <v>168.1</v>
      </c>
      <c r="HB35" t="n">
        <v>170.8</v>
      </c>
      <c r="HC35" t="n">
        <v>157.6</v>
      </c>
      <c r="HD35" t="n">
        <v>159.1</v>
      </c>
      <c r="HE35" t="n">
        <v>162.2</v>
      </c>
      <c r="HF35" t="n">
        <v>158.7</v>
      </c>
      <c r="HG35" t="n">
        <v>162.4</v>
      </c>
      <c r="HH35" t="n">
        <v>165.9</v>
      </c>
      <c r="HI35" t="n">
        <v>166.9</v>
      </c>
      <c r="HJ35" t="n">
        <v>170.4</v>
      </c>
      <c r="HK35" t="n">
        <v>164</v>
      </c>
    </row>
    <row r="36">
      <c r="A36" s="85" t="s">
        <v>2544</v>
      </c>
      <c r="B36" s="85" t="n">
        <v>1.1</v>
      </c>
      <c r="C36" s="85" t="n">
        <v>1.1</v>
      </c>
      <c r="D36" s="85" t="n">
        <v>1.1</v>
      </c>
      <c r="E36" s="85" t="n">
        <v>1.1</v>
      </c>
      <c r="F36" s="85" t="n">
        <v>1.1</v>
      </c>
      <c r="G36" s="85" t="n">
        <v>1.2</v>
      </c>
      <c r="H36" s="85" t="n">
        <v>1.2</v>
      </c>
      <c r="I36" s="85" t="n">
        <v>1.2</v>
      </c>
      <c r="J36" s="85" t="n">
        <v>1.3</v>
      </c>
      <c r="K36" s="85" t="n">
        <v>1.3</v>
      </c>
      <c r="L36" s="85" t="n">
        <v>1.3</v>
      </c>
      <c r="M36" s="85" t="n">
        <v>1.4</v>
      </c>
      <c r="N36" s="85" t="n">
        <v>1.4</v>
      </c>
      <c r="O36" s="85" t="n">
        <v>1.5</v>
      </c>
      <c r="P36" s="85" t="n">
        <v>1.5</v>
      </c>
      <c r="Q36" s="85" t="n">
        <v>1.6</v>
      </c>
      <c r="R36" s="85" t="n">
        <v>1.6</v>
      </c>
      <c r="S36" s="85" t="n">
        <v>1.6</v>
      </c>
      <c r="T36" s="85" t="n">
        <v>1.7</v>
      </c>
      <c r="U36" s="85" t="n">
        <v>1.7</v>
      </c>
      <c r="V36" s="85" t="n">
        <v>1.8</v>
      </c>
      <c r="W36" s="85" t="n">
        <v>1.8</v>
      </c>
      <c r="X36" s="85" t="n">
        <v>1.9</v>
      </c>
      <c r="Y36" s="85" t="n">
        <v>2</v>
      </c>
      <c r="Z36" s="85" t="n">
        <v>2</v>
      </c>
      <c r="AA36" s="85" t="n">
        <v>2.1</v>
      </c>
      <c r="AB36" s="85" t="n">
        <v>2.2</v>
      </c>
      <c r="AC36" s="85" t="n">
        <v>2.3</v>
      </c>
      <c r="AD36" s="85" t="n">
        <v>2.5</v>
      </c>
      <c r="AE36" s="85" t="n">
        <v>2.7</v>
      </c>
      <c r="AF36" s="85" t="n">
        <v>2.9</v>
      </c>
      <c r="AG36" s="85" t="n">
        <v>3</v>
      </c>
      <c r="AH36" s="85" t="n">
        <v>3.2</v>
      </c>
      <c r="AI36" s="85" t="n">
        <v>3.3</v>
      </c>
      <c r="AJ36" s="85" t="n">
        <v>3.5</v>
      </c>
      <c r="AK36" s="85" t="n">
        <v>3.6</v>
      </c>
      <c r="AL36" s="85" t="n">
        <v>3.8</v>
      </c>
      <c r="AM36" s="85" t="n">
        <v>3.9</v>
      </c>
      <c r="AN36" s="85" t="n">
        <v>3.9</v>
      </c>
      <c r="AO36" s="85" t="n">
        <v>4</v>
      </c>
      <c r="AP36" s="85" t="n">
        <v>3.6</v>
      </c>
      <c r="AQ36" s="85" t="n">
        <v>2.9</v>
      </c>
      <c r="AR36" s="85" t="n">
        <v>3.8</v>
      </c>
      <c r="AS36" s="85" t="n">
        <v>4</v>
      </c>
      <c r="AT36" s="85" t="n">
        <v>3.7</v>
      </c>
      <c r="AU36" s="85" t="n">
        <v>3.8</v>
      </c>
      <c r="AV36" s="85" t="n">
        <v>3.9</v>
      </c>
      <c r="AW36" s="85" t="n">
        <v>4</v>
      </c>
      <c r="AX36" s="85" t="n">
        <v>4</v>
      </c>
      <c r="AY36" s="85" t="n">
        <v>4</v>
      </c>
      <c r="AZ36" s="85" t="n">
        <v>4.1</v>
      </c>
      <c r="BA36" s="85" t="n">
        <v>4.1</v>
      </c>
      <c r="BB36" s="85" t="n">
        <v>4</v>
      </c>
      <c r="BC36" s="85" t="n">
        <v>4.1</v>
      </c>
      <c r="BD36" s="85" t="n">
        <v>4.1</v>
      </c>
      <c r="BE36" s="85" t="n">
        <v>4.3</v>
      </c>
      <c r="BF36" s="85" t="n">
        <v>4.5</v>
      </c>
      <c r="BG36" s="85" t="n">
        <v>4.7</v>
      </c>
      <c r="BH36" s="85" t="n">
        <v>4.8</v>
      </c>
      <c r="BI36" s="85" t="n">
        <v>4.8</v>
      </c>
      <c r="BJ36" s="85" t="n">
        <v>4.7</v>
      </c>
      <c r="BK36" s="85" t="n">
        <v>4.8</v>
      </c>
      <c r="BL36" s="85" t="n">
        <v>4.9</v>
      </c>
      <c r="BM36" s="85" t="n">
        <v>5.2</v>
      </c>
      <c r="BN36" s="85" t="n">
        <v>5.5</v>
      </c>
      <c r="BO36" s="85" t="n">
        <v>5.8</v>
      </c>
      <c r="BP36" s="85" t="n">
        <v>6.1</v>
      </c>
      <c r="BQ36" s="85" t="n">
        <v>6.4</v>
      </c>
      <c r="BR36" s="85" t="n">
        <v>6.7</v>
      </c>
      <c r="BS36" s="85" t="n">
        <v>7</v>
      </c>
      <c r="BT36" s="85" t="n">
        <v>7.3</v>
      </c>
      <c r="BU36" s="85" t="n">
        <v>7.7</v>
      </c>
      <c r="BV36" s="85" t="n">
        <v>8</v>
      </c>
      <c r="BW36" s="85" t="n">
        <v>8.3</v>
      </c>
      <c r="BX36" s="85" t="n">
        <v>8.5</v>
      </c>
      <c r="BY36" s="85" t="n">
        <v>8.7</v>
      </c>
      <c r="BZ36" s="85" t="n">
        <v>8.8</v>
      </c>
      <c r="CA36" s="85" t="n">
        <v>8.9</v>
      </c>
      <c r="CB36" s="85" t="n">
        <v>9</v>
      </c>
      <c r="CC36" s="85" t="n">
        <v>9.3</v>
      </c>
      <c r="CD36" s="85" t="n">
        <v>9.5</v>
      </c>
      <c r="CE36" s="85" t="n">
        <v>9.9</v>
      </c>
      <c r="CF36" s="85" t="n">
        <v>10.2</v>
      </c>
      <c r="CG36" s="85" t="n">
        <v>10.5</v>
      </c>
      <c r="CH36" s="85" t="n">
        <v>11</v>
      </c>
      <c r="CI36" s="85" t="n">
        <v>11.4</v>
      </c>
      <c r="CJ36" s="85" t="n">
        <v>11.8</v>
      </c>
      <c r="CK36" s="85" t="n">
        <v>12.2</v>
      </c>
      <c r="CL36" s="85" t="n">
        <v>12.6</v>
      </c>
      <c r="CM36" s="85" t="n">
        <v>13</v>
      </c>
      <c r="CN36" s="85" t="n">
        <v>13.3</v>
      </c>
      <c r="CO36" s="85" t="n">
        <v>13.6</v>
      </c>
      <c r="CP36" s="85" t="n">
        <v>13.8</v>
      </c>
      <c r="CQ36" s="85" t="n">
        <v>14.1</v>
      </c>
      <c r="CR36" s="85" t="n">
        <v>14.2</v>
      </c>
      <c r="CS36" s="85" t="n">
        <v>14.4</v>
      </c>
      <c r="CT36" s="85" t="n">
        <v>14.6</v>
      </c>
      <c r="CU36" s="85" t="n">
        <v>14.6</v>
      </c>
      <c r="CV36" s="85" t="n">
        <v>14.5</v>
      </c>
      <c r="CW36" s="85" t="n">
        <v>14.4</v>
      </c>
      <c r="CX36" s="85" t="n">
        <v>14</v>
      </c>
      <c r="CY36" s="85" t="n">
        <v>13.7</v>
      </c>
      <c r="CZ36" s="85" t="n">
        <v>13.5</v>
      </c>
      <c r="DA36" s="85" t="n">
        <v>13.2</v>
      </c>
      <c r="DB36" s="85" t="n">
        <v>13</v>
      </c>
      <c r="DC36" s="85" t="n">
        <v>12.7</v>
      </c>
      <c r="DD36" s="85" t="n">
        <v>12.3</v>
      </c>
      <c r="DE36" s="85" t="n">
        <v>11.9</v>
      </c>
      <c r="DF36" s="85" t="n">
        <v>11.3</v>
      </c>
      <c r="DG36" s="85" t="n">
        <v>10.9</v>
      </c>
      <c r="DH36" s="85" t="n">
        <v>10.6</v>
      </c>
      <c r="DI36" s="85" t="n">
        <v>10.5</v>
      </c>
      <c r="DJ36" s="85" t="n">
        <v>10.5</v>
      </c>
      <c r="DK36" s="85" t="n">
        <v>10.5</v>
      </c>
      <c r="DL36" s="85" t="n">
        <v>10.3</v>
      </c>
      <c r="DM36" s="85" t="n">
        <v>10.1</v>
      </c>
      <c r="DN36" s="85" t="n">
        <v>9.9</v>
      </c>
      <c r="DO36" s="85" t="n">
        <v>9.7</v>
      </c>
      <c r="DP36" s="85" t="n">
        <v>9.7</v>
      </c>
      <c r="DQ36" s="85" t="n">
        <v>9.8</v>
      </c>
      <c r="DR36" s="85" t="n">
        <v>10</v>
      </c>
      <c r="DS36" s="85" t="n">
        <v>10.4</v>
      </c>
      <c r="DT36" s="85" t="n">
        <v>11</v>
      </c>
      <c r="DU36" s="85" t="n">
        <v>11.8</v>
      </c>
      <c r="DV36" s="85" t="n">
        <v>12.7</v>
      </c>
      <c r="DW36" s="85" t="n">
        <v>13.5</v>
      </c>
      <c r="DX36" s="85" t="n">
        <v>14.1</v>
      </c>
      <c r="DY36" s="85" t="n">
        <v>14.5</v>
      </c>
      <c r="DZ36" s="85" t="n">
        <v>14.9</v>
      </c>
      <c r="EA36" s="85" t="n">
        <v>15.4</v>
      </c>
      <c r="EB36" s="85" t="n">
        <v>16.1</v>
      </c>
      <c r="EC36" s="85" t="n">
        <v>17</v>
      </c>
      <c r="ED36" s="85" t="n">
        <v>18</v>
      </c>
      <c r="EE36" s="85" t="n">
        <v>19.2</v>
      </c>
      <c r="EF36" s="85" t="n">
        <v>20.5</v>
      </c>
      <c r="EG36" s="85" t="n">
        <v>22</v>
      </c>
      <c r="EH36" s="85" t="n">
        <v>23.4</v>
      </c>
      <c r="EI36" s="85" t="n">
        <v>24.5</v>
      </c>
      <c r="EJ36" s="85" t="n">
        <v>25.2</v>
      </c>
      <c r="EK36" s="85" t="n">
        <v>25.5</v>
      </c>
      <c r="EL36" s="85" t="n">
        <v>25.3</v>
      </c>
      <c r="EM36" s="85" t="n">
        <v>25</v>
      </c>
      <c r="EN36" s="85" t="n">
        <v>24.4</v>
      </c>
      <c r="EO36" s="85" t="n">
        <v>23.7</v>
      </c>
      <c r="EP36" s="85" t="n">
        <v>22.8</v>
      </c>
      <c r="EQ36" s="85" t="n">
        <v>21.9</v>
      </c>
      <c r="ER36" s="85" t="n">
        <v>21</v>
      </c>
      <c r="ES36" s="85" t="n">
        <v>20.2</v>
      </c>
      <c r="ET36" s="85" t="n">
        <v>19.4</v>
      </c>
      <c r="EU36" s="85" t="n">
        <v>18.9</v>
      </c>
      <c r="EV36" s="85" t="n">
        <v>18.5</v>
      </c>
      <c r="EW36" s="85" t="n">
        <v>18.5</v>
      </c>
      <c r="EX36" s="85" t="n">
        <v>18.6</v>
      </c>
      <c r="EY36" s="85" t="n">
        <v>18.7</v>
      </c>
      <c r="EZ36" s="85" t="n">
        <v>18.7</v>
      </c>
      <c r="FA36" s="85" t="n">
        <v>18.8</v>
      </c>
      <c r="FB36" s="85" t="n">
        <v>18.8</v>
      </c>
      <c r="FC36" s="85" t="n">
        <v>18.7</v>
      </c>
      <c r="FD36" s="85" t="n">
        <v>18.5</v>
      </c>
      <c r="FE36" s="85" t="n">
        <v>18.3</v>
      </c>
      <c r="FF36" s="85" t="n">
        <v>18</v>
      </c>
      <c r="FG36" s="85" t="n">
        <v>17.7</v>
      </c>
      <c r="FH36" s="85" t="n">
        <v>17.7</v>
      </c>
      <c r="FI36" s="85" t="n">
        <v>17.7</v>
      </c>
      <c r="FJ36" s="85" t="n">
        <v>17.9</v>
      </c>
      <c r="FK36" s="85" t="n">
        <v>18</v>
      </c>
      <c r="FL36" s="85" t="n">
        <v>17.9</v>
      </c>
      <c r="FM36" s="85" t="n">
        <v>17.7</v>
      </c>
      <c r="FN36" s="85" t="n">
        <v>17.4</v>
      </c>
      <c r="FO36" s="85" t="n">
        <v>17.2</v>
      </c>
      <c r="FP36" s="85" t="n">
        <v>17.1</v>
      </c>
      <c r="FQ36" s="85" t="n">
        <v>17.1</v>
      </c>
      <c r="FR36" s="85" t="n">
        <v>17.3</v>
      </c>
      <c r="FS36" s="85" t="n">
        <v>17.5</v>
      </c>
      <c r="FT36" s="85" t="n">
        <v>17.8</v>
      </c>
      <c r="FU36" s="85" t="n">
        <v>18.1</v>
      </c>
      <c r="FV36" s="85" t="n">
        <v>18.4</v>
      </c>
      <c r="FW36" s="85" t="n">
        <v>18.7</v>
      </c>
      <c r="FX36" s="85" t="n">
        <v>18.9</v>
      </c>
      <c r="FY36" s="85" t="n">
        <v>19</v>
      </c>
      <c r="FZ36" s="85" t="n">
        <v>19</v>
      </c>
      <c r="GA36" s="85" t="n">
        <v>19.1</v>
      </c>
      <c r="GB36" s="85" t="n">
        <v>19.3</v>
      </c>
      <c r="GC36" s="85" t="n">
        <v>19.5</v>
      </c>
      <c r="GD36" s="85" t="n">
        <v>19.8</v>
      </c>
      <c r="GE36" s="85" t="n">
        <v>20</v>
      </c>
      <c r="GF36" s="85" t="n">
        <v>20</v>
      </c>
      <c r="GG36" s="85" t="n">
        <v>20</v>
      </c>
      <c r="GH36" s="85" t="n">
        <v>19.8</v>
      </c>
      <c r="GI36" s="85" t="n">
        <v>19.8</v>
      </c>
      <c r="GJ36" s="85" t="n">
        <v>19.8</v>
      </c>
      <c r="GK36" s="85" t="n">
        <v>20</v>
      </c>
      <c r="GL36" s="85" t="n">
        <v>20.2</v>
      </c>
      <c r="GM36" s="85" t="n">
        <v>20.4</v>
      </c>
      <c r="GN36" s="85" t="n">
        <v>20.6</v>
      </c>
      <c r="GO36" s="85" t="n">
        <v>20.6</v>
      </c>
      <c r="GP36" s="85" t="n">
        <v>20.8</v>
      </c>
      <c r="GQ36" s="85" t="n">
        <v>20.8</v>
      </c>
      <c r="GR36" s="85" t="n">
        <v>20.6</v>
      </c>
      <c r="GS36" s="85" t="n">
        <v>20.5</v>
      </c>
      <c r="GT36" s="85" t="n">
        <v>20.3</v>
      </c>
      <c r="GU36" s="85" t="n">
        <v>19.3</v>
      </c>
      <c r="GV36" s="85" t="n">
        <v>19.9</v>
      </c>
      <c r="GW36" s="85" t="n">
        <v>20.6</v>
      </c>
      <c r="GX36" s="85" t="n">
        <v>21.3</v>
      </c>
      <c r="GY36" s="85" t="n">
        <v>22</v>
      </c>
      <c r="GZ36" s="85" t="n">
        <v>22.6</v>
      </c>
      <c r="HA36" s="85" t="n">
        <v>23.1</v>
      </c>
      <c r="HB36" s="85" t="n">
        <v>23.4</v>
      </c>
      <c r="HC36" t="n">
        <v>23.1</v>
      </c>
      <c r="HD36" t="n">
        <v>22.7</v>
      </c>
      <c r="HE36" t="n">
        <v>21.8</v>
      </c>
      <c r="HF36" t="n">
        <v>20.8</v>
      </c>
      <c r="HG36" t="n">
        <v>20.5</v>
      </c>
      <c r="HH36" t="n">
        <v>21.2</v>
      </c>
      <c r="HI36" t="n">
        <v>22.8</v>
      </c>
      <c r="HJ36" t="n">
        <v>25</v>
      </c>
      <c r="HK36" t="n">
        <v>26.7</v>
      </c>
    </row>
    <row r="37">
      <c r="A37" s="85" t="s">
        <v>2545</v>
      </c>
      <c r="B37" s="85" t="n">
        <v>14.7</v>
      </c>
      <c r="C37" s="85" t="n">
        <v>15.6</v>
      </c>
      <c r="D37" s="85" t="n">
        <v>16.6</v>
      </c>
      <c r="E37" s="85" t="n">
        <v>17.5</v>
      </c>
      <c r="F37" s="85" t="n">
        <v>18.3</v>
      </c>
      <c r="G37" s="85" t="n">
        <v>19.1</v>
      </c>
      <c r="H37" s="85" t="n">
        <v>19.6</v>
      </c>
      <c r="I37" s="85" t="n">
        <v>20.3</v>
      </c>
      <c r="J37" s="85" t="n">
        <v>21.2</v>
      </c>
      <c r="K37" s="85" t="n">
        <v>21.6</v>
      </c>
      <c r="L37" s="85" t="n">
        <v>22.5</v>
      </c>
      <c r="M37" s="85" t="n">
        <v>22.5</v>
      </c>
      <c r="N37" s="85" t="n">
        <v>23.2</v>
      </c>
      <c r="O37" s="85" t="n">
        <v>24</v>
      </c>
      <c r="P37" s="85" t="n">
        <v>24.2</v>
      </c>
      <c r="Q37" s="85" t="n">
        <v>25</v>
      </c>
      <c r="R37" s="85" t="n">
        <v>23.4</v>
      </c>
      <c r="S37" s="85" t="n">
        <v>24.7</v>
      </c>
      <c r="T37" s="85" t="n">
        <v>25.9</v>
      </c>
      <c r="U37" s="85" t="n">
        <v>27.1</v>
      </c>
      <c r="V37" s="85" t="n">
        <v>29.2</v>
      </c>
      <c r="W37" s="85" t="n">
        <v>30.5</v>
      </c>
      <c r="X37" s="85" t="n">
        <v>31</v>
      </c>
      <c r="Y37" s="85" t="n">
        <v>32.6</v>
      </c>
      <c r="Z37" s="85" t="n">
        <v>33.4</v>
      </c>
      <c r="AA37" s="85" t="n">
        <v>33.4</v>
      </c>
      <c r="AB37" s="85" t="n">
        <v>34.7</v>
      </c>
      <c r="AC37" s="85" t="n">
        <v>35</v>
      </c>
      <c r="AD37" s="85" t="n">
        <v>35.7</v>
      </c>
      <c r="AE37" s="85" t="n">
        <v>37.5</v>
      </c>
      <c r="AF37" s="85" t="n">
        <v>37.3</v>
      </c>
      <c r="AG37" s="85" t="n">
        <v>37.7</v>
      </c>
      <c r="AH37" s="85" t="n">
        <v>39.2</v>
      </c>
      <c r="AI37" s="85" t="n">
        <v>41</v>
      </c>
      <c r="AJ37" s="85" t="n">
        <v>41.3</v>
      </c>
      <c r="AK37" s="85" t="n">
        <v>41.7</v>
      </c>
      <c r="AL37" s="85" t="n">
        <v>42.4</v>
      </c>
      <c r="AM37" s="85" t="n">
        <v>43.5</v>
      </c>
      <c r="AN37" s="85" t="n">
        <v>44.5</v>
      </c>
      <c r="AO37" s="85" t="n">
        <v>46.9</v>
      </c>
      <c r="AP37" s="85" t="n">
        <v>49.1</v>
      </c>
      <c r="AQ37" s="85" t="n">
        <v>49</v>
      </c>
      <c r="AR37" s="85" t="n">
        <v>52.4</v>
      </c>
      <c r="AS37" s="85" t="n">
        <v>54.3</v>
      </c>
      <c r="AT37" s="85" t="n">
        <v>55.6</v>
      </c>
      <c r="AU37" s="85" t="n">
        <v>57.4</v>
      </c>
      <c r="AV37" s="85" t="n">
        <v>57.7</v>
      </c>
      <c r="AW37" s="85" t="n">
        <v>57.7</v>
      </c>
      <c r="AX37" s="85" t="n">
        <v>59</v>
      </c>
      <c r="AY37" s="85" t="n">
        <v>61</v>
      </c>
      <c r="AZ37" s="85" t="n">
        <v>62.1</v>
      </c>
      <c r="BA37" s="85" t="n">
        <v>62.6</v>
      </c>
      <c r="BB37" s="85" t="n">
        <v>65.8</v>
      </c>
      <c r="BC37" s="85" t="n">
        <v>66.3</v>
      </c>
      <c r="BD37" s="85" t="n">
        <v>67.2</v>
      </c>
      <c r="BE37" s="85" t="n">
        <v>68.3</v>
      </c>
      <c r="BF37" s="85" t="n">
        <v>69.9</v>
      </c>
      <c r="BG37" s="85" t="n">
        <v>70.6</v>
      </c>
      <c r="BH37" s="85" t="n">
        <v>71.3</v>
      </c>
      <c r="BI37" s="85" t="n">
        <v>72.8</v>
      </c>
      <c r="BJ37" s="85" t="n">
        <v>74.9</v>
      </c>
      <c r="BK37" s="85" t="n">
        <v>76.3</v>
      </c>
      <c r="BL37" s="85" t="n">
        <v>78.1</v>
      </c>
      <c r="BM37" s="85" t="n">
        <v>79.8</v>
      </c>
      <c r="BN37" s="85" t="n">
        <v>81.6</v>
      </c>
      <c r="BO37" s="85" t="n">
        <v>83.6</v>
      </c>
      <c r="BP37" s="85" t="n">
        <v>85.3</v>
      </c>
      <c r="BQ37" s="85" t="n">
        <v>86.9</v>
      </c>
      <c r="BR37" s="85" t="n">
        <v>88.3</v>
      </c>
      <c r="BS37" s="85" t="n">
        <v>89.9</v>
      </c>
      <c r="BT37" s="85" t="n">
        <v>91.6</v>
      </c>
      <c r="BU37" s="85" t="n">
        <v>93.1</v>
      </c>
      <c r="BV37" s="85" t="n">
        <v>95.3</v>
      </c>
      <c r="BW37" s="85" t="n">
        <v>97.3</v>
      </c>
      <c r="BX37" s="85" t="n">
        <v>99.5</v>
      </c>
      <c r="BY37" s="85" t="n">
        <v>101.9</v>
      </c>
      <c r="BZ37" s="85" t="n">
        <v>104.2</v>
      </c>
      <c r="CA37" s="85" t="n">
        <v>107.3</v>
      </c>
      <c r="CB37" s="85" t="n">
        <v>111</v>
      </c>
      <c r="CC37" s="85" t="n">
        <v>114.8</v>
      </c>
      <c r="CD37" s="85" t="n">
        <v>118.8</v>
      </c>
      <c r="CE37" s="85" t="n">
        <v>124.2</v>
      </c>
      <c r="CF37" s="85" t="n">
        <v>130.3</v>
      </c>
      <c r="CG37" s="85" t="n">
        <v>137.4</v>
      </c>
      <c r="CH37" s="85" t="n">
        <v>141.5</v>
      </c>
      <c r="CI37" s="85" t="n">
        <v>152.2</v>
      </c>
      <c r="CJ37" s="85" t="n">
        <v>158.6</v>
      </c>
      <c r="CK37" s="85" t="n">
        <v>173.8</v>
      </c>
      <c r="CL37" s="85" t="n">
        <v>170.5</v>
      </c>
      <c r="CM37" s="85" t="n">
        <v>178.6</v>
      </c>
      <c r="CN37" s="85" t="n">
        <v>185.8</v>
      </c>
      <c r="CO37" s="85" t="n">
        <v>185</v>
      </c>
      <c r="CP37" s="85" t="n">
        <v>188.9</v>
      </c>
      <c r="CQ37" s="85" t="n">
        <v>189.7</v>
      </c>
      <c r="CR37" s="85" t="n">
        <v>200.6</v>
      </c>
      <c r="CS37" s="85" t="n">
        <v>201.7</v>
      </c>
      <c r="CT37" s="85" t="n">
        <v>203.6</v>
      </c>
      <c r="CU37" s="85" t="n">
        <v>203.9</v>
      </c>
      <c r="CV37" s="85" t="n">
        <v>203.7</v>
      </c>
      <c r="CW37" s="85" t="n">
        <v>215.7</v>
      </c>
      <c r="CX37" s="85" t="n">
        <v>220.4</v>
      </c>
      <c r="CY37" s="85" t="n">
        <v>220.7</v>
      </c>
      <c r="CZ37" s="85" t="n">
        <v>220.7</v>
      </c>
      <c r="DA37" s="85" t="n">
        <v>208.8</v>
      </c>
      <c r="DB37" s="85" t="n">
        <v>218.2</v>
      </c>
      <c r="DC37" s="85" t="n">
        <v>232.2</v>
      </c>
      <c r="DD37" s="85" t="n">
        <v>224.8</v>
      </c>
      <c r="DE37" s="85" t="n">
        <v>221.7</v>
      </c>
      <c r="DF37" s="85" t="n">
        <v>226</v>
      </c>
      <c r="DG37" s="85" t="n">
        <v>223.7</v>
      </c>
      <c r="DH37" s="85" t="n">
        <v>228</v>
      </c>
      <c r="DI37" s="85" t="n">
        <v>232.4</v>
      </c>
      <c r="DJ37" s="85" t="n">
        <v>232.1</v>
      </c>
      <c r="DK37" s="85" t="n">
        <v>235.3</v>
      </c>
      <c r="DL37" s="85" t="n">
        <v>233.9</v>
      </c>
      <c r="DM37" s="85" t="n">
        <v>241.7</v>
      </c>
      <c r="DN37" s="85" t="n">
        <v>247.8</v>
      </c>
      <c r="DO37" s="85" t="n">
        <v>246.4</v>
      </c>
      <c r="DP37" s="85" t="n">
        <v>255</v>
      </c>
      <c r="DQ37" s="85" t="n">
        <v>260.2</v>
      </c>
      <c r="DR37" s="85" t="n">
        <v>260.1</v>
      </c>
      <c r="DS37" s="85" t="n">
        <v>269.4</v>
      </c>
      <c r="DT37" s="85" t="n">
        <v>277.2</v>
      </c>
      <c r="DU37" s="85" t="n">
        <v>279.1</v>
      </c>
      <c r="DV37" s="85" t="n">
        <v>290.4</v>
      </c>
      <c r="DW37" s="85" t="n">
        <v>308</v>
      </c>
      <c r="DX37" s="85" t="n">
        <v>295.8</v>
      </c>
      <c r="DY37" s="85" t="n">
        <v>326</v>
      </c>
      <c r="DZ37" s="85" t="n">
        <v>326</v>
      </c>
      <c r="EA37" s="85" t="n">
        <v>326</v>
      </c>
      <c r="EB37" s="85" t="n">
        <v>334.7</v>
      </c>
      <c r="EC37" s="85" t="n">
        <v>345.4</v>
      </c>
      <c r="ED37" s="85" t="n">
        <v>347</v>
      </c>
      <c r="EE37" s="85" t="n">
        <v>348.3</v>
      </c>
      <c r="EF37" s="85" t="n">
        <v>361.8</v>
      </c>
      <c r="EG37" s="85" t="n">
        <v>357</v>
      </c>
      <c r="EH37" s="85" t="n">
        <v>376</v>
      </c>
      <c r="EI37" s="85" t="n">
        <v>387.1</v>
      </c>
      <c r="EJ37" s="85" t="n">
        <v>385.7</v>
      </c>
      <c r="EK37" s="85" t="n">
        <v>391</v>
      </c>
      <c r="EL37" s="85" t="n">
        <v>399.1</v>
      </c>
      <c r="EM37" s="85" t="n">
        <v>410</v>
      </c>
      <c r="EN37" s="85" t="n">
        <v>409.1</v>
      </c>
      <c r="EO37" s="85" t="n">
        <v>407.9</v>
      </c>
      <c r="EP37" s="85" t="n">
        <v>394</v>
      </c>
      <c r="EQ37" s="85" t="n">
        <v>399.2</v>
      </c>
      <c r="ER37" s="85" t="n">
        <v>414.4</v>
      </c>
      <c r="ES37" s="85" t="n">
        <v>408.1</v>
      </c>
      <c r="ET37" s="85" t="n">
        <v>440.1</v>
      </c>
      <c r="EU37" s="85" t="n">
        <v>423.7</v>
      </c>
      <c r="EV37" s="85" t="n">
        <v>429.9</v>
      </c>
      <c r="EW37" s="85" t="n">
        <v>442.3</v>
      </c>
      <c r="EX37" s="85" t="n">
        <v>446.3</v>
      </c>
      <c r="EY37" s="85" t="n">
        <v>456</v>
      </c>
      <c r="EZ37" s="85" t="n">
        <v>460</v>
      </c>
      <c r="FA37" s="85" t="n">
        <v>462.1</v>
      </c>
      <c r="FB37" s="85" t="n">
        <v>480.2</v>
      </c>
      <c r="FC37" s="85" t="n">
        <v>492</v>
      </c>
      <c r="FD37" s="85" t="n">
        <v>502.4</v>
      </c>
      <c r="FE37" s="85" t="n">
        <v>498.2</v>
      </c>
      <c r="FF37" s="85" t="n">
        <v>508.7</v>
      </c>
      <c r="FG37" s="85" t="n">
        <v>513</v>
      </c>
      <c r="FH37" s="85" t="n">
        <v>533.2</v>
      </c>
      <c r="FI37" s="85" t="n">
        <v>540.8</v>
      </c>
      <c r="FJ37" s="85" t="n">
        <v>544.4</v>
      </c>
      <c r="FK37" s="85" t="n">
        <v>534.7</v>
      </c>
      <c r="FL37" s="85" t="n">
        <v>520.7</v>
      </c>
      <c r="FM37" s="85" t="n">
        <v>522.9</v>
      </c>
      <c r="FN37" s="85" t="n">
        <v>523.9</v>
      </c>
      <c r="FO37" s="85" t="n">
        <v>544.4</v>
      </c>
      <c r="FP37" s="85" t="n">
        <v>542</v>
      </c>
      <c r="FQ37" s="85" t="n">
        <v>552.7</v>
      </c>
      <c r="FR37" s="85" t="n">
        <v>548.4</v>
      </c>
      <c r="FS37" s="85" t="n">
        <v>562.8</v>
      </c>
      <c r="FT37" s="85" t="n">
        <v>572.8</v>
      </c>
      <c r="FU37" s="85" t="n">
        <v>573.6</v>
      </c>
      <c r="FV37" s="85" t="n">
        <v>585.1</v>
      </c>
      <c r="FW37" s="85" t="n">
        <v>607.8</v>
      </c>
      <c r="FX37" s="85" t="n">
        <v>634.1</v>
      </c>
      <c r="FY37" s="85" t="n">
        <v>643.2</v>
      </c>
      <c r="FZ37" s="85" t="n">
        <v>652.2</v>
      </c>
      <c r="GA37" s="85" t="n">
        <v>667.3</v>
      </c>
      <c r="GB37" s="85" t="n">
        <v>670.2</v>
      </c>
      <c r="GC37" s="85" t="n">
        <v>671.5</v>
      </c>
      <c r="GD37" s="85" t="n">
        <v>679.9</v>
      </c>
      <c r="GE37" s="85" t="n">
        <v>688.5</v>
      </c>
      <c r="GF37" s="85" t="n">
        <v>697.2</v>
      </c>
      <c r="GG37" s="85" t="n">
        <v>706.6</v>
      </c>
      <c r="GH37" s="85" t="n">
        <v>705.1</v>
      </c>
      <c r="GI37" s="85" t="n">
        <v>702.3</v>
      </c>
      <c r="GJ37" s="85" t="n">
        <v>718</v>
      </c>
      <c r="GK37" s="85" t="n">
        <v>713.3</v>
      </c>
      <c r="GL37" s="85" t="n">
        <v>720.7</v>
      </c>
      <c r="GM37" s="85" t="n">
        <v>732.9</v>
      </c>
      <c r="GN37" s="85" t="n">
        <v>737.3</v>
      </c>
      <c r="GO37" s="85" t="n">
        <v>733.6</v>
      </c>
      <c r="GP37" s="85" t="n">
        <v>744.3</v>
      </c>
      <c r="GQ37" s="85" t="n">
        <v>762.3</v>
      </c>
      <c r="GR37" s="85" t="n">
        <v>772.2</v>
      </c>
      <c r="GS37" s="85" t="n">
        <v>772.1</v>
      </c>
      <c r="GT37" s="85" t="n">
        <v>760.8</v>
      </c>
      <c r="GU37" s="85" t="n">
        <v>811.3</v>
      </c>
      <c r="GV37" s="85" t="n">
        <v>850.3</v>
      </c>
      <c r="GW37" s="85" t="n">
        <v>840.3</v>
      </c>
      <c r="GX37" s="85" t="n">
        <v>869.7</v>
      </c>
      <c r="GY37" s="85" t="n">
        <v>913.8</v>
      </c>
      <c r="GZ37" s="85" t="n">
        <v>923.8</v>
      </c>
      <c r="HA37" s="85" t="n">
        <v>923.5</v>
      </c>
      <c r="HB37" s="85" t="n">
        <v>973.6</v>
      </c>
      <c r="HC37" t="n">
        <v>1010.5</v>
      </c>
      <c r="HD37" t="n">
        <v>1032.6</v>
      </c>
      <c r="HE37" t="n">
        <v>1096.6</v>
      </c>
      <c r="HF37" t="n">
        <v>1083.2</v>
      </c>
      <c r="HG37" t="n">
        <v>1111.1</v>
      </c>
      <c r="HH37" t="n">
        <v>1069.4</v>
      </c>
      <c r="HI37" t="n">
        <v>1061</v>
      </c>
      <c r="HJ37" t="n">
        <v>1113.5</v>
      </c>
      <c r="HK37" t="n">
        <v>1136.9</v>
      </c>
    </row>
    <row r="38">
      <c r="A38" s="85" t="s">
        <v>2546</v>
      </c>
      <c r="B38" s="85" t="n">
        <v>129.9</v>
      </c>
      <c r="C38" s="85" t="n">
        <v>134.1</v>
      </c>
      <c r="D38" s="85" t="n">
        <v>140.1</v>
      </c>
      <c r="E38" s="85" t="n">
        <v>144.3</v>
      </c>
      <c r="F38" s="85" t="n">
        <v>149.1</v>
      </c>
      <c r="G38" s="85" t="n">
        <v>153.6</v>
      </c>
      <c r="H38" s="85" t="n">
        <v>156.9</v>
      </c>
      <c r="I38" s="85" t="n">
        <v>161</v>
      </c>
      <c r="J38" s="85" t="n">
        <v>165.7</v>
      </c>
      <c r="K38" s="85" t="n">
        <v>167.9</v>
      </c>
      <c r="L38" s="85" t="n">
        <v>172.5</v>
      </c>
      <c r="M38" s="85" t="n">
        <v>176.8</v>
      </c>
      <c r="N38" s="85" t="n">
        <v>181.7</v>
      </c>
      <c r="O38" s="85" t="n">
        <v>185.7</v>
      </c>
      <c r="P38" s="85" t="n">
        <v>190</v>
      </c>
      <c r="Q38" s="85" t="n">
        <v>195.9</v>
      </c>
      <c r="R38" s="85" t="n">
        <v>201.1</v>
      </c>
      <c r="S38" s="85" t="n">
        <v>210.1</v>
      </c>
      <c r="T38" s="85" t="n">
        <v>217</v>
      </c>
      <c r="U38" s="85" t="n">
        <v>223.7</v>
      </c>
      <c r="V38" s="85" t="n">
        <v>235.9</v>
      </c>
      <c r="W38" s="85" t="n">
        <v>240.3</v>
      </c>
      <c r="X38" s="85" t="n">
        <v>246.6</v>
      </c>
      <c r="Y38" s="85" t="n">
        <v>254.2</v>
      </c>
      <c r="Z38" s="85" t="n">
        <v>260.3</v>
      </c>
      <c r="AA38" s="85" t="n">
        <v>259.4</v>
      </c>
      <c r="AB38" s="85" t="n">
        <v>261.3</v>
      </c>
      <c r="AC38" s="85" t="n">
        <v>263.9</v>
      </c>
      <c r="AD38" s="85" t="n">
        <v>271.1</v>
      </c>
      <c r="AE38" s="85" t="n">
        <v>278.6</v>
      </c>
      <c r="AF38" s="85" t="n">
        <v>282.3</v>
      </c>
      <c r="AG38" s="85" t="n">
        <v>287.5</v>
      </c>
      <c r="AH38" s="85" t="n">
        <v>292.5</v>
      </c>
      <c r="AI38" s="85" t="n">
        <v>306</v>
      </c>
      <c r="AJ38" s="85" t="n">
        <v>313.5</v>
      </c>
      <c r="AK38" s="85" t="n">
        <v>320.5</v>
      </c>
      <c r="AL38" s="85" t="n">
        <v>323.2</v>
      </c>
      <c r="AM38" s="85" t="n">
        <v>333.2</v>
      </c>
      <c r="AN38" s="85" t="n">
        <v>344.8</v>
      </c>
      <c r="AO38" s="85" t="n">
        <v>356.1</v>
      </c>
      <c r="AP38" s="85" t="n">
        <v>367.6</v>
      </c>
      <c r="AQ38" s="85" t="n">
        <v>371.7</v>
      </c>
      <c r="AR38" s="85" t="n">
        <v>379.1</v>
      </c>
      <c r="AS38" s="85" t="n">
        <v>388.1</v>
      </c>
      <c r="AT38" s="85" t="n">
        <v>402.6</v>
      </c>
      <c r="AU38" s="85" t="n">
        <v>405.3</v>
      </c>
      <c r="AV38" s="85" t="n">
        <v>409.8</v>
      </c>
      <c r="AW38" s="85" t="n">
        <v>418.5</v>
      </c>
      <c r="AX38" s="85" t="n">
        <v>425.5</v>
      </c>
      <c r="AY38" s="85" t="n">
        <v>435.4</v>
      </c>
      <c r="AZ38" s="85" t="n">
        <v>443.4</v>
      </c>
      <c r="BA38" s="85" t="n">
        <v>452.9</v>
      </c>
      <c r="BB38" s="85" t="n">
        <v>461.9</v>
      </c>
      <c r="BC38" s="85" t="n">
        <v>467.5</v>
      </c>
      <c r="BD38" s="85" t="n">
        <v>476.7</v>
      </c>
      <c r="BE38" s="85" t="n">
        <v>482.1</v>
      </c>
      <c r="BF38" s="85" t="n">
        <v>495.1</v>
      </c>
      <c r="BG38" s="85" t="n">
        <v>505.9</v>
      </c>
      <c r="BH38" s="85" t="n">
        <v>518.3</v>
      </c>
      <c r="BI38" s="85" t="n">
        <v>529.3</v>
      </c>
      <c r="BJ38" s="85" t="n">
        <v>542.7</v>
      </c>
      <c r="BK38" s="85" t="n">
        <v>557.7</v>
      </c>
      <c r="BL38" s="85" t="n">
        <v>571.6</v>
      </c>
      <c r="BM38" s="85" t="n">
        <v>582.2</v>
      </c>
      <c r="BN38" s="85" t="n">
        <v>595.9</v>
      </c>
      <c r="BO38" s="85" t="n">
        <v>605.5</v>
      </c>
      <c r="BP38" s="85" t="n">
        <v>616.5</v>
      </c>
      <c r="BQ38" s="85" t="n">
        <v>626.3</v>
      </c>
      <c r="BR38" s="85" t="n">
        <v>637.8</v>
      </c>
      <c r="BS38" s="85" t="n">
        <v>646.9</v>
      </c>
      <c r="BT38" s="85" t="n">
        <v>656.4</v>
      </c>
      <c r="BU38" s="85" t="n">
        <v>668.1</v>
      </c>
      <c r="BV38" s="85" t="n">
        <v>678.6</v>
      </c>
      <c r="BW38" s="85" t="n">
        <v>693.1</v>
      </c>
      <c r="BX38" s="85" t="n">
        <v>703.2</v>
      </c>
      <c r="BY38" s="85" t="n">
        <v>720.1</v>
      </c>
      <c r="BZ38" s="85" t="n">
        <v>736.6</v>
      </c>
      <c r="CA38" s="85" t="n">
        <v>755.1</v>
      </c>
      <c r="CB38" s="85" t="n">
        <v>770.4</v>
      </c>
      <c r="CC38" s="85" t="n">
        <v>790</v>
      </c>
      <c r="CD38" s="85" t="n">
        <v>811.4</v>
      </c>
      <c r="CE38" s="85" t="n">
        <v>824.1</v>
      </c>
      <c r="CF38" s="85" t="n">
        <v>843.9</v>
      </c>
      <c r="CG38" s="85" t="n">
        <v>871</v>
      </c>
      <c r="CH38" s="85" t="n">
        <v>881.6</v>
      </c>
      <c r="CI38" s="85" t="n">
        <v>901.3</v>
      </c>
      <c r="CJ38" s="85" t="n">
        <v>919.2</v>
      </c>
      <c r="CK38" s="85" t="n">
        <v>947</v>
      </c>
      <c r="CL38" s="85" t="n">
        <v>959.3</v>
      </c>
      <c r="CM38" s="85" t="n">
        <v>975.2</v>
      </c>
      <c r="CN38" s="85" t="n">
        <v>988.2</v>
      </c>
      <c r="CO38" s="85" t="n">
        <v>991.3</v>
      </c>
      <c r="CP38" s="85" t="n">
        <v>1001.1</v>
      </c>
      <c r="CQ38" s="85" t="n">
        <v>1011.6</v>
      </c>
      <c r="CR38" s="85" t="n">
        <v>1028.1</v>
      </c>
      <c r="CS38" s="85" t="n">
        <v>1036.1</v>
      </c>
      <c r="CT38" s="85" t="n">
        <v>1046.6</v>
      </c>
      <c r="CU38" s="85" t="n">
        <v>1060.5</v>
      </c>
      <c r="CV38" s="85" t="n">
        <v>1077.4</v>
      </c>
      <c r="CW38" s="85" t="n">
        <v>1100.7</v>
      </c>
      <c r="CX38" s="85" t="n">
        <v>1118.5</v>
      </c>
      <c r="CY38" s="85" t="n">
        <v>1132.8</v>
      </c>
      <c r="CZ38" s="85" t="n">
        <v>1136.8</v>
      </c>
      <c r="DA38" s="85" t="n">
        <v>1131.2</v>
      </c>
      <c r="DB38" s="85" t="n">
        <v>1145.1</v>
      </c>
      <c r="DC38" s="85" t="n">
        <v>1171.4</v>
      </c>
      <c r="DD38" s="85" t="n">
        <v>1176</v>
      </c>
      <c r="DE38" s="85" t="n">
        <v>1192</v>
      </c>
      <c r="DF38" s="85" t="n">
        <v>1202.5</v>
      </c>
      <c r="DG38" s="85" t="n">
        <v>1209</v>
      </c>
      <c r="DH38" s="85" t="n">
        <v>1225.5</v>
      </c>
      <c r="DI38" s="85" t="n">
        <v>1243.5</v>
      </c>
      <c r="DJ38" s="85" t="n">
        <v>1250.5</v>
      </c>
      <c r="DK38" s="85" t="n">
        <v>1272.2</v>
      </c>
      <c r="DL38" s="85" t="n">
        <v>1290.9</v>
      </c>
      <c r="DM38" s="85" t="n">
        <v>1312.2</v>
      </c>
      <c r="DN38" s="85" t="n">
        <v>1338.9</v>
      </c>
      <c r="DO38" s="85" t="n">
        <v>1357.5</v>
      </c>
      <c r="DP38" s="85" t="n">
        <v>1388.2</v>
      </c>
      <c r="DQ38" s="85" t="n">
        <v>1417.2</v>
      </c>
      <c r="DR38" s="85" t="n">
        <v>1435.6</v>
      </c>
      <c r="DS38" s="85" t="n">
        <v>1453</v>
      </c>
      <c r="DT38" s="85" t="n">
        <v>1478</v>
      </c>
      <c r="DU38" s="85" t="n">
        <v>1507</v>
      </c>
      <c r="DV38" s="85" t="n">
        <v>1560.6</v>
      </c>
      <c r="DW38" s="85" t="n">
        <v>1617.6</v>
      </c>
      <c r="DX38" s="85" t="n">
        <v>1597.3</v>
      </c>
      <c r="DY38" s="85" t="n">
        <v>1656.2</v>
      </c>
      <c r="DZ38" s="85" t="n">
        <v>1677.3</v>
      </c>
      <c r="EA38" s="85" t="n">
        <v>1694.5</v>
      </c>
      <c r="EB38" s="85" t="n">
        <v>1724.4</v>
      </c>
      <c r="EC38" s="85" t="n">
        <v>1756.3</v>
      </c>
      <c r="ED38" s="85" t="n">
        <v>1781.7</v>
      </c>
      <c r="EE38" s="85" t="n">
        <v>1783.4</v>
      </c>
      <c r="EF38" s="85" t="n">
        <v>1811.7</v>
      </c>
      <c r="EG38" s="85" t="n">
        <v>1814.6</v>
      </c>
      <c r="EH38" s="85" t="n">
        <v>1843.6</v>
      </c>
      <c r="EI38" s="85" t="n">
        <v>1868.2</v>
      </c>
      <c r="EJ38" s="85" t="n">
        <v>1895.3</v>
      </c>
      <c r="EK38" s="85" t="n">
        <v>1903</v>
      </c>
      <c r="EL38" s="85" t="n">
        <v>1925.1</v>
      </c>
      <c r="EM38" s="85" t="n">
        <v>1952.9</v>
      </c>
      <c r="EN38" s="85" t="n">
        <v>1978</v>
      </c>
      <c r="EO38" s="85" t="n">
        <v>2024.5</v>
      </c>
      <c r="EP38" s="85" t="n">
        <v>2008</v>
      </c>
      <c r="EQ38" s="85" t="n">
        <v>2042.4</v>
      </c>
      <c r="ER38" s="85" t="n">
        <v>2078.5</v>
      </c>
      <c r="ES38" s="85" t="n">
        <v>2094.2</v>
      </c>
      <c r="ET38" s="85" t="n">
        <v>2165.9</v>
      </c>
      <c r="EU38" s="85" t="n">
        <v>2182.4</v>
      </c>
      <c r="EV38" s="85" t="n">
        <v>2205.9</v>
      </c>
      <c r="EW38" s="85" t="n">
        <v>2242.1</v>
      </c>
      <c r="EX38" s="85" t="n">
        <v>2256.4</v>
      </c>
      <c r="EY38" s="85" t="n">
        <v>2293.3</v>
      </c>
      <c r="EZ38" s="85" t="n">
        <v>2337.8</v>
      </c>
      <c r="FA38" s="85" t="n">
        <v>2337.2</v>
      </c>
      <c r="FB38" s="85" t="n">
        <v>2371.5</v>
      </c>
      <c r="FC38" s="85" t="n">
        <v>2419.8</v>
      </c>
      <c r="FD38" s="85" t="n">
        <v>2446.9</v>
      </c>
      <c r="FE38" s="85" t="n">
        <v>2444.5</v>
      </c>
      <c r="FF38" s="85" t="n">
        <v>2439.1</v>
      </c>
      <c r="FG38" s="85" t="n">
        <v>2443.1</v>
      </c>
      <c r="FH38" s="85" t="n">
        <v>2451.4</v>
      </c>
      <c r="FI38" s="85" t="n">
        <v>2452.3</v>
      </c>
      <c r="FJ38" s="85" t="n">
        <v>2451.4</v>
      </c>
      <c r="FK38" s="85" t="n">
        <v>2445</v>
      </c>
      <c r="FL38" s="85" t="n">
        <v>2423.3</v>
      </c>
      <c r="FM38" s="85" t="n">
        <v>2417.9</v>
      </c>
      <c r="FN38" s="85" t="n">
        <v>2431.3</v>
      </c>
      <c r="FO38" s="85" t="n">
        <v>2447.2</v>
      </c>
      <c r="FP38" s="85" t="n">
        <v>2448.6</v>
      </c>
      <c r="FQ38" s="85" t="n">
        <v>2475.8</v>
      </c>
      <c r="FR38" s="85" t="n">
        <v>2483.9</v>
      </c>
      <c r="FS38" s="85" t="n">
        <v>2506.2</v>
      </c>
      <c r="FT38" s="85" t="n">
        <v>2526.9</v>
      </c>
      <c r="FU38" s="85" t="n">
        <v>2529.9</v>
      </c>
      <c r="FV38" s="85" t="n">
        <v>2540.3</v>
      </c>
      <c r="FW38" s="85" t="n">
        <v>2577.6</v>
      </c>
      <c r="FX38" s="85" t="n">
        <v>2619.9</v>
      </c>
      <c r="FY38" s="85" t="n">
        <v>2643.5</v>
      </c>
      <c r="FZ38" s="85" t="n">
        <v>2650.2</v>
      </c>
      <c r="GA38" s="85" t="n">
        <v>2706.1</v>
      </c>
      <c r="GB38" s="85" t="n">
        <v>2730.1</v>
      </c>
      <c r="GC38" s="85" t="n">
        <v>2731.2</v>
      </c>
      <c r="GD38" s="85" t="n">
        <v>2755.7</v>
      </c>
      <c r="GE38" s="85" t="n">
        <v>2784.2</v>
      </c>
      <c r="GF38" s="85" t="n">
        <v>2809.5</v>
      </c>
      <c r="GG38" s="85" t="n">
        <v>2835</v>
      </c>
      <c r="GH38" s="85" t="n">
        <v>2849.2</v>
      </c>
      <c r="GI38" s="85" t="n">
        <v>2851.8</v>
      </c>
      <c r="GJ38" s="85" t="n">
        <v>2892.4</v>
      </c>
      <c r="GK38" s="85" t="n">
        <v>2918.9</v>
      </c>
      <c r="GL38" s="85" t="n">
        <v>2940.4</v>
      </c>
      <c r="GM38" s="85" t="n">
        <v>2985</v>
      </c>
      <c r="GN38" s="85" t="n">
        <v>3020.2</v>
      </c>
      <c r="GO38" s="85" t="n">
        <v>3027</v>
      </c>
      <c r="GP38" s="85" t="n">
        <v>3069.1</v>
      </c>
      <c r="GQ38" s="85" t="n">
        <v>3141.9</v>
      </c>
      <c r="GR38" s="85" t="n">
        <v>3185.2</v>
      </c>
      <c r="GS38" s="85" t="n">
        <v>3217.2</v>
      </c>
      <c r="GT38" s="85" t="n">
        <v>3255.1</v>
      </c>
      <c r="GU38" s="85" t="n">
        <v>3273.8</v>
      </c>
      <c r="GV38" s="85" t="n">
        <v>3321.8</v>
      </c>
      <c r="GW38" s="85" t="n">
        <v>3321.3</v>
      </c>
      <c r="GX38" s="85" t="n">
        <v>3391.7</v>
      </c>
      <c r="GY38" s="85" t="n">
        <v>3467.1</v>
      </c>
      <c r="GZ38" s="85" t="n">
        <v>3507.6</v>
      </c>
      <c r="HA38" s="85" t="n">
        <v>3518.9</v>
      </c>
      <c r="HB38" s="85" t="n">
        <v>3599.4</v>
      </c>
      <c r="HC38" t="n">
        <v>3703.4</v>
      </c>
      <c r="HD38" t="n">
        <v>3749.1</v>
      </c>
      <c r="HE38" t="n">
        <v>3838.5</v>
      </c>
      <c r="HF38" t="n">
        <v>3861.7</v>
      </c>
      <c r="HG38" t="n">
        <v>3911.8</v>
      </c>
      <c r="HH38" t="n">
        <v>3944.8</v>
      </c>
      <c r="HI38" t="n">
        <v>3975.3</v>
      </c>
      <c r="HJ38" t="n">
        <v>4067.2</v>
      </c>
      <c r="HK38" t="n">
        <v>4111.1</v>
      </c>
    </row>
    <row r="39">
      <c r="A39" s="85" t="s">
        <v>2547</v>
      </c>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c r="CK39" s="85"/>
      <c r="CL39" s="85"/>
      <c r="CM39" s="85"/>
      <c r="CN39" s="85"/>
      <c r="CO39" s="85"/>
      <c r="CP39" s="85" t="n">
        <v>78.072</v>
      </c>
      <c r="CQ39" s="85" t="n">
        <v>80.831</v>
      </c>
      <c r="CR39" s="85" t="n">
        <v>85.251</v>
      </c>
      <c r="CS39" s="85" t="n">
        <v>88.178</v>
      </c>
      <c r="CT39" s="85" t="n">
        <v>84.002</v>
      </c>
      <c r="CU39" s="85" t="n">
        <v>86.255</v>
      </c>
      <c r="CV39" s="85" t="n">
        <v>87.978</v>
      </c>
      <c r="CW39" s="85" t="n">
        <v>89.829</v>
      </c>
      <c r="CX39" s="85" t="n">
        <v>95.218</v>
      </c>
      <c r="CY39" s="85" t="n">
        <v>94.484</v>
      </c>
      <c r="CZ39" s="85" t="n">
        <v>93.858</v>
      </c>
      <c r="DA39" s="85" t="n">
        <v>92.181</v>
      </c>
      <c r="DB39" s="85" t="n">
        <v>94.539</v>
      </c>
      <c r="DC39" s="85" t="n">
        <v>102.461</v>
      </c>
      <c r="DD39" s="85" t="n">
        <v>99.672</v>
      </c>
      <c r="DE39" s="85" t="n">
        <v>97.609</v>
      </c>
      <c r="DF39" s="85" t="n">
        <v>98.691</v>
      </c>
      <c r="DG39" s="85" t="n">
        <v>98.642</v>
      </c>
      <c r="DH39" s="85" t="n">
        <v>101.001</v>
      </c>
      <c r="DI39" s="85" t="n">
        <v>105.738</v>
      </c>
      <c r="DJ39" s="85" t="n">
        <v>103.992</v>
      </c>
      <c r="DK39" s="85" t="n">
        <v>106.287</v>
      </c>
      <c r="DL39" s="85" t="n">
        <v>106.646</v>
      </c>
      <c r="DM39" s="85" t="n">
        <v>110.762</v>
      </c>
      <c r="DN39" s="85" t="n">
        <v>114.027</v>
      </c>
      <c r="DO39" s="85" t="n">
        <v>113.559</v>
      </c>
      <c r="DP39" s="85" t="n">
        <v>120.524</v>
      </c>
      <c r="DQ39" s="85" t="n">
        <v>121.904</v>
      </c>
      <c r="DR39" s="85" t="n">
        <v>121.898</v>
      </c>
      <c r="DS39" s="85" t="n">
        <v>123.319</v>
      </c>
      <c r="DT39" s="85" t="n">
        <v>133.626</v>
      </c>
      <c r="DU39" s="85" t="n">
        <v>129.622</v>
      </c>
      <c r="DV39" s="85" t="n">
        <v>138.716</v>
      </c>
      <c r="DW39" s="85" t="n">
        <v>145.774</v>
      </c>
      <c r="DX39" s="85" t="n">
        <v>143.219</v>
      </c>
      <c r="DY39" s="85" t="n">
        <v>153.809</v>
      </c>
      <c r="DZ39" s="85" t="n">
        <v>156.084</v>
      </c>
      <c r="EA39" s="85" t="n">
        <v>157.455</v>
      </c>
      <c r="EB39" s="85" t="n">
        <v>164.01</v>
      </c>
      <c r="EC39" s="85" t="n">
        <v>166.934</v>
      </c>
      <c r="ED39" s="85" t="n">
        <v>165.906</v>
      </c>
      <c r="EE39" s="85" t="n">
        <v>171.106</v>
      </c>
      <c r="EF39" s="85" t="n">
        <v>186.792</v>
      </c>
      <c r="EG39" s="85" t="n">
        <v>182.543</v>
      </c>
      <c r="EH39" s="85" t="n">
        <v>190.07</v>
      </c>
      <c r="EI39" s="85" t="n">
        <v>194.963</v>
      </c>
      <c r="EJ39" s="85" t="n">
        <v>186.476</v>
      </c>
      <c r="EK39" s="85" t="n">
        <v>191.752</v>
      </c>
      <c r="EL39" s="85" t="n">
        <v>199.036</v>
      </c>
      <c r="EM39" s="85" t="n">
        <v>200.246</v>
      </c>
      <c r="EN39" s="85" t="n">
        <v>195.231</v>
      </c>
      <c r="EO39" s="85" t="n">
        <v>197.352</v>
      </c>
      <c r="EP39" s="85" t="n">
        <v>191.747</v>
      </c>
      <c r="EQ39" s="85" t="n">
        <v>189.018</v>
      </c>
      <c r="ER39" s="85" t="n">
        <v>197.488</v>
      </c>
      <c r="ES39" s="85" t="n">
        <v>189.083</v>
      </c>
      <c r="ET39" s="85" t="n">
        <v>209.347</v>
      </c>
      <c r="EU39" s="85" t="n">
        <v>201.383</v>
      </c>
      <c r="EV39" s="85" t="n">
        <v>204.318</v>
      </c>
      <c r="EW39" s="85" t="n">
        <v>206.11</v>
      </c>
      <c r="EX39" s="85" t="n">
        <v>209.603</v>
      </c>
      <c r="EY39" s="85" t="n">
        <v>216.57</v>
      </c>
      <c r="EZ39" s="85" t="n">
        <v>213.016</v>
      </c>
      <c r="FA39" s="85" t="n">
        <v>217.491</v>
      </c>
      <c r="FB39" s="85" t="n">
        <v>266.407</v>
      </c>
      <c r="FC39" s="85" t="n">
        <v>284.526</v>
      </c>
      <c r="FD39" s="85" t="n">
        <v>273.903</v>
      </c>
      <c r="FE39" s="85" t="n">
        <v>272.345</v>
      </c>
      <c r="FF39" s="85" t="n">
        <v>283.268</v>
      </c>
      <c r="FG39" s="85" t="n">
        <v>290.808</v>
      </c>
      <c r="FH39" s="85" t="n">
        <v>297.13</v>
      </c>
      <c r="FI39" s="85" t="n">
        <v>309.668</v>
      </c>
      <c r="FJ39" s="85" t="n">
        <v>293.84</v>
      </c>
      <c r="FK39" s="85" t="n">
        <v>288.9</v>
      </c>
      <c r="FL39" s="85" t="n">
        <v>248.813</v>
      </c>
      <c r="FM39" s="85" t="n">
        <v>249.625</v>
      </c>
      <c r="FN39" s="85" t="n">
        <v>258.161</v>
      </c>
      <c r="FO39" s="85" t="n">
        <v>273.39</v>
      </c>
      <c r="FP39" s="85" t="n">
        <v>263.079</v>
      </c>
      <c r="FQ39" s="85" t="n">
        <v>269.71</v>
      </c>
      <c r="FR39" s="85" t="n">
        <v>272.063</v>
      </c>
      <c r="FS39" s="85" t="n">
        <v>283.408</v>
      </c>
      <c r="FT39" s="85" t="n">
        <v>281.455</v>
      </c>
      <c r="FU39" s="85" t="n">
        <v>282.107</v>
      </c>
      <c r="FV39" s="85" t="n">
        <v>303.39</v>
      </c>
      <c r="FW39" s="85" t="n">
        <v>320.015</v>
      </c>
      <c r="FX39" s="85" t="n">
        <v>343.692</v>
      </c>
      <c r="FY39" s="85" t="n">
        <v>345.712</v>
      </c>
      <c r="FZ39" s="85" t="n">
        <v>362.792</v>
      </c>
      <c r="GA39" s="85" t="n">
        <v>363.41</v>
      </c>
      <c r="GB39" s="85" t="n">
        <v>365.384</v>
      </c>
      <c r="GC39" s="85" t="n">
        <v>384.032</v>
      </c>
      <c r="GD39" s="85" t="n">
        <v>378.246</v>
      </c>
      <c r="GE39" s="85" t="n">
        <v>382.367</v>
      </c>
      <c r="GF39" s="85" t="n">
        <v>396.216</v>
      </c>
      <c r="GG39" s="85" t="n">
        <v>408.323</v>
      </c>
      <c r="GH39" s="85" t="n">
        <v>396.162</v>
      </c>
      <c r="GI39" s="85" t="n">
        <v>373.916</v>
      </c>
      <c r="GJ39" s="85" t="n">
        <v>396.066</v>
      </c>
      <c r="GK39" s="85" t="n">
        <v>401.385</v>
      </c>
      <c r="GL39" s="85" t="n">
        <v>411.488</v>
      </c>
      <c r="GM39" s="85" t="n">
        <v>404.339</v>
      </c>
      <c r="GN39" s="85" t="n">
        <v>411.955</v>
      </c>
      <c r="GO39" s="85" t="n">
        <v>412.702</v>
      </c>
      <c r="GP39" s="85" t="n">
        <v>427.002</v>
      </c>
      <c r="GQ39" s="85" t="n">
        <v>436.454</v>
      </c>
      <c r="GR39" s="85" t="n">
        <v>437.673</v>
      </c>
      <c r="GS39" s="85" t="n">
        <v>439.754</v>
      </c>
      <c r="GT39" s="85" t="n">
        <v>445.969</v>
      </c>
      <c r="GU39" s="85" t="n">
        <v>580.009</v>
      </c>
      <c r="GV39" s="85" t="n">
        <v>532.596</v>
      </c>
      <c r="GW39" s="85" t="n">
        <v>548.315</v>
      </c>
      <c r="GX39" s="85" t="n">
        <v>537.872</v>
      </c>
      <c r="GY39" s="85" t="n">
        <v>552.752</v>
      </c>
      <c r="GZ39" s="85" t="n">
        <v>583.201</v>
      </c>
      <c r="HA39" s="85" t="n">
        <v>617.229</v>
      </c>
      <c r="HB39" s="85" t="n">
        <v>633.92</v>
      </c>
      <c r="HC39" t="n">
        <v>630.317</v>
      </c>
      <c r="HD39" t="n">
        <v>648.996</v>
      </c>
      <c r="HE39" t="n">
        <v>647.526</v>
      </c>
      <c r="HF39" t="n">
        <v>665.999</v>
      </c>
      <c r="HG39" t="n">
        <v>661.473</v>
      </c>
      <c r="HH39" t="n">
        <v>617.139</v>
      </c>
      <c r="HI39" t="n">
        <v>643.48</v>
      </c>
      <c r="HJ39" t="n">
        <v>651.158</v>
      </c>
      <c r="HK39" t="n">
        <v>660.255</v>
      </c>
    </row>
    <row r="40">
      <c r="A40" s="85" t="s">
        <v>2548</v>
      </c>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c r="CK40" s="85"/>
      <c r="CL40" s="85"/>
      <c r="CM40" s="85"/>
      <c r="CN40" s="85"/>
      <c r="CO40" s="85"/>
      <c r="CP40" s="85" t="n">
        <v>73.888</v>
      </c>
      <c r="CQ40" s="85" t="n">
        <v>76.036</v>
      </c>
      <c r="CR40" s="85" t="n">
        <v>80.604</v>
      </c>
      <c r="CS40" s="85" t="n">
        <v>84.1</v>
      </c>
      <c r="CT40" s="85" t="n">
        <v>78.948</v>
      </c>
      <c r="CU40" s="85" t="n">
        <v>81.772</v>
      </c>
      <c r="CV40" s="85" t="n">
        <v>82.892</v>
      </c>
      <c r="CW40" s="85" t="n">
        <v>85.54</v>
      </c>
      <c r="CX40" s="85" t="n">
        <v>90.524</v>
      </c>
      <c r="CY40" s="85" t="n">
        <v>90.54</v>
      </c>
      <c r="CZ40" s="85" t="n">
        <v>89.28</v>
      </c>
      <c r="DA40" s="85" t="n">
        <v>87.568</v>
      </c>
      <c r="DB40" s="85" t="n">
        <v>88.772</v>
      </c>
      <c r="DC40" s="85" t="n">
        <v>96.376</v>
      </c>
      <c r="DD40" s="85" t="n">
        <v>94.872</v>
      </c>
      <c r="DE40" s="85" t="n">
        <v>93.892</v>
      </c>
      <c r="DF40" s="85" t="n">
        <v>95.98</v>
      </c>
      <c r="DG40" s="85" t="n">
        <v>94.924</v>
      </c>
      <c r="DH40" s="85" t="n">
        <v>97.108</v>
      </c>
      <c r="DI40" s="85" t="n">
        <v>101.384</v>
      </c>
      <c r="DJ40" s="85" t="n">
        <v>99.444</v>
      </c>
      <c r="DK40" s="85" t="n">
        <v>101.608</v>
      </c>
      <c r="DL40" s="85" t="n">
        <v>102.26</v>
      </c>
      <c r="DM40" s="85" t="n">
        <v>103.952</v>
      </c>
      <c r="DN40" s="85" t="n">
        <v>107.1</v>
      </c>
      <c r="DO40" s="85" t="n">
        <v>107.208</v>
      </c>
      <c r="DP40" s="85" t="n">
        <v>113.428</v>
      </c>
      <c r="DQ40" s="85" t="n">
        <v>114.62</v>
      </c>
      <c r="DR40" s="85" t="n">
        <v>114.852</v>
      </c>
      <c r="DS40" s="85" t="n">
        <v>116.168</v>
      </c>
      <c r="DT40" s="85" t="n">
        <v>125.392</v>
      </c>
      <c r="DU40" s="85" t="n">
        <v>121.748</v>
      </c>
      <c r="DV40" s="85" t="n">
        <v>129.388</v>
      </c>
      <c r="DW40" s="85" t="n">
        <v>132.128</v>
      </c>
      <c r="DX40" s="85" t="n">
        <v>133.364</v>
      </c>
      <c r="DY40" s="85" t="n">
        <v>143.652</v>
      </c>
      <c r="DZ40" s="85" t="n">
        <v>145.547</v>
      </c>
      <c r="EA40" s="85" t="n">
        <v>146.352</v>
      </c>
      <c r="EB40" s="85" t="n">
        <v>152.896</v>
      </c>
      <c r="EC40" s="85" t="n">
        <v>155.307</v>
      </c>
      <c r="ED40" s="85" t="n">
        <v>154.378</v>
      </c>
      <c r="EE40" s="85" t="n">
        <v>158.02</v>
      </c>
      <c r="EF40" s="85" t="n">
        <v>174.229</v>
      </c>
      <c r="EG40" s="85" t="n">
        <v>170.506</v>
      </c>
      <c r="EH40" s="85" t="n">
        <v>177.772</v>
      </c>
      <c r="EI40" s="85" t="n">
        <v>182.692</v>
      </c>
      <c r="EJ40" s="85" t="n">
        <v>173.33</v>
      </c>
      <c r="EK40" s="85" t="n">
        <v>177.282</v>
      </c>
      <c r="EL40" s="85" t="n">
        <v>183.908</v>
      </c>
      <c r="EM40" s="85" t="n">
        <v>185.818</v>
      </c>
      <c r="EN40" s="85" t="n">
        <v>179.683</v>
      </c>
      <c r="EO40" s="85" t="n">
        <v>182.944</v>
      </c>
      <c r="EP40" s="85" t="n">
        <v>175.956</v>
      </c>
      <c r="EQ40" s="85" t="n">
        <v>176.53</v>
      </c>
      <c r="ER40" s="85" t="n">
        <v>186.733</v>
      </c>
      <c r="ES40" s="85" t="n">
        <v>177.659</v>
      </c>
      <c r="ET40" s="85" t="n">
        <v>200.218</v>
      </c>
      <c r="EU40" s="85" t="n">
        <v>190.602</v>
      </c>
      <c r="EV40" s="85" t="n">
        <v>194.111</v>
      </c>
      <c r="EW40" s="85" t="n">
        <v>196.028</v>
      </c>
      <c r="EX40" s="85" t="n">
        <v>200.294</v>
      </c>
      <c r="EY40" s="85" t="n">
        <v>203.794</v>
      </c>
      <c r="EZ40" s="85" t="n">
        <v>205.059</v>
      </c>
      <c r="FA40" s="85" t="n">
        <v>208.505</v>
      </c>
      <c r="FB40" s="85" t="n">
        <v>256.944</v>
      </c>
      <c r="FC40" s="85" t="n">
        <v>274.664</v>
      </c>
      <c r="FD40" s="85" t="n">
        <v>263.924</v>
      </c>
      <c r="FE40" s="85" t="n">
        <v>261.944</v>
      </c>
      <c r="FF40" s="85" t="n">
        <v>271.844</v>
      </c>
      <c r="FG40" s="85" t="n">
        <v>272.456</v>
      </c>
      <c r="FH40" s="85" t="n">
        <v>283.691</v>
      </c>
      <c r="FI40" s="85" t="n">
        <v>297.609</v>
      </c>
      <c r="FJ40" s="85" t="n">
        <v>282.445</v>
      </c>
      <c r="FK40" s="85" t="n">
        <v>277.196</v>
      </c>
      <c r="FL40" s="85" t="n">
        <v>237.739</v>
      </c>
      <c r="FM40" s="85" t="n">
        <v>239.291</v>
      </c>
      <c r="FN40" s="85" t="n">
        <v>246.248</v>
      </c>
      <c r="FO40" s="85" t="n">
        <v>262.324</v>
      </c>
      <c r="FP40" s="85" t="n">
        <v>250.54</v>
      </c>
      <c r="FQ40" s="85" t="n">
        <v>259.562</v>
      </c>
      <c r="FR40" s="85" t="n">
        <v>258.45</v>
      </c>
      <c r="FS40" s="85" t="n">
        <v>270.887</v>
      </c>
      <c r="FT40" s="85" t="n">
        <v>269.279</v>
      </c>
      <c r="FU40" s="85" t="n">
        <v>269.982</v>
      </c>
      <c r="FV40" s="85" t="n">
        <v>291.59</v>
      </c>
      <c r="FW40" s="85" t="n">
        <v>307.775</v>
      </c>
      <c r="FX40" s="85" t="n">
        <v>332.4</v>
      </c>
      <c r="FY40" s="85" t="n">
        <v>335.611</v>
      </c>
      <c r="FZ40" s="85" t="n">
        <v>352.188</v>
      </c>
      <c r="GA40" s="85" t="n">
        <v>353.442</v>
      </c>
      <c r="GB40" s="85" t="n">
        <v>352.909</v>
      </c>
      <c r="GC40" s="85" t="n">
        <v>366.274</v>
      </c>
      <c r="GD40" s="85" t="n">
        <v>360.221</v>
      </c>
      <c r="GE40" s="85" t="n">
        <v>363.844</v>
      </c>
      <c r="GF40" s="85" t="n">
        <v>377.967</v>
      </c>
      <c r="GG40" s="85" t="n">
        <v>388.176</v>
      </c>
      <c r="GH40" s="85" t="n">
        <v>376.564</v>
      </c>
      <c r="GI40" s="85" t="n">
        <v>354.404</v>
      </c>
      <c r="GJ40" s="85" t="n">
        <v>375.438</v>
      </c>
      <c r="GK40" s="85" t="n">
        <v>382.68</v>
      </c>
      <c r="GL40" s="85" t="n">
        <v>389.901</v>
      </c>
      <c r="GM40" s="85" t="n">
        <v>385.517</v>
      </c>
      <c r="GN40" s="85" t="n">
        <v>390.852</v>
      </c>
      <c r="GO40" s="85" t="n">
        <v>391.921</v>
      </c>
      <c r="GP40" s="85" t="n">
        <v>405.368</v>
      </c>
      <c r="GQ40" s="85" t="n">
        <v>414.196</v>
      </c>
      <c r="GR40" s="85" t="n">
        <v>418.686</v>
      </c>
      <c r="GS40" s="85" t="n">
        <v>416.185</v>
      </c>
      <c r="GT40" s="85" t="n">
        <v>422.89</v>
      </c>
      <c r="GU40" s="85" t="n">
        <v>502.906</v>
      </c>
      <c r="GV40" s="85" t="n">
        <v>484.48</v>
      </c>
      <c r="GW40" s="85" t="n">
        <v>509.884</v>
      </c>
      <c r="GX40" s="85" t="n">
        <v>499.429</v>
      </c>
      <c r="GY40" s="85" t="n">
        <v>520.79</v>
      </c>
      <c r="GZ40" s="85" t="n">
        <v>545.326</v>
      </c>
      <c r="HA40" s="85" t="n">
        <v>567.61</v>
      </c>
      <c r="HB40" s="85" t="n">
        <v>589.927</v>
      </c>
      <c r="HC40" t="n">
        <v>585.746</v>
      </c>
      <c r="HD40" t="n">
        <v>617.889</v>
      </c>
      <c r="HE40" t="n">
        <v>611.68</v>
      </c>
      <c r="HF40" t="n">
        <v>632.66</v>
      </c>
      <c r="HG40" t="n">
        <v>628.887</v>
      </c>
      <c r="HH40" t="n">
        <v>585.984</v>
      </c>
      <c r="HI40" t="n">
        <v>612.034</v>
      </c>
      <c r="HJ40" t="n">
        <v>618.727</v>
      </c>
      <c r="HK40" t="n">
        <v>628.157</v>
      </c>
    </row>
    <row r="41">
      <c r="A41" s="85" t="s">
        <v>2549</v>
      </c>
      <c r="B41" s="85" t="n">
        <v>5.576</v>
      </c>
      <c r="C41" s="85" t="n">
        <v>5.228</v>
      </c>
      <c r="D41" s="85" t="n">
        <v>4.816</v>
      </c>
      <c r="E41" s="85" t="n">
        <v>4.9</v>
      </c>
      <c r="F41" s="85" t="n">
        <v>5.464</v>
      </c>
      <c r="G41" s="85" t="n">
        <v>6.312</v>
      </c>
      <c r="H41" s="85" t="n">
        <v>5.756</v>
      </c>
      <c r="I41" s="85" t="n">
        <v>5.644</v>
      </c>
      <c r="J41" s="85" t="n">
        <v>5.668</v>
      </c>
      <c r="K41" s="85" t="n">
        <v>5.216</v>
      </c>
      <c r="L41" s="85" t="n">
        <v>6.724</v>
      </c>
      <c r="M41" s="85" t="n">
        <v>5.7</v>
      </c>
      <c r="N41" s="85" t="n">
        <v>5.74</v>
      </c>
      <c r="O41" s="85" t="n">
        <v>6.208</v>
      </c>
      <c r="P41" s="85" t="n">
        <v>5.344</v>
      </c>
      <c r="Q41" s="85" t="n">
        <v>5.92</v>
      </c>
      <c r="R41" s="85" t="n">
        <v>7.76</v>
      </c>
      <c r="S41" s="85" t="n">
        <v>8.572</v>
      </c>
      <c r="T41" s="85" t="n">
        <v>6.496</v>
      </c>
      <c r="U41" s="85" t="n">
        <v>7.84</v>
      </c>
      <c r="V41" s="85" t="n">
        <v>8.652</v>
      </c>
      <c r="W41" s="85" t="n">
        <v>7.804</v>
      </c>
      <c r="X41" s="85" t="n">
        <v>10.772</v>
      </c>
      <c r="Y41" s="85" t="n">
        <v>10.424</v>
      </c>
      <c r="Z41" s="85" t="n">
        <v>10.012</v>
      </c>
      <c r="AA41" s="85" t="n">
        <v>9.76</v>
      </c>
      <c r="AB41" s="85" t="n">
        <v>10.592</v>
      </c>
      <c r="AC41" s="85" t="n">
        <v>11.108</v>
      </c>
      <c r="AD41" s="85" t="n">
        <v>10.716</v>
      </c>
      <c r="AE41" s="85" t="n">
        <v>10.652</v>
      </c>
      <c r="AF41" s="85" t="n">
        <v>11.804</v>
      </c>
      <c r="AG41" s="85" t="n">
        <v>10.7</v>
      </c>
      <c r="AH41" s="85" t="n">
        <v>10.968</v>
      </c>
      <c r="AI41" s="85" t="n">
        <v>11.528</v>
      </c>
      <c r="AJ41" s="85" t="n">
        <v>11.908</v>
      </c>
      <c r="AK41" s="85" t="n">
        <v>12.528</v>
      </c>
      <c r="AL41" s="85" t="n">
        <v>13.592</v>
      </c>
      <c r="AM41" s="85" t="n">
        <v>13.048</v>
      </c>
      <c r="AN41" s="85" t="n">
        <v>14.292</v>
      </c>
      <c r="AO41" s="85" t="n">
        <v>15.752</v>
      </c>
      <c r="AP41" s="85" t="n">
        <v>16.26</v>
      </c>
      <c r="AQ41" s="85" t="n">
        <v>16.536</v>
      </c>
      <c r="AR41" s="85" t="n">
        <v>15.916</v>
      </c>
      <c r="AS41" s="85" t="n">
        <v>16.628</v>
      </c>
      <c r="AT41" s="85" t="n">
        <v>16.092</v>
      </c>
      <c r="AU41" s="85" t="n">
        <v>15.716</v>
      </c>
      <c r="AV41" s="85" t="n">
        <v>14.828</v>
      </c>
      <c r="AW41" s="85" t="n">
        <v>15.012</v>
      </c>
      <c r="AX41" s="85" t="n">
        <v>13.852</v>
      </c>
      <c r="AY41" s="85" t="n">
        <v>14.552</v>
      </c>
      <c r="AZ41" s="85" t="n">
        <v>14.544</v>
      </c>
      <c r="BA41" s="85" t="n">
        <v>14.484</v>
      </c>
      <c r="BB41" s="85" t="n">
        <v>15.9</v>
      </c>
      <c r="BC41" s="85" t="n">
        <v>14.2</v>
      </c>
      <c r="BD41" s="85" t="n">
        <v>15.904</v>
      </c>
      <c r="BE41" s="85" t="n">
        <v>15.768</v>
      </c>
      <c r="BF41" s="85" t="n">
        <v>16.556</v>
      </c>
      <c r="BG41" s="85" t="n">
        <v>17.236</v>
      </c>
      <c r="BH41" s="85" t="n">
        <v>18.092</v>
      </c>
      <c r="BI41" s="85" t="n">
        <v>18.824</v>
      </c>
      <c r="BJ41" s="85" t="n">
        <v>17.044</v>
      </c>
      <c r="BK41" s="85" t="n">
        <v>19.408</v>
      </c>
      <c r="BL41" s="85" t="n">
        <v>20.036</v>
      </c>
      <c r="BM41" s="85" t="n">
        <v>21.184</v>
      </c>
      <c r="BN41" s="85" t="n">
        <v>19.72</v>
      </c>
      <c r="BO41" s="85" t="n">
        <v>20.556</v>
      </c>
      <c r="BP41" s="85" t="n">
        <v>21.284</v>
      </c>
      <c r="BQ41" s="85" t="n">
        <v>18.32</v>
      </c>
      <c r="BR41" s="85" t="n">
        <v>18.76</v>
      </c>
      <c r="BS41" s="85" t="n">
        <v>19.56</v>
      </c>
      <c r="BT41" s="85" t="n">
        <v>18.828</v>
      </c>
      <c r="BU41" s="85" t="n">
        <v>18.696</v>
      </c>
      <c r="BV41" s="85" t="n">
        <v>18.972</v>
      </c>
      <c r="BW41" s="85" t="n">
        <v>19.836</v>
      </c>
      <c r="BX41" s="85" t="n">
        <v>20.388</v>
      </c>
      <c r="BY41" s="85" t="n">
        <v>19.284</v>
      </c>
      <c r="BZ41" s="85" t="n">
        <v>20.192</v>
      </c>
      <c r="CA41" s="85" t="n">
        <v>19.936</v>
      </c>
      <c r="CB41" s="85" t="n">
        <v>18.832</v>
      </c>
      <c r="CC41" s="85" t="n">
        <v>20.492</v>
      </c>
      <c r="CD41" s="85" t="n">
        <v>21.448</v>
      </c>
      <c r="CE41" s="85" t="n">
        <v>20.184</v>
      </c>
      <c r="CF41" s="85" t="n">
        <v>20.508</v>
      </c>
      <c r="CG41" s="85" t="n">
        <v>21.188</v>
      </c>
      <c r="CH41" s="85" t="n">
        <v>21.552</v>
      </c>
      <c r="CI41" s="85" t="n">
        <v>21.612</v>
      </c>
      <c r="CJ41" s="85" t="n">
        <v>21.056</v>
      </c>
      <c r="CK41" s="85" t="n">
        <v>20.612</v>
      </c>
      <c r="CL41" s="85" t="n">
        <v>21.388</v>
      </c>
      <c r="CM41" s="85" t="n">
        <v>22.8</v>
      </c>
      <c r="CN41" s="85" t="n">
        <v>22.288</v>
      </c>
      <c r="CO41" s="85" t="n">
        <v>23.064</v>
      </c>
      <c r="CP41" s="85" t="n">
        <v>21.784</v>
      </c>
      <c r="CQ41" s="85" t="n">
        <v>22.472</v>
      </c>
      <c r="CR41" s="85" t="n">
        <v>24.884</v>
      </c>
      <c r="CS41" s="85" t="n">
        <v>24.764</v>
      </c>
      <c r="CT41" s="85" t="n">
        <v>23.632</v>
      </c>
      <c r="CU41" s="85" t="n">
        <v>23.952</v>
      </c>
      <c r="CV41" s="85" t="n">
        <v>25.152</v>
      </c>
      <c r="CW41" s="85" t="n">
        <v>26.476</v>
      </c>
      <c r="CX41" s="85" t="n">
        <v>27.744</v>
      </c>
      <c r="CY41" s="85" t="n">
        <v>28.028</v>
      </c>
      <c r="CZ41" s="85" t="n">
        <v>26.448</v>
      </c>
      <c r="DA41" s="85" t="n">
        <v>26.816</v>
      </c>
      <c r="DB41" s="85" t="n">
        <v>29.136</v>
      </c>
      <c r="DC41" s="85" t="n">
        <v>27.904</v>
      </c>
      <c r="DD41" s="85" t="n">
        <v>27.116</v>
      </c>
      <c r="DE41" s="85" t="n">
        <v>28.72</v>
      </c>
      <c r="DF41" s="85" t="n">
        <v>28.4</v>
      </c>
      <c r="DG41" s="85" t="n">
        <v>29.016</v>
      </c>
      <c r="DH41" s="85" t="n">
        <v>29.084</v>
      </c>
      <c r="DI41" s="85" t="n">
        <v>28.744</v>
      </c>
      <c r="DJ41" s="85" t="n">
        <v>27.052</v>
      </c>
      <c r="DK41" s="85" t="n">
        <v>27.336</v>
      </c>
      <c r="DL41" s="85" t="n">
        <v>29.104</v>
      </c>
      <c r="DM41" s="85" t="n">
        <v>31.232</v>
      </c>
      <c r="DN41" s="85" t="n">
        <v>27.78</v>
      </c>
      <c r="DO41" s="85" t="n">
        <v>32.192</v>
      </c>
      <c r="DP41" s="85" t="n">
        <v>34.264</v>
      </c>
      <c r="DQ41" s="85" t="n">
        <v>34.124</v>
      </c>
      <c r="DR41" s="85" t="n">
        <v>35.572</v>
      </c>
      <c r="DS41" s="85" t="n">
        <v>36.04</v>
      </c>
      <c r="DT41" s="85" t="n">
        <v>35.728</v>
      </c>
      <c r="DU41" s="85" t="n">
        <v>39.26</v>
      </c>
      <c r="DV41" s="85" t="n">
        <v>40.316</v>
      </c>
      <c r="DW41" s="85" t="n">
        <v>43.008</v>
      </c>
      <c r="DX41" s="85" t="n">
        <v>42.668</v>
      </c>
      <c r="DY41" s="85" t="n">
        <v>43.008</v>
      </c>
      <c r="DZ41" s="85" t="n">
        <v>50.609</v>
      </c>
      <c r="EA41" s="85" t="n">
        <v>45.405</v>
      </c>
      <c r="EB41" s="85" t="n">
        <v>41.342</v>
      </c>
      <c r="EC41" s="85" t="n">
        <v>44.814</v>
      </c>
      <c r="ED41" s="85" t="n">
        <v>43.171</v>
      </c>
      <c r="EE41" s="85" t="n">
        <v>48.719</v>
      </c>
      <c r="EF41" s="85" t="n">
        <v>46.443</v>
      </c>
      <c r="EG41" s="85" t="n">
        <v>45.507</v>
      </c>
      <c r="EH41" s="85" t="n">
        <v>47.601</v>
      </c>
      <c r="EI41" s="85" t="n">
        <v>44.213</v>
      </c>
      <c r="EJ41" s="85" t="n">
        <v>50.413</v>
      </c>
      <c r="EK41" s="85" t="n">
        <v>44.947</v>
      </c>
      <c r="EL41" s="85" t="n">
        <v>49.943</v>
      </c>
      <c r="EM41" s="85" t="n">
        <v>51.172</v>
      </c>
      <c r="EN41" s="85" t="n">
        <v>47.383</v>
      </c>
      <c r="EO41" s="85" t="n">
        <v>49.225</v>
      </c>
      <c r="EP41" s="85" t="n">
        <v>53.557</v>
      </c>
      <c r="EQ41" s="85" t="n">
        <v>53.237</v>
      </c>
      <c r="ER41" s="85" t="n">
        <v>52.165</v>
      </c>
      <c r="ES41" s="85" t="n">
        <v>51.704</v>
      </c>
      <c r="ET41" s="85" t="n">
        <v>50.937</v>
      </c>
      <c r="EU41" s="85" t="n">
        <v>56.121</v>
      </c>
      <c r="EV41" s="85" t="n">
        <v>55.528</v>
      </c>
      <c r="EW41" s="85" t="n">
        <v>54.619</v>
      </c>
      <c r="EX41" s="85" t="n">
        <v>56.613</v>
      </c>
      <c r="EY41" s="85" t="n">
        <v>58.842</v>
      </c>
      <c r="EZ41" s="85" t="n">
        <v>56.868</v>
      </c>
      <c r="FA41" s="85" t="n">
        <v>58.177</v>
      </c>
      <c r="FB41" s="85" t="n">
        <v>58.334</v>
      </c>
      <c r="FC41" s="85" t="n">
        <v>59.643</v>
      </c>
      <c r="FD41" s="85" t="n">
        <v>67.126</v>
      </c>
      <c r="FE41" s="85" t="n">
        <v>68.543</v>
      </c>
      <c r="FF41" s="85" t="n">
        <v>64.721</v>
      </c>
      <c r="FG41" s="85" t="n">
        <v>73.737</v>
      </c>
      <c r="FH41" s="85" t="n">
        <v>74.821</v>
      </c>
      <c r="FI41" s="85" t="n">
        <v>75.022</v>
      </c>
      <c r="FJ41" s="85" t="n">
        <v>70.503</v>
      </c>
      <c r="FK41" s="85" t="n">
        <v>69.145</v>
      </c>
      <c r="FL41" s="85" t="n">
        <v>65.916</v>
      </c>
      <c r="FM41" s="85" t="n">
        <v>70.531</v>
      </c>
      <c r="FN41" s="85" t="n">
        <v>67.107</v>
      </c>
      <c r="FO41" s="85" t="n">
        <v>67.67</v>
      </c>
      <c r="FP41" s="85" t="n">
        <v>65.88</v>
      </c>
      <c r="FQ41" s="85" t="n">
        <v>65.507</v>
      </c>
      <c r="FR41" s="85" t="n">
        <v>67.564</v>
      </c>
      <c r="FS41" s="85" t="n">
        <v>63.979</v>
      </c>
      <c r="FT41" s="85" t="n">
        <v>68.014</v>
      </c>
      <c r="FU41" s="85" t="n">
        <v>65.742</v>
      </c>
      <c r="FV41" s="85" t="n">
        <v>65.276</v>
      </c>
      <c r="FW41" s="85" t="n">
        <v>67.164</v>
      </c>
      <c r="FX41" s="85" t="n">
        <v>68.84</v>
      </c>
      <c r="FY41" s="85" t="n">
        <v>61.403</v>
      </c>
      <c r="FZ41" s="85" t="n">
        <v>63.534</v>
      </c>
      <c r="GA41" s="85" t="n">
        <v>62.907</v>
      </c>
      <c r="GB41" s="85" t="n">
        <v>66.76</v>
      </c>
      <c r="GC41" s="85" t="n">
        <v>64.462</v>
      </c>
      <c r="GD41" s="85" t="n">
        <v>66.301</v>
      </c>
      <c r="GE41" s="85" t="n">
        <v>67.191</v>
      </c>
      <c r="GF41" s="85" t="n">
        <v>68.578</v>
      </c>
      <c r="GG41" s="85" t="n">
        <v>66.981</v>
      </c>
      <c r="GH41" s="85" t="n">
        <v>67.223</v>
      </c>
      <c r="GI41" s="85" t="n">
        <v>69.479</v>
      </c>
      <c r="GJ41" s="85" t="n">
        <v>64.624</v>
      </c>
      <c r="GK41" s="85" t="n">
        <v>65.737</v>
      </c>
      <c r="GL41" s="85" t="n">
        <v>65.069</v>
      </c>
      <c r="GM41" s="85" t="n">
        <v>65.827</v>
      </c>
      <c r="GN41" s="85" t="n">
        <v>70.346</v>
      </c>
      <c r="GO41" s="85" t="n">
        <v>66.262</v>
      </c>
      <c r="GP41" s="85" t="n">
        <v>67.564</v>
      </c>
      <c r="GQ41" s="85" t="n">
        <v>67.514</v>
      </c>
      <c r="GR41" s="85" t="n">
        <v>70.83</v>
      </c>
      <c r="GS41" s="85" t="n">
        <v>72.497</v>
      </c>
      <c r="GT41" s="85" t="n">
        <v>75.649</v>
      </c>
      <c r="GU41" s="85" t="n">
        <v>75.484</v>
      </c>
      <c r="GV41" s="85" t="n">
        <v>79.444</v>
      </c>
      <c r="GW41" s="85" t="n">
        <v>75.743</v>
      </c>
      <c r="GX41" s="85" t="n">
        <v>73.183</v>
      </c>
      <c r="GY41" s="85" t="n">
        <v>74.421</v>
      </c>
      <c r="GZ41" s="85" t="n">
        <v>70.334</v>
      </c>
      <c r="HA41" s="85" t="n">
        <v>72.708</v>
      </c>
      <c r="HB41" s="85" t="n">
        <v>75.024</v>
      </c>
      <c r="HC41" t="n">
        <v>427.625</v>
      </c>
      <c r="HD41" t="n">
        <v>145.124</v>
      </c>
      <c r="HE41" t="n">
        <v>81.416</v>
      </c>
      <c r="HF41" t="n">
        <v>81.027</v>
      </c>
      <c r="HG41" t="n">
        <v>89.128</v>
      </c>
      <c r="HH41" t="n">
        <v>92.77</v>
      </c>
      <c r="HI41" t="n">
        <v>90.915</v>
      </c>
      <c r="HJ41" t="n">
        <v>93.025</v>
      </c>
      <c r="HK41" t="n">
        <v>95.403</v>
      </c>
    </row>
    <row r="42">
      <c r="A42" s="85" t="s">
        <v>2550</v>
      </c>
      <c r="B42" s="85" t="n">
        <v>4.7</v>
      </c>
      <c r="C42" s="85" t="n">
        <v>4.8</v>
      </c>
      <c r="D42" s="85" t="n">
        <v>4.7</v>
      </c>
      <c r="E42" s="85" t="n">
        <v>4.8</v>
      </c>
      <c r="F42" s="85" t="n">
        <v>4.7</v>
      </c>
      <c r="G42" s="85" t="n">
        <v>4.8</v>
      </c>
      <c r="H42" s="85" t="n">
        <v>4.5</v>
      </c>
      <c r="I42" s="85" t="n">
        <v>4.6</v>
      </c>
      <c r="J42" s="85" t="n">
        <v>6.1</v>
      </c>
      <c r="K42" s="85" t="n">
        <v>6.2</v>
      </c>
      <c r="L42" s="85" t="n">
        <v>7.1</v>
      </c>
      <c r="M42" s="85" t="n">
        <v>7</v>
      </c>
      <c r="N42" s="85" t="n">
        <v>5.9</v>
      </c>
      <c r="O42" s="85" t="n">
        <v>5.6</v>
      </c>
      <c r="P42" s="85" t="n">
        <v>4.6</v>
      </c>
      <c r="Q42" s="85" t="n">
        <v>4.5</v>
      </c>
      <c r="R42" s="85" t="n">
        <v>3.5</v>
      </c>
      <c r="S42" s="85" t="n">
        <v>2.8</v>
      </c>
      <c r="T42" s="85" t="n">
        <v>3.1</v>
      </c>
      <c r="U42" s="85" t="n">
        <v>3.5</v>
      </c>
      <c r="V42" s="85" t="n">
        <v>4.1</v>
      </c>
      <c r="W42" s="85" t="n">
        <v>4.1</v>
      </c>
      <c r="X42" s="85" t="n">
        <v>4.4</v>
      </c>
      <c r="Y42" s="85" t="n">
        <v>4.8</v>
      </c>
      <c r="Z42" s="85" t="n">
        <v>5</v>
      </c>
      <c r="AA42" s="85" t="n">
        <v>4.7</v>
      </c>
      <c r="AB42" s="85" t="n">
        <v>4.9</v>
      </c>
      <c r="AC42" s="85" t="n">
        <v>5.3</v>
      </c>
      <c r="AD42" s="85" t="n">
        <v>5.6</v>
      </c>
      <c r="AE42" s="85" t="n">
        <v>5.7</v>
      </c>
      <c r="AF42" s="85" t="n">
        <v>6.2</v>
      </c>
      <c r="AG42" s="85" t="n">
        <v>10.1</v>
      </c>
      <c r="AH42" s="85" t="n">
        <v>8.5</v>
      </c>
      <c r="AI42" s="85" t="n">
        <v>8.1</v>
      </c>
      <c r="AJ42" s="85" t="n">
        <v>8</v>
      </c>
      <c r="AK42" s="85" t="n">
        <v>10.1</v>
      </c>
      <c r="AL42" s="85" t="n">
        <v>8.1</v>
      </c>
      <c r="AM42" s="85" t="n">
        <v>8.5</v>
      </c>
      <c r="AN42" s="85" t="n">
        <v>7.8</v>
      </c>
      <c r="AO42" s="85" t="n">
        <v>8.5</v>
      </c>
      <c r="AP42" s="85" t="n">
        <v>8.9</v>
      </c>
      <c r="AQ42" s="85" t="n">
        <v>9.3</v>
      </c>
      <c r="AR42" s="85" t="n">
        <v>9.7</v>
      </c>
      <c r="AS42" s="85" t="n">
        <v>9.9</v>
      </c>
      <c r="AT42" s="85" t="n">
        <v>10.2</v>
      </c>
      <c r="AU42" s="85" t="n">
        <v>10.3</v>
      </c>
      <c r="AV42" s="85" t="n">
        <v>10.7</v>
      </c>
      <c r="AW42" s="85" t="n">
        <v>13.1</v>
      </c>
      <c r="AX42" s="85" t="n">
        <v>13.6</v>
      </c>
      <c r="AY42" s="85" t="n">
        <v>13.2</v>
      </c>
      <c r="AZ42" s="85" t="n">
        <v>12.6</v>
      </c>
      <c r="BA42" s="85" t="n">
        <v>19</v>
      </c>
      <c r="BB42" s="85" t="n">
        <v>19.4</v>
      </c>
      <c r="BC42" s="85" t="n">
        <v>21.1</v>
      </c>
      <c r="BD42" s="85" t="n">
        <v>21.8</v>
      </c>
      <c r="BE42" s="85" t="n">
        <v>21.1</v>
      </c>
      <c r="BF42" s="85" t="n">
        <v>20.8</v>
      </c>
      <c r="BG42" s="85" t="n">
        <v>20.6</v>
      </c>
      <c r="BH42" s="85" t="n">
        <v>20.5</v>
      </c>
      <c r="BI42" s="85" t="n">
        <v>20.8</v>
      </c>
      <c r="BJ42" s="85" t="n">
        <v>20.8</v>
      </c>
      <c r="BK42" s="85" t="n">
        <v>20.7</v>
      </c>
      <c r="BL42" s="85" t="n">
        <v>21</v>
      </c>
      <c r="BM42" s="85" t="n">
        <v>21.7</v>
      </c>
      <c r="BN42" s="85" t="n">
        <v>22.8</v>
      </c>
      <c r="BO42" s="85" t="n">
        <v>23.9</v>
      </c>
      <c r="BP42" s="85" t="n">
        <v>25.1</v>
      </c>
      <c r="BQ42" s="85" t="n">
        <v>26.5</v>
      </c>
      <c r="BR42" s="85" t="n">
        <v>28</v>
      </c>
      <c r="BS42" s="85" t="n">
        <v>30.2</v>
      </c>
      <c r="BT42" s="85" t="n">
        <v>31</v>
      </c>
      <c r="BU42" s="85" t="n">
        <v>30.8</v>
      </c>
      <c r="BV42" s="85" t="n">
        <v>30</v>
      </c>
      <c r="BW42" s="85" t="n">
        <v>29.5</v>
      </c>
      <c r="BX42" s="85" t="n">
        <v>28.9</v>
      </c>
      <c r="BY42" s="85" t="n">
        <v>28.2</v>
      </c>
      <c r="BZ42" s="85" t="n">
        <v>27.6</v>
      </c>
      <c r="CA42" s="85" t="n">
        <v>27</v>
      </c>
      <c r="CB42" s="85" t="n">
        <v>26.7</v>
      </c>
      <c r="CC42" s="85" t="n">
        <v>26.9</v>
      </c>
      <c r="CD42" s="85" t="n">
        <v>26.8</v>
      </c>
      <c r="CE42" s="85" t="n">
        <v>26.6</v>
      </c>
      <c r="CF42" s="85" t="n">
        <v>26.6</v>
      </c>
      <c r="CG42" s="85" t="n">
        <v>26.6</v>
      </c>
      <c r="CH42" s="85" t="n">
        <v>26.7</v>
      </c>
      <c r="CI42" s="85" t="n">
        <v>26.8</v>
      </c>
      <c r="CJ42" s="85" t="n">
        <v>27.1</v>
      </c>
      <c r="CK42" s="85" t="n">
        <v>27.7</v>
      </c>
      <c r="CL42" s="85" t="n">
        <v>28.2</v>
      </c>
      <c r="CM42" s="85" t="n">
        <v>28.8</v>
      </c>
      <c r="CN42" s="85" t="n">
        <v>30</v>
      </c>
      <c r="CO42" s="85" t="n">
        <v>31.8</v>
      </c>
      <c r="CP42" s="85" t="n">
        <v>35.1</v>
      </c>
      <c r="CQ42" s="85" t="n">
        <v>37.2</v>
      </c>
      <c r="CR42" s="85" t="n">
        <v>37.3</v>
      </c>
      <c r="CS42" s="85" t="n">
        <v>35.7</v>
      </c>
      <c r="CT42" s="85" t="n">
        <v>33.2</v>
      </c>
      <c r="CU42" s="85" t="n">
        <v>32</v>
      </c>
      <c r="CV42" s="85" t="n">
        <v>31.6</v>
      </c>
      <c r="CW42" s="85" t="n">
        <v>31.9</v>
      </c>
      <c r="CX42" s="85" t="n">
        <v>33.6</v>
      </c>
      <c r="CY42" s="85" t="n">
        <v>34.3</v>
      </c>
      <c r="CZ42" s="85" t="n">
        <v>34.8</v>
      </c>
      <c r="DA42" s="85" t="n">
        <v>35.2</v>
      </c>
      <c r="DB42" s="85" t="n">
        <v>35.2</v>
      </c>
      <c r="DC42" s="85" t="n">
        <v>35.1</v>
      </c>
      <c r="DD42" s="85" t="n">
        <v>34.9</v>
      </c>
      <c r="DE42" s="85" t="n">
        <v>34.4</v>
      </c>
      <c r="DF42" s="85" t="n">
        <v>34</v>
      </c>
      <c r="DG42" s="85" t="n">
        <v>33.2</v>
      </c>
      <c r="DH42" s="85" t="n">
        <v>33</v>
      </c>
      <c r="DI42" s="85" t="n">
        <v>33.3</v>
      </c>
      <c r="DJ42" s="85" t="n">
        <v>33.4</v>
      </c>
      <c r="DK42" s="85" t="n">
        <v>34.6</v>
      </c>
      <c r="DL42" s="85" t="n">
        <v>36.3</v>
      </c>
      <c r="DM42" s="85" t="n">
        <v>39.4</v>
      </c>
      <c r="DN42" s="85" t="n">
        <v>42</v>
      </c>
      <c r="DO42" s="85" t="n">
        <v>44.6</v>
      </c>
      <c r="DP42" s="85" t="n">
        <v>46</v>
      </c>
      <c r="DQ42" s="85" t="n">
        <v>46.5</v>
      </c>
      <c r="DR42" s="85" t="n">
        <v>44.6</v>
      </c>
      <c r="DS42" s="85" t="n">
        <v>45</v>
      </c>
      <c r="DT42" s="85" t="n">
        <v>45.3</v>
      </c>
      <c r="DU42" s="85" t="n">
        <v>46.4</v>
      </c>
      <c r="DV42" s="85" t="n">
        <v>47.2</v>
      </c>
      <c r="DW42" s="85" t="n">
        <v>47.6</v>
      </c>
      <c r="DX42" s="85" t="n">
        <v>66.3</v>
      </c>
      <c r="DY42" s="85" t="n">
        <v>43.1</v>
      </c>
      <c r="DZ42" s="85" t="n">
        <v>40.7</v>
      </c>
      <c r="EA42" s="85" t="n">
        <v>39.2</v>
      </c>
      <c r="EB42" s="85" t="n">
        <v>39.7</v>
      </c>
      <c r="EC42" s="85" t="n">
        <v>42.3</v>
      </c>
      <c r="ED42" s="85" t="n">
        <v>47</v>
      </c>
      <c r="EE42" s="85" t="n">
        <v>56.8</v>
      </c>
      <c r="EF42" s="85" t="n">
        <v>46.9</v>
      </c>
      <c r="EG42" s="85" t="n">
        <v>45.1</v>
      </c>
      <c r="EH42" s="85" t="n">
        <v>43.9</v>
      </c>
      <c r="EI42" s="85" t="n">
        <v>43.3</v>
      </c>
      <c r="EJ42" s="85" t="n">
        <v>45</v>
      </c>
      <c r="EK42" s="85" t="n">
        <v>51.9</v>
      </c>
      <c r="EL42" s="85" t="n">
        <v>56.4</v>
      </c>
      <c r="EM42" s="85" t="n">
        <v>60.3</v>
      </c>
      <c r="EN42" s="85" t="n">
        <v>61.6</v>
      </c>
      <c r="EO42" s="85" t="n">
        <v>63.9</v>
      </c>
      <c r="EP42" s="85" t="n">
        <v>55.4</v>
      </c>
      <c r="EQ42" s="85" t="n">
        <v>51.2</v>
      </c>
      <c r="ER42" s="85" t="n">
        <v>49.5</v>
      </c>
      <c r="ES42" s="85" t="n">
        <v>48.3</v>
      </c>
      <c r="ET42" s="85" t="n">
        <v>47.6</v>
      </c>
      <c r="EU42" s="85" t="n">
        <v>47.5</v>
      </c>
      <c r="EV42" s="85" t="n">
        <v>47.2</v>
      </c>
      <c r="EW42" s="85" t="n">
        <v>47.5</v>
      </c>
      <c r="EX42" s="85" t="n">
        <v>48</v>
      </c>
      <c r="EY42" s="85" t="n">
        <v>48.7</v>
      </c>
      <c r="EZ42" s="85" t="n">
        <v>49.8</v>
      </c>
      <c r="FA42" s="85" t="n">
        <v>51.8</v>
      </c>
      <c r="FB42" s="85" t="n">
        <v>53.4</v>
      </c>
      <c r="FC42" s="85" t="n">
        <v>54.3</v>
      </c>
      <c r="FD42" s="85" t="n">
        <v>65.9</v>
      </c>
      <c r="FE42" s="85" t="n">
        <v>54.3</v>
      </c>
      <c r="FF42" s="85" t="n">
        <v>53.2</v>
      </c>
      <c r="FG42" s="85" t="n">
        <v>53.4</v>
      </c>
      <c r="FH42" s="85" t="n">
        <v>54.4</v>
      </c>
      <c r="FI42" s="85" t="n">
        <v>56</v>
      </c>
      <c r="FJ42" s="85" t="n">
        <v>58</v>
      </c>
      <c r="FK42" s="85" t="n">
        <v>59.5</v>
      </c>
      <c r="FL42" s="85" t="n">
        <v>59.7</v>
      </c>
      <c r="FM42" s="85" t="n">
        <v>60.6</v>
      </c>
      <c r="FN42" s="85" t="n">
        <v>57.9</v>
      </c>
      <c r="FO42" s="85" t="n">
        <v>57.6</v>
      </c>
      <c r="FP42" s="85" t="n">
        <v>55.8</v>
      </c>
      <c r="FQ42" s="85" t="n">
        <v>58.9</v>
      </c>
      <c r="FR42" s="85" t="n">
        <v>58.9</v>
      </c>
      <c r="FS42" s="85" t="n">
        <v>59.6</v>
      </c>
      <c r="FT42" s="85" t="n">
        <v>59.5</v>
      </c>
      <c r="FU42" s="85" t="n">
        <v>58.9</v>
      </c>
      <c r="FV42" s="85" t="n">
        <v>58.2</v>
      </c>
      <c r="FW42" s="85" t="n">
        <v>58</v>
      </c>
      <c r="FX42" s="85" t="n">
        <v>57.7</v>
      </c>
      <c r="FY42" s="85" t="n">
        <v>56.5</v>
      </c>
      <c r="FZ42" s="85" t="n">
        <v>55.5</v>
      </c>
      <c r="GA42" s="85" t="n">
        <v>55.9</v>
      </c>
      <c r="GB42" s="85" t="n">
        <v>57.2</v>
      </c>
      <c r="GC42" s="85" t="n">
        <v>58.1</v>
      </c>
      <c r="GD42" s="85" t="n">
        <v>60.2</v>
      </c>
      <c r="GE42" s="85" t="n">
        <v>61.8</v>
      </c>
      <c r="GF42" s="85" t="n">
        <v>62.5</v>
      </c>
      <c r="GG42" s="85" t="n">
        <v>60.4</v>
      </c>
      <c r="GH42" s="85" t="n">
        <v>58.8</v>
      </c>
      <c r="GI42" s="85" t="n">
        <v>57.5</v>
      </c>
      <c r="GJ42" s="85" t="n">
        <v>61.4</v>
      </c>
      <c r="GK42" s="85" t="n">
        <v>59.6</v>
      </c>
      <c r="GL42" s="85" t="n">
        <v>58.1</v>
      </c>
      <c r="GM42" s="85" t="n">
        <v>57.7</v>
      </c>
      <c r="GN42" s="85" t="n">
        <v>57.3</v>
      </c>
      <c r="GO42" s="85" t="n">
        <v>77.9</v>
      </c>
      <c r="GP42" s="85" t="n">
        <v>68.5</v>
      </c>
      <c r="GQ42" s="85" t="n">
        <v>58.3</v>
      </c>
      <c r="GR42" s="85" t="n">
        <v>80.6</v>
      </c>
      <c r="GS42" s="85" t="n">
        <v>82.1</v>
      </c>
      <c r="GT42" s="85" t="n">
        <v>80</v>
      </c>
      <c r="GU42" s="85" t="n">
        <v>1031.8</v>
      </c>
      <c r="GV42" s="85" t="n">
        <v>1163.3</v>
      </c>
      <c r="GW42" s="85" t="n">
        <v>516.4</v>
      </c>
      <c r="GX42" s="85" t="n">
        <v>518.1</v>
      </c>
      <c r="GY42" s="85" t="n">
        <v>822</v>
      </c>
      <c r="GZ42" s="85" t="n">
        <v>673.4</v>
      </c>
      <c r="HA42" s="85" t="n">
        <v>413.4</v>
      </c>
      <c r="HB42" s="85" t="n">
        <v>150.8</v>
      </c>
      <c r="HC42" t="n">
        <v>129.3</v>
      </c>
      <c r="HD42" t="n">
        <v>118.4</v>
      </c>
      <c r="HE42" t="n">
        <v>110.8</v>
      </c>
      <c r="HF42" t="n">
        <v>103.8</v>
      </c>
      <c r="HG42" t="n">
        <v>101.8</v>
      </c>
      <c r="HH42" t="n">
        <v>104</v>
      </c>
      <c r="HI42" t="n">
        <v>98.9</v>
      </c>
      <c r="HJ42" t="n">
        <v>96.1</v>
      </c>
      <c r="HK42" t="n">
        <v>93.7</v>
      </c>
    </row>
    <row r="43">
      <c r="A43" s="85" t="s">
        <v>2551</v>
      </c>
      <c r="B43" s="85" t="n">
        <v>0</v>
      </c>
      <c r="C43" s="85" t="n">
        <v>0</v>
      </c>
      <c r="D43" s="85" t="n">
        <v>0</v>
      </c>
      <c r="E43" s="85" t="n">
        <v>0</v>
      </c>
      <c r="F43" s="85" t="n">
        <v>0</v>
      </c>
      <c r="G43" s="85" t="n">
        <v>0</v>
      </c>
      <c r="H43" s="85" t="n">
        <v>0</v>
      </c>
      <c r="I43" s="85" t="n">
        <v>0</v>
      </c>
      <c r="J43" s="85" t="n">
        <v>0</v>
      </c>
      <c r="K43" s="85" t="n">
        <v>0.1</v>
      </c>
      <c r="L43" s="85" t="n">
        <v>0.1</v>
      </c>
      <c r="M43" s="85" t="n">
        <v>0.1</v>
      </c>
      <c r="N43" s="85" t="n">
        <v>0.1</v>
      </c>
      <c r="O43" s="85" t="n">
        <v>0.1</v>
      </c>
      <c r="P43" s="85" t="n">
        <v>0.1</v>
      </c>
      <c r="Q43" s="85" t="n">
        <v>0.1</v>
      </c>
      <c r="R43" s="85" t="n">
        <v>0.1</v>
      </c>
      <c r="S43" s="85" t="n">
        <v>0.1</v>
      </c>
      <c r="T43" s="85" t="n">
        <v>0.1</v>
      </c>
      <c r="U43" s="85" t="n">
        <v>0.1</v>
      </c>
      <c r="V43" s="85" t="n">
        <v>0.1</v>
      </c>
      <c r="W43" s="85" t="n">
        <v>0.2</v>
      </c>
      <c r="X43" s="85" t="n">
        <v>0.2</v>
      </c>
      <c r="Y43" s="85" t="n">
        <v>0.2</v>
      </c>
      <c r="Z43" s="85" t="n">
        <v>0.2</v>
      </c>
      <c r="AA43" s="85" t="n">
        <v>0.2</v>
      </c>
      <c r="AB43" s="85" t="n">
        <v>0.2</v>
      </c>
      <c r="AC43" s="85" t="n">
        <v>0.2</v>
      </c>
      <c r="AD43" s="85" t="n">
        <v>0.2</v>
      </c>
      <c r="AE43" s="85" t="n">
        <v>0.2</v>
      </c>
      <c r="AF43" s="85" t="n">
        <v>0.2</v>
      </c>
      <c r="AG43" s="85" t="n">
        <v>0.2</v>
      </c>
      <c r="AH43" s="85" t="n">
        <v>0.2</v>
      </c>
      <c r="AI43" s="85" t="n">
        <v>0.2</v>
      </c>
      <c r="AJ43" s="85" t="n">
        <v>0.2</v>
      </c>
      <c r="AK43" s="85" t="n">
        <v>0.3</v>
      </c>
      <c r="AL43" s="85" t="n">
        <v>0.3</v>
      </c>
      <c r="AM43" s="85" t="n">
        <v>0.3</v>
      </c>
      <c r="AN43" s="85" t="n">
        <v>0.3</v>
      </c>
      <c r="AO43" s="85" t="n">
        <v>0.3</v>
      </c>
      <c r="AP43" s="85" t="n">
        <v>0.3</v>
      </c>
      <c r="AQ43" s="85" t="n">
        <v>0.3</v>
      </c>
      <c r="AR43" s="85" t="n">
        <v>0.4</v>
      </c>
      <c r="AS43" s="85" t="n">
        <v>0.4</v>
      </c>
      <c r="AT43" s="85" t="n">
        <v>0.4</v>
      </c>
      <c r="AU43" s="85" t="n">
        <v>0.4</v>
      </c>
      <c r="AV43" s="85" t="n">
        <v>0.4</v>
      </c>
      <c r="AW43" s="85" t="n">
        <v>0.4</v>
      </c>
      <c r="AX43" s="85" t="n">
        <v>0.4</v>
      </c>
      <c r="AY43" s="85" t="n">
        <v>0.5</v>
      </c>
      <c r="AZ43" s="85" t="n">
        <v>0.5</v>
      </c>
      <c r="BA43" s="85" t="n">
        <v>0.5</v>
      </c>
      <c r="BB43" s="85" t="n">
        <v>0.5</v>
      </c>
      <c r="BC43" s="85" t="n">
        <v>0.4</v>
      </c>
      <c r="BD43" s="85" t="n">
        <v>0.4</v>
      </c>
      <c r="BE43" s="85" t="n">
        <v>0.4</v>
      </c>
      <c r="BF43" s="85" t="n">
        <v>0.4</v>
      </c>
      <c r="BG43" s="85" t="n">
        <v>0.4</v>
      </c>
      <c r="BH43" s="85" t="n">
        <v>0.4</v>
      </c>
      <c r="BI43" s="85" t="n">
        <v>0.4</v>
      </c>
      <c r="BJ43" s="85" t="n">
        <v>0.3</v>
      </c>
      <c r="BK43" s="85" t="n">
        <v>0.3</v>
      </c>
      <c r="BL43" s="85" t="n">
        <v>0.3</v>
      </c>
      <c r="BM43" s="85" t="n">
        <v>0.3</v>
      </c>
      <c r="BN43" s="85" t="n">
        <v>0.3</v>
      </c>
      <c r="BO43" s="85" t="n">
        <v>0.3</v>
      </c>
      <c r="BP43" s="85" t="n">
        <v>0.3</v>
      </c>
      <c r="BQ43" s="85" t="n">
        <v>0.3</v>
      </c>
      <c r="BR43" s="85" t="n">
        <v>0.3</v>
      </c>
      <c r="BS43" s="85" t="n">
        <v>0.3</v>
      </c>
      <c r="BT43" s="85" t="n">
        <v>0.3</v>
      </c>
      <c r="BU43" s="85" t="n">
        <v>0.3</v>
      </c>
      <c r="BV43" s="85" t="n">
        <v>0.3</v>
      </c>
      <c r="BW43" s="85" t="n">
        <v>0.3</v>
      </c>
      <c r="BX43" s="85" t="n">
        <v>0.4</v>
      </c>
      <c r="BY43" s="85" t="n">
        <v>0.4</v>
      </c>
      <c r="BZ43" s="85" t="n">
        <v>0.4</v>
      </c>
      <c r="CA43" s="85" t="n">
        <v>0.4</v>
      </c>
      <c r="CB43" s="85" t="n">
        <v>0.4</v>
      </c>
      <c r="CC43" s="85" t="n">
        <v>0.4</v>
      </c>
      <c r="CD43" s="85" t="n">
        <v>0.4</v>
      </c>
      <c r="CE43" s="85" t="n">
        <v>0.4</v>
      </c>
      <c r="CF43" s="85" t="n">
        <v>0.4</v>
      </c>
      <c r="CG43" s="85" t="n">
        <v>0.4</v>
      </c>
      <c r="CH43" s="85" t="n">
        <v>0.4</v>
      </c>
      <c r="CI43" s="85" t="n">
        <v>0.4</v>
      </c>
      <c r="CJ43" s="85" t="n">
        <v>0.4</v>
      </c>
      <c r="CK43" s="85" t="n">
        <v>0.4</v>
      </c>
      <c r="CL43" s="85" t="n">
        <v>0.4</v>
      </c>
      <c r="CM43" s="85" t="n">
        <v>0.4</v>
      </c>
      <c r="CN43" s="85" t="n">
        <v>0.4</v>
      </c>
      <c r="CO43" s="85" t="n">
        <v>0.4</v>
      </c>
      <c r="CP43" s="85" t="n">
        <v>0.4</v>
      </c>
      <c r="CQ43" s="85" t="n">
        <v>0.4</v>
      </c>
      <c r="CR43" s="85" t="n">
        <v>0.4</v>
      </c>
      <c r="CS43" s="85" t="n">
        <v>0.4</v>
      </c>
      <c r="CT43" s="85" t="n">
        <v>0.4</v>
      </c>
      <c r="CU43" s="85" t="n">
        <v>0.3</v>
      </c>
      <c r="CV43" s="85" t="n">
        <v>0.3</v>
      </c>
      <c r="CW43" s="85" t="n">
        <v>0.3</v>
      </c>
      <c r="CX43" s="85" t="n">
        <v>0.3</v>
      </c>
      <c r="CY43" s="85" t="n">
        <v>0.3</v>
      </c>
      <c r="CZ43" s="85" t="n">
        <v>0.3</v>
      </c>
      <c r="DA43" s="85" t="n">
        <v>0.3</v>
      </c>
      <c r="DB43" s="85" t="n">
        <v>0.3</v>
      </c>
      <c r="DC43" s="85" t="n">
        <v>0.3</v>
      </c>
      <c r="DD43" s="85" t="n">
        <v>0.3</v>
      </c>
      <c r="DE43" s="85" t="n">
        <v>0.4</v>
      </c>
      <c r="DF43" s="85" t="n">
        <v>0.4</v>
      </c>
      <c r="DG43" s="85" t="n">
        <v>0.4</v>
      </c>
      <c r="DH43" s="85" t="n">
        <v>0.4</v>
      </c>
      <c r="DI43" s="85" t="n">
        <v>0.5</v>
      </c>
      <c r="DJ43" s="85" t="n">
        <v>0.5</v>
      </c>
      <c r="DK43" s="85" t="n">
        <v>0.5</v>
      </c>
      <c r="DL43" s="85" t="n">
        <v>0.4</v>
      </c>
      <c r="DM43" s="85" t="n">
        <v>0.4</v>
      </c>
      <c r="DN43" s="85" t="n">
        <v>0.4</v>
      </c>
      <c r="DO43" s="85" t="n">
        <v>0.4</v>
      </c>
      <c r="DP43" s="85" t="n">
        <v>0.4</v>
      </c>
      <c r="DQ43" s="85" t="n">
        <v>0.4</v>
      </c>
      <c r="DR43" s="85" t="n">
        <v>0.5</v>
      </c>
      <c r="DS43" s="85" t="n">
        <v>0.5</v>
      </c>
      <c r="DT43" s="85" t="n">
        <v>0.6</v>
      </c>
      <c r="DU43" s="85" t="n">
        <v>0.6</v>
      </c>
      <c r="DV43" s="85" t="n">
        <v>8</v>
      </c>
      <c r="DW43" s="85" t="n">
        <v>14.4</v>
      </c>
      <c r="DX43" s="85" t="n">
        <v>4.8</v>
      </c>
      <c r="DY43" s="85" t="n">
        <v>3.4</v>
      </c>
      <c r="DZ43" s="85" t="n">
        <v>1.8</v>
      </c>
      <c r="EA43" s="85" t="n">
        <v>0.6</v>
      </c>
      <c r="EB43" s="85" t="n">
        <v>1.7</v>
      </c>
      <c r="EC43" s="85" t="n">
        <v>-0.4</v>
      </c>
      <c r="ED43" s="85" t="n">
        <v>0.1</v>
      </c>
      <c r="EE43" s="85" t="n">
        <v>0.3</v>
      </c>
      <c r="EF43" s="85" t="n">
        <v>-1</v>
      </c>
      <c r="EG43" s="85" t="n">
        <v>0.9</v>
      </c>
      <c r="EH43" s="85" t="n">
        <v>0.4</v>
      </c>
      <c r="EI43" s="85" t="n">
        <v>0.4</v>
      </c>
      <c r="EJ43" s="85" t="n">
        <v>0.4</v>
      </c>
      <c r="EK43" s="85" t="n">
        <v>0.4</v>
      </c>
      <c r="EL43" s="85" t="n">
        <v>0.4</v>
      </c>
      <c r="EM43" s="85" t="n">
        <v>0.4</v>
      </c>
      <c r="EN43" s="85" t="n">
        <v>0.4</v>
      </c>
      <c r="EO43" s="85" t="n">
        <v>0.4</v>
      </c>
      <c r="EP43" s="85" t="n">
        <v>0.4</v>
      </c>
      <c r="EQ43" s="85" t="n">
        <v>0.4</v>
      </c>
      <c r="ER43" s="85" t="n">
        <v>0.4</v>
      </c>
      <c r="ES43" s="85" t="n">
        <v>0.4</v>
      </c>
      <c r="ET43" s="85" t="n">
        <v>1.9</v>
      </c>
      <c r="EU43" s="85" t="n">
        <v>10.7</v>
      </c>
      <c r="EV43" s="85" t="n">
        <v>8.8</v>
      </c>
      <c r="EW43" s="85" t="n">
        <v>7.2</v>
      </c>
      <c r="EX43" s="85" t="n">
        <v>4</v>
      </c>
      <c r="EY43" s="85" t="n">
        <v>2.9</v>
      </c>
      <c r="EZ43" s="85" t="n">
        <v>2.2</v>
      </c>
      <c r="FA43" s="85" t="n">
        <v>2.8</v>
      </c>
      <c r="FB43" s="85" t="n">
        <v>2</v>
      </c>
      <c r="FC43" s="85" t="n">
        <v>1.2</v>
      </c>
      <c r="FD43" s="85" t="n">
        <v>1.2</v>
      </c>
      <c r="FE43" s="85" t="n">
        <v>1.2</v>
      </c>
      <c r="FF43" s="85" t="n">
        <v>1.6</v>
      </c>
      <c r="FG43" s="85" t="n">
        <v>2.1</v>
      </c>
      <c r="FH43" s="85" t="n">
        <v>1.6</v>
      </c>
      <c r="FI43" s="85" t="n">
        <v>1</v>
      </c>
      <c r="FJ43" s="85" t="n">
        <v>0.9</v>
      </c>
      <c r="FK43" s="85" t="n">
        <v>0.4</v>
      </c>
      <c r="FL43" s="85" t="n">
        <v>0.4</v>
      </c>
      <c r="FM43" s="85" t="n">
        <v>0.4</v>
      </c>
      <c r="FN43" s="85" t="n">
        <v>0.5</v>
      </c>
      <c r="FO43" s="85" t="n">
        <v>0.5</v>
      </c>
      <c r="FP43" s="85" t="n">
        <v>0.5</v>
      </c>
      <c r="FQ43" s="85" t="n">
        <v>0.5</v>
      </c>
      <c r="FR43" s="85" t="n">
        <v>0.5</v>
      </c>
      <c r="FS43" s="85" t="n">
        <v>0.5</v>
      </c>
      <c r="FT43" s="85" t="n">
        <v>0.5</v>
      </c>
      <c r="FU43" s="85" t="n">
        <v>0.5</v>
      </c>
      <c r="FV43" s="85" t="n">
        <v>0.5</v>
      </c>
      <c r="FW43" s="85" t="n">
        <v>0.5</v>
      </c>
      <c r="FX43" s="85" t="n">
        <v>0.5</v>
      </c>
      <c r="FY43" s="85" t="n">
        <v>0.5</v>
      </c>
      <c r="FZ43" s="85" t="n">
        <v>0.5</v>
      </c>
      <c r="GA43" s="85" t="n">
        <v>0.5</v>
      </c>
      <c r="GB43" s="85" t="n">
        <v>0.5</v>
      </c>
      <c r="GC43" s="85" t="n">
        <v>0.5</v>
      </c>
      <c r="GD43" s="85" t="n">
        <v>0.5</v>
      </c>
      <c r="GE43" s="85" t="n">
        <v>0.5</v>
      </c>
      <c r="GF43" s="85" t="n">
        <v>0.5</v>
      </c>
      <c r="GG43" s="85" t="n">
        <v>0.5</v>
      </c>
      <c r="GH43" s="85" t="n">
        <v>0.5</v>
      </c>
      <c r="GI43" s="85" t="n">
        <v>0.6</v>
      </c>
      <c r="GJ43" s="85" t="n">
        <v>0.6</v>
      </c>
      <c r="GK43" s="85" t="n">
        <v>0.6</v>
      </c>
      <c r="GL43" s="85" t="n">
        <v>0.6</v>
      </c>
      <c r="GM43" s="85" t="n">
        <v>0.6</v>
      </c>
      <c r="GN43" s="85" t="n">
        <v>0.6</v>
      </c>
      <c r="GO43" s="85" t="n">
        <v>0.6</v>
      </c>
      <c r="GP43" s="85" t="n">
        <v>0.6</v>
      </c>
      <c r="GQ43" s="85" t="n">
        <v>0.6</v>
      </c>
      <c r="GR43" s="85" t="n">
        <v>0.6</v>
      </c>
      <c r="GS43" s="85" t="n">
        <v>0.6</v>
      </c>
      <c r="GT43" s="85" t="n">
        <v>0.6</v>
      </c>
      <c r="GU43" s="85" t="n">
        <v>0.6</v>
      </c>
      <c r="GV43" s="85" t="n">
        <v>0.6</v>
      </c>
      <c r="GW43" s="85" t="n">
        <v>0.6</v>
      </c>
      <c r="GX43" s="85" t="n">
        <v>2.5</v>
      </c>
      <c r="GY43" s="85" t="n">
        <v>8.6</v>
      </c>
      <c r="GZ43" s="85" t="n">
        <v>0.7</v>
      </c>
      <c r="HA43" s="85" t="n">
        <v>0.7</v>
      </c>
      <c r="HB43" s="85" t="n">
        <v>0.7</v>
      </c>
      <c r="HC43" t="n">
        <v>0.7</v>
      </c>
      <c r="HD43" t="n">
        <v>0.7</v>
      </c>
      <c r="HE43" t="n">
        <v>0.7</v>
      </c>
      <c r="HF43" t="n">
        <v>0.7</v>
      </c>
      <c r="HG43" t="n">
        <v>0.7</v>
      </c>
      <c r="HH43" t="n">
        <v>0.7</v>
      </c>
      <c r="HI43" t="n">
        <v>0.7</v>
      </c>
      <c r="HJ43" t="n">
        <v>0.7</v>
      </c>
      <c r="HK43" t="n">
        <v>0.7</v>
      </c>
    </row>
    <row r="44">
      <c r="A44" s="85" t="s">
        <v>2552</v>
      </c>
      <c r="B44" s="85" t="n">
        <v>4.7</v>
      </c>
      <c r="C44" s="85" t="n">
        <v>4.8</v>
      </c>
      <c r="D44" s="85" t="n">
        <v>4.7</v>
      </c>
      <c r="E44" s="85" t="n">
        <v>4.8</v>
      </c>
      <c r="F44" s="85" t="n">
        <v>4.8</v>
      </c>
      <c r="G44" s="85" t="n">
        <v>4.8</v>
      </c>
      <c r="H44" s="85" t="n">
        <v>4.5</v>
      </c>
      <c r="I44" s="85" t="n">
        <v>4.6</v>
      </c>
      <c r="J44" s="85" t="n">
        <v>6.1</v>
      </c>
      <c r="K44" s="85" t="n">
        <v>6.2</v>
      </c>
      <c r="L44" s="85" t="n">
        <v>7.2</v>
      </c>
      <c r="M44" s="85" t="n">
        <v>7.1</v>
      </c>
      <c r="N44" s="85" t="n">
        <v>5.9</v>
      </c>
      <c r="O44" s="85" t="n">
        <v>5.7</v>
      </c>
      <c r="P44" s="85" t="n">
        <v>4.7</v>
      </c>
      <c r="Q44" s="85" t="n">
        <v>4.6</v>
      </c>
      <c r="R44" s="85" t="n">
        <v>3.6</v>
      </c>
      <c r="S44" s="85" t="n">
        <v>2.9</v>
      </c>
      <c r="T44" s="85" t="n">
        <v>3.2</v>
      </c>
      <c r="U44" s="85" t="n">
        <v>3.6</v>
      </c>
      <c r="V44" s="85" t="n">
        <v>4.2</v>
      </c>
      <c r="W44" s="85" t="n">
        <v>4.3</v>
      </c>
      <c r="X44" s="85" t="n">
        <v>4.6</v>
      </c>
      <c r="Y44" s="85" t="n">
        <v>4.9</v>
      </c>
      <c r="Z44" s="85" t="n">
        <v>5.1</v>
      </c>
      <c r="AA44" s="85" t="n">
        <v>4.8</v>
      </c>
      <c r="AB44" s="85" t="n">
        <v>5.1</v>
      </c>
      <c r="AC44" s="85" t="n">
        <v>5.5</v>
      </c>
      <c r="AD44" s="85" t="n">
        <v>5.8</v>
      </c>
      <c r="AE44" s="85" t="n">
        <v>5.9</v>
      </c>
      <c r="AF44" s="85" t="n">
        <v>6.4</v>
      </c>
      <c r="AG44" s="85" t="n">
        <v>10.3</v>
      </c>
      <c r="AH44" s="85" t="n">
        <v>8.7</v>
      </c>
      <c r="AI44" s="85" t="n">
        <v>8.4</v>
      </c>
      <c r="AJ44" s="85" t="n">
        <v>8.3</v>
      </c>
      <c r="AK44" s="85" t="n">
        <v>10.4</v>
      </c>
      <c r="AL44" s="85" t="n">
        <v>8.4</v>
      </c>
      <c r="AM44" s="85" t="n">
        <v>8.8</v>
      </c>
      <c r="AN44" s="85" t="n">
        <v>8.1</v>
      </c>
      <c r="AO44" s="85" t="n">
        <v>8.9</v>
      </c>
      <c r="AP44" s="85" t="n">
        <v>9.2</v>
      </c>
      <c r="AQ44" s="85" t="n">
        <v>9.6</v>
      </c>
      <c r="AR44" s="85" t="n">
        <v>10.1</v>
      </c>
      <c r="AS44" s="85" t="n">
        <v>10.3</v>
      </c>
      <c r="AT44" s="85" t="n">
        <v>10.6</v>
      </c>
      <c r="AU44" s="85" t="n">
        <v>10.7</v>
      </c>
      <c r="AV44" s="85" t="n">
        <v>11.1</v>
      </c>
      <c r="AW44" s="85" t="n">
        <v>13.5</v>
      </c>
      <c r="AX44" s="85" t="n">
        <v>14</v>
      </c>
      <c r="AY44" s="85" t="n">
        <v>13.6</v>
      </c>
      <c r="AZ44" s="85" t="n">
        <v>13</v>
      </c>
      <c r="BA44" s="85" t="n">
        <v>19.4</v>
      </c>
      <c r="BB44" s="85" t="n">
        <v>19.9</v>
      </c>
      <c r="BC44" s="85" t="n">
        <v>21.6</v>
      </c>
      <c r="BD44" s="85" t="n">
        <v>22.2</v>
      </c>
      <c r="BE44" s="85" t="n">
        <v>21.5</v>
      </c>
      <c r="BF44" s="85" t="n">
        <v>21.2</v>
      </c>
      <c r="BG44" s="85" t="n">
        <v>21</v>
      </c>
      <c r="BH44" s="85" t="n">
        <v>20.9</v>
      </c>
      <c r="BI44" s="85" t="n">
        <v>21.2</v>
      </c>
      <c r="BJ44" s="85" t="n">
        <v>21.1</v>
      </c>
      <c r="BK44" s="85" t="n">
        <v>21</v>
      </c>
      <c r="BL44" s="85" t="n">
        <v>21.3</v>
      </c>
      <c r="BM44" s="85" t="n">
        <v>22</v>
      </c>
      <c r="BN44" s="85" t="n">
        <v>23.1</v>
      </c>
      <c r="BO44" s="85" t="n">
        <v>24.2</v>
      </c>
      <c r="BP44" s="85" t="n">
        <v>25.5</v>
      </c>
      <c r="BQ44" s="85" t="n">
        <v>26.8</v>
      </c>
      <c r="BR44" s="85" t="n">
        <v>28.3</v>
      </c>
      <c r="BS44" s="85" t="n">
        <v>30.4</v>
      </c>
      <c r="BT44" s="85" t="n">
        <v>31.3</v>
      </c>
      <c r="BU44" s="85" t="n">
        <v>31.1</v>
      </c>
      <c r="BV44" s="85" t="n">
        <v>30.4</v>
      </c>
      <c r="BW44" s="85" t="n">
        <v>29.8</v>
      </c>
      <c r="BX44" s="85" t="n">
        <v>29.2</v>
      </c>
      <c r="BY44" s="85" t="n">
        <v>28.6</v>
      </c>
      <c r="BZ44" s="85" t="n">
        <v>28</v>
      </c>
      <c r="CA44" s="85" t="n">
        <v>27.4</v>
      </c>
      <c r="CB44" s="85" t="n">
        <v>27.1</v>
      </c>
      <c r="CC44" s="85" t="n">
        <v>27.3</v>
      </c>
      <c r="CD44" s="85" t="n">
        <v>27.1</v>
      </c>
      <c r="CE44" s="85" t="n">
        <v>27</v>
      </c>
      <c r="CF44" s="85" t="n">
        <v>26.9</v>
      </c>
      <c r="CG44" s="85" t="n">
        <v>27</v>
      </c>
      <c r="CH44" s="85" t="n">
        <v>27.1</v>
      </c>
      <c r="CI44" s="85" t="n">
        <v>27.2</v>
      </c>
      <c r="CJ44" s="85" t="n">
        <v>27.5</v>
      </c>
      <c r="CK44" s="85" t="n">
        <v>28.1</v>
      </c>
      <c r="CL44" s="85" t="n">
        <v>28.6</v>
      </c>
      <c r="CM44" s="85" t="n">
        <v>29.2</v>
      </c>
      <c r="CN44" s="85" t="n">
        <v>30.4</v>
      </c>
      <c r="CO44" s="85" t="n">
        <v>32.2</v>
      </c>
      <c r="CP44" s="85" t="n">
        <v>35.5</v>
      </c>
      <c r="CQ44" s="85" t="n">
        <v>37.6</v>
      </c>
      <c r="CR44" s="85" t="n">
        <v>37.7</v>
      </c>
      <c r="CS44" s="85" t="n">
        <v>36</v>
      </c>
      <c r="CT44" s="85" t="n">
        <v>33.6</v>
      </c>
      <c r="CU44" s="85" t="n">
        <v>32.4</v>
      </c>
      <c r="CV44" s="85" t="n">
        <v>31.9</v>
      </c>
      <c r="CW44" s="85" t="n">
        <v>32.2</v>
      </c>
      <c r="CX44" s="85" t="n">
        <v>34</v>
      </c>
      <c r="CY44" s="85" t="n">
        <v>34.6</v>
      </c>
      <c r="CZ44" s="85" t="n">
        <v>35.1</v>
      </c>
      <c r="DA44" s="85" t="n">
        <v>35.5</v>
      </c>
      <c r="DB44" s="85" t="n">
        <v>35.5</v>
      </c>
      <c r="DC44" s="85" t="n">
        <v>35.4</v>
      </c>
      <c r="DD44" s="85" t="n">
        <v>35.2</v>
      </c>
      <c r="DE44" s="85" t="n">
        <v>34.8</v>
      </c>
      <c r="DF44" s="85" t="n">
        <v>34.4</v>
      </c>
      <c r="DG44" s="85" t="n">
        <v>33.6</v>
      </c>
      <c r="DH44" s="85" t="n">
        <v>33.4</v>
      </c>
      <c r="DI44" s="85" t="n">
        <v>33.8</v>
      </c>
      <c r="DJ44" s="85" t="n">
        <v>33.8</v>
      </c>
      <c r="DK44" s="85" t="n">
        <v>35</v>
      </c>
      <c r="DL44" s="85" t="n">
        <v>36.8</v>
      </c>
      <c r="DM44" s="85" t="n">
        <v>39.9</v>
      </c>
      <c r="DN44" s="85" t="n">
        <v>42.4</v>
      </c>
      <c r="DO44" s="85" t="n">
        <v>45</v>
      </c>
      <c r="DP44" s="85" t="n">
        <v>46.4</v>
      </c>
      <c r="DQ44" s="85" t="n">
        <v>46.9</v>
      </c>
      <c r="DR44" s="85" t="n">
        <v>45.1</v>
      </c>
      <c r="DS44" s="85" t="n">
        <v>45.5</v>
      </c>
      <c r="DT44" s="85" t="n">
        <v>45.8</v>
      </c>
      <c r="DU44" s="85" t="n">
        <v>47</v>
      </c>
      <c r="DV44" s="85" t="n">
        <v>55.2</v>
      </c>
      <c r="DW44" s="85" t="n">
        <v>62</v>
      </c>
      <c r="DX44" s="85" t="n">
        <v>71.2</v>
      </c>
      <c r="DY44" s="85" t="n">
        <v>46.4</v>
      </c>
      <c r="DZ44" s="85" t="n">
        <v>42.6</v>
      </c>
      <c r="EA44" s="85" t="n">
        <v>39.8</v>
      </c>
      <c r="EB44" s="85" t="n">
        <v>41.3</v>
      </c>
      <c r="EC44" s="85" t="n">
        <v>41.9</v>
      </c>
      <c r="ED44" s="85" t="n">
        <v>47.1</v>
      </c>
      <c r="EE44" s="85" t="n">
        <v>57.1</v>
      </c>
      <c r="EF44" s="85" t="n">
        <v>45.9</v>
      </c>
      <c r="EG44" s="85" t="n">
        <v>46</v>
      </c>
      <c r="EH44" s="85" t="n">
        <v>44.2</v>
      </c>
      <c r="EI44" s="85" t="n">
        <v>43.7</v>
      </c>
      <c r="EJ44" s="85" t="n">
        <v>45.4</v>
      </c>
      <c r="EK44" s="85" t="n">
        <v>52.3</v>
      </c>
      <c r="EL44" s="85" t="n">
        <v>56.7</v>
      </c>
      <c r="EM44" s="85" t="n">
        <v>60.7</v>
      </c>
      <c r="EN44" s="85" t="n">
        <v>62</v>
      </c>
      <c r="EO44" s="85" t="n">
        <v>64.2</v>
      </c>
      <c r="EP44" s="85" t="n">
        <v>55.7</v>
      </c>
      <c r="EQ44" s="85" t="n">
        <v>51.5</v>
      </c>
      <c r="ER44" s="85" t="n">
        <v>49.9</v>
      </c>
      <c r="ES44" s="85" t="n">
        <v>48.7</v>
      </c>
      <c r="ET44" s="85" t="n">
        <v>49.5</v>
      </c>
      <c r="EU44" s="85" t="n">
        <v>58.2</v>
      </c>
      <c r="EV44" s="85" t="n">
        <v>55.9</v>
      </c>
      <c r="EW44" s="85" t="n">
        <v>54.7</v>
      </c>
      <c r="EX44" s="85" t="n">
        <v>51.9</v>
      </c>
      <c r="EY44" s="85" t="n">
        <v>51.7</v>
      </c>
      <c r="EZ44" s="85" t="n">
        <v>52</v>
      </c>
      <c r="FA44" s="85" t="n">
        <v>54.6</v>
      </c>
      <c r="FB44" s="85" t="n">
        <v>55.4</v>
      </c>
      <c r="FC44" s="85" t="n">
        <v>55.5</v>
      </c>
      <c r="FD44" s="85" t="n">
        <v>67.1</v>
      </c>
      <c r="FE44" s="85" t="n">
        <v>55.5</v>
      </c>
      <c r="FF44" s="85" t="n">
        <v>54.8</v>
      </c>
      <c r="FG44" s="85" t="n">
        <v>55.5</v>
      </c>
      <c r="FH44" s="85" t="n">
        <v>56</v>
      </c>
      <c r="FI44" s="85" t="n">
        <v>56.9</v>
      </c>
      <c r="FJ44" s="85" t="n">
        <v>58.9</v>
      </c>
      <c r="FK44" s="85" t="n">
        <v>59.9</v>
      </c>
      <c r="FL44" s="85" t="n">
        <v>60.2</v>
      </c>
      <c r="FM44" s="85" t="n">
        <v>61.1</v>
      </c>
      <c r="FN44" s="85" t="n">
        <v>58.4</v>
      </c>
      <c r="FO44" s="85" t="n">
        <v>58.1</v>
      </c>
      <c r="FP44" s="85" t="n">
        <v>56.3</v>
      </c>
      <c r="FQ44" s="85" t="n">
        <v>59.4</v>
      </c>
      <c r="FR44" s="85" t="n">
        <v>59.4</v>
      </c>
      <c r="FS44" s="85" t="n">
        <v>60.1</v>
      </c>
      <c r="FT44" s="85" t="n">
        <v>60</v>
      </c>
      <c r="FU44" s="85" t="n">
        <v>59.4</v>
      </c>
      <c r="FV44" s="85" t="n">
        <v>58.7</v>
      </c>
      <c r="FW44" s="85" t="n">
        <v>58.5</v>
      </c>
      <c r="FX44" s="85" t="n">
        <v>58.2</v>
      </c>
      <c r="FY44" s="85" t="n">
        <v>57</v>
      </c>
      <c r="FZ44" s="85" t="n">
        <v>56</v>
      </c>
      <c r="GA44" s="85" t="n">
        <v>56.4</v>
      </c>
      <c r="GB44" s="85" t="n">
        <v>57.7</v>
      </c>
      <c r="GC44" s="85" t="n">
        <v>58.7</v>
      </c>
      <c r="GD44" s="85" t="n">
        <v>60.7</v>
      </c>
      <c r="GE44" s="85" t="n">
        <v>62.4</v>
      </c>
      <c r="GF44" s="85" t="n">
        <v>63</v>
      </c>
      <c r="GG44" s="85" t="n">
        <v>60.9</v>
      </c>
      <c r="GH44" s="85" t="n">
        <v>59.4</v>
      </c>
      <c r="GI44" s="85" t="n">
        <v>58</v>
      </c>
      <c r="GJ44" s="85" t="n">
        <v>61.9</v>
      </c>
      <c r="GK44" s="85" t="n">
        <v>60.2</v>
      </c>
      <c r="GL44" s="85" t="n">
        <v>58.7</v>
      </c>
      <c r="GM44" s="85" t="n">
        <v>58.2</v>
      </c>
      <c r="GN44" s="85" t="n">
        <v>57.8</v>
      </c>
      <c r="GO44" s="85" t="n">
        <v>78.5</v>
      </c>
      <c r="GP44" s="85" t="n">
        <v>69.1</v>
      </c>
      <c r="GQ44" s="85" t="n">
        <v>58.9</v>
      </c>
      <c r="GR44" s="85" t="n">
        <v>81.2</v>
      </c>
      <c r="GS44" s="85" t="n">
        <v>82.7</v>
      </c>
      <c r="GT44" s="85" t="n">
        <v>80.7</v>
      </c>
      <c r="GU44" s="85" t="n">
        <v>1032.4</v>
      </c>
      <c r="GV44" s="85" t="n">
        <v>1163.9</v>
      </c>
      <c r="GW44" s="85" t="n">
        <v>517</v>
      </c>
      <c r="GX44" s="85" t="n">
        <v>520.7</v>
      </c>
      <c r="GY44" s="85" t="n">
        <v>830.7</v>
      </c>
      <c r="GZ44" s="85" t="n">
        <v>674.1</v>
      </c>
      <c r="HA44" s="85" t="n">
        <v>414.1</v>
      </c>
      <c r="HB44" s="85" t="n">
        <v>151.5</v>
      </c>
      <c r="HC44" t="n">
        <v>130</v>
      </c>
      <c r="HD44" t="n">
        <v>119.1</v>
      </c>
      <c r="HE44" t="n">
        <v>111.5</v>
      </c>
      <c r="HF44" t="n">
        <v>104.5</v>
      </c>
      <c r="HG44" t="n">
        <v>102.5</v>
      </c>
      <c r="HH44" t="n">
        <v>104.7</v>
      </c>
      <c r="HI44" t="n">
        <v>99.6</v>
      </c>
      <c r="HJ44" t="n">
        <v>96.8</v>
      </c>
      <c r="HK44" t="n">
        <v>94.4</v>
      </c>
    </row>
    <row r="45">
      <c r="A45" s="85" t="s">
        <v>2553</v>
      </c>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c r="CK45" s="85"/>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c r="DL45" s="85"/>
      <c r="DM45" s="85"/>
      <c r="DN45" s="85"/>
      <c r="DO45" s="85"/>
      <c r="DP45" s="85"/>
      <c r="DQ45" s="85"/>
      <c r="DR45" s="85"/>
      <c r="DS45" s="85"/>
      <c r="DT45" s="85"/>
      <c r="DU45" s="85"/>
      <c r="DV45" s="85"/>
      <c r="DW45" s="85"/>
      <c r="DX45" s="85"/>
      <c r="DY45" s="85"/>
      <c r="DZ45" s="85"/>
      <c r="EA45" s="85"/>
      <c r="EB45" s="85"/>
      <c r="EC45" s="85"/>
      <c r="ED45" s="85"/>
      <c r="EE45" s="85"/>
      <c r="EF45" s="85"/>
      <c r="EG45" s="85"/>
      <c r="EH45" s="85"/>
      <c r="EI45" s="85"/>
      <c r="EJ45" s="85"/>
      <c r="EK45" s="85"/>
      <c r="EL45" s="85"/>
      <c r="EM45" s="85"/>
      <c r="EN45" s="85"/>
      <c r="EO45" s="85"/>
      <c r="EP45" s="85"/>
      <c r="EQ45" s="85"/>
      <c r="ER45" s="85"/>
      <c r="ES45" s="85"/>
      <c r="ET45" s="85"/>
      <c r="EU45" s="85"/>
      <c r="EV45" s="85"/>
      <c r="EW45" s="85"/>
      <c r="EX45" s="85"/>
      <c r="EY45" s="85"/>
      <c r="EZ45" s="85"/>
      <c r="FA45" s="85"/>
      <c r="FB45" s="85"/>
      <c r="FC45" s="85"/>
      <c r="FD45" s="85"/>
      <c r="FE45" s="85"/>
      <c r="FF45" s="85"/>
      <c r="FG45" s="85"/>
      <c r="FH45" s="85"/>
      <c r="FI45" s="85"/>
      <c r="FJ45" s="85"/>
      <c r="FK45" s="85"/>
      <c r="FL45" s="85"/>
      <c r="FM45" s="85"/>
      <c r="FN45" s="85"/>
      <c r="FO45" s="85"/>
      <c r="FP45" s="85"/>
      <c r="FQ45" s="85"/>
      <c r="FR45" s="85"/>
      <c r="FS45" s="85"/>
      <c r="FT45" s="85"/>
      <c r="FU45" s="85"/>
      <c r="FV45" s="85"/>
      <c r="FW45" s="85"/>
      <c r="FX45" s="85"/>
      <c r="FY45" s="85"/>
      <c r="FZ45" s="85"/>
      <c r="GA45" s="85"/>
      <c r="GB45" s="85"/>
      <c r="GC45" s="85"/>
      <c r="GD45" s="85"/>
      <c r="GE45" s="85"/>
      <c r="GF45" s="85"/>
      <c r="GG45" s="85"/>
      <c r="GH45" s="85"/>
      <c r="GI45" s="85"/>
      <c r="GJ45" s="85"/>
      <c r="GK45" s="85"/>
      <c r="GL45" s="85"/>
      <c r="GM45" s="85"/>
      <c r="GN45" s="85"/>
      <c r="GO45" s="85"/>
      <c r="GP45" s="85"/>
      <c r="GQ45" s="85"/>
      <c r="GR45" s="85"/>
      <c r="GS45" s="85"/>
      <c r="GT45" s="85"/>
      <c r="GU45" s="85" t="n">
        <v>1078.1</v>
      </c>
      <c r="GV45" s="85" t="n">
        <v>15.6</v>
      </c>
      <c r="GW45" s="85" t="n">
        <v>5</v>
      </c>
      <c r="GX45" s="85" t="n">
        <v>1933.7</v>
      </c>
      <c r="GY45" s="85" t="n">
        <v>290.1</v>
      </c>
      <c r="GZ45" s="85" t="n">
        <v>38.9</v>
      </c>
      <c r="HA45" s="85" t="n">
        <v>14.2</v>
      </c>
      <c r="HB45" s="85" t="n">
        <v>0</v>
      </c>
      <c r="HC45" t="n">
        <v>0</v>
      </c>
      <c r="HD45" t="n">
        <v>0</v>
      </c>
      <c r="HE45" t="n">
        <v>0</v>
      </c>
      <c r="HF45"/>
      <c r="HG45"/>
      <c r="HH45"/>
      <c r="HI45"/>
      <c r="HJ45"/>
      <c r="HK45"/>
    </row>
    <row r="46">
      <c r="A46" s="85" t="s">
        <v>2554</v>
      </c>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85"/>
      <c r="CB46" s="85"/>
      <c r="CC46" s="85"/>
      <c r="CD46" s="85"/>
      <c r="CE46" s="85"/>
      <c r="CF46" s="85"/>
      <c r="CG46" s="85"/>
      <c r="CH46" s="85"/>
      <c r="CI46" s="85"/>
      <c r="CJ46" s="85"/>
      <c r="CK46" s="85"/>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c r="DL46" s="85"/>
      <c r="DM46" s="85"/>
      <c r="DN46" s="85"/>
      <c r="DO46" s="85"/>
      <c r="DP46" s="85"/>
      <c r="DQ46" s="85"/>
      <c r="DR46" s="85"/>
      <c r="DS46" s="85"/>
      <c r="DT46" s="85"/>
      <c r="DU46" s="85"/>
      <c r="DV46" s="85"/>
      <c r="DW46" s="85"/>
      <c r="DX46" s="85"/>
      <c r="DY46" s="85"/>
      <c r="DZ46" s="85"/>
      <c r="EA46" s="85"/>
      <c r="EB46" s="85"/>
      <c r="EC46" s="85"/>
      <c r="ED46" s="85"/>
      <c r="EE46" s="85"/>
      <c r="EF46" s="85"/>
      <c r="EG46" s="85"/>
      <c r="EH46" s="85"/>
      <c r="EI46" s="85"/>
      <c r="EJ46" s="85"/>
      <c r="EK46" s="85"/>
      <c r="EL46" s="85"/>
      <c r="EM46" s="85"/>
      <c r="EN46" s="85"/>
      <c r="EO46" s="85"/>
      <c r="EP46" s="85"/>
      <c r="EQ46" s="85"/>
      <c r="ER46" s="85"/>
      <c r="ES46" s="85"/>
      <c r="ET46" s="85"/>
      <c r="EU46" s="85"/>
      <c r="EV46" s="85"/>
      <c r="EW46" s="85"/>
      <c r="EX46" s="85"/>
      <c r="EY46" s="85"/>
      <c r="EZ46" s="85"/>
      <c r="FA46" s="85"/>
      <c r="FB46" s="85"/>
      <c r="FC46" s="85"/>
      <c r="FD46" s="85"/>
      <c r="FE46" s="85"/>
      <c r="FF46" s="85"/>
      <c r="FG46" s="85"/>
      <c r="FH46" s="85"/>
      <c r="FI46" s="85"/>
      <c r="FJ46" s="85"/>
      <c r="FK46" s="85"/>
      <c r="FL46" s="85"/>
      <c r="FM46" s="85"/>
      <c r="FN46" s="85"/>
      <c r="FO46" s="85"/>
      <c r="FP46" s="85"/>
      <c r="FQ46" s="85"/>
      <c r="FR46" s="85"/>
      <c r="FS46" s="85"/>
      <c r="FT46" s="85"/>
      <c r="FU46" s="85"/>
      <c r="FV46" s="85"/>
      <c r="FW46" s="85"/>
      <c r="FX46" s="85"/>
      <c r="FY46" s="85"/>
      <c r="FZ46" s="85"/>
      <c r="GA46" s="85"/>
      <c r="GB46" s="85"/>
      <c r="GC46" s="85"/>
      <c r="GD46" s="85"/>
      <c r="GE46" s="85"/>
      <c r="GF46" s="85"/>
      <c r="GG46" s="85"/>
      <c r="GH46" s="85"/>
      <c r="GI46" s="85"/>
      <c r="GJ46" s="85"/>
      <c r="GK46" s="85"/>
      <c r="GL46" s="85"/>
      <c r="GM46" s="85"/>
      <c r="GN46" s="85"/>
      <c r="GO46" s="85"/>
      <c r="GP46" s="85"/>
      <c r="GQ46" s="85"/>
      <c r="GR46" s="85"/>
      <c r="GS46" s="85"/>
      <c r="GT46" s="85"/>
      <c r="GU46" s="85" t="n">
        <v>9.6</v>
      </c>
      <c r="GV46" s="85" t="n">
        <v>14.4</v>
      </c>
      <c r="GW46" s="85" t="n">
        <v>14.3</v>
      </c>
      <c r="GX46" s="85" t="n">
        <v>15</v>
      </c>
      <c r="GY46" s="85" t="n">
        <v>15.3</v>
      </c>
      <c r="GZ46" s="85" t="n">
        <v>15.6</v>
      </c>
      <c r="HA46" s="85" t="n">
        <v>15.7</v>
      </c>
      <c r="HB46" s="85" t="n">
        <v>15.8</v>
      </c>
      <c r="HC46" t="n">
        <v>7.9</v>
      </c>
      <c r="HD46" t="n">
        <v>0</v>
      </c>
      <c r="HE46" t="n">
        <v>0</v>
      </c>
      <c r="HF46"/>
      <c r="HG46"/>
      <c r="HH46"/>
      <c r="HI46"/>
      <c r="HJ46"/>
      <c r="HK46"/>
    </row>
    <row r="47">
      <c r="A47" s="85" t="s">
        <v>2555</v>
      </c>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85"/>
      <c r="CB47" s="85"/>
      <c r="CC47" s="85"/>
      <c r="CD47" s="85"/>
      <c r="CE47" s="85"/>
      <c r="CF47" s="85"/>
      <c r="CG47" s="85"/>
      <c r="CH47" s="85"/>
      <c r="CI47" s="85"/>
      <c r="CJ47" s="85"/>
      <c r="CK47" s="85"/>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c r="DL47" s="85"/>
      <c r="DM47" s="85"/>
      <c r="DN47" s="85"/>
      <c r="DO47" s="85"/>
      <c r="DP47" s="85"/>
      <c r="DQ47" s="85"/>
      <c r="DR47" s="85"/>
      <c r="DS47" s="85"/>
      <c r="DT47" s="85"/>
      <c r="DU47" s="85"/>
      <c r="DV47" s="85"/>
      <c r="DW47" s="85"/>
      <c r="DX47" s="85"/>
      <c r="DY47" s="85"/>
      <c r="DZ47" s="85"/>
      <c r="EA47" s="85"/>
      <c r="EB47" s="85"/>
      <c r="EC47" s="85"/>
      <c r="ED47" s="85"/>
      <c r="EE47" s="85"/>
      <c r="EF47" s="85"/>
      <c r="EG47" s="85"/>
      <c r="EH47" s="85"/>
      <c r="EI47" s="85"/>
      <c r="EJ47" s="85"/>
      <c r="EK47" s="85"/>
      <c r="EL47" s="85"/>
      <c r="EM47" s="85"/>
      <c r="EN47" s="85"/>
      <c r="EO47" s="85"/>
      <c r="EP47" s="85"/>
      <c r="EQ47" s="85"/>
      <c r="ER47" s="85"/>
      <c r="ES47" s="85"/>
      <c r="ET47" s="85"/>
      <c r="EU47" s="85"/>
      <c r="EV47" s="85"/>
      <c r="EW47" s="85"/>
      <c r="EX47" s="85"/>
      <c r="EY47" s="85"/>
      <c r="EZ47" s="85"/>
      <c r="FA47" s="85"/>
      <c r="FB47" s="85"/>
      <c r="FC47" s="85"/>
      <c r="FD47" s="85"/>
      <c r="FE47" s="85"/>
      <c r="FF47" s="85"/>
      <c r="FG47" s="85"/>
      <c r="FH47" s="85"/>
      <c r="FI47" s="85"/>
      <c r="FJ47" s="85"/>
      <c r="FK47" s="85"/>
      <c r="FL47" s="85"/>
      <c r="FM47" s="85"/>
      <c r="FN47" s="85"/>
      <c r="FO47" s="85"/>
      <c r="FP47" s="85"/>
      <c r="FQ47" s="85"/>
      <c r="FR47" s="85"/>
      <c r="FS47" s="85"/>
      <c r="FT47" s="85"/>
      <c r="FU47" s="85"/>
      <c r="FV47" s="85"/>
      <c r="FW47" s="85"/>
      <c r="FX47" s="85"/>
      <c r="FY47" s="85"/>
      <c r="FZ47" s="85"/>
      <c r="GA47" s="85"/>
      <c r="GB47" s="85"/>
      <c r="GC47" s="85"/>
      <c r="GD47" s="85"/>
      <c r="GE47" s="85"/>
      <c r="GF47" s="85"/>
      <c r="GG47" s="85"/>
      <c r="GH47" s="85"/>
      <c r="GI47" s="85"/>
      <c r="GJ47" s="85"/>
      <c r="GK47" s="85"/>
      <c r="GL47" s="85"/>
      <c r="GM47" s="85"/>
      <c r="GN47" s="85"/>
      <c r="GO47" s="85"/>
      <c r="GP47" s="85"/>
      <c r="GQ47" s="85"/>
      <c r="GR47" s="85"/>
      <c r="GS47" s="85"/>
      <c r="GT47" s="85"/>
      <c r="GU47" s="85" t="n">
        <v>57.2</v>
      </c>
      <c r="GV47" s="85" t="n">
        <v>81.2</v>
      </c>
      <c r="GW47" s="85" t="n">
        <v>24.4</v>
      </c>
      <c r="GX47" s="85" t="n">
        <v>11.7</v>
      </c>
      <c r="GY47" s="85" t="n">
        <v>28.5</v>
      </c>
      <c r="GZ47" s="85" t="n">
        <v>18.8</v>
      </c>
      <c r="HA47" s="85" t="n">
        <v>1.6</v>
      </c>
      <c r="HB47" s="85" t="n">
        <v>0</v>
      </c>
      <c r="HC47" t="n">
        <v>0</v>
      </c>
      <c r="HD47" t="n">
        <v>0</v>
      </c>
      <c r="HE47" t="n">
        <v>0</v>
      </c>
      <c r="HF47"/>
      <c r="HG47"/>
      <c r="HH47"/>
      <c r="HI47"/>
      <c r="HJ47"/>
      <c r="HK47"/>
    </row>
    <row r="48">
      <c r="A48" s="85" t="s">
        <v>2556</v>
      </c>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c r="DV48" s="85"/>
      <c r="DW48" s="85"/>
      <c r="DX48" s="85"/>
      <c r="DY48" s="85"/>
      <c r="DZ48" s="85"/>
      <c r="EA48" s="85"/>
      <c r="EB48" s="85"/>
      <c r="EC48" s="85"/>
      <c r="ED48" s="85"/>
      <c r="EE48" s="85"/>
      <c r="EF48" s="85"/>
      <c r="EG48" s="85"/>
      <c r="EH48" s="85"/>
      <c r="EI48" s="85"/>
      <c r="EJ48" s="85"/>
      <c r="EK48" s="85"/>
      <c r="EL48" s="85"/>
      <c r="EM48" s="85"/>
      <c r="EN48" s="85"/>
      <c r="EO48" s="85"/>
      <c r="EP48" s="85"/>
      <c r="EQ48" s="85"/>
      <c r="ER48" s="85"/>
      <c r="ES48" s="85"/>
      <c r="ET48" s="85"/>
      <c r="EU48" s="85"/>
      <c r="EV48" s="85"/>
      <c r="EW48" s="85"/>
      <c r="EX48" s="85"/>
      <c r="EY48" s="85"/>
      <c r="EZ48" s="85"/>
      <c r="FA48" s="85"/>
      <c r="FB48" s="85"/>
      <c r="FC48" s="85"/>
      <c r="FD48" s="85"/>
      <c r="FE48" s="85"/>
      <c r="FF48" s="85"/>
      <c r="FG48" s="85"/>
      <c r="FH48" s="85"/>
      <c r="FI48" s="85"/>
      <c r="FJ48" s="85"/>
      <c r="FK48" s="85"/>
      <c r="FL48" s="85"/>
      <c r="FM48" s="85"/>
      <c r="FN48" s="85"/>
      <c r="FO48" s="85"/>
      <c r="FP48" s="85"/>
      <c r="FQ48" s="85"/>
      <c r="FR48" s="85"/>
      <c r="FS48" s="85"/>
      <c r="FT48" s="85"/>
      <c r="FU48" s="85"/>
      <c r="FV48" s="85"/>
      <c r="FW48" s="85"/>
      <c r="FX48" s="85"/>
      <c r="FY48" s="85"/>
      <c r="FZ48" s="85"/>
      <c r="GA48" s="85"/>
      <c r="GB48" s="85"/>
      <c r="GC48" s="85"/>
      <c r="GD48" s="85"/>
      <c r="GE48" s="85"/>
      <c r="GF48" s="85"/>
      <c r="GG48" s="85"/>
      <c r="GH48" s="85"/>
      <c r="GI48" s="85"/>
      <c r="GJ48" s="85"/>
      <c r="GK48" s="85"/>
      <c r="GL48" s="85"/>
      <c r="GM48" s="85"/>
      <c r="GN48" s="85"/>
      <c r="GO48" s="85"/>
      <c r="GP48" s="85"/>
      <c r="GQ48" s="85"/>
      <c r="GR48" s="85"/>
      <c r="GS48" s="85"/>
      <c r="GT48" s="85" t="n">
        <v>1.5</v>
      </c>
      <c r="GU48" s="85" t="n">
        <v>160.9</v>
      </c>
      <c r="GV48" s="85" t="n">
        <v>58.4</v>
      </c>
      <c r="GW48" s="85" t="n">
        <v>34.5</v>
      </c>
      <c r="GX48" s="85" t="n">
        <v>21.4</v>
      </c>
      <c r="GY48" s="85" t="n">
        <v>13.3</v>
      </c>
      <c r="GZ48" s="85" t="n">
        <v>18.7</v>
      </c>
      <c r="HA48" s="85" t="n">
        <v>32.2</v>
      </c>
      <c r="HB48" s="85" t="n">
        <v>26.9</v>
      </c>
      <c r="HC48" t="n">
        <v>20</v>
      </c>
      <c r="HD48" t="n">
        <v>8.1</v>
      </c>
      <c r="HE48" t="n">
        <v>4.9</v>
      </c>
      <c r="HF48"/>
      <c r="HG48"/>
      <c r="HH48"/>
      <c r="HI48"/>
      <c r="HJ48"/>
      <c r="HK48"/>
    </row>
    <row r="49">
      <c r="A49" s="85" t="s">
        <v>2557</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c r="DL49" s="85"/>
      <c r="DM49" s="85"/>
      <c r="DN49" s="85"/>
      <c r="DO49" s="85"/>
      <c r="DP49" s="85"/>
      <c r="DQ49" s="85"/>
      <c r="DR49" s="85"/>
      <c r="DS49" s="85"/>
      <c r="DT49" s="85"/>
      <c r="DU49" s="85"/>
      <c r="DV49" s="85"/>
      <c r="DW49" s="85"/>
      <c r="DX49" s="85"/>
      <c r="DY49" s="85"/>
      <c r="DZ49" s="85"/>
      <c r="EA49" s="85"/>
      <c r="EB49" s="85"/>
      <c r="EC49" s="85"/>
      <c r="ED49" s="85"/>
      <c r="EE49" s="85"/>
      <c r="EF49" s="85"/>
      <c r="EG49" s="85"/>
      <c r="EH49" s="85"/>
      <c r="EI49" s="85"/>
      <c r="EJ49" s="85"/>
      <c r="EK49" s="85"/>
      <c r="EL49" s="85"/>
      <c r="EM49" s="85"/>
      <c r="EN49" s="85"/>
      <c r="EO49" s="85"/>
      <c r="EP49" s="85"/>
      <c r="EQ49" s="85"/>
      <c r="ER49" s="85"/>
      <c r="ES49" s="85"/>
      <c r="ET49" s="85"/>
      <c r="EU49" s="85"/>
      <c r="EV49" s="85"/>
      <c r="EW49" s="85"/>
      <c r="EX49" s="85"/>
      <c r="EY49" s="85"/>
      <c r="EZ49" s="85"/>
      <c r="FA49" s="85"/>
      <c r="FB49" s="85"/>
      <c r="FC49" s="85"/>
      <c r="FD49" s="85"/>
      <c r="FE49" s="85"/>
      <c r="FF49" s="85"/>
      <c r="FG49" s="85"/>
      <c r="FH49" s="85"/>
      <c r="FI49" s="85"/>
      <c r="FJ49" s="85"/>
      <c r="FK49" s="85"/>
      <c r="FL49" s="85"/>
      <c r="FM49" s="85"/>
      <c r="FN49" s="85"/>
      <c r="FO49" s="85"/>
      <c r="FP49" s="85"/>
      <c r="FQ49" s="85"/>
      <c r="FR49" s="85"/>
      <c r="FS49" s="85"/>
      <c r="FT49" s="85"/>
      <c r="FU49" s="85"/>
      <c r="FV49" s="85"/>
      <c r="FW49" s="85"/>
      <c r="FX49" s="85"/>
      <c r="FY49" s="85"/>
      <c r="FZ49" s="85"/>
      <c r="GA49" s="85"/>
      <c r="GB49" s="85"/>
      <c r="GC49" s="85"/>
      <c r="GD49" s="85"/>
      <c r="GE49" s="85"/>
      <c r="GF49" s="85"/>
      <c r="GG49" s="85"/>
      <c r="GH49" s="85"/>
      <c r="GI49" s="85"/>
      <c r="GJ49" s="85"/>
      <c r="GK49" s="85"/>
      <c r="GL49" s="85"/>
      <c r="GM49" s="85"/>
      <c r="GN49" s="85"/>
      <c r="GO49" s="85"/>
      <c r="GP49" s="85"/>
      <c r="GQ49" s="85"/>
      <c r="GR49" s="85"/>
      <c r="GS49" s="85"/>
      <c r="GT49" s="85"/>
      <c r="GU49" s="85" t="n">
        <v>576.9</v>
      </c>
      <c r="GV49" s="85" t="n">
        <v>819.5</v>
      </c>
      <c r="GW49" s="85" t="n">
        <v>246.3</v>
      </c>
      <c r="GX49" s="85" t="n">
        <v>197</v>
      </c>
      <c r="GY49" s="85" t="n">
        <v>441.2</v>
      </c>
      <c r="GZ49" s="85" t="n">
        <v>276.7</v>
      </c>
      <c r="HA49" s="85" t="n">
        <v>28.2</v>
      </c>
      <c r="HB49" s="85" t="n">
        <v>0</v>
      </c>
      <c r="HC49" t="n">
        <v>0</v>
      </c>
      <c r="HD49" t="n">
        <v>0</v>
      </c>
      <c r="HE49" t="n">
        <v>0</v>
      </c>
      <c r="HF49"/>
      <c r="HG49"/>
      <c r="HH49"/>
      <c r="HI49"/>
      <c r="HJ49"/>
      <c r="HK49"/>
    </row>
    <row r="50">
      <c r="A50" s="85" t="s">
        <v>2558</v>
      </c>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85"/>
      <c r="CB50" s="85"/>
      <c r="CC50" s="85"/>
      <c r="CD50" s="85"/>
      <c r="CE50" s="85"/>
      <c r="CF50" s="85"/>
      <c r="CG50" s="85"/>
      <c r="CH50" s="85"/>
      <c r="CI50" s="85"/>
      <c r="CJ50" s="85"/>
      <c r="CK50" s="85"/>
      <c r="CL50" s="85"/>
      <c r="CM50" s="85"/>
      <c r="CN50" s="85"/>
      <c r="CO50" s="85"/>
      <c r="CP50" s="85"/>
      <c r="CQ50" s="85"/>
      <c r="CR50" s="85"/>
      <c r="CS50" s="85"/>
      <c r="CT50" s="85"/>
      <c r="CU50" s="85"/>
      <c r="CV50" s="85"/>
      <c r="CW50" s="85"/>
      <c r="CX50" s="85"/>
      <c r="CY50" s="85"/>
      <c r="CZ50" s="85"/>
      <c r="DA50" s="85"/>
      <c r="DB50" s="85"/>
      <c r="DC50" s="85"/>
      <c r="DD50" s="85"/>
      <c r="DE50" s="85"/>
      <c r="DF50" s="85"/>
      <c r="DG50" s="85"/>
      <c r="DH50" s="85"/>
      <c r="DI50" s="85"/>
      <c r="DJ50" s="85"/>
      <c r="DK50" s="85"/>
      <c r="DL50" s="85"/>
      <c r="DM50" s="85"/>
      <c r="DN50" s="85"/>
      <c r="DO50" s="85"/>
      <c r="DP50" s="85"/>
      <c r="DQ50" s="85"/>
      <c r="DR50" s="85"/>
      <c r="DS50" s="85"/>
      <c r="DT50" s="85"/>
      <c r="DU50" s="85"/>
      <c r="DV50" s="85"/>
      <c r="DW50" s="85"/>
      <c r="DX50" s="85"/>
      <c r="DY50" s="85"/>
      <c r="DZ50" s="85"/>
      <c r="EA50" s="85"/>
      <c r="EB50" s="85"/>
      <c r="EC50" s="85"/>
      <c r="ED50" s="85"/>
      <c r="EE50" s="85"/>
      <c r="EF50" s="85"/>
      <c r="EG50" s="85"/>
      <c r="EH50" s="85"/>
      <c r="EI50" s="85"/>
      <c r="EJ50" s="85"/>
      <c r="EK50" s="85"/>
      <c r="EL50" s="85"/>
      <c r="EM50" s="85"/>
      <c r="EN50" s="85"/>
      <c r="EO50" s="85"/>
      <c r="EP50" s="85"/>
      <c r="EQ50" s="85"/>
      <c r="ER50" s="85"/>
      <c r="ES50" s="85"/>
      <c r="ET50" s="85"/>
      <c r="EU50" s="85"/>
      <c r="EV50" s="85"/>
      <c r="EW50" s="85"/>
      <c r="EX50" s="85"/>
      <c r="EY50" s="85"/>
      <c r="EZ50" s="85"/>
      <c r="FA50" s="85"/>
      <c r="FB50" s="85"/>
      <c r="FC50" s="85"/>
      <c r="FD50" s="85"/>
      <c r="FE50" s="85"/>
      <c r="FF50" s="85"/>
      <c r="FG50" s="85"/>
      <c r="FH50" s="85"/>
      <c r="FI50" s="85"/>
      <c r="FJ50" s="85"/>
      <c r="FK50" s="85"/>
      <c r="FL50" s="85"/>
      <c r="FM50" s="85"/>
      <c r="FN50" s="85"/>
      <c r="FO50" s="85"/>
      <c r="FP50" s="85"/>
      <c r="FQ50" s="85"/>
      <c r="FR50" s="85"/>
      <c r="FS50" s="85"/>
      <c r="FT50" s="85"/>
      <c r="FU50" s="85"/>
      <c r="FV50" s="85"/>
      <c r="FW50" s="85"/>
      <c r="FX50" s="85"/>
      <c r="FY50" s="85"/>
      <c r="FZ50" s="85"/>
      <c r="GA50" s="85"/>
      <c r="GB50" s="85"/>
      <c r="GC50" s="85"/>
      <c r="GD50" s="85"/>
      <c r="GE50" s="85"/>
      <c r="GF50" s="85"/>
      <c r="GG50" s="85"/>
      <c r="GH50" s="85"/>
      <c r="GI50" s="85"/>
      <c r="GJ50" s="85"/>
      <c r="GK50" s="85"/>
      <c r="GL50" s="85"/>
      <c r="GM50" s="85"/>
      <c r="GN50" s="85"/>
      <c r="GO50" s="85"/>
      <c r="GP50" s="85"/>
      <c r="GQ50" s="85"/>
      <c r="GR50" s="85"/>
      <c r="GS50" s="85"/>
      <c r="GT50" s="85"/>
      <c r="GU50" s="85" t="n">
        <v>63.8</v>
      </c>
      <c r="GV50" s="85" t="n">
        <v>15</v>
      </c>
      <c r="GW50" s="85" t="n">
        <v>0.1</v>
      </c>
      <c r="GX50" s="85" t="n">
        <v>38</v>
      </c>
      <c r="GY50" s="85" t="n">
        <v>47.3</v>
      </c>
      <c r="GZ50" s="85" t="n">
        <v>0.7</v>
      </c>
      <c r="HA50" s="85" t="n">
        <v>0</v>
      </c>
      <c r="HB50" s="85" t="n">
        <v>0.3</v>
      </c>
      <c r="HC50" t="n">
        <v>0.2</v>
      </c>
      <c r="HD50" t="n">
        <v>0.3</v>
      </c>
      <c r="HE50" t="n">
        <v>0.4</v>
      </c>
      <c r="HF50"/>
      <c r="HG50"/>
      <c r="HH50"/>
      <c r="HI50"/>
      <c r="HJ50"/>
      <c r="HK50"/>
    </row>
    <row r="51">
      <c r="A51" s="85" t="s">
        <v>2559</v>
      </c>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85"/>
      <c r="CB51" s="85"/>
      <c r="CC51" s="85"/>
      <c r="CD51" s="85"/>
      <c r="CE51" s="85"/>
      <c r="CF51" s="85"/>
      <c r="CG51" s="85"/>
      <c r="CH51" s="85"/>
      <c r="CI51" s="85"/>
      <c r="CJ51" s="85"/>
      <c r="CK51" s="85"/>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c r="DL51" s="85"/>
      <c r="DM51" s="85"/>
      <c r="DN51" s="85"/>
      <c r="DO51" s="85"/>
      <c r="DP51" s="85"/>
      <c r="DQ51" s="85"/>
      <c r="DR51" s="85"/>
      <c r="DS51" s="85"/>
      <c r="DT51" s="85"/>
      <c r="DU51" s="85"/>
      <c r="DV51" s="85"/>
      <c r="DW51" s="85"/>
      <c r="DX51" s="85"/>
      <c r="DY51" s="85"/>
      <c r="DZ51" s="85"/>
      <c r="EA51" s="85"/>
      <c r="EB51" s="85"/>
      <c r="EC51" s="85"/>
      <c r="ED51" s="85"/>
      <c r="EE51" s="85"/>
      <c r="EF51" s="85"/>
      <c r="EG51" s="85"/>
      <c r="EH51" s="85"/>
      <c r="EI51" s="85"/>
      <c r="EJ51" s="85"/>
      <c r="EK51" s="85"/>
      <c r="EL51" s="85"/>
      <c r="EM51" s="85"/>
      <c r="EN51" s="85"/>
      <c r="EO51" s="85"/>
      <c r="EP51" s="85"/>
      <c r="EQ51" s="85"/>
      <c r="ER51" s="85"/>
      <c r="ES51" s="85"/>
      <c r="ET51" s="85"/>
      <c r="EU51" s="85"/>
      <c r="EV51" s="85"/>
      <c r="EW51" s="85"/>
      <c r="EX51" s="85"/>
      <c r="EY51" s="85"/>
      <c r="EZ51" s="85"/>
      <c r="FA51" s="85"/>
      <c r="FB51" s="85"/>
      <c r="FC51" s="85"/>
      <c r="FD51" s="85"/>
      <c r="FE51" s="85"/>
      <c r="FF51" s="85"/>
      <c r="FG51" s="85"/>
      <c r="FH51" s="85"/>
      <c r="FI51" s="85"/>
      <c r="FJ51" s="85"/>
      <c r="FK51" s="85"/>
      <c r="FL51" s="85"/>
      <c r="FM51" s="85"/>
      <c r="FN51" s="85"/>
      <c r="FO51" s="85"/>
      <c r="FP51" s="85"/>
      <c r="FQ51" s="85"/>
      <c r="FR51" s="85"/>
      <c r="FS51" s="85"/>
      <c r="FT51" s="85"/>
      <c r="FU51" s="85"/>
      <c r="FV51" s="85"/>
      <c r="FW51" s="85"/>
      <c r="FX51" s="85"/>
      <c r="FY51" s="85"/>
      <c r="FZ51" s="85"/>
      <c r="GA51" s="85"/>
      <c r="GB51" s="85"/>
      <c r="GC51" s="85"/>
      <c r="GD51" s="85"/>
      <c r="GE51" s="85"/>
      <c r="GF51" s="85"/>
      <c r="GG51" s="85"/>
      <c r="GH51" s="85"/>
      <c r="GI51" s="85"/>
      <c r="GJ51" s="85"/>
      <c r="GK51" s="85"/>
      <c r="GL51" s="85"/>
      <c r="GM51" s="85"/>
      <c r="GN51" s="85"/>
      <c r="GO51" s="85"/>
      <c r="GP51" s="85"/>
      <c r="GQ51" s="85"/>
      <c r="GR51" s="85"/>
      <c r="GS51" s="85"/>
      <c r="GT51" s="85"/>
      <c r="GU51" s="85" t="n">
        <v>73.3</v>
      </c>
      <c r="GV51" s="85" t="n">
        <v>73.3</v>
      </c>
      <c r="GW51" s="85" t="n">
        <v>73.3</v>
      </c>
      <c r="GX51" s="85" t="n">
        <v>39.8</v>
      </c>
      <c r="GY51" s="85" t="n">
        <v>43</v>
      </c>
      <c r="GZ51" s="85" t="n">
        <v>45.7</v>
      </c>
      <c r="HA51" s="85" t="n">
        <v>51.5</v>
      </c>
      <c r="HB51" s="85" t="n">
        <v>0</v>
      </c>
      <c r="HC51" t="n">
        <v>0</v>
      </c>
      <c r="HD51" t="n">
        <v>0</v>
      </c>
      <c r="HE51" t="n">
        <v>0</v>
      </c>
      <c r="HF51"/>
      <c r="HG51"/>
      <c r="HH51"/>
      <c r="HI51"/>
      <c r="HJ51"/>
      <c r="HK51"/>
    </row>
    <row r="52">
      <c r="A52" s="85" t="s">
        <v>2560</v>
      </c>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85"/>
      <c r="CB52" s="85"/>
      <c r="CC52" s="85"/>
      <c r="CD52" s="85"/>
      <c r="CE52" s="85"/>
      <c r="CF52" s="85"/>
      <c r="CG52" s="85"/>
      <c r="CH52" s="85"/>
      <c r="CI52" s="85"/>
      <c r="CJ52" s="85"/>
      <c r="CK52" s="85"/>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c r="DL52" s="85"/>
      <c r="DM52" s="85"/>
      <c r="DN52" s="85"/>
      <c r="DO52" s="85"/>
      <c r="DP52" s="85"/>
      <c r="DQ52" s="85"/>
      <c r="DR52" s="85"/>
      <c r="DS52" s="85"/>
      <c r="DT52" s="85"/>
      <c r="DU52" s="85"/>
      <c r="DV52" s="85"/>
      <c r="DW52" s="85"/>
      <c r="DX52" s="85"/>
      <c r="DY52" s="85"/>
      <c r="DZ52" s="85"/>
      <c r="EA52" s="85"/>
      <c r="EB52" s="85"/>
      <c r="EC52" s="85"/>
      <c r="ED52" s="85"/>
      <c r="EE52" s="85"/>
      <c r="EF52" s="85"/>
      <c r="EG52" s="85"/>
      <c r="EH52" s="85"/>
      <c r="EI52" s="85"/>
      <c r="EJ52" s="85"/>
      <c r="EK52" s="85"/>
      <c r="EL52" s="85"/>
      <c r="EM52" s="85"/>
      <c r="EN52" s="85"/>
      <c r="EO52" s="85"/>
      <c r="EP52" s="85"/>
      <c r="EQ52" s="85"/>
      <c r="ER52" s="85"/>
      <c r="ES52" s="85"/>
      <c r="ET52" s="85"/>
      <c r="EU52" s="85"/>
      <c r="EV52" s="85"/>
      <c r="EW52" s="85"/>
      <c r="EX52" s="85"/>
      <c r="EY52" s="85"/>
      <c r="EZ52" s="85"/>
      <c r="FA52" s="85"/>
      <c r="FB52" s="85"/>
      <c r="FC52" s="85"/>
      <c r="FD52" s="85"/>
      <c r="FE52" s="85"/>
      <c r="FF52" s="85"/>
      <c r="FG52" s="85"/>
      <c r="FH52" s="85"/>
      <c r="FI52" s="85"/>
      <c r="FJ52" s="85"/>
      <c r="FK52" s="85"/>
      <c r="FL52" s="85"/>
      <c r="FM52" s="85"/>
      <c r="FN52" s="85"/>
      <c r="FO52" s="85"/>
      <c r="FP52" s="85"/>
      <c r="FQ52" s="85"/>
      <c r="FR52" s="85"/>
      <c r="FS52" s="85"/>
      <c r="FT52" s="85"/>
      <c r="FU52" s="85"/>
      <c r="FV52" s="85"/>
      <c r="FW52" s="85"/>
      <c r="FX52" s="85"/>
      <c r="FY52" s="85"/>
      <c r="FZ52" s="85"/>
      <c r="GA52" s="85"/>
      <c r="GB52" s="85"/>
      <c r="GC52" s="85"/>
      <c r="GD52" s="85"/>
      <c r="GE52" s="85"/>
      <c r="GF52" s="85"/>
      <c r="GG52" s="85"/>
      <c r="GH52" s="85"/>
      <c r="GI52" s="85"/>
      <c r="GJ52" s="85"/>
      <c r="GK52" s="85"/>
      <c r="GL52" s="85"/>
      <c r="GM52" s="85"/>
      <c r="GN52" s="85"/>
      <c r="GO52" s="85"/>
      <c r="GP52" s="85"/>
      <c r="GQ52" s="85"/>
      <c r="GR52" s="85"/>
      <c r="GS52" s="85"/>
      <c r="GT52" s="85"/>
      <c r="GU52" s="85" t="n">
        <v>22</v>
      </c>
      <c r="GV52" s="85" t="n">
        <v>25.3</v>
      </c>
      <c r="GW52" s="85" t="n">
        <v>11.8</v>
      </c>
      <c r="GX52" s="85" t="n">
        <v>11.9</v>
      </c>
      <c r="GY52" s="85" t="n">
        <v>11.3</v>
      </c>
      <c r="GZ52" s="85" t="n">
        <v>13.6</v>
      </c>
      <c r="HA52" s="85" t="n">
        <v>19</v>
      </c>
      <c r="HB52" s="85" t="n">
        <v>21.8</v>
      </c>
      <c r="HC52" t="n">
        <v>22.3</v>
      </c>
      <c r="HD52" t="n">
        <v>20.2</v>
      </c>
      <c r="HE52" t="n">
        <v>15.8</v>
      </c>
      <c r="HF52"/>
      <c r="HG52"/>
      <c r="HH52"/>
      <c r="HI52"/>
      <c r="HJ52"/>
      <c r="HK52"/>
    </row>
    <row r="53">
      <c r="A53" s="85" t="s">
        <v>2561</v>
      </c>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5"/>
      <c r="BK53" s="85"/>
      <c r="BL53" s="85"/>
      <c r="BM53" s="85"/>
      <c r="BN53" s="85"/>
      <c r="BO53" s="85"/>
      <c r="BP53" s="85"/>
      <c r="BQ53" s="85"/>
      <c r="BR53" s="85"/>
      <c r="BS53" s="85"/>
      <c r="BT53" s="85"/>
      <c r="BU53" s="85"/>
      <c r="BV53" s="85"/>
      <c r="BW53" s="85"/>
      <c r="BX53" s="85"/>
      <c r="BY53" s="85"/>
      <c r="BZ53" s="85"/>
      <c r="CA53" s="85"/>
      <c r="CB53" s="85"/>
      <c r="CC53" s="85"/>
      <c r="CD53" s="85"/>
      <c r="CE53" s="85"/>
      <c r="CF53" s="85"/>
      <c r="CG53" s="85"/>
      <c r="CH53" s="85"/>
      <c r="CI53" s="85"/>
      <c r="CJ53" s="85"/>
      <c r="CK53" s="85"/>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c r="DL53" s="85"/>
      <c r="DM53" s="85"/>
      <c r="DN53" s="85"/>
      <c r="DO53" s="85"/>
      <c r="DP53" s="85"/>
      <c r="DQ53" s="85"/>
      <c r="DR53" s="85"/>
      <c r="DS53" s="85"/>
      <c r="DT53" s="85"/>
      <c r="DU53" s="85"/>
      <c r="DV53" s="85"/>
      <c r="DW53" s="85"/>
      <c r="DX53" s="85"/>
      <c r="DY53" s="85"/>
      <c r="DZ53" s="85"/>
      <c r="EA53" s="85"/>
      <c r="EB53" s="85"/>
      <c r="EC53" s="85"/>
      <c r="ED53" s="85"/>
      <c r="EE53" s="85"/>
      <c r="EF53" s="85"/>
      <c r="EG53" s="85"/>
      <c r="EH53" s="85"/>
      <c r="EI53" s="85"/>
      <c r="EJ53" s="85"/>
      <c r="EK53" s="85"/>
      <c r="EL53" s="85"/>
      <c r="EM53" s="85"/>
      <c r="EN53" s="85"/>
      <c r="EO53" s="85"/>
      <c r="EP53" s="85"/>
      <c r="EQ53" s="85"/>
      <c r="ER53" s="85"/>
      <c r="ES53" s="85"/>
      <c r="ET53" s="85"/>
      <c r="EU53" s="85"/>
      <c r="EV53" s="85"/>
      <c r="EW53" s="85"/>
      <c r="EX53" s="85"/>
      <c r="EY53" s="85"/>
      <c r="EZ53" s="85"/>
      <c r="FA53" s="85"/>
      <c r="FB53" s="85"/>
      <c r="FC53" s="85"/>
      <c r="FD53" s="85"/>
      <c r="FE53" s="85"/>
      <c r="FF53" s="85"/>
      <c r="FG53" s="85"/>
      <c r="FH53" s="85"/>
      <c r="FI53" s="85"/>
      <c r="FJ53" s="85"/>
      <c r="FK53" s="85"/>
      <c r="FL53" s="85"/>
      <c r="FM53" s="85"/>
      <c r="FN53" s="85"/>
      <c r="FO53" s="85"/>
      <c r="FP53" s="85"/>
      <c r="FQ53" s="85"/>
      <c r="FR53" s="85"/>
      <c r="FS53" s="85"/>
      <c r="FT53" s="85"/>
      <c r="FU53" s="85"/>
      <c r="FV53" s="85"/>
      <c r="FW53" s="85"/>
      <c r="FX53" s="85"/>
      <c r="FY53" s="85"/>
      <c r="FZ53" s="85"/>
      <c r="GA53" s="85"/>
      <c r="GB53" s="85"/>
      <c r="GC53" s="85"/>
      <c r="GD53" s="85"/>
      <c r="GE53" s="85"/>
      <c r="GF53" s="85"/>
      <c r="GG53" s="85"/>
      <c r="GH53" s="85"/>
      <c r="GI53" s="85"/>
      <c r="GJ53" s="85"/>
      <c r="GK53" s="85"/>
      <c r="GL53" s="85"/>
      <c r="GM53" s="85"/>
      <c r="GN53" s="85"/>
      <c r="GO53" s="85"/>
      <c r="GP53" s="85"/>
      <c r="GQ53" s="85"/>
      <c r="GR53" s="85"/>
      <c r="GS53" s="85"/>
      <c r="GT53" s="85"/>
      <c r="GU53" s="85" t="n">
        <v>16.9</v>
      </c>
      <c r="GV53" s="85" t="n">
        <v>18.4</v>
      </c>
      <c r="GW53" s="85" t="n">
        <v>46.2</v>
      </c>
      <c r="GX53" s="85" t="n">
        <v>0.9</v>
      </c>
      <c r="GY53" s="85" t="n">
        <v>14.1</v>
      </c>
      <c r="GZ53" s="85" t="n">
        <v>8.6</v>
      </c>
      <c r="HA53" s="85" t="n">
        <v>1.2</v>
      </c>
      <c r="HB53" s="85" t="n">
        <v>0.6</v>
      </c>
      <c r="HC53" t="n">
        <v>0</v>
      </c>
      <c r="HD53" t="n">
        <v>0</v>
      </c>
      <c r="HE53" t="n">
        <v>0</v>
      </c>
      <c r="HF53"/>
      <c r="HG53"/>
      <c r="HH53"/>
      <c r="HI53"/>
      <c r="HJ53"/>
      <c r="HK53"/>
    </row>
    <row r="54">
      <c r="A54" s="85" t="s">
        <v>2562</v>
      </c>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Y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c r="DB54" s="85"/>
      <c r="DC54" s="85"/>
      <c r="DD54" s="85"/>
      <c r="DE54" s="85"/>
      <c r="DF54" s="85"/>
      <c r="DG54" s="85"/>
      <c r="DH54" s="85"/>
      <c r="DI54" s="85"/>
      <c r="DJ54" s="85"/>
      <c r="DK54" s="85"/>
      <c r="DL54" s="85"/>
      <c r="DM54" s="85"/>
      <c r="DN54" s="85"/>
      <c r="DO54" s="85"/>
      <c r="DP54" s="85"/>
      <c r="DQ54" s="85"/>
      <c r="DR54" s="85"/>
      <c r="DS54" s="85"/>
      <c r="DT54" s="85"/>
      <c r="DU54" s="85"/>
      <c r="DV54" s="85"/>
      <c r="DW54" s="85"/>
      <c r="DX54" s="85"/>
      <c r="DY54" s="85"/>
      <c r="DZ54" s="85"/>
      <c r="EA54" s="85"/>
      <c r="EB54" s="85"/>
      <c r="EC54" s="85"/>
      <c r="ED54" s="85"/>
      <c r="EE54" s="85"/>
      <c r="EF54" s="85"/>
      <c r="EG54" s="85"/>
      <c r="EH54" s="85"/>
      <c r="EI54" s="85"/>
      <c r="EJ54" s="85"/>
      <c r="EK54" s="85"/>
      <c r="EL54" s="85"/>
      <c r="EM54" s="85"/>
      <c r="EN54" s="85"/>
      <c r="EO54" s="85"/>
      <c r="EP54" s="85"/>
      <c r="EQ54" s="85"/>
      <c r="ER54" s="85"/>
      <c r="ES54" s="85"/>
      <c r="ET54" s="85"/>
      <c r="EU54" s="85"/>
      <c r="EV54" s="85"/>
      <c r="EW54" s="85"/>
      <c r="EX54" s="85"/>
      <c r="EY54" s="85"/>
      <c r="EZ54" s="85"/>
      <c r="FA54" s="85"/>
      <c r="FB54" s="85"/>
      <c r="FC54" s="85"/>
      <c r="FD54" s="85"/>
      <c r="FE54" s="85"/>
      <c r="FF54" s="85"/>
      <c r="FG54" s="85"/>
      <c r="FH54" s="85"/>
      <c r="FI54" s="85"/>
      <c r="FJ54" s="85"/>
      <c r="FK54" s="85"/>
      <c r="FL54" s="85"/>
      <c r="FM54" s="85"/>
      <c r="FN54" s="85"/>
      <c r="FO54" s="85"/>
      <c r="FP54" s="85"/>
      <c r="FQ54" s="85"/>
      <c r="FR54" s="85"/>
      <c r="FS54" s="85"/>
      <c r="FT54" s="85"/>
      <c r="FU54" s="85"/>
      <c r="FV54" s="85"/>
      <c r="FW54" s="85"/>
      <c r="FX54" s="85"/>
      <c r="FY54" s="85"/>
      <c r="FZ54" s="85"/>
      <c r="GA54" s="85"/>
      <c r="GB54" s="85"/>
      <c r="GC54" s="85"/>
      <c r="GD54" s="85"/>
      <c r="GE54" s="85"/>
      <c r="GF54" s="85"/>
      <c r="GG54" s="85"/>
      <c r="GH54" s="85"/>
      <c r="GI54" s="85"/>
      <c r="GJ54" s="85"/>
      <c r="GK54" s="85"/>
      <c r="GL54" s="85"/>
      <c r="GM54" s="85"/>
      <c r="GN54" s="85"/>
      <c r="GO54" s="85"/>
      <c r="GP54" s="85"/>
      <c r="GQ54" s="85"/>
      <c r="GR54" s="85"/>
      <c r="GS54" s="85"/>
      <c r="GT54" s="85"/>
      <c r="GU54" s="85" t="n">
        <v>96.6</v>
      </c>
      <c r="GV54" s="85" t="n">
        <v>35.1</v>
      </c>
      <c r="GW54" s="85" t="n">
        <v>20.7</v>
      </c>
      <c r="GX54" s="85" t="n">
        <v>15.4</v>
      </c>
      <c r="GY54" s="85" t="n">
        <v>9.6</v>
      </c>
      <c r="GZ54" s="85" t="n">
        <v>13.5</v>
      </c>
      <c r="HA54" s="85" t="n">
        <v>23.2</v>
      </c>
      <c r="HB54" s="85" t="n">
        <v>19.3</v>
      </c>
      <c r="HC54" t="n">
        <v>14.4</v>
      </c>
      <c r="HD54" t="n">
        <v>5.9</v>
      </c>
      <c r="HE54" t="n">
        <v>3.6</v>
      </c>
      <c r="HF54"/>
      <c r="HG54"/>
      <c r="HH54"/>
      <c r="HI54"/>
      <c r="HJ54"/>
      <c r="HK54"/>
    </row>
    <row r="55">
      <c r="A55" s="85" t="s">
        <v>2563</v>
      </c>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Y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c r="DL55" s="85"/>
      <c r="DM55" s="85"/>
      <c r="DN55" s="85"/>
      <c r="DO55" s="85"/>
      <c r="DP55" s="85"/>
      <c r="DQ55" s="85"/>
      <c r="DR55" s="85"/>
      <c r="DS55" s="85"/>
      <c r="DT55" s="85"/>
      <c r="DU55" s="85"/>
      <c r="DV55" s="85"/>
      <c r="DW55" s="85"/>
      <c r="DX55" s="85"/>
      <c r="DY55" s="85"/>
      <c r="DZ55" s="85"/>
      <c r="EA55" s="85"/>
      <c r="EB55" s="85"/>
      <c r="EC55" s="85"/>
      <c r="ED55" s="85"/>
      <c r="EE55" s="85"/>
      <c r="EF55" s="85"/>
      <c r="EG55" s="85"/>
      <c r="EH55" s="85"/>
      <c r="EI55" s="85"/>
      <c r="EJ55" s="85"/>
      <c r="EK55" s="85"/>
      <c r="EL55" s="85"/>
      <c r="EM55" s="85"/>
      <c r="EN55" s="85"/>
      <c r="EO55" s="85"/>
      <c r="EP55" s="85"/>
      <c r="EQ55" s="85"/>
      <c r="ER55" s="85"/>
      <c r="ES55" s="85"/>
      <c r="ET55" s="85"/>
      <c r="EU55" s="85"/>
      <c r="EV55" s="85"/>
      <c r="EW55" s="85"/>
      <c r="EX55" s="85"/>
      <c r="EY55" s="85"/>
      <c r="EZ55" s="85"/>
      <c r="FA55" s="85"/>
      <c r="FB55" s="85"/>
      <c r="FC55" s="85"/>
      <c r="FD55" s="85"/>
      <c r="FE55" s="85"/>
      <c r="FF55" s="85"/>
      <c r="FG55" s="85"/>
      <c r="FH55" s="85"/>
      <c r="FI55" s="85"/>
      <c r="FJ55" s="85"/>
      <c r="FK55" s="85"/>
      <c r="FL55" s="85"/>
      <c r="FM55" s="85"/>
      <c r="FN55" s="85"/>
      <c r="FO55" s="85"/>
      <c r="FP55" s="85"/>
      <c r="FQ55" s="85"/>
      <c r="FR55" s="85"/>
      <c r="FS55" s="85"/>
      <c r="FT55" s="85"/>
      <c r="FU55" s="85"/>
      <c r="FV55" s="85"/>
      <c r="FW55" s="85"/>
      <c r="FX55" s="85"/>
      <c r="FY55" s="85"/>
      <c r="FZ55" s="85"/>
      <c r="GA55" s="85"/>
      <c r="GB55" s="85"/>
      <c r="GC55" s="85"/>
      <c r="GD55" s="85"/>
      <c r="GE55" s="85"/>
      <c r="GF55" s="85"/>
      <c r="GG55" s="85"/>
      <c r="GH55" s="85"/>
      <c r="GI55" s="85"/>
      <c r="GJ55" s="85"/>
      <c r="GK55" s="85"/>
      <c r="GL55" s="85"/>
      <c r="GM55" s="85"/>
      <c r="GN55" s="85"/>
      <c r="GO55" s="85"/>
      <c r="GP55" s="85"/>
      <c r="GQ55" s="85"/>
      <c r="GR55" s="85"/>
      <c r="GS55" s="85"/>
      <c r="GT55" s="85"/>
      <c r="GU55" s="85" t="n">
        <v>140</v>
      </c>
      <c r="GV55" s="85" t="n">
        <v>140</v>
      </c>
      <c r="GW55" s="85" t="n">
        <v>140</v>
      </c>
      <c r="GX55" s="85" t="n">
        <v>4.8</v>
      </c>
      <c r="GY55" s="85" t="n">
        <v>4.4</v>
      </c>
      <c r="GZ55" s="85" t="n">
        <v>5.3</v>
      </c>
      <c r="HA55" s="85" t="n">
        <v>4.7</v>
      </c>
      <c r="HB55" s="85" t="n">
        <v>0</v>
      </c>
      <c r="HC55" t="n">
        <v>0</v>
      </c>
      <c r="HD55" t="n">
        <v>0</v>
      </c>
      <c r="HE55" t="n">
        <v>0</v>
      </c>
      <c r="HF55"/>
      <c r="HG55"/>
      <c r="HH55"/>
      <c r="HI55"/>
      <c r="HJ55"/>
      <c r="HK55"/>
    </row>
    <row r="56">
      <c r="A56" s="85" t="s">
        <v>2564</v>
      </c>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Y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c r="DL56" s="85"/>
      <c r="DM56" s="85"/>
      <c r="DN56" s="85"/>
      <c r="DO56" s="85"/>
      <c r="DP56" s="85"/>
      <c r="DQ56" s="85"/>
      <c r="DR56" s="85"/>
      <c r="DS56" s="85"/>
      <c r="DT56" s="85"/>
      <c r="DU56" s="85"/>
      <c r="DV56" s="85"/>
      <c r="DW56" s="85"/>
      <c r="DX56" s="85"/>
      <c r="DY56" s="85"/>
      <c r="DZ56" s="85"/>
      <c r="EA56" s="85"/>
      <c r="EB56" s="85"/>
      <c r="EC56" s="85"/>
      <c r="ED56" s="85"/>
      <c r="EE56" s="85"/>
      <c r="EF56" s="85"/>
      <c r="EG56" s="85"/>
      <c r="EH56" s="85"/>
      <c r="EI56" s="85"/>
      <c r="EJ56" s="85"/>
      <c r="EK56" s="85"/>
      <c r="EL56" s="85"/>
      <c r="EM56" s="85"/>
      <c r="EN56" s="85"/>
      <c r="EO56" s="85"/>
      <c r="EP56" s="85"/>
      <c r="EQ56" s="85"/>
      <c r="ER56" s="85"/>
      <c r="ES56" s="85"/>
      <c r="ET56" s="85"/>
      <c r="EU56" s="85"/>
      <c r="EV56" s="85"/>
      <c r="EW56" s="85"/>
      <c r="EX56" s="85"/>
      <c r="EY56" s="85"/>
      <c r="EZ56" s="85"/>
      <c r="FA56" s="85"/>
      <c r="FB56" s="85"/>
      <c r="FC56" s="85"/>
      <c r="FD56" s="85"/>
      <c r="FE56" s="85"/>
      <c r="FF56" s="85"/>
      <c r="FG56" s="85"/>
      <c r="FH56" s="85"/>
      <c r="FI56" s="85"/>
      <c r="FJ56" s="85"/>
      <c r="FK56" s="85"/>
      <c r="FL56" s="85"/>
      <c r="FM56" s="85"/>
      <c r="FN56" s="85"/>
      <c r="FO56" s="85"/>
      <c r="FP56" s="85"/>
      <c r="FQ56" s="85"/>
      <c r="FR56" s="85"/>
      <c r="FS56" s="85"/>
      <c r="FT56" s="85"/>
      <c r="FU56" s="85"/>
      <c r="FV56" s="85"/>
      <c r="FW56" s="85"/>
      <c r="FX56" s="85"/>
      <c r="FY56" s="85"/>
      <c r="FZ56" s="85"/>
      <c r="GA56" s="85"/>
      <c r="GB56" s="85"/>
      <c r="GC56" s="85"/>
      <c r="GD56" s="85"/>
      <c r="GE56" s="85"/>
      <c r="GF56" s="85"/>
      <c r="GG56" s="85"/>
      <c r="GH56" s="85"/>
      <c r="GI56" s="85"/>
      <c r="GJ56" s="85"/>
      <c r="GK56" s="85"/>
      <c r="GL56" s="85"/>
      <c r="GM56" s="85"/>
      <c r="GN56" s="85"/>
      <c r="GO56" s="85"/>
      <c r="GP56" s="85"/>
      <c r="GQ56" s="85"/>
      <c r="GR56" s="85"/>
      <c r="GS56" s="85"/>
      <c r="GT56" s="85"/>
      <c r="GU56" s="85" t="n">
        <v>597.9</v>
      </c>
      <c r="GV56" s="85" t="n">
        <v>0</v>
      </c>
      <c r="GW56" s="85" t="n">
        <v>0</v>
      </c>
      <c r="GX56" s="85" t="n">
        <v>0</v>
      </c>
      <c r="GY56" s="85" t="n">
        <v>785.9</v>
      </c>
      <c r="GZ56" s="85" t="n">
        <v>187.9</v>
      </c>
      <c r="HA56" s="85" t="n">
        <v>9.2</v>
      </c>
      <c r="HB56" s="85" t="n">
        <v>0.6</v>
      </c>
      <c r="HC56" t="n">
        <v>0</v>
      </c>
      <c r="HD56" t="n">
        <v>0</v>
      </c>
      <c r="HE56" t="n">
        <v>0</v>
      </c>
      <c r="HF56"/>
      <c r="HG56"/>
      <c r="HH56"/>
      <c r="HI56"/>
      <c r="HJ56"/>
      <c r="HK56"/>
    </row>
    <row r="57">
      <c r="A57" s="85" t="s">
        <v>2565</v>
      </c>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Y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c r="DL57" s="85"/>
      <c r="DM57" s="85"/>
      <c r="DN57" s="85"/>
      <c r="DO57" s="85"/>
      <c r="DP57" s="85"/>
      <c r="DQ57" s="85"/>
      <c r="DR57" s="85"/>
      <c r="DS57" s="85"/>
      <c r="DT57" s="85"/>
      <c r="DU57" s="85"/>
      <c r="DV57" s="85"/>
      <c r="DW57" s="85"/>
      <c r="DX57" s="85"/>
      <c r="DY57" s="85"/>
      <c r="DZ57" s="85"/>
      <c r="EA57" s="85"/>
      <c r="EB57" s="85"/>
      <c r="EC57" s="85"/>
      <c r="ED57" s="85"/>
      <c r="EE57" s="85"/>
      <c r="EF57" s="85"/>
      <c r="EG57" s="85"/>
      <c r="EH57" s="85"/>
      <c r="EI57" s="85"/>
      <c r="EJ57" s="85"/>
      <c r="EK57" s="85"/>
      <c r="EL57" s="85"/>
      <c r="EM57" s="85"/>
      <c r="EN57" s="85"/>
      <c r="EO57" s="85"/>
      <c r="EP57" s="85"/>
      <c r="EQ57" s="85"/>
      <c r="ER57" s="85"/>
      <c r="ES57" s="85"/>
      <c r="ET57" s="85"/>
      <c r="EU57" s="85"/>
      <c r="EV57" s="85"/>
      <c r="EW57" s="85"/>
      <c r="EX57" s="85"/>
      <c r="EY57" s="85"/>
      <c r="EZ57" s="85"/>
      <c r="FA57" s="85"/>
      <c r="FB57" s="85"/>
      <c r="FC57" s="85"/>
      <c r="FD57" s="85"/>
      <c r="FE57" s="85"/>
      <c r="FF57" s="85"/>
      <c r="FG57" s="85"/>
      <c r="FH57" s="85"/>
      <c r="FI57" s="85"/>
      <c r="FJ57" s="85"/>
      <c r="FK57" s="85"/>
      <c r="FL57" s="85"/>
      <c r="FM57" s="85"/>
      <c r="FN57" s="85"/>
      <c r="FO57" s="85"/>
      <c r="FP57" s="85"/>
      <c r="FQ57" s="85"/>
      <c r="FR57" s="85"/>
      <c r="FS57" s="85"/>
      <c r="FT57" s="85"/>
      <c r="FU57" s="85"/>
      <c r="FV57" s="85"/>
      <c r="FW57" s="85"/>
      <c r="FX57" s="85"/>
      <c r="FY57" s="85"/>
      <c r="FZ57" s="85"/>
      <c r="GA57" s="85"/>
      <c r="GB57" s="85"/>
      <c r="GC57" s="85"/>
      <c r="GD57" s="85"/>
      <c r="GE57" s="85"/>
      <c r="GF57" s="85"/>
      <c r="GG57" s="85"/>
      <c r="GH57" s="85"/>
      <c r="GI57" s="85"/>
      <c r="GJ57" s="85"/>
      <c r="GK57" s="85"/>
      <c r="GL57" s="85"/>
      <c r="GM57" s="85"/>
      <c r="GN57" s="85"/>
      <c r="GO57" s="85"/>
      <c r="GP57" s="85"/>
      <c r="GQ57" s="85"/>
      <c r="GR57" s="85"/>
      <c r="GS57" s="85"/>
      <c r="GT57" s="85"/>
      <c r="GU57" s="85" t="n">
        <v>28.4</v>
      </c>
      <c r="GV57" s="85" t="n">
        <v>15.8</v>
      </c>
      <c r="GW57" s="85" t="n">
        <v>15.2</v>
      </c>
      <c r="GX57" s="85" t="n">
        <v>28.9</v>
      </c>
      <c r="GY57" s="85" t="n">
        <v>67.6</v>
      </c>
      <c r="GZ57" s="85" t="n">
        <v>80.7</v>
      </c>
      <c r="HA57" s="85" t="n">
        <v>87.2</v>
      </c>
      <c r="HB57" s="85" t="n">
        <v>72.4</v>
      </c>
      <c r="HC57" t="n">
        <v>85.9</v>
      </c>
      <c r="HD57" t="n">
        <v>68.3</v>
      </c>
      <c r="HE57" t="n">
        <v>64</v>
      </c>
      <c r="HF57"/>
      <c r="HG57"/>
      <c r="HH57"/>
      <c r="HI57"/>
      <c r="HJ57"/>
      <c r="HK57"/>
    </row>
    <row r="58">
      <c r="A58" s="85" t="s">
        <v>2566</v>
      </c>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Y58" s="85"/>
      <c r="BZ58" s="85"/>
      <c r="CA58" s="85"/>
      <c r="CB58" s="85"/>
      <c r="CC58" s="85"/>
      <c r="CD58" s="85"/>
      <c r="CE58" s="85"/>
      <c r="CF58" s="85"/>
      <c r="CG58" s="85"/>
      <c r="CH58" s="85"/>
      <c r="CI58" s="85"/>
      <c r="CJ58" s="85"/>
      <c r="CK58" s="85"/>
      <c r="CL58" s="85"/>
      <c r="CM58" s="85"/>
      <c r="CN58" s="85"/>
      <c r="CO58" s="85"/>
      <c r="CP58" s="85"/>
      <c r="CQ58" s="85"/>
      <c r="CR58" s="85"/>
      <c r="CS58" s="85"/>
      <c r="CT58" s="85"/>
      <c r="CU58" s="85"/>
      <c r="CV58" s="85"/>
      <c r="CW58" s="85"/>
      <c r="CX58" s="85"/>
      <c r="CY58" s="85"/>
      <c r="CZ58" s="85"/>
      <c r="DA58" s="85"/>
      <c r="DB58" s="85"/>
      <c r="DC58" s="85"/>
      <c r="DD58" s="85"/>
      <c r="DE58" s="85"/>
      <c r="DF58" s="85"/>
      <c r="DG58" s="85"/>
      <c r="DH58" s="85"/>
      <c r="DI58" s="85"/>
      <c r="DJ58" s="85"/>
      <c r="DK58" s="85"/>
      <c r="DL58" s="85"/>
      <c r="DM58" s="85"/>
      <c r="DN58" s="85"/>
      <c r="DO58" s="85"/>
      <c r="DP58" s="85"/>
      <c r="DQ58" s="85"/>
      <c r="DR58" s="85"/>
      <c r="DS58" s="85"/>
      <c r="DT58" s="85"/>
      <c r="DU58" s="85"/>
      <c r="DV58" s="85"/>
      <c r="DW58" s="85"/>
      <c r="DX58" s="85"/>
      <c r="DY58" s="85"/>
      <c r="DZ58" s="85"/>
      <c r="EA58" s="85"/>
      <c r="EB58" s="85"/>
      <c r="EC58" s="85"/>
      <c r="ED58" s="85"/>
      <c r="EE58" s="85"/>
      <c r="EF58" s="85"/>
      <c r="EG58" s="85"/>
      <c r="EH58" s="85"/>
      <c r="EI58" s="85"/>
      <c r="EJ58" s="85"/>
      <c r="EK58" s="85"/>
      <c r="EL58" s="85"/>
      <c r="EM58" s="85"/>
      <c r="EN58" s="85"/>
      <c r="EO58" s="85"/>
      <c r="EP58" s="85"/>
      <c r="EQ58" s="85"/>
      <c r="ER58" s="85"/>
      <c r="ES58" s="85"/>
      <c r="ET58" s="85"/>
      <c r="EU58" s="85"/>
      <c r="EV58" s="85"/>
      <c r="EW58" s="85"/>
      <c r="EX58" s="85"/>
      <c r="EY58" s="85"/>
      <c r="EZ58" s="85"/>
      <c r="FA58" s="85"/>
      <c r="FB58" s="85"/>
      <c r="FC58" s="85"/>
      <c r="FD58" s="85"/>
      <c r="FE58" s="85"/>
      <c r="FF58" s="85"/>
      <c r="FG58" s="85"/>
      <c r="FH58" s="85"/>
      <c r="FI58" s="85"/>
      <c r="FJ58" s="85"/>
      <c r="FK58" s="85"/>
      <c r="FL58" s="85"/>
      <c r="FM58" s="85"/>
      <c r="FN58" s="85"/>
      <c r="FO58" s="85"/>
      <c r="FP58" s="85"/>
      <c r="FQ58" s="85"/>
      <c r="FR58" s="85"/>
      <c r="FS58" s="85"/>
      <c r="FT58" s="85"/>
      <c r="FU58" s="85"/>
      <c r="FV58" s="85"/>
      <c r="FW58" s="85"/>
      <c r="FX58" s="85"/>
      <c r="FY58" s="85"/>
      <c r="FZ58" s="85"/>
      <c r="GA58" s="85"/>
      <c r="GB58" s="85"/>
      <c r="GC58" s="85"/>
      <c r="GD58" s="85"/>
      <c r="GE58" s="85"/>
      <c r="GF58" s="85"/>
      <c r="GG58" s="85"/>
      <c r="GH58" s="85"/>
      <c r="GI58" s="85"/>
      <c r="GJ58" s="85"/>
      <c r="GK58" s="85"/>
      <c r="GL58" s="85"/>
      <c r="GM58" s="85"/>
      <c r="GN58" s="85"/>
      <c r="GO58" s="85"/>
      <c r="GP58" s="85"/>
      <c r="GQ58" s="85"/>
      <c r="GR58" s="85"/>
      <c r="GS58" s="85"/>
      <c r="GT58" s="85"/>
      <c r="GU58" s="85" t="n">
        <v>64.4</v>
      </c>
      <c r="GV58" s="85" t="n">
        <v>23.4</v>
      </c>
      <c r="GW58" s="85" t="n">
        <v>13.8</v>
      </c>
      <c r="GX58" s="85" t="n">
        <v>12</v>
      </c>
      <c r="GY58" s="85" t="n">
        <v>7.5</v>
      </c>
      <c r="GZ58" s="85" t="n">
        <v>10.5</v>
      </c>
      <c r="HA58" s="85" t="n">
        <v>18</v>
      </c>
      <c r="HB58" s="85" t="n">
        <v>15</v>
      </c>
      <c r="HC58" t="n">
        <v>11.2</v>
      </c>
      <c r="HD58" t="n">
        <v>7.5</v>
      </c>
      <c r="HE58" t="n">
        <v>6.2</v>
      </c>
      <c r="HF58"/>
      <c r="HG58"/>
      <c r="HH58"/>
      <c r="HI58"/>
      <c r="HJ58"/>
      <c r="HK58"/>
    </row>
    <row r="59">
      <c r="A59" s="85" t="s">
        <v>2567</v>
      </c>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Y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c r="DL59" s="85"/>
      <c r="DM59" s="85"/>
      <c r="DN59" s="85"/>
      <c r="DO59" s="85"/>
      <c r="DP59" s="85"/>
      <c r="DQ59" s="85"/>
      <c r="DR59" s="85"/>
      <c r="DS59" s="85"/>
      <c r="DT59" s="85"/>
      <c r="DU59" s="85"/>
      <c r="DV59" s="85"/>
      <c r="DW59" s="85"/>
      <c r="DX59" s="85"/>
      <c r="DY59" s="85"/>
      <c r="DZ59" s="85"/>
      <c r="EA59" s="85"/>
      <c r="EB59" s="85"/>
      <c r="EC59" s="85"/>
      <c r="ED59" s="85"/>
      <c r="EE59" s="85"/>
      <c r="EF59" s="85"/>
      <c r="EG59" s="85"/>
      <c r="EH59" s="85"/>
      <c r="EI59" s="85"/>
      <c r="EJ59" s="85"/>
      <c r="EK59" s="85"/>
      <c r="EL59" s="85"/>
      <c r="EM59" s="85"/>
      <c r="EN59" s="85"/>
      <c r="EO59" s="85"/>
      <c r="EP59" s="85"/>
      <c r="EQ59" s="85"/>
      <c r="ER59" s="85"/>
      <c r="ES59" s="85"/>
      <c r="ET59" s="85"/>
      <c r="EU59" s="85"/>
      <c r="EV59" s="85"/>
      <c r="EW59" s="85"/>
      <c r="EX59" s="85"/>
      <c r="EY59" s="85"/>
      <c r="EZ59" s="85"/>
      <c r="FA59" s="85"/>
      <c r="FB59" s="85"/>
      <c r="FC59" s="85"/>
      <c r="FD59" s="85"/>
      <c r="FE59" s="85"/>
      <c r="FF59" s="85"/>
      <c r="FG59" s="85"/>
      <c r="FH59" s="85"/>
      <c r="FI59" s="85"/>
      <c r="FJ59" s="85"/>
      <c r="FK59" s="85"/>
      <c r="FL59" s="85"/>
      <c r="FM59" s="85"/>
      <c r="FN59" s="85"/>
      <c r="FO59" s="85"/>
      <c r="FP59" s="85"/>
      <c r="FQ59" s="85"/>
      <c r="FR59" s="85"/>
      <c r="FS59" s="85"/>
      <c r="FT59" s="85"/>
      <c r="FU59" s="85"/>
      <c r="FV59" s="85"/>
      <c r="FW59" s="85"/>
      <c r="FX59" s="85"/>
      <c r="FY59" s="85"/>
      <c r="FZ59" s="85"/>
      <c r="GA59" s="85"/>
      <c r="GB59" s="85"/>
      <c r="GC59" s="85"/>
      <c r="GD59" s="85"/>
      <c r="GE59" s="85"/>
      <c r="GF59" s="85"/>
      <c r="GG59" s="85"/>
      <c r="GH59" s="85"/>
      <c r="GI59" s="85"/>
      <c r="GJ59" s="85"/>
      <c r="GK59" s="85"/>
      <c r="GL59" s="85"/>
      <c r="GM59" s="85"/>
      <c r="GN59" s="85"/>
      <c r="GO59" s="85"/>
      <c r="GP59" s="85"/>
      <c r="GQ59" s="85"/>
      <c r="GR59" s="85"/>
      <c r="GS59" s="85"/>
      <c r="GT59" s="85"/>
      <c r="GU59" s="85" t="n">
        <v>6.3</v>
      </c>
      <c r="GV59" s="85" t="n">
        <v>26.7</v>
      </c>
      <c r="GW59" s="85" t="n">
        <v>82.1</v>
      </c>
      <c r="GX59" s="85" t="n">
        <v>94.7</v>
      </c>
      <c r="GY59" s="85" t="n">
        <v>92.1</v>
      </c>
      <c r="GZ59" s="85" t="n">
        <v>51.6</v>
      </c>
      <c r="HA59" s="85" t="n">
        <v>2.8</v>
      </c>
      <c r="HB59" s="85" t="n">
        <v>0.8</v>
      </c>
      <c r="HC59" t="n">
        <v>0.5</v>
      </c>
      <c r="HD59" t="n">
        <v>0.3</v>
      </c>
      <c r="HE59" t="n">
        <v>0.2</v>
      </c>
      <c r="HF59"/>
      <c r="HG59"/>
      <c r="HH59"/>
      <c r="HI59"/>
      <c r="HJ59"/>
      <c r="HK59"/>
    </row>
    <row r="60">
      <c r="A60" s="85" t="s">
        <v>2568</v>
      </c>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Y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c r="DL60" s="85"/>
      <c r="DM60" s="85"/>
      <c r="DN60" s="85"/>
      <c r="DO60" s="85"/>
      <c r="DP60" s="85"/>
      <c r="DQ60" s="85"/>
      <c r="DR60" s="85"/>
      <c r="DS60" s="85"/>
      <c r="DT60" s="85"/>
      <c r="DU60" s="85"/>
      <c r="DV60" s="85"/>
      <c r="DW60" s="85"/>
      <c r="DX60" s="85"/>
      <c r="DY60" s="85"/>
      <c r="DZ60" s="85"/>
      <c r="EA60" s="85"/>
      <c r="EB60" s="85"/>
      <c r="EC60" s="85"/>
      <c r="ED60" s="85"/>
      <c r="EE60" s="85"/>
      <c r="EF60" s="85"/>
      <c r="EG60" s="85"/>
      <c r="EH60" s="85"/>
      <c r="EI60" s="85"/>
      <c r="EJ60" s="85"/>
      <c r="EK60" s="85"/>
      <c r="EL60" s="85"/>
      <c r="EM60" s="85"/>
      <c r="EN60" s="85"/>
      <c r="EO60" s="85"/>
      <c r="EP60" s="85"/>
      <c r="EQ60" s="85"/>
      <c r="ER60" s="85"/>
      <c r="ES60" s="85"/>
      <c r="ET60" s="85"/>
      <c r="EU60" s="85"/>
      <c r="EV60" s="85"/>
      <c r="EW60" s="85"/>
      <c r="EX60" s="85"/>
      <c r="EY60" s="85"/>
      <c r="EZ60" s="85"/>
      <c r="FA60" s="85"/>
      <c r="FB60" s="85"/>
      <c r="FC60" s="85"/>
      <c r="FD60" s="85"/>
      <c r="FE60" s="85"/>
      <c r="FF60" s="85"/>
      <c r="FG60" s="85"/>
      <c r="FH60" s="85"/>
      <c r="FI60" s="85"/>
      <c r="FJ60" s="85"/>
      <c r="FK60" s="85"/>
      <c r="FL60" s="85"/>
      <c r="FM60" s="85"/>
      <c r="FN60" s="85"/>
      <c r="FO60" s="85"/>
      <c r="FP60" s="85"/>
      <c r="FQ60" s="85"/>
      <c r="FR60" s="85"/>
      <c r="FS60" s="85"/>
      <c r="FT60" s="85"/>
      <c r="FU60" s="85"/>
      <c r="FV60" s="85"/>
      <c r="FW60" s="85"/>
      <c r="FX60" s="85"/>
      <c r="FY60" s="85"/>
      <c r="FZ60" s="85"/>
      <c r="GA60" s="85"/>
      <c r="GB60" s="85"/>
      <c r="GC60" s="85"/>
      <c r="GD60" s="85"/>
      <c r="GE60" s="85"/>
      <c r="GF60" s="85"/>
      <c r="GG60" s="85"/>
      <c r="GH60" s="85"/>
      <c r="GI60" s="85"/>
      <c r="GJ60" s="85"/>
      <c r="GK60" s="85"/>
      <c r="GL60" s="85"/>
      <c r="GM60" s="85"/>
      <c r="GN60" s="85"/>
      <c r="GO60" s="85"/>
      <c r="GP60" s="85"/>
      <c r="GQ60" s="85"/>
      <c r="GR60" s="85"/>
      <c r="GS60" s="85"/>
      <c r="GT60" s="85"/>
      <c r="GU60" s="85" t="n">
        <v>74.4</v>
      </c>
      <c r="GV60" s="85" t="n">
        <v>138.3</v>
      </c>
      <c r="GW60" s="85" t="n">
        <v>106.8</v>
      </c>
      <c r="GX60" s="85" t="n">
        <v>89.2</v>
      </c>
      <c r="GY60" s="85" t="n">
        <v>72.3</v>
      </c>
      <c r="GZ60" s="85" t="n">
        <v>43.5</v>
      </c>
      <c r="HA60" s="85" t="n">
        <v>2.1</v>
      </c>
      <c r="HB60" s="85" t="n">
        <v>0.8</v>
      </c>
      <c r="HC60" t="n">
        <v>0.4</v>
      </c>
      <c r="HD60" t="n">
        <v>0.2</v>
      </c>
      <c r="HE60" t="n">
        <v>0.1</v>
      </c>
      <c r="HF60"/>
      <c r="HG60"/>
      <c r="HH60"/>
      <c r="HI60"/>
      <c r="HJ60"/>
      <c r="HK60"/>
    </row>
    <row r="61">
      <c r="A61" s="85" t="s">
        <v>2569</v>
      </c>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Y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c r="DL61" s="85"/>
      <c r="DM61" s="85"/>
      <c r="DN61" s="85"/>
      <c r="DO61" s="85"/>
      <c r="DP61" s="85"/>
      <c r="DQ61" s="85"/>
      <c r="DR61" s="85"/>
      <c r="DS61" s="85"/>
      <c r="DT61" s="85"/>
      <c r="DU61" s="85"/>
      <c r="DV61" s="85"/>
      <c r="DW61" s="85"/>
      <c r="DX61" s="85"/>
      <c r="DY61" s="85"/>
      <c r="DZ61" s="85"/>
      <c r="EA61" s="85"/>
      <c r="EB61" s="85"/>
      <c r="EC61" s="85"/>
      <c r="ED61" s="85"/>
      <c r="EE61" s="85"/>
      <c r="EF61" s="85"/>
      <c r="EG61" s="85"/>
      <c r="EH61" s="85"/>
      <c r="EI61" s="85"/>
      <c r="EJ61" s="85"/>
      <c r="EK61" s="85"/>
      <c r="EL61" s="85"/>
      <c r="EM61" s="85"/>
      <c r="EN61" s="85"/>
      <c r="EO61" s="85"/>
      <c r="EP61" s="85"/>
      <c r="EQ61" s="85"/>
      <c r="ER61" s="85"/>
      <c r="ES61" s="85"/>
      <c r="ET61" s="85"/>
      <c r="EU61" s="85"/>
      <c r="EV61" s="85"/>
      <c r="EW61" s="85"/>
      <c r="EX61" s="85"/>
      <c r="EY61" s="85"/>
      <c r="EZ61" s="85"/>
      <c r="FA61" s="85"/>
      <c r="FB61" s="85"/>
      <c r="FC61" s="85"/>
      <c r="FD61" s="85"/>
      <c r="FE61" s="85"/>
      <c r="FF61" s="85"/>
      <c r="FG61" s="85"/>
      <c r="FH61" s="85"/>
      <c r="FI61" s="85"/>
      <c r="FJ61" s="85"/>
      <c r="FK61" s="85"/>
      <c r="FL61" s="85"/>
      <c r="FM61" s="85"/>
      <c r="FN61" s="85"/>
      <c r="FO61" s="85"/>
      <c r="FP61" s="85"/>
      <c r="FQ61" s="85"/>
      <c r="FR61" s="85"/>
      <c r="FS61" s="85"/>
      <c r="FT61" s="85"/>
      <c r="FU61" s="85"/>
      <c r="FV61" s="85"/>
      <c r="FW61" s="85"/>
      <c r="FX61" s="85"/>
      <c r="FY61" s="85"/>
      <c r="FZ61" s="85"/>
      <c r="GA61" s="85"/>
      <c r="GB61" s="85"/>
      <c r="GC61" s="85"/>
      <c r="GD61" s="85"/>
      <c r="GE61" s="85"/>
      <c r="GF61" s="85"/>
      <c r="GG61" s="85"/>
      <c r="GH61" s="85"/>
      <c r="GI61" s="85"/>
      <c r="GJ61" s="85"/>
      <c r="GK61" s="85"/>
      <c r="GL61" s="85"/>
      <c r="GM61" s="85"/>
      <c r="GN61" s="85"/>
      <c r="GO61" s="85"/>
      <c r="GP61" s="85"/>
      <c r="GQ61" s="85"/>
      <c r="GR61" s="85"/>
      <c r="GS61" s="85"/>
      <c r="GT61" s="85"/>
      <c r="GU61" s="85" t="n">
        <v>698.9</v>
      </c>
      <c r="GV61" s="85" t="n">
        <v>413.9</v>
      </c>
      <c r="GW61" s="85" t="n">
        <v>14.7</v>
      </c>
      <c r="GX61" s="85" t="n">
        <v>288.2</v>
      </c>
      <c r="GY61" s="85" t="n">
        <v>233.3</v>
      </c>
      <c r="GZ61" s="85" t="n">
        <v>110.5</v>
      </c>
      <c r="HA61" s="85" t="n">
        <v>0</v>
      </c>
      <c r="HB61" s="85" t="n">
        <v>0</v>
      </c>
      <c r="HC61" t="n">
        <v>0</v>
      </c>
      <c r="HD61" t="n">
        <v>0</v>
      </c>
      <c r="HE61" t="n">
        <v>0</v>
      </c>
      <c r="HF61"/>
      <c r="HG61"/>
      <c r="HH61"/>
      <c r="HI61"/>
      <c r="HJ61"/>
      <c r="HK61"/>
    </row>
    <row r="62">
      <c r="A62" s="85" t="s">
        <v>2570</v>
      </c>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Y62" s="85"/>
      <c r="BZ62" s="85"/>
      <c r="CA62" s="85"/>
      <c r="CB62" s="85"/>
      <c r="CC62" s="85"/>
      <c r="CD62" s="85"/>
      <c r="CE62" s="85"/>
      <c r="CF62" s="85"/>
      <c r="CG62" s="85"/>
      <c r="CH62" s="85"/>
      <c r="CI62" s="85"/>
      <c r="CJ62" s="85"/>
      <c r="CK62" s="85"/>
      <c r="CL62" s="85"/>
      <c r="CM62" s="85"/>
      <c r="CN62" s="85"/>
      <c r="CO62" s="85"/>
      <c r="CP62" s="85"/>
      <c r="CQ62" s="85"/>
      <c r="CR62" s="85"/>
      <c r="CS62" s="85"/>
      <c r="CT62" s="85"/>
      <c r="CU62" s="85"/>
      <c r="CV62" s="85"/>
      <c r="CW62" s="85"/>
      <c r="CX62" s="85"/>
      <c r="CY62" s="85"/>
      <c r="CZ62" s="85"/>
      <c r="DA62" s="85"/>
      <c r="DB62" s="85"/>
      <c r="DC62" s="85"/>
      <c r="DD62" s="85"/>
      <c r="DE62" s="85"/>
      <c r="DF62" s="85"/>
      <c r="DG62" s="85"/>
      <c r="DH62" s="85"/>
      <c r="DI62" s="85"/>
      <c r="DJ62" s="85"/>
      <c r="DK62" s="85"/>
      <c r="DL62" s="85"/>
      <c r="DM62" s="85"/>
      <c r="DN62" s="85"/>
      <c r="DO62" s="85"/>
      <c r="DP62" s="85"/>
      <c r="DQ62" s="85"/>
      <c r="DR62" s="85"/>
      <c r="DS62" s="85"/>
      <c r="DT62" s="85"/>
      <c r="DU62" s="85"/>
      <c r="DV62" s="85"/>
      <c r="DW62" s="85"/>
      <c r="DX62" s="85"/>
      <c r="DY62" s="85"/>
      <c r="DZ62" s="85"/>
      <c r="EA62" s="85"/>
      <c r="EB62" s="85"/>
      <c r="EC62" s="85"/>
      <c r="ED62" s="85"/>
      <c r="EE62" s="85"/>
      <c r="EF62" s="85"/>
      <c r="EG62" s="85"/>
      <c r="EH62" s="85"/>
      <c r="EI62" s="85"/>
      <c r="EJ62" s="85"/>
      <c r="EK62" s="85"/>
      <c r="EL62" s="85"/>
      <c r="EM62" s="85"/>
      <c r="EN62" s="85"/>
      <c r="EO62" s="85"/>
      <c r="EP62" s="85"/>
      <c r="EQ62" s="85"/>
      <c r="ER62" s="85"/>
      <c r="ES62" s="85"/>
      <c r="ET62" s="85"/>
      <c r="EU62" s="85"/>
      <c r="EV62" s="85"/>
      <c r="EW62" s="85"/>
      <c r="EX62" s="85"/>
      <c r="EY62" s="85"/>
      <c r="EZ62" s="85"/>
      <c r="FA62" s="85"/>
      <c r="FB62" s="85"/>
      <c r="FC62" s="85"/>
      <c r="FD62" s="85"/>
      <c r="FE62" s="85"/>
      <c r="FF62" s="85"/>
      <c r="FG62" s="85"/>
      <c r="FH62" s="85"/>
      <c r="FI62" s="85"/>
      <c r="FJ62" s="85"/>
      <c r="FK62" s="85"/>
      <c r="FL62" s="85"/>
      <c r="FM62" s="85"/>
      <c r="FN62" s="85"/>
      <c r="FO62" s="85"/>
      <c r="FP62" s="85"/>
      <c r="FQ62" s="85"/>
      <c r="FR62" s="85"/>
      <c r="FS62" s="85"/>
      <c r="FT62" s="85"/>
      <c r="FU62" s="85"/>
      <c r="FV62" s="85"/>
      <c r="FW62" s="85"/>
      <c r="FX62" s="85"/>
      <c r="FY62" s="85"/>
      <c r="FZ62" s="85"/>
      <c r="GA62" s="85"/>
      <c r="GB62" s="85"/>
      <c r="GC62" s="85"/>
      <c r="GD62" s="85"/>
      <c r="GE62" s="85"/>
      <c r="GF62" s="85"/>
      <c r="GG62" s="85"/>
      <c r="GH62" s="85"/>
      <c r="GI62" s="85"/>
      <c r="GJ62" s="85"/>
      <c r="GK62" s="85"/>
      <c r="GL62" s="85"/>
      <c r="GM62" s="85"/>
      <c r="GN62" s="85"/>
      <c r="GO62" s="85"/>
      <c r="GP62" s="85"/>
      <c r="GQ62" s="85"/>
      <c r="GR62" s="85"/>
      <c r="GS62" s="85"/>
      <c r="GT62" s="85"/>
      <c r="GU62" s="85" t="n">
        <v>779.6</v>
      </c>
      <c r="GV62" s="85" t="n">
        <v>582.4</v>
      </c>
      <c r="GW62" s="85" t="n">
        <v>216.6</v>
      </c>
      <c r="GX62" s="85" t="n">
        <v>497.6</v>
      </c>
      <c r="GY62" s="85" t="n">
        <v>401.5</v>
      </c>
      <c r="GZ62" s="85" t="n">
        <v>207.5</v>
      </c>
      <c r="HA62" s="85" t="n">
        <v>5.5</v>
      </c>
      <c r="HB62" s="85" t="n">
        <v>1.8</v>
      </c>
      <c r="HC62" t="n">
        <v>1</v>
      </c>
      <c r="HD62" t="n">
        <v>0.5</v>
      </c>
      <c r="HE62" t="n">
        <v>0.3</v>
      </c>
      <c r="HF62"/>
      <c r="HG62"/>
      <c r="HH62"/>
      <c r="HI62"/>
      <c r="HJ62"/>
      <c r="HK62"/>
    </row>
    <row r="63">
      <c r="A63" s="85" t="s">
        <v>2571</v>
      </c>
      <c r="B63" s="85"/>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Y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c r="DL63" s="85"/>
      <c r="DM63" s="85"/>
      <c r="DN63" s="85"/>
      <c r="DO63" s="85"/>
      <c r="DP63" s="85"/>
      <c r="DQ63" s="85"/>
      <c r="DR63" s="85"/>
      <c r="DS63" s="85"/>
      <c r="DT63" s="85"/>
      <c r="DU63" s="85"/>
      <c r="DV63" s="85"/>
      <c r="DW63" s="85"/>
      <c r="DX63" s="85"/>
      <c r="DY63" s="85"/>
      <c r="DZ63" s="85"/>
      <c r="EA63" s="85"/>
      <c r="EB63" s="85"/>
      <c r="EC63" s="85"/>
      <c r="ED63" s="85"/>
      <c r="EE63" s="85"/>
      <c r="EF63" s="85"/>
      <c r="EG63" s="85"/>
      <c r="EH63" s="85"/>
      <c r="EI63" s="85"/>
      <c r="EJ63" s="85"/>
      <c r="EK63" s="85"/>
      <c r="EL63" s="85"/>
      <c r="EM63" s="85"/>
      <c r="EN63" s="85"/>
      <c r="EO63" s="85"/>
      <c r="EP63" s="85"/>
      <c r="EQ63" s="85"/>
      <c r="ER63" s="85"/>
      <c r="ES63" s="85"/>
      <c r="ET63" s="85"/>
      <c r="EU63" s="85"/>
      <c r="EV63" s="85"/>
      <c r="EW63" s="85"/>
      <c r="EX63" s="85"/>
      <c r="EY63" s="85"/>
      <c r="EZ63" s="85"/>
      <c r="FA63" s="85"/>
      <c r="FB63" s="85"/>
      <c r="FC63" s="85"/>
      <c r="FD63" s="85"/>
      <c r="FE63" s="85"/>
      <c r="FF63" s="85"/>
      <c r="FG63" s="85"/>
      <c r="FH63" s="85"/>
      <c r="FI63" s="85"/>
      <c r="FJ63" s="85"/>
      <c r="FK63" s="85"/>
      <c r="FL63" s="85"/>
      <c r="FM63" s="85"/>
      <c r="FN63" s="85"/>
      <c r="FO63" s="85"/>
      <c r="FP63" s="85"/>
      <c r="FQ63" s="85"/>
      <c r="FR63" s="85"/>
      <c r="FS63" s="85"/>
      <c r="FT63" s="85"/>
      <c r="FU63" s="85"/>
      <c r="FV63" s="85"/>
      <c r="FW63" s="85"/>
      <c r="FX63" s="85"/>
      <c r="FY63" s="85"/>
      <c r="FZ63" s="85"/>
      <c r="GA63" s="85"/>
      <c r="GB63" s="85"/>
      <c r="GC63" s="85"/>
      <c r="GD63" s="85"/>
      <c r="GE63" s="85"/>
      <c r="GF63" s="85"/>
      <c r="GG63" s="85"/>
      <c r="GH63" s="85"/>
      <c r="GI63" s="85"/>
      <c r="GJ63" s="85"/>
      <c r="GK63" s="85"/>
      <c r="GL63" s="85"/>
      <c r="GM63" s="85"/>
      <c r="GN63" s="85"/>
      <c r="GO63" s="85"/>
      <c r="GP63" s="85"/>
      <c r="GQ63" s="85"/>
      <c r="GR63" s="85"/>
      <c r="GS63" s="85"/>
      <c r="GT63" s="85"/>
      <c r="GU63" s="85" t="n">
        <v>0.1</v>
      </c>
      <c r="GV63" s="85" t="n">
        <v>3.7</v>
      </c>
      <c r="GW63" s="85" t="n">
        <v>12.9</v>
      </c>
      <c r="GX63" s="85" t="n">
        <v>25.5</v>
      </c>
      <c r="GY63" s="85" t="n">
        <v>3.8</v>
      </c>
      <c r="GZ63" s="85" t="n">
        <v>1.8</v>
      </c>
      <c r="HA63" s="85" t="n">
        <v>0.6</v>
      </c>
      <c r="HB63" s="85" t="n">
        <v>0.2</v>
      </c>
      <c r="HC63" t="n">
        <v>0.1</v>
      </c>
      <c r="HD63" t="n">
        <v>0</v>
      </c>
      <c r="HE63" t="n">
        <v>0</v>
      </c>
      <c r="HF63"/>
      <c r="HG63"/>
      <c r="HH63"/>
      <c r="HI63"/>
      <c r="HJ63"/>
      <c r="HK63"/>
    </row>
    <row r="64">
      <c r="A64" s="85" t="s">
        <v>2572</v>
      </c>
      <c r="B64" s="85"/>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Y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c r="DL64" s="85"/>
      <c r="DM64" s="85"/>
      <c r="DN64" s="85"/>
      <c r="DO64" s="85"/>
      <c r="DP64" s="85"/>
      <c r="DQ64" s="85"/>
      <c r="DR64" s="85"/>
      <c r="DS64" s="85"/>
      <c r="DT64" s="85"/>
      <c r="DU64" s="85"/>
      <c r="DV64" s="85"/>
      <c r="DW64" s="85"/>
      <c r="DX64" s="85"/>
      <c r="DY64" s="85"/>
      <c r="DZ64" s="85"/>
      <c r="EA64" s="85"/>
      <c r="EB64" s="85"/>
      <c r="EC64" s="85"/>
      <c r="ED64" s="85"/>
      <c r="EE64" s="85"/>
      <c r="EF64" s="85"/>
      <c r="EG64" s="85"/>
      <c r="EH64" s="85"/>
      <c r="EI64" s="85"/>
      <c r="EJ64" s="85"/>
      <c r="EK64" s="85"/>
      <c r="EL64" s="85"/>
      <c r="EM64" s="85"/>
      <c r="EN64" s="85"/>
      <c r="EO64" s="85"/>
      <c r="EP64" s="85"/>
      <c r="EQ64" s="85"/>
      <c r="ER64" s="85"/>
      <c r="ES64" s="85"/>
      <c r="ET64" s="85"/>
      <c r="EU64" s="85"/>
      <c r="EV64" s="85"/>
      <c r="EW64" s="85"/>
      <c r="EX64" s="85"/>
      <c r="EY64" s="85"/>
      <c r="EZ64" s="85"/>
      <c r="FA64" s="85"/>
      <c r="FB64" s="85"/>
      <c r="FC64" s="85"/>
      <c r="FD64" s="85"/>
      <c r="FE64" s="85"/>
      <c r="FF64" s="85"/>
      <c r="FG64" s="85"/>
      <c r="FH64" s="85"/>
      <c r="FI64" s="85"/>
      <c r="FJ64" s="85"/>
      <c r="FK64" s="85"/>
      <c r="FL64" s="85"/>
      <c r="FM64" s="85"/>
      <c r="FN64" s="85"/>
      <c r="FO64" s="85"/>
      <c r="FP64" s="85"/>
      <c r="FQ64" s="85"/>
      <c r="FR64" s="85"/>
      <c r="FS64" s="85"/>
      <c r="FT64" s="85"/>
      <c r="FU64" s="85"/>
      <c r="FV64" s="85"/>
      <c r="FW64" s="85"/>
      <c r="FX64" s="85"/>
      <c r="FY64" s="85"/>
      <c r="FZ64" s="85"/>
      <c r="GA64" s="85"/>
      <c r="GB64" s="85"/>
      <c r="GC64" s="85"/>
      <c r="GD64" s="85"/>
      <c r="GE64" s="85"/>
      <c r="GF64" s="85"/>
      <c r="GG64" s="85"/>
      <c r="GH64" s="85"/>
      <c r="GI64" s="85"/>
      <c r="GJ64" s="85"/>
      <c r="GK64" s="85"/>
      <c r="GL64" s="85"/>
      <c r="GM64" s="85"/>
      <c r="GN64" s="85"/>
      <c r="GO64" s="85"/>
      <c r="GP64" s="85"/>
      <c r="GQ64" s="85"/>
      <c r="GR64" s="85"/>
      <c r="GS64" s="85"/>
      <c r="GT64" s="85"/>
      <c r="GU64" s="85"/>
      <c r="GV64" s="85" t="n">
        <v>106.2</v>
      </c>
      <c r="GW64" s="85" t="n">
        <v>35.9</v>
      </c>
      <c r="GX64" s="85" t="n">
        <v>1.6</v>
      </c>
      <c r="GY64" s="85" t="n">
        <v>0.6</v>
      </c>
      <c r="GZ64" s="85" t="n">
        <v>0.1</v>
      </c>
      <c r="HA64" s="85" t="n">
        <v>0</v>
      </c>
      <c r="HB64" s="85" t="n">
        <v>0</v>
      </c>
      <c r="HC64" t="n">
        <v>0</v>
      </c>
      <c r="HD64" t="n">
        <v>0</v>
      </c>
      <c r="HE64" t="n">
        <v>0</v>
      </c>
      <c r="HF64"/>
      <c r="HG64"/>
      <c r="HH64"/>
      <c r="HI64"/>
      <c r="HJ64"/>
      <c r="HK64"/>
    </row>
    <row r="65">
      <c r="A65" s="85" t="s">
        <v>2573</v>
      </c>
      <c r="B65" s="85" t="n">
        <v>5.7</v>
      </c>
      <c r="C65" s="85" t="n">
        <v>5.4</v>
      </c>
      <c r="D65" s="85" t="n">
        <v>4.9</v>
      </c>
      <c r="E65" s="85" t="n">
        <v>5.1</v>
      </c>
      <c r="F65" s="85" t="n">
        <v>5.6</v>
      </c>
      <c r="G65" s="85" t="n">
        <v>6.4</v>
      </c>
      <c r="H65" s="85" t="n">
        <v>5.9</v>
      </c>
      <c r="I65" s="85" t="n">
        <v>5.8</v>
      </c>
      <c r="J65" s="85" t="n">
        <v>5.9</v>
      </c>
      <c r="K65" s="85" t="n">
        <v>5.5</v>
      </c>
      <c r="L65" s="85" t="n">
        <v>7</v>
      </c>
      <c r="M65" s="85" t="n">
        <v>5.9</v>
      </c>
      <c r="N65" s="85" t="n">
        <v>5.9</v>
      </c>
      <c r="O65" s="85" t="n">
        <v>6.4</v>
      </c>
      <c r="P65" s="85" t="n">
        <v>5.5</v>
      </c>
      <c r="Q65" s="85" t="n">
        <v>6.1</v>
      </c>
      <c r="R65" s="85" t="n">
        <v>8</v>
      </c>
      <c r="S65" s="85" t="n">
        <v>8.8</v>
      </c>
      <c r="T65" s="85" t="n">
        <v>6.7</v>
      </c>
      <c r="U65" s="85" t="n">
        <v>8.1</v>
      </c>
      <c r="V65" s="85" t="n">
        <v>9</v>
      </c>
      <c r="W65" s="85" t="n">
        <v>8.1</v>
      </c>
      <c r="X65" s="85" t="n">
        <v>11.1</v>
      </c>
      <c r="Y65" s="85" t="n">
        <v>10.7</v>
      </c>
      <c r="Z65" s="85" t="n">
        <v>10.3</v>
      </c>
      <c r="AA65" s="85" t="n">
        <v>10</v>
      </c>
      <c r="AB65" s="85" t="n">
        <v>10.8</v>
      </c>
      <c r="AC65" s="85" t="n">
        <v>11.3</v>
      </c>
      <c r="AD65" s="85" t="n">
        <v>10.9</v>
      </c>
      <c r="AE65" s="85" t="n">
        <v>10.9</v>
      </c>
      <c r="AF65" s="85" t="n">
        <v>12.1</v>
      </c>
      <c r="AG65" s="85" t="n">
        <v>10.9</v>
      </c>
      <c r="AH65" s="85" t="n">
        <v>11.2</v>
      </c>
      <c r="AI65" s="85" t="n">
        <v>11.8</v>
      </c>
      <c r="AJ65" s="85" t="n">
        <v>12.2</v>
      </c>
      <c r="AK65" s="85" t="n">
        <v>12.8</v>
      </c>
      <c r="AL65" s="85" t="n">
        <v>13.9</v>
      </c>
      <c r="AM65" s="85" t="n">
        <v>13.4</v>
      </c>
      <c r="AN65" s="85" t="n">
        <v>14.7</v>
      </c>
      <c r="AO65" s="85" t="n">
        <v>16.1</v>
      </c>
      <c r="AP65" s="85" t="n">
        <v>16.7</v>
      </c>
      <c r="AQ65" s="85" t="n">
        <v>16.9</v>
      </c>
      <c r="AR65" s="85" t="n">
        <v>16.3</v>
      </c>
      <c r="AS65" s="85" t="n">
        <v>17.1</v>
      </c>
      <c r="AT65" s="85" t="n">
        <v>16.4</v>
      </c>
      <c r="AU65" s="85" t="n">
        <v>16</v>
      </c>
      <c r="AV65" s="85" t="n">
        <v>15.1</v>
      </c>
      <c r="AW65" s="85" t="n">
        <v>15.4</v>
      </c>
      <c r="AX65" s="85" t="n">
        <v>14.2</v>
      </c>
      <c r="AY65" s="85" t="n">
        <v>14.9</v>
      </c>
      <c r="AZ65" s="85" t="n">
        <v>14.8</v>
      </c>
      <c r="BA65" s="85" t="n">
        <v>14.7</v>
      </c>
      <c r="BB65" s="85" t="n">
        <v>16.1</v>
      </c>
      <c r="BC65" s="85" t="n">
        <v>14.3</v>
      </c>
      <c r="BD65" s="85" t="n">
        <v>16</v>
      </c>
      <c r="BE65" s="85" t="n">
        <v>15.9</v>
      </c>
      <c r="BF65" s="85" t="n">
        <v>16.7</v>
      </c>
      <c r="BG65" s="85" t="n">
        <v>17.3</v>
      </c>
      <c r="BH65" s="85" t="n">
        <v>18.2</v>
      </c>
      <c r="BI65" s="85" t="n">
        <v>18.9</v>
      </c>
      <c r="BJ65" s="85" t="n">
        <v>17.2</v>
      </c>
      <c r="BK65" s="85" t="n">
        <v>19.6</v>
      </c>
      <c r="BL65" s="85" t="n">
        <v>20.2</v>
      </c>
      <c r="BM65" s="85" t="n">
        <v>21.3</v>
      </c>
      <c r="BN65" s="85" t="n">
        <v>19.8</v>
      </c>
      <c r="BO65" s="85" t="n">
        <v>20.7</v>
      </c>
      <c r="BP65" s="85" t="n">
        <v>21.4</v>
      </c>
      <c r="BQ65" s="85" t="n">
        <v>18.4</v>
      </c>
      <c r="BR65" s="85" t="n">
        <v>18.9</v>
      </c>
      <c r="BS65" s="85" t="n">
        <v>19.7</v>
      </c>
      <c r="BT65" s="85" t="n">
        <v>19</v>
      </c>
      <c r="BU65" s="85" t="n">
        <v>18.8</v>
      </c>
      <c r="BV65" s="85" t="n">
        <v>19.1</v>
      </c>
      <c r="BW65" s="85" t="n">
        <v>20</v>
      </c>
      <c r="BX65" s="85" t="n">
        <v>20.5</v>
      </c>
      <c r="BY65" s="85" t="n">
        <v>19.4</v>
      </c>
      <c r="BZ65" s="85" t="n">
        <v>20.3</v>
      </c>
      <c r="CA65" s="85" t="n">
        <v>20.1</v>
      </c>
      <c r="CB65" s="85" t="n">
        <v>19</v>
      </c>
      <c r="CC65" s="85" t="n">
        <v>21.5</v>
      </c>
      <c r="CD65" s="85" t="n">
        <v>22.3</v>
      </c>
      <c r="CE65" s="85" t="n">
        <v>20.3</v>
      </c>
      <c r="CF65" s="85" t="n">
        <v>20.7</v>
      </c>
      <c r="CG65" s="85" t="n">
        <v>49.5</v>
      </c>
      <c r="CH65" s="85" t="n">
        <v>26</v>
      </c>
      <c r="CI65" s="85" t="n">
        <v>22.2</v>
      </c>
      <c r="CJ65" s="85" t="n">
        <v>37.1</v>
      </c>
      <c r="CK65" s="85" t="n">
        <v>20.8</v>
      </c>
      <c r="CL65" s="85" t="n">
        <v>21.6</v>
      </c>
      <c r="CM65" s="85" t="n">
        <v>23.2</v>
      </c>
      <c r="CN65" s="85" t="n">
        <v>22.5</v>
      </c>
      <c r="CO65" s="85" t="n">
        <v>23.2</v>
      </c>
      <c r="CP65" s="85" t="n">
        <v>24.4</v>
      </c>
      <c r="CQ65" s="85" t="n">
        <v>22.6</v>
      </c>
      <c r="CR65" s="85" t="n">
        <v>25.3</v>
      </c>
      <c r="CS65" s="85" t="n">
        <v>24.9</v>
      </c>
      <c r="CT65" s="85" t="n">
        <v>23.8</v>
      </c>
      <c r="CU65" s="85" t="n">
        <v>27.5</v>
      </c>
      <c r="CV65" s="85" t="n">
        <v>26.2</v>
      </c>
      <c r="CW65" s="85" t="n">
        <v>26.7</v>
      </c>
      <c r="CX65" s="85" t="n">
        <v>27.9</v>
      </c>
      <c r="CY65" s="85" t="n">
        <v>28.2</v>
      </c>
      <c r="CZ65" s="85" t="n">
        <v>28.4</v>
      </c>
      <c r="DA65" s="85" t="n">
        <v>27</v>
      </c>
      <c r="DB65" s="85" t="n">
        <v>29.3</v>
      </c>
      <c r="DC65" s="85" t="n">
        <v>28.1</v>
      </c>
      <c r="DD65" s="85" t="n">
        <v>27.3</v>
      </c>
      <c r="DE65" s="85" t="n">
        <v>28.9</v>
      </c>
      <c r="DF65" s="85" t="n">
        <v>28.6</v>
      </c>
      <c r="DG65" s="85" t="n">
        <v>29.5</v>
      </c>
      <c r="DH65" s="85" t="n">
        <v>29.7</v>
      </c>
      <c r="DI65" s="85" t="n">
        <v>29</v>
      </c>
      <c r="DJ65" s="85" t="n">
        <v>27.3</v>
      </c>
      <c r="DK65" s="85" t="n">
        <v>27.5</v>
      </c>
      <c r="DL65" s="85" t="n">
        <v>29.4</v>
      </c>
      <c r="DM65" s="85" t="n">
        <v>31.5</v>
      </c>
      <c r="DN65" s="85" t="n">
        <v>29.2</v>
      </c>
      <c r="DO65" s="85" t="n">
        <v>33.9</v>
      </c>
      <c r="DP65" s="85" t="n">
        <v>35.9</v>
      </c>
      <c r="DQ65" s="85" t="n">
        <v>56.3</v>
      </c>
      <c r="DR65" s="85" t="n">
        <v>38</v>
      </c>
      <c r="DS65" s="85" t="n">
        <v>37.9</v>
      </c>
      <c r="DT65" s="85" t="n">
        <v>39.4</v>
      </c>
      <c r="DU65" s="85" t="n">
        <v>49.6</v>
      </c>
      <c r="DV65" s="85" t="n">
        <v>40.9</v>
      </c>
      <c r="DW65" s="85" t="n">
        <v>43.8</v>
      </c>
      <c r="DX65" s="85" t="n">
        <v>44.3</v>
      </c>
      <c r="DY65" s="85" t="n">
        <v>45.3</v>
      </c>
      <c r="DZ65" s="85" t="n">
        <v>59.6</v>
      </c>
      <c r="EA65" s="85" t="n">
        <v>47.2</v>
      </c>
      <c r="EB65" s="85" t="n">
        <v>43.2</v>
      </c>
      <c r="EC65" s="85" t="n">
        <v>63.5</v>
      </c>
      <c r="ED65" s="85" t="n">
        <v>65.7</v>
      </c>
      <c r="EE65" s="85" t="n">
        <v>75.5</v>
      </c>
      <c r="EF65" s="85" t="n">
        <v>71.5</v>
      </c>
      <c r="EG65" s="85" t="n">
        <v>66.4</v>
      </c>
      <c r="EH65" s="85" t="n">
        <v>75.3</v>
      </c>
      <c r="EI65" s="85" t="n">
        <v>65.2</v>
      </c>
      <c r="EJ65" s="85" t="n">
        <v>74.7</v>
      </c>
      <c r="EK65" s="85" t="n">
        <v>70.2</v>
      </c>
      <c r="EL65" s="85" t="n">
        <v>90.6</v>
      </c>
      <c r="EM65" s="85" t="n">
        <v>75</v>
      </c>
      <c r="EN65" s="85" t="n">
        <v>141.5</v>
      </c>
      <c r="EO65" s="85" t="n">
        <v>82.9</v>
      </c>
      <c r="EP65" s="85" t="n">
        <v>80.5</v>
      </c>
      <c r="EQ65" s="85" t="n">
        <v>77.5</v>
      </c>
      <c r="ER65" s="85" t="n">
        <v>74.8</v>
      </c>
      <c r="ES65" s="85" t="n">
        <v>73.9</v>
      </c>
      <c r="ET65" s="85" t="n">
        <v>90.3</v>
      </c>
      <c r="EU65" s="85" t="n">
        <v>86.5</v>
      </c>
      <c r="EV65" s="85" t="n">
        <v>86.3</v>
      </c>
      <c r="EW65" s="85" t="n">
        <v>80.4</v>
      </c>
      <c r="EX65" s="85" t="n">
        <v>87</v>
      </c>
      <c r="EY65" s="85" t="n">
        <v>81.4</v>
      </c>
      <c r="EZ65" s="85" t="n">
        <v>91.2</v>
      </c>
      <c r="FA65" s="85" t="n">
        <v>348.6</v>
      </c>
      <c r="FB65" s="85" t="n">
        <v>301.2</v>
      </c>
      <c r="FC65" s="85" t="n">
        <v>226</v>
      </c>
      <c r="FD65" s="85" t="n">
        <v>144.9</v>
      </c>
      <c r="FE65" s="85" t="n">
        <v>178.4</v>
      </c>
      <c r="FF65" s="85" t="n">
        <v>164.3</v>
      </c>
      <c r="FG65" s="85" t="n">
        <v>195.8</v>
      </c>
      <c r="FH65" s="85" t="n">
        <v>122.5</v>
      </c>
      <c r="FI65" s="85" t="n">
        <v>110</v>
      </c>
      <c r="FJ65" s="85" t="n">
        <v>110.2</v>
      </c>
      <c r="FK65" s="85" t="n">
        <v>142.2</v>
      </c>
      <c r="FL65" s="85" t="n">
        <v>122.8</v>
      </c>
      <c r="FM65" s="85" t="n">
        <v>149.7</v>
      </c>
      <c r="FN65" s="85" t="n">
        <v>110.8</v>
      </c>
      <c r="FO65" s="85" t="n">
        <v>93</v>
      </c>
      <c r="FP65" s="85" t="n">
        <v>90.7</v>
      </c>
      <c r="FQ65" s="85" t="n">
        <v>125.3</v>
      </c>
      <c r="FR65" s="85" t="n">
        <v>91.2</v>
      </c>
      <c r="FS65" s="85" t="n">
        <v>84.4</v>
      </c>
      <c r="FT65" s="85" t="n">
        <v>85.3</v>
      </c>
      <c r="FU65" s="85" t="n">
        <v>79.7</v>
      </c>
      <c r="FV65" s="85" t="n">
        <v>86.8</v>
      </c>
      <c r="FW65" s="85" t="n">
        <v>84.1</v>
      </c>
      <c r="FX65" s="85" t="n">
        <v>83</v>
      </c>
      <c r="FY65" s="85" t="n">
        <v>80.8</v>
      </c>
      <c r="FZ65" s="85" t="n">
        <v>83.2</v>
      </c>
      <c r="GA65" s="85" t="n">
        <v>77.1</v>
      </c>
      <c r="GB65" s="85" t="n">
        <v>83.9</v>
      </c>
      <c r="GC65" s="85" t="n">
        <v>76.4</v>
      </c>
      <c r="GD65" s="85" t="n">
        <v>80.9</v>
      </c>
      <c r="GE65" s="85" t="n">
        <v>77.2</v>
      </c>
      <c r="GF65" s="85" t="n">
        <v>79.6</v>
      </c>
      <c r="GG65" s="85" t="n">
        <v>84.5</v>
      </c>
      <c r="GH65" s="85" t="n">
        <v>84.3</v>
      </c>
      <c r="GI65" s="85" t="n">
        <v>85.5</v>
      </c>
      <c r="GJ65" s="85" t="n">
        <v>116.5</v>
      </c>
      <c r="GK65" s="85" t="n">
        <v>81</v>
      </c>
      <c r="GL65" s="85" t="n">
        <v>78.9</v>
      </c>
      <c r="GM65" s="85" t="n">
        <v>86.1</v>
      </c>
      <c r="GN65" s="85" t="n">
        <v>85.3</v>
      </c>
      <c r="GO65" s="85" t="n">
        <v>82.9</v>
      </c>
      <c r="GP65" s="85" t="n">
        <v>86</v>
      </c>
      <c r="GQ65" s="85" t="n">
        <v>78.6</v>
      </c>
      <c r="GR65" s="85" t="n">
        <v>82.2</v>
      </c>
      <c r="GS65" s="85" t="n">
        <v>134</v>
      </c>
      <c r="GT65" s="85" t="n">
        <v>95.5</v>
      </c>
      <c r="GU65" s="85" t="n">
        <v>92.4</v>
      </c>
      <c r="GV65" s="85" t="n">
        <v>92.9</v>
      </c>
      <c r="GW65" s="85" t="n">
        <v>89.2</v>
      </c>
      <c r="GX65" s="85" t="n">
        <v>301.1</v>
      </c>
      <c r="GY65" s="85" t="n">
        <v>85.6</v>
      </c>
      <c r="GZ65" s="85" t="n">
        <v>98.4</v>
      </c>
      <c r="HA65" s="85" t="n">
        <v>88.6</v>
      </c>
      <c r="HB65" s="85" t="n">
        <v>89.5</v>
      </c>
      <c r="HC65" t="n">
        <v>476.6</v>
      </c>
      <c r="HD65" t="n">
        <v>203.9</v>
      </c>
      <c r="HE65" t="n">
        <v>108.6</v>
      </c>
      <c r="HF65" t="n">
        <v>246.5</v>
      </c>
      <c r="HG65" t="n">
        <v>385</v>
      </c>
      <c r="HH65" t="n">
        <v>343</v>
      </c>
      <c r="HI65" t="n">
        <v>164.7</v>
      </c>
      <c r="HJ65" t="n">
        <v>159.8</v>
      </c>
      <c r="HK65" t="n">
        <v>167.3</v>
      </c>
    </row>
    <row r="66">
      <c r="A66" s="85" t="s">
        <v>2574</v>
      </c>
      <c r="B66" s="85" t="n">
        <v>0.584</v>
      </c>
      <c r="C66" s="85" t="n">
        <v>0.98</v>
      </c>
      <c r="D66" s="85" t="n">
        <v>1.256</v>
      </c>
      <c r="E66" s="85" t="n">
        <v>1.592</v>
      </c>
      <c r="F66" s="85" t="n">
        <v>1.62</v>
      </c>
      <c r="G66" s="85" t="n">
        <v>1.6</v>
      </c>
      <c r="H66" s="85" t="n">
        <v>1.7</v>
      </c>
      <c r="I66" s="85" t="n">
        <v>1.872</v>
      </c>
      <c r="J66" s="85" t="n">
        <v>1.832</v>
      </c>
      <c r="K66" s="85" t="n">
        <v>1.824</v>
      </c>
      <c r="L66" s="85" t="n">
        <v>2.108</v>
      </c>
      <c r="M66" s="85" t="n">
        <v>2.156</v>
      </c>
      <c r="N66" s="85" t="n">
        <v>2.156</v>
      </c>
      <c r="O66" s="85" t="n">
        <v>2.144</v>
      </c>
      <c r="P66" s="85" t="n">
        <v>2.248</v>
      </c>
      <c r="Q66" s="85" t="n">
        <v>2.288</v>
      </c>
      <c r="R66" s="85" t="n">
        <v>3.064</v>
      </c>
      <c r="S66" s="85" t="n">
        <v>3.16</v>
      </c>
      <c r="T66" s="85" t="n">
        <v>3.62</v>
      </c>
      <c r="U66" s="85" t="n">
        <v>3.888</v>
      </c>
      <c r="V66" s="85" t="n">
        <v>4.364</v>
      </c>
      <c r="W66" s="85" t="n">
        <v>4.512</v>
      </c>
      <c r="X66" s="85" t="n">
        <v>4.832</v>
      </c>
      <c r="Y66" s="85" t="n">
        <v>4.68</v>
      </c>
      <c r="Z66" s="85" t="n">
        <v>4.768</v>
      </c>
      <c r="AA66" s="85" t="n">
        <v>4.676</v>
      </c>
      <c r="AB66" s="85" t="n">
        <v>4.416</v>
      </c>
      <c r="AC66" s="85" t="n">
        <v>4.532</v>
      </c>
      <c r="AD66" s="85" t="n">
        <v>4.496</v>
      </c>
      <c r="AE66" s="85" t="n">
        <v>4.316</v>
      </c>
      <c r="AF66" s="85" t="n">
        <v>4.38</v>
      </c>
      <c r="AG66" s="85" t="n">
        <v>4.384</v>
      </c>
      <c r="AH66" s="85" t="n">
        <v>4.584</v>
      </c>
      <c r="AI66" s="85" t="n">
        <v>4.488</v>
      </c>
      <c r="AJ66" s="85" t="n">
        <v>4.672</v>
      </c>
      <c r="AK66" s="85" t="n">
        <v>4.596</v>
      </c>
      <c r="AL66" s="85" t="n">
        <v>5.424</v>
      </c>
      <c r="AM66" s="85" t="n">
        <v>5.78</v>
      </c>
      <c r="AN66" s="85" t="n">
        <v>6.88</v>
      </c>
      <c r="AO66" s="85" t="n">
        <v>7.244</v>
      </c>
      <c r="AP66" s="85" t="n">
        <v>7.764</v>
      </c>
      <c r="AQ66" s="85" t="n">
        <v>8.14</v>
      </c>
      <c r="AR66" s="85" t="n">
        <v>8.44</v>
      </c>
      <c r="AS66" s="85" t="n">
        <v>8.512</v>
      </c>
      <c r="AT66" s="85" t="n">
        <v>10.144</v>
      </c>
      <c r="AU66" s="85" t="n">
        <v>10.272</v>
      </c>
      <c r="AV66" s="85" t="n">
        <v>10.16</v>
      </c>
      <c r="AW66" s="85" t="n">
        <v>9.684</v>
      </c>
      <c r="AX66" s="85" t="n">
        <v>9.296</v>
      </c>
      <c r="AY66" s="85" t="n">
        <v>9.432</v>
      </c>
      <c r="AZ66" s="85" t="n">
        <v>9.676</v>
      </c>
      <c r="BA66" s="85" t="n">
        <v>11.18</v>
      </c>
      <c r="BB66" s="85" t="n">
        <v>11.288</v>
      </c>
      <c r="BC66" s="85" t="n">
        <v>11.124</v>
      </c>
      <c r="BD66" s="85" t="n">
        <v>10.964</v>
      </c>
      <c r="BE66" s="85" t="n">
        <v>10.888</v>
      </c>
      <c r="BF66" s="85" t="n">
        <v>10.8</v>
      </c>
      <c r="BG66" s="85" t="n">
        <v>10.624</v>
      </c>
      <c r="BH66" s="85" t="n">
        <v>10.432</v>
      </c>
      <c r="BI66" s="85" t="n">
        <v>10.82</v>
      </c>
      <c r="BJ66" s="85" t="n">
        <v>10.784</v>
      </c>
      <c r="BK66" s="85" t="n">
        <v>10.72</v>
      </c>
      <c r="BL66" s="85" t="n">
        <v>10.612</v>
      </c>
      <c r="BM66" s="85" t="n">
        <v>10.644</v>
      </c>
      <c r="BN66" s="85" t="n">
        <v>10.488</v>
      </c>
      <c r="BO66" s="85" t="n">
        <v>10.564</v>
      </c>
      <c r="BP66" s="85" t="n">
        <v>10.576</v>
      </c>
      <c r="BQ66" s="85" t="n">
        <v>10.584</v>
      </c>
      <c r="BR66" s="85" t="n">
        <v>10.54</v>
      </c>
      <c r="BS66" s="85" t="n">
        <v>10.488</v>
      </c>
      <c r="BT66" s="85" t="n">
        <v>10.312</v>
      </c>
      <c r="BU66" s="85" t="n">
        <v>11.088</v>
      </c>
      <c r="BV66" s="85" t="n">
        <v>11.176</v>
      </c>
      <c r="BW66" s="85" t="n">
        <v>11.132</v>
      </c>
      <c r="BX66" s="85" t="n">
        <v>11.052</v>
      </c>
      <c r="BY66" s="85" t="n">
        <v>11.492</v>
      </c>
      <c r="BZ66" s="85" t="n">
        <v>11.656</v>
      </c>
      <c r="CA66" s="85" t="n">
        <v>11.712</v>
      </c>
      <c r="CB66" s="85" t="n">
        <v>11.784</v>
      </c>
      <c r="CC66" s="85" t="n">
        <v>14.148</v>
      </c>
      <c r="CD66" s="85" t="n">
        <v>13.984</v>
      </c>
      <c r="CE66" s="85" t="n">
        <v>14.216</v>
      </c>
      <c r="CF66" s="85" t="n">
        <v>14.404</v>
      </c>
      <c r="CG66" s="85" t="n">
        <v>16.36</v>
      </c>
      <c r="CH66" s="85" t="n">
        <v>16.996</v>
      </c>
      <c r="CI66" s="85" t="n">
        <v>17.636</v>
      </c>
      <c r="CJ66" s="85" t="n">
        <v>18.092</v>
      </c>
      <c r="CK66" s="85" t="n">
        <v>20.332</v>
      </c>
      <c r="CL66" s="85" t="n">
        <v>20.596</v>
      </c>
      <c r="CM66" s="85" t="n">
        <v>20.932</v>
      </c>
      <c r="CN66" s="85" t="n">
        <v>21.792</v>
      </c>
      <c r="CO66" s="85" t="n">
        <v>21.86</v>
      </c>
      <c r="CP66" s="85" t="n">
        <v>21.82</v>
      </c>
      <c r="CQ66" s="85" t="n">
        <v>22.14</v>
      </c>
      <c r="CR66" s="85" t="n">
        <v>22.204</v>
      </c>
      <c r="CS66" s="85" t="n">
        <v>22.68</v>
      </c>
      <c r="CT66" s="85" t="n">
        <v>23.06</v>
      </c>
      <c r="CU66" s="85" t="n">
        <v>22.58</v>
      </c>
      <c r="CV66" s="85" t="n">
        <v>22.504</v>
      </c>
      <c r="CW66" s="85" t="n">
        <v>23.224</v>
      </c>
      <c r="CX66" s="85" t="n">
        <v>22.716</v>
      </c>
      <c r="CY66" s="85" t="n">
        <v>22.384</v>
      </c>
      <c r="CZ66" s="85" t="n">
        <v>22.052</v>
      </c>
      <c r="DA66" s="85" t="n">
        <v>22.636</v>
      </c>
      <c r="DB66" s="85" t="n">
        <v>22.564</v>
      </c>
      <c r="DC66" s="85" t="n">
        <v>22.236</v>
      </c>
      <c r="DD66" s="85" t="n">
        <v>21.852</v>
      </c>
      <c r="DE66" s="85" t="n">
        <v>21.16</v>
      </c>
      <c r="DF66" s="85" t="n">
        <v>20.04</v>
      </c>
      <c r="DG66" s="85" t="n">
        <v>19.076</v>
      </c>
      <c r="DH66" s="85" t="n">
        <v>18.144</v>
      </c>
      <c r="DI66" s="85" t="n">
        <v>17.668</v>
      </c>
      <c r="DJ66" s="85" t="n">
        <v>17.124</v>
      </c>
      <c r="DK66" s="85" t="n">
        <v>16.58</v>
      </c>
      <c r="DL66" s="85" t="n">
        <v>15.976</v>
      </c>
      <c r="DM66" s="85" t="n">
        <v>16.18</v>
      </c>
      <c r="DN66" s="85" t="n">
        <v>15.788</v>
      </c>
      <c r="DO66" s="85" t="n">
        <v>15.464</v>
      </c>
      <c r="DP66" s="85" t="n">
        <v>15.284</v>
      </c>
      <c r="DQ66" s="85" t="n">
        <v>15.356</v>
      </c>
      <c r="DR66" s="85" t="n">
        <v>13.616</v>
      </c>
      <c r="DS66" s="85" t="n">
        <v>14.896</v>
      </c>
      <c r="DT66" s="85" t="n">
        <v>14.84</v>
      </c>
      <c r="DU66" s="85" t="n">
        <v>14.908</v>
      </c>
      <c r="DV66" s="85" t="n">
        <v>15.1</v>
      </c>
      <c r="DW66" s="85" t="n">
        <v>15.536</v>
      </c>
      <c r="DX66" s="85" t="n">
        <v>15.996</v>
      </c>
      <c r="DY66" s="85" t="n">
        <v>17.236</v>
      </c>
      <c r="DZ66" s="85" t="n">
        <v>17.898</v>
      </c>
      <c r="EA66" s="85" t="n">
        <v>18.222</v>
      </c>
      <c r="EB66" s="85" t="n">
        <v>18.485</v>
      </c>
      <c r="EC66" s="85" t="n">
        <v>19.842</v>
      </c>
      <c r="ED66" s="85" t="n">
        <v>20.652</v>
      </c>
      <c r="EE66" s="85" t="n">
        <v>21.759</v>
      </c>
      <c r="EF66" s="85" t="n">
        <v>22.788</v>
      </c>
      <c r="EG66" s="85" t="n">
        <v>23.299</v>
      </c>
      <c r="EH66" s="85" t="n">
        <v>24.086</v>
      </c>
      <c r="EI66" s="85" t="n">
        <v>24.969</v>
      </c>
      <c r="EJ66" s="85" t="n">
        <v>25.888</v>
      </c>
      <c r="EK66" s="85" t="n">
        <v>28.839</v>
      </c>
      <c r="EL66" s="85" t="n">
        <v>27.844</v>
      </c>
      <c r="EM66" s="85" t="n">
        <v>28.237</v>
      </c>
      <c r="EN66" s="85" t="n">
        <v>29.613</v>
      </c>
      <c r="EO66" s="85" t="n">
        <v>32.274</v>
      </c>
      <c r="EP66" s="85" t="n">
        <v>29.235</v>
      </c>
      <c r="EQ66" s="85" t="n">
        <v>29.264</v>
      </c>
      <c r="ER66" s="85" t="n">
        <v>29.344</v>
      </c>
      <c r="ES66" s="85" t="n">
        <v>29.717</v>
      </c>
      <c r="ET66" s="85" t="n">
        <v>30</v>
      </c>
      <c r="EU66" s="85" t="n">
        <v>30.392</v>
      </c>
      <c r="EV66" s="85" t="n">
        <v>30.74</v>
      </c>
      <c r="EW66" s="85" t="n">
        <v>32.553</v>
      </c>
      <c r="EX66" s="85" t="n">
        <v>33.466</v>
      </c>
      <c r="EY66" s="85" t="n">
        <v>34.607</v>
      </c>
      <c r="EZ66" s="85" t="n">
        <v>37.1</v>
      </c>
      <c r="FA66" s="85" t="n">
        <v>42.964</v>
      </c>
      <c r="FB66" s="85" t="n">
        <v>44.63</v>
      </c>
      <c r="FC66" s="85" t="n">
        <v>55.541</v>
      </c>
      <c r="FD66" s="85" t="n">
        <v>58.195</v>
      </c>
      <c r="FE66" s="85" t="n">
        <v>60.683</v>
      </c>
      <c r="FF66" s="85" t="n">
        <v>63.749</v>
      </c>
      <c r="FG66" s="85" t="n">
        <v>65.743</v>
      </c>
      <c r="FH66" s="85" t="n">
        <v>67.74</v>
      </c>
      <c r="FI66" s="85" t="n">
        <v>68.828</v>
      </c>
      <c r="FJ66" s="85" t="n">
        <v>71.063</v>
      </c>
      <c r="FK66" s="85" t="n">
        <v>72.829</v>
      </c>
      <c r="FL66" s="85" t="n">
        <v>73.527</v>
      </c>
      <c r="FM66" s="85" t="n">
        <v>73.492</v>
      </c>
      <c r="FN66" s="85" t="n">
        <v>74.054</v>
      </c>
      <c r="FO66" s="85" t="n">
        <v>74.348</v>
      </c>
      <c r="FP66" s="85" t="n">
        <v>75.343</v>
      </c>
      <c r="FQ66" s="85" t="n">
        <v>75.66</v>
      </c>
      <c r="FR66" s="85" t="n">
        <v>75.96</v>
      </c>
      <c r="FS66" s="85" t="n">
        <v>76.039</v>
      </c>
      <c r="FT66" s="85" t="n">
        <v>75.214</v>
      </c>
      <c r="FU66" s="85" t="n">
        <v>71.414</v>
      </c>
      <c r="FV66" s="85" t="n">
        <v>69.318</v>
      </c>
      <c r="FW66" s="85" t="n">
        <v>69.354</v>
      </c>
      <c r="FX66" s="85" t="n">
        <v>68.645</v>
      </c>
      <c r="FY66" s="85" t="n">
        <v>70.317</v>
      </c>
      <c r="FZ66" s="85" t="n">
        <v>69.767</v>
      </c>
      <c r="GA66" s="85" t="n">
        <v>69.164</v>
      </c>
      <c r="GB66" s="85" t="n">
        <v>68.382</v>
      </c>
      <c r="GC66" s="85" t="n">
        <v>67.638</v>
      </c>
      <c r="GD66" s="85" t="n">
        <v>67.294</v>
      </c>
      <c r="GE66" s="85" t="n">
        <v>65.413</v>
      </c>
      <c r="GF66" s="85" t="n">
        <v>64.803</v>
      </c>
      <c r="GG66" s="85" t="n">
        <v>64.499</v>
      </c>
      <c r="GH66" s="85" t="n">
        <v>63.667</v>
      </c>
      <c r="GI66" s="85" t="n">
        <v>62.198</v>
      </c>
      <c r="GJ66" s="85" t="n">
        <v>63.705</v>
      </c>
      <c r="GK66" s="85" t="n">
        <v>67.449</v>
      </c>
      <c r="GL66" s="85" t="n">
        <v>59.752</v>
      </c>
      <c r="GM66" s="85" t="n">
        <v>58.479</v>
      </c>
      <c r="GN66" s="85" t="n">
        <v>57.514</v>
      </c>
      <c r="GO66" s="85" t="n">
        <v>57.017</v>
      </c>
      <c r="GP66" s="85" t="n">
        <v>55.875</v>
      </c>
      <c r="GQ66" s="85" t="n">
        <v>54.336</v>
      </c>
      <c r="GR66" s="85" t="n">
        <v>54.346</v>
      </c>
      <c r="GS66" s="85" t="n">
        <v>54.291</v>
      </c>
      <c r="GT66" s="85" t="n">
        <v>61.624</v>
      </c>
      <c r="GU66" s="85" t="n">
        <v>105.667</v>
      </c>
      <c r="GV66" s="85" t="n">
        <v>105.886</v>
      </c>
      <c r="GW66" s="85" t="n">
        <v>106.606</v>
      </c>
      <c r="GX66" s="85" t="n">
        <v>145.787</v>
      </c>
      <c r="GY66" s="85" t="n">
        <v>155.346</v>
      </c>
      <c r="GZ66" s="85" t="n">
        <v>148.603</v>
      </c>
      <c r="HA66" s="85" t="n">
        <v>154.94</v>
      </c>
      <c r="HB66" s="85" t="n">
        <v>131.551</v>
      </c>
      <c r="HC66" t="n">
        <v>128.349</v>
      </c>
      <c r="HD66" t="n">
        <v>125.361</v>
      </c>
      <c r="HE66" t="n">
        <v>146.43</v>
      </c>
      <c r="HF66" t="n">
        <v>138.408</v>
      </c>
      <c r="HG66" t="n">
        <v>106.691</v>
      </c>
      <c r="HH66" t="n">
        <v>106.296</v>
      </c>
      <c r="HI66" t="n">
        <v>93.49</v>
      </c>
      <c r="HJ66" t="n">
        <v>92.008</v>
      </c>
      <c r="HK66" t="n">
        <v>96.12</v>
      </c>
    </row>
    <row r="67">
      <c r="A67" s="85" t="s">
        <v>2575</v>
      </c>
      <c r="B67" s="85" t="n">
        <v>38.1</v>
      </c>
      <c r="C67" s="85" t="n">
        <v>38.6333333333333</v>
      </c>
      <c r="D67" s="85" t="n">
        <v>39.0333333333333</v>
      </c>
      <c r="E67" s="85" t="n">
        <v>39.6</v>
      </c>
      <c r="F67" s="85" t="n">
        <v>39.9333333333333</v>
      </c>
      <c r="G67" s="85" t="n">
        <v>40.3</v>
      </c>
      <c r="H67" s="85" t="n">
        <v>40.7</v>
      </c>
      <c r="I67" s="85" t="n">
        <v>41</v>
      </c>
      <c r="J67" s="85" t="n">
        <v>41.3333333333333</v>
      </c>
      <c r="K67" s="85" t="n">
        <v>41.6</v>
      </c>
      <c r="L67" s="85" t="n">
        <v>41.9333333333333</v>
      </c>
      <c r="M67" s="85" t="n">
        <v>42.3666666666667</v>
      </c>
      <c r="N67" s="85" t="n">
        <v>43.0333333333333</v>
      </c>
      <c r="O67" s="85" t="n">
        <v>43.9333333333333</v>
      </c>
      <c r="P67" s="85" t="n">
        <v>44.8</v>
      </c>
      <c r="Q67" s="85" t="n">
        <v>45.9333333333333</v>
      </c>
      <c r="R67" s="85" t="n">
        <v>47.3</v>
      </c>
      <c r="S67" s="85" t="n">
        <v>48.5666666666667</v>
      </c>
      <c r="T67" s="85" t="n">
        <v>49.9333333333333</v>
      </c>
      <c r="U67" s="85" t="n">
        <v>51.4666666666667</v>
      </c>
      <c r="V67" s="85" t="n">
        <v>52.5666666666667</v>
      </c>
      <c r="W67" s="85" t="n">
        <v>53.2</v>
      </c>
      <c r="X67" s="85" t="n">
        <v>54.2666666666667</v>
      </c>
      <c r="Y67" s="85" t="n">
        <v>55.2666666666667</v>
      </c>
      <c r="Z67" s="85" t="n">
        <v>55.9</v>
      </c>
      <c r="AA67" s="85" t="n">
        <v>56.4</v>
      </c>
      <c r="AB67" s="85" t="n">
        <v>57.3</v>
      </c>
      <c r="AC67" s="85" t="n">
        <v>58.1333333333333</v>
      </c>
      <c r="AD67" s="85" t="n">
        <v>59.2</v>
      </c>
      <c r="AE67" s="85" t="n">
        <v>60.2333333333333</v>
      </c>
      <c r="AF67" s="85" t="n">
        <v>61.0666666666667</v>
      </c>
      <c r="AG67" s="85" t="n">
        <v>61.9666666666667</v>
      </c>
      <c r="AH67" s="85" t="n">
        <v>63.0333333333333</v>
      </c>
      <c r="AI67" s="85" t="n">
        <v>64.4666666666667</v>
      </c>
      <c r="AJ67" s="85" t="n">
        <v>65.9666666666667</v>
      </c>
      <c r="AK67" s="85" t="n">
        <v>67.5</v>
      </c>
      <c r="AL67" s="85" t="n">
        <v>69.2</v>
      </c>
      <c r="AM67" s="85" t="n">
        <v>71.4</v>
      </c>
      <c r="AN67" s="85" t="n">
        <v>73.7</v>
      </c>
      <c r="AO67" s="85" t="n">
        <v>76.0333333333333</v>
      </c>
      <c r="AP67" s="85" t="n">
        <v>79.0333333333333</v>
      </c>
      <c r="AQ67" s="85" t="n">
        <v>81.7</v>
      </c>
      <c r="AR67" s="85" t="n">
        <v>83.2333333333333</v>
      </c>
      <c r="AS67" s="85" t="n">
        <v>85.5666666666667</v>
      </c>
      <c r="AT67" s="85" t="n">
        <v>87.9333333333333</v>
      </c>
      <c r="AU67" s="85" t="n">
        <v>89.7666666666667</v>
      </c>
      <c r="AV67" s="85" t="n">
        <v>92.2666666666667</v>
      </c>
      <c r="AW67" s="85" t="n">
        <v>93.7666666666667</v>
      </c>
      <c r="AX67" s="85" t="n">
        <v>94.6</v>
      </c>
      <c r="AY67" s="85" t="n">
        <v>95.9666666666667</v>
      </c>
      <c r="AZ67" s="85" t="n">
        <v>97.6333333333333</v>
      </c>
      <c r="BA67" s="85" t="n">
        <v>97.9333333333333</v>
      </c>
      <c r="BB67" s="85" t="n">
        <v>98</v>
      </c>
      <c r="BC67" s="85" t="n">
        <v>99.1333333333333</v>
      </c>
      <c r="BD67" s="85" t="n">
        <v>100.1</v>
      </c>
      <c r="BE67" s="85" t="n">
        <v>101.1</v>
      </c>
      <c r="BF67" s="85" t="n">
        <v>102.533333333333</v>
      </c>
      <c r="BG67" s="85" t="n">
        <v>103.5</v>
      </c>
      <c r="BH67" s="85" t="n">
        <v>104.4</v>
      </c>
      <c r="BI67" s="85" t="n">
        <v>105.3</v>
      </c>
      <c r="BJ67" s="85" t="n">
        <v>106.266666666667</v>
      </c>
      <c r="BK67" s="85" t="n">
        <v>107.233333333333</v>
      </c>
      <c r="BL67" s="85" t="n">
        <v>107.9</v>
      </c>
      <c r="BM67" s="85" t="n">
        <v>109</v>
      </c>
      <c r="BN67" s="85" t="n">
        <v>109.566666666667</v>
      </c>
      <c r="BO67" s="85" t="n">
        <v>109.033333333333</v>
      </c>
      <c r="BP67" s="85" t="n">
        <v>109.7</v>
      </c>
      <c r="BQ67" s="85" t="n">
        <v>110.466666666667</v>
      </c>
      <c r="BR67" s="85" t="n">
        <v>111.8</v>
      </c>
      <c r="BS67" s="85" t="n">
        <v>113.066666666667</v>
      </c>
      <c r="BT67" s="85" t="n">
        <v>114.266666666667</v>
      </c>
      <c r="BU67" s="85" t="n">
        <v>115.333333333333</v>
      </c>
      <c r="BV67" s="85" t="n">
        <v>116.233333333333</v>
      </c>
      <c r="BW67" s="85" t="n">
        <v>117.566666666667</v>
      </c>
      <c r="BX67" s="85" t="n">
        <v>119</v>
      </c>
      <c r="BY67" s="85" t="n">
        <v>120.3</v>
      </c>
      <c r="BZ67" s="85" t="n">
        <v>121.666666666667</v>
      </c>
      <c r="CA67" s="85" t="n">
        <v>123.633333333333</v>
      </c>
      <c r="CB67" s="85" t="n">
        <v>124.6</v>
      </c>
      <c r="CC67" s="85" t="n">
        <v>125.866666666667</v>
      </c>
      <c r="CD67" s="85" t="n">
        <v>128.033333333333</v>
      </c>
      <c r="CE67" s="85" t="n">
        <v>129.3</v>
      </c>
      <c r="CF67" s="85" t="n">
        <v>131.533333333333</v>
      </c>
      <c r="CG67" s="85" t="n">
        <v>133.766666666667</v>
      </c>
      <c r="CH67" s="85" t="n">
        <v>134.766666666667</v>
      </c>
      <c r="CI67" s="85" t="n">
        <v>135.566666666667</v>
      </c>
      <c r="CJ67" s="85" t="n">
        <v>136.6</v>
      </c>
      <c r="CK67" s="85" t="n">
        <v>137.733333333333</v>
      </c>
      <c r="CL67" s="85" t="n">
        <v>138.666666666667</v>
      </c>
      <c r="CM67" s="85" t="n">
        <v>139.733333333333</v>
      </c>
      <c r="CN67" s="85" t="n">
        <v>140.8</v>
      </c>
      <c r="CO67" s="85" t="n">
        <v>142.033333333333</v>
      </c>
      <c r="CP67" s="85" t="n">
        <v>143.066666666667</v>
      </c>
      <c r="CQ67" s="85" t="n">
        <v>144.1</v>
      </c>
      <c r="CR67" s="85" t="n">
        <v>144.766666666667</v>
      </c>
      <c r="CS67" s="85" t="n">
        <v>145.966666666667</v>
      </c>
      <c r="CT67" s="85" t="n">
        <v>146.7</v>
      </c>
      <c r="CU67" s="85" t="n">
        <v>147.533333333333</v>
      </c>
      <c r="CV67" s="85" t="n">
        <v>148.9</v>
      </c>
      <c r="CW67" s="85" t="n">
        <v>149.766666666667</v>
      </c>
      <c r="CX67" s="85" t="n">
        <v>150.866666666667</v>
      </c>
      <c r="CY67" s="85" t="n">
        <v>152.1</v>
      </c>
      <c r="CZ67" s="85" t="n">
        <v>152.866666666667</v>
      </c>
      <c r="DA67" s="85" t="n">
        <v>153.7</v>
      </c>
      <c r="DB67" s="85" t="n">
        <v>155.066666666667</v>
      </c>
      <c r="DC67" s="85" t="n">
        <v>156.4</v>
      </c>
      <c r="DD67" s="85" t="n">
        <v>157.3</v>
      </c>
      <c r="DE67" s="85" t="n">
        <v>158.666666666667</v>
      </c>
      <c r="DF67" s="85" t="n">
        <v>159.633333333333</v>
      </c>
      <c r="DG67" s="85" t="n">
        <v>160</v>
      </c>
      <c r="DH67" s="85" t="n">
        <v>160.8</v>
      </c>
      <c r="DI67" s="85" t="n">
        <v>161.666666666667</v>
      </c>
      <c r="DJ67" s="85" t="n">
        <v>162</v>
      </c>
      <c r="DK67" s="85" t="n">
        <v>162.533333333333</v>
      </c>
      <c r="DL67" s="85" t="n">
        <v>163.366666666667</v>
      </c>
      <c r="DM67" s="85" t="n">
        <v>164.133333333333</v>
      </c>
      <c r="DN67" s="85" t="n">
        <v>164.733333333333</v>
      </c>
      <c r="DO67" s="85" t="n">
        <v>165.966666666667</v>
      </c>
      <c r="DP67" s="85" t="n">
        <v>167.2</v>
      </c>
      <c r="DQ67" s="85" t="n">
        <v>168.433333333333</v>
      </c>
      <c r="DR67" s="85" t="n">
        <v>170.1</v>
      </c>
      <c r="DS67" s="85" t="n">
        <v>171.433333333333</v>
      </c>
      <c r="DT67" s="85" t="n">
        <v>173</v>
      </c>
      <c r="DU67" s="85" t="n">
        <v>174.233333333333</v>
      </c>
      <c r="DV67" s="85" t="n">
        <v>175.9</v>
      </c>
      <c r="DW67" s="85" t="n">
        <v>177.133333333333</v>
      </c>
      <c r="DX67" s="85" t="n">
        <v>177.633333333333</v>
      </c>
      <c r="DY67" s="85" t="n">
        <v>177.5</v>
      </c>
      <c r="DZ67" s="85" t="n">
        <v>178.066666666667</v>
      </c>
      <c r="EA67" s="85" t="n">
        <v>179.466666666667</v>
      </c>
      <c r="EB67" s="85" t="n">
        <v>180.433333333333</v>
      </c>
      <c r="EC67" s="85" t="n">
        <v>181.5</v>
      </c>
      <c r="ED67" s="85" t="n">
        <v>183.366666666667</v>
      </c>
      <c r="EE67" s="85" t="n">
        <v>183.066666666667</v>
      </c>
      <c r="EF67" s="85" t="n">
        <v>184.433333333333</v>
      </c>
      <c r="EG67" s="85" t="n">
        <v>185.133333333333</v>
      </c>
      <c r="EH67" s="85" t="n">
        <v>186.7</v>
      </c>
      <c r="EI67" s="85" t="n">
        <v>188.166666666667</v>
      </c>
      <c r="EJ67" s="85" t="n">
        <v>189.366666666667</v>
      </c>
      <c r="EK67" s="85" t="n">
        <v>191.4</v>
      </c>
      <c r="EL67" s="85" t="n">
        <v>192.366666666667</v>
      </c>
      <c r="EM67" s="85" t="n">
        <v>193.666666666667</v>
      </c>
      <c r="EN67" s="85" t="n">
        <v>196.6</v>
      </c>
      <c r="EO67" s="85" t="n">
        <v>198.433333333333</v>
      </c>
      <c r="EP67" s="85" t="n">
        <v>199.466666666667</v>
      </c>
      <c r="EQ67" s="85" t="n">
        <v>201.266666666667</v>
      </c>
      <c r="ER67" s="85" t="n">
        <v>203.166666666667</v>
      </c>
      <c r="ES67" s="85" t="n">
        <v>202.333333333333</v>
      </c>
      <c r="ET67" s="85" t="n">
        <v>204.317</v>
      </c>
      <c r="EU67" s="85" t="n">
        <v>206.631</v>
      </c>
      <c r="EV67" s="85" t="n">
        <v>207.939</v>
      </c>
      <c r="EW67" s="85" t="n">
        <v>210.489666666667</v>
      </c>
      <c r="EX67" s="85" t="n">
        <v>212.769666666667</v>
      </c>
      <c r="EY67" s="85" t="n">
        <v>215.537666666667</v>
      </c>
      <c r="EZ67" s="85" t="n">
        <v>218.861</v>
      </c>
      <c r="FA67" s="85" t="n">
        <v>213.848666666667</v>
      </c>
      <c r="FB67" s="85" t="n">
        <v>212.377666666667</v>
      </c>
      <c r="FC67" s="85" t="n">
        <v>213.507</v>
      </c>
      <c r="FD67" s="85" t="n">
        <v>215.344</v>
      </c>
      <c r="FE67" s="85" t="n">
        <v>217.03</v>
      </c>
      <c r="FF67" s="85" t="n">
        <v>217.374</v>
      </c>
      <c r="FG67" s="85" t="n">
        <v>217.297333333333</v>
      </c>
      <c r="FH67" s="85" t="n">
        <v>217.934333333333</v>
      </c>
      <c r="FI67" s="85" t="n">
        <v>219.699</v>
      </c>
      <c r="FJ67" s="85" t="n">
        <v>222.043666666667</v>
      </c>
      <c r="FK67" s="85" t="n">
        <v>224.568333333333</v>
      </c>
      <c r="FL67" s="85" t="n">
        <v>226.032666666667</v>
      </c>
      <c r="FM67" s="85" t="n">
        <v>227.047333333333</v>
      </c>
      <c r="FN67" s="85" t="n">
        <v>228.326</v>
      </c>
      <c r="FO67" s="85" t="n">
        <v>228.808</v>
      </c>
      <c r="FP67" s="85" t="n">
        <v>229.841</v>
      </c>
      <c r="FQ67" s="85" t="n">
        <v>231.369333333333</v>
      </c>
      <c r="FR67" s="85" t="n">
        <v>232.299333333333</v>
      </c>
      <c r="FS67" s="85" t="n">
        <v>232.045</v>
      </c>
      <c r="FT67" s="85" t="n">
        <v>233.3</v>
      </c>
      <c r="FU67" s="85" t="n">
        <v>234.162666666667</v>
      </c>
      <c r="FV67" s="85" t="n">
        <v>235.621</v>
      </c>
      <c r="FW67" s="85" t="n">
        <v>236.872333333333</v>
      </c>
      <c r="FX67" s="85" t="n">
        <v>237.478333333333</v>
      </c>
      <c r="FY67" s="85" t="n">
        <v>236.888333333333</v>
      </c>
      <c r="FZ67" s="85" t="n">
        <v>235.355</v>
      </c>
      <c r="GA67" s="85" t="n">
        <v>236.96</v>
      </c>
      <c r="GB67" s="85" t="n">
        <v>237.855</v>
      </c>
      <c r="GC67" s="85" t="n">
        <v>237.837</v>
      </c>
      <c r="GD67" s="85" t="n">
        <v>237.689333333333</v>
      </c>
      <c r="GE67" s="85" t="n">
        <v>239.590333333333</v>
      </c>
      <c r="GF67" s="85" t="n">
        <v>240.607333333333</v>
      </c>
      <c r="GG67" s="85" t="n">
        <v>242.134666666667</v>
      </c>
      <c r="GH67" s="85" t="n">
        <v>243.838666666667</v>
      </c>
      <c r="GI67" s="85" t="n">
        <v>244.12</v>
      </c>
      <c r="GJ67" s="85" t="n">
        <v>245.287</v>
      </c>
      <c r="GK67" s="85" t="n">
        <v>247.238333333333</v>
      </c>
      <c r="GL67" s="85" t="n">
        <v>249.321666666667</v>
      </c>
      <c r="GM67" s="85" t="n">
        <v>250.679</v>
      </c>
      <c r="GN67" s="85" t="n">
        <v>251.686333333333</v>
      </c>
      <c r="GO67" s="85" t="n">
        <v>252.711</v>
      </c>
      <c r="GP67" s="85" t="n">
        <v>253.385666666667</v>
      </c>
      <c r="GQ67" s="85" t="n">
        <v>255.247333333333</v>
      </c>
      <c r="GR67" s="85" t="n">
        <v>256.089333333333</v>
      </c>
      <c r="GS67" s="85" t="n">
        <v>257.888</v>
      </c>
      <c r="GT67" s="85" t="n">
        <v>258.767333333333</v>
      </c>
      <c r="GU67" s="85" t="n">
        <v>256.326</v>
      </c>
      <c r="GV67" s="85" t="n">
        <v>259.241666666667</v>
      </c>
      <c r="GW67" s="85" t="n">
        <v>261.049666666667</v>
      </c>
      <c r="GX67" s="85" t="n">
        <v>263.670333333333</v>
      </c>
      <c r="GY67" s="85" t="n">
        <v>268.622666666667</v>
      </c>
      <c r="GZ67" s="85" t="n">
        <v>272.89</v>
      </c>
      <c r="HA67" s="85" t="n">
        <v>278.680333333333</v>
      </c>
      <c r="HB67" s="85" t="n">
        <v>284.826</v>
      </c>
      <c r="HC67" t="n">
        <v>291.706333333333</v>
      </c>
      <c r="HD67" t="n">
        <v>295.509</v>
      </c>
      <c r="HE67" t="n">
        <v>298.441</v>
      </c>
      <c r="HF67" t="n">
        <v>301.203</v>
      </c>
      <c r="HG67" t="n">
        <v>303.466666666667</v>
      </c>
      <c r="HH67" t="n">
        <v>306.034333333333</v>
      </c>
      <c r="HI67" t="n">
        <v>308.099</v>
      </c>
      <c r="HJ67" t="n">
        <v>310.989666666667</v>
      </c>
      <c r="HK67" t="n">
        <v>313.160333333333</v>
      </c>
    </row>
    <row r="68">
      <c r="A68" s="85" t="s">
        <v>2576</v>
      </c>
      <c r="B68" s="85" t="n">
        <v>38.3</v>
      </c>
      <c r="C68" s="85" t="n">
        <v>38.8333333333333</v>
      </c>
      <c r="D68" s="85" t="n">
        <v>39.2333333333333</v>
      </c>
      <c r="E68" s="85" t="n">
        <v>39.8</v>
      </c>
      <c r="F68" s="85" t="n">
        <v>40.1666666666667</v>
      </c>
      <c r="G68" s="85" t="n">
        <v>40.5333333333333</v>
      </c>
      <c r="H68" s="85" t="n">
        <v>40.9666666666667</v>
      </c>
      <c r="I68" s="85" t="n">
        <v>41.2333333333333</v>
      </c>
      <c r="J68" s="85" t="n">
        <v>41.6</v>
      </c>
      <c r="K68" s="85" t="n">
        <v>41.8</v>
      </c>
      <c r="L68" s="85" t="n">
        <v>42.2</v>
      </c>
      <c r="M68" s="85" t="n">
        <v>42.6333333333333</v>
      </c>
      <c r="N68" s="85" t="n">
        <v>43.2666666666667</v>
      </c>
      <c r="O68" s="85" t="n">
        <v>44.1666666666667</v>
      </c>
      <c r="P68" s="85" t="n">
        <v>45.0666666666667</v>
      </c>
      <c r="Q68" s="85" t="n">
        <v>46.1666666666667</v>
      </c>
      <c r="R68" s="85" t="n">
        <v>47.5666666666667</v>
      </c>
      <c r="S68" s="85" t="n">
        <v>48.7666666666667</v>
      </c>
      <c r="T68" s="85" t="n">
        <v>50.2333333333333</v>
      </c>
      <c r="U68" s="85" t="n">
        <v>51.7666666666667</v>
      </c>
      <c r="V68" s="85" t="n">
        <v>52.8666666666667</v>
      </c>
      <c r="W68" s="85" t="n">
        <v>53.5</v>
      </c>
      <c r="X68" s="85" t="n">
        <v>54.5666666666667</v>
      </c>
      <c r="Y68" s="85" t="n">
        <v>55.5666666666667</v>
      </c>
      <c r="Z68" s="85" t="n">
        <v>56.2333333333333</v>
      </c>
      <c r="AA68" s="85" t="n">
        <v>56.7333333333333</v>
      </c>
      <c r="AB68" s="85" t="n">
        <v>57.6</v>
      </c>
      <c r="AC68" s="85" t="n">
        <v>58.4333333333333</v>
      </c>
      <c r="AD68" s="85" t="n">
        <v>59.5333333333333</v>
      </c>
      <c r="AE68" s="85" t="n">
        <v>60.6</v>
      </c>
      <c r="AF68" s="85" t="n">
        <v>61.4333333333333</v>
      </c>
      <c r="AG68" s="85" t="n">
        <v>62.2666666666667</v>
      </c>
      <c r="AH68" s="85" t="n">
        <v>63.3666666666667</v>
      </c>
      <c r="AI68" s="85" t="n">
        <v>64.7666666666667</v>
      </c>
      <c r="AJ68" s="85" t="n">
        <v>66.2333333333333</v>
      </c>
      <c r="AK68" s="85" t="n">
        <v>67.8333333333333</v>
      </c>
      <c r="AL68" s="85" t="n">
        <v>69.5666666666667</v>
      </c>
      <c r="AM68" s="85" t="n">
        <v>71.9</v>
      </c>
      <c r="AN68" s="85" t="n">
        <v>74.2333333333333</v>
      </c>
      <c r="AO68" s="85" t="n">
        <v>76.5</v>
      </c>
      <c r="AP68" s="85" t="n">
        <v>79.5</v>
      </c>
      <c r="AQ68" s="85" t="n">
        <v>82.2</v>
      </c>
      <c r="AR68" s="85" t="n">
        <v>83.7333333333333</v>
      </c>
      <c r="AS68" s="85" t="n">
        <v>86.1666666666667</v>
      </c>
      <c r="AT68" s="85" t="n">
        <v>88.4666666666667</v>
      </c>
      <c r="AU68" s="85" t="n">
        <v>90.2333333333333</v>
      </c>
      <c r="AV68" s="85" t="n">
        <v>92.7333333333333</v>
      </c>
      <c r="AW68" s="85" t="n">
        <v>94.1666666666667</v>
      </c>
      <c r="AX68" s="85" t="n">
        <v>94.9666666666667</v>
      </c>
      <c r="AY68" s="85" t="n">
        <v>96.2333333333333</v>
      </c>
      <c r="AZ68" s="85" t="n">
        <v>98</v>
      </c>
      <c r="BA68" s="85" t="n">
        <v>98.3333333333333</v>
      </c>
      <c r="BB68" s="85" t="n">
        <v>98.3</v>
      </c>
      <c r="BC68" s="85" t="n">
        <v>99.4333333333333</v>
      </c>
      <c r="BD68" s="85" t="n">
        <v>100.4</v>
      </c>
      <c r="BE68" s="85" t="n">
        <v>101.166666666667</v>
      </c>
      <c r="BF68" s="85" t="n">
        <v>101.933333333333</v>
      </c>
      <c r="BG68" s="85" t="n">
        <v>102.466666666667</v>
      </c>
      <c r="BH68" s="85" t="n">
        <v>103.933333333333</v>
      </c>
      <c r="BI68" s="85" t="n">
        <v>104.8</v>
      </c>
      <c r="BJ68" s="85" t="n">
        <v>105.666666666667</v>
      </c>
      <c r="BK68" s="85" t="n">
        <v>106.633333333333</v>
      </c>
      <c r="BL68" s="85" t="n">
        <v>107.133333333333</v>
      </c>
      <c r="BM68" s="85" t="n">
        <v>108.2</v>
      </c>
      <c r="BN68" s="85" t="n">
        <v>108.666666666667</v>
      </c>
      <c r="BO68" s="85" t="n">
        <v>107.933333333333</v>
      </c>
      <c r="BP68" s="85" t="n">
        <v>108.5</v>
      </c>
      <c r="BQ68" s="85" t="n">
        <v>109.2</v>
      </c>
      <c r="BR68" s="85" t="n">
        <v>110.666666666667</v>
      </c>
      <c r="BS68" s="85" t="n">
        <v>111.966666666667</v>
      </c>
      <c r="BT68" s="85" t="n">
        <v>113.166666666667</v>
      </c>
      <c r="BU68" s="85" t="n">
        <v>114.166666666667</v>
      </c>
      <c r="BV68" s="85" t="n">
        <v>114.933333333333</v>
      </c>
      <c r="BW68" s="85" t="n">
        <v>116.2</v>
      </c>
      <c r="BX68" s="85" t="n">
        <v>117.733333333333</v>
      </c>
      <c r="BY68" s="85" t="n">
        <v>118.933333333333</v>
      </c>
      <c r="BZ68" s="85" t="n">
        <v>120.366666666667</v>
      </c>
      <c r="CA68" s="85" t="n">
        <v>122.4</v>
      </c>
      <c r="CB68" s="85" t="n">
        <v>123.266666666667</v>
      </c>
      <c r="CC68" s="85" t="n">
        <v>124.4</v>
      </c>
      <c r="CD68" s="85" t="n">
        <v>126.566666666667</v>
      </c>
      <c r="CE68" s="85" t="n">
        <v>127.666666666667</v>
      </c>
      <c r="CF68" s="85" t="n">
        <v>129.866666666667</v>
      </c>
      <c r="CG68" s="85" t="n">
        <v>132.1</v>
      </c>
      <c r="CH68" s="85" t="n">
        <v>132.933333333333</v>
      </c>
      <c r="CI68" s="85" t="n">
        <v>133.733333333333</v>
      </c>
      <c r="CJ68" s="85" t="n">
        <v>134.633333333333</v>
      </c>
      <c r="CK68" s="85" t="n">
        <v>135.733333333333</v>
      </c>
      <c r="CL68" s="85" t="n">
        <v>136.533333333333</v>
      </c>
      <c r="CM68" s="85" t="n">
        <v>137.566666666667</v>
      </c>
      <c r="CN68" s="85" t="n">
        <v>138.7</v>
      </c>
      <c r="CO68" s="85" t="n">
        <v>139.8</v>
      </c>
      <c r="CP68" s="85" t="n">
        <v>140.766666666667</v>
      </c>
      <c r="CQ68" s="85" t="n">
        <v>141.733333333333</v>
      </c>
      <c r="CR68" s="85" t="n">
        <v>142.333333333333</v>
      </c>
      <c r="CS68" s="85" t="n">
        <v>143.433333333333</v>
      </c>
      <c r="CT68" s="85" t="n">
        <v>144.033333333333</v>
      </c>
      <c r="CU68" s="85" t="n">
        <v>144.866666666667</v>
      </c>
      <c r="CV68" s="85" t="n">
        <v>146.4</v>
      </c>
      <c r="CW68" s="85" t="n">
        <v>147.266666666667</v>
      </c>
      <c r="CX68" s="85" t="n">
        <v>148.333333333333</v>
      </c>
      <c r="CY68" s="85" t="n">
        <v>149.5</v>
      </c>
      <c r="CZ68" s="85" t="n">
        <v>150.166666666667</v>
      </c>
      <c r="DA68" s="85" t="n">
        <v>151</v>
      </c>
      <c r="DB68" s="85" t="n">
        <v>152.4</v>
      </c>
      <c r="DC68" s="85" t="n">
        <v>153.733333333333</v>
      </c>
      <c r="DD68" s="85" t="n">
        <v>154.566666666667</v>
      </c>
      <c r="DE68" s="85" t="n">
        <v>155.866666666667</v>
      </c>
      <c r="DF68" s="85" t="n">
        <v>156.8</v>
      </c>
      <c r="DG68" s="85" t="n">
        <v>157.1</v>
      </c>
      <c r="DH68" s="85" t="n">
        <v>157.8</v>
      </c>
      <c r="DI68" s="85" t="n">
        <v>158.533333333333</v>
      </c>
      <c r="DJ68" s="85" t="n">
        <v>158.733333333333</v>
      </c>
      <c r="DK68" s="85" t="n">
        <v>159.2</v>
      </c>
      <c r="DL68" s="85" t="n">
        <v>159.966666666667</v>
      </c>
      <c r="DM68" s="85" t="n">
        <v>160.766666666667</v>
      </c>
      <c r="DN68" s="85" t="n">
        <v>161.366666666667</v>
      </c>
      <c r="DO68" s="85" t="n">
        <v>162.533333333333</v>
      </c>
      <c r="DP68" s="85" t="n">
        <v>163.9</v>
      </c>
      <c r="DQ68" s="85" t="n">
        <v>165.2</v>
      </c>
      <c r="DR68" s="85" t="n">
        <v>166.833333333333</v>
      </c>
      <c r="DS68" s="85" t="n">
        <v>168.166666666667</v>
      </c>
      <c r="DT68" s="85" t="n">
        <v>169.7</v>
      </c>
      <c r="DU68" s="85" t="n">
        <v>170.833333333333</v>
      </c>
      <c r="DV68" s="85" t="n">
        <v>172.433333333333</v>
      </c>
      <c r="DW68" s="85" t="n">
        <v>173.733333333333</v>
      </c>
      <c r="DX68" s="85" t="n">
        <v>174.1</v>
      </c>
      <c r="DY68" s="85" t="n">
        <v>173.666666666667</v>
      </c>
      <c r="DZ68" s="85" t="n">
        <v>174.033333333333</v>
      </c>
      <c r="EA68" s="85" t="n">
        <v>175.533333333333</v>
      </c>
      <c r="EB68" s="85" t="n">
        <v>176.5</v>
      </c>
      <c r="EC68" s="85" t="n">
        <v>177.466666666667</v>
      </c>
      <c r="ED68" s="85" t="n">
        <v>179.466666666667</v>
      </c>
      <c r="EE68" s="85" t="n">
        <v>178.933333333333</v>
      </c>
      <c r="EF68" s="85" t="n">
        <v>180.2</v>
      </c>
      <c r="EG68" s="85" t="n">
        <v>180.733333333333</v>
      </c>
      <c r="EH68" s="85" t="n">
        <v>182.333333333333</v>
      </c>
      <c r="EI68" s="85" t="n">
        <v>183.666666666667</v>
      </c>
      <c r="EJ68" s="85" t="n">
        <v>184.866666666667</v>
      </c>
      <c r="EK68" s="85" t="n">
        <v>187.066666666667</v>
      </c>
      <c r="EL68" s="85" t="n">
        <v>187.933333333333</v>
      </c>
      <c r="EM68" s="85" t="n">
        <v>189.233333333333</v>
      </c>
      <c r="EN68" s="85" t="n">
        <v>192.566666666667</v>
      </c>
      <c r="EO68" s="85" t="n">
        <v>194.2</v>
      </c>
      <c r="EP68" s="85" t="n">
        <v>195.133333333333</v>
      </c>
      <c r="EQ68" s="85" t="n">
        <v>196.933333333333</v>
      </c>
      <c r="ER68" s="85" t="n">
        <v>198.8</v>
      </c>
      <c r="ES68" s="85" t="n">
        <v>197.566666666667</v>
      </c>
      <c r="ET68" s="85" t="n">
        <v>199.553</v>
      </c>
      <c r="EU68" s="85" t="n">
        <v>202.077</v>
      </c>
      <c r="EV68" s="85" t="n">
        <v>203.37</v>
      </c>
      <c r="EW68" s="85" t="n">
        <v>206.085666666667</v>
      </c>
      <c r="EX68" s="85" t="n">
        <v>208.516</v>
      </c>
      <c r="EY68" s="85" t="n">
        <v>211.502666666667</v>
      </c>
      <c r="EZ68" s="85" t="n">
        <v>215.13</v>
      </c>
      <c r="FA68" s="85" t="n">
        <v>208.838666666667</v>
      </c>
      <c r="FB68" s="85" t="n">
        <v>206.943333333333</v>
      </c>
      <c r="FC68" s="85" t="n">
        <v>208.390333333333</v>
      </c>
      <c r="FD68" s="85" t="n">
        <v>210.695</v>
      </c>
      <c r="FE68" s="85" t="n">
        <v>212.632666666667</v>
      </c>
      <c r="FF68" s="85" t="n">
        <v>213.237</v>
      </c>
      <c r="FG68" s="85" t="n">
        <v>213.150666666667</v>
      </c>
      <c r="FH68" s="85" t="n">
        <v>213.82</v>
      </c>
      <c r="FI68" s="85" t="n">
        <v>215.764</v>
      </c>
      <c r="FJ68" s="85" t="n">
        <v>218.415666666667</v>
      </c>
      <c r="FK68" s="85" t="n">
        <v>221.287666666667</v>
      </c>
      <c r="FL68" s="85" t="n">
        <v>222.738</v>
      </c>
      <c r="FM68" s="85" t="n">
        <v>223.774666666667</v>
      </c>
      <c r="FN68" s="85" t="n">
        <v>225.087333333333</v>
      </c>
      <c r="FO68" s="85" t="n">
        <v>225.459333333333</v>
      </c>
      <c r="FP68" s="85" t="n">
        <v>226.357</v>
      </c>
      <c r="FQ68" s="85" t="n">
        <v>227.971666666667</v>
      </c>
      <c r="FR68" s="85" t="n">
        <v>228.836666666667</v>
      </c>
      <c r="FS68" s="85" t="n">
        <v>228.409666666667</v>
      </c>
      <c r="FT68" s="85" t="n">
        <v>229.589</v>
      </c>
      <c r="FU68" s="85" t="n">
        <v>230.433666666667</v>
      </c>
      <c r="FV68" s="85" t="n">
        <v>231.95</v>
      </c>
      <c r="FW68" s="85" t="n">
        <v>233.101333333333</v>
      </c>
      <c r="FX68" s="85" t="n">
        <v>233.494333333333</v>
      </c>
      <c r="FY68" s="85" t="n">
        <v>232.431</v>
      </c>
      <c r="FZ68" s="85" t="n">
        <v>230.236666666667</v>
      </c>
      <c r="GA68" s="85" t="n">
        <v>231.957666666667</v>
      </c>
      <c r="GB68" s="85" t="n">
        <v>232.693333333333</v>
      </c>
      <c r="GC68" s="85" t="n">
        <v>232.280333333333</v>
      </c>
      <c r="GD68" s="85" t="n">
        <v>231.781</v>
      </c>
      <c r="GE68" s="85" t="n">
        <v>233.774</v>
      </c>
      <c r="GF68" s="85" t="n">
        <v>234.596666666667</v>
      </c>
      <c r="GG68" s="85" t="n">
        <v>236.140666666667</v>
      </c>
      <c r="GH68" s="85" t="n">
        <v>237.859</v>
      </c>
      <c r="GI68" s="85" t="n">
        <v>237.925333333333</v>
      </c>
      <c r="GJ68" s="85" t="n">
        <v>239.136666666667</v>
      </c>
      <c r="GK68" s="85" t="n">
        <v>241.276333333333</v>
      </c>
      <c r="GL68" s="85" t="n">
        <v>243.415666666667</v>
      </c>
      <c r="GM68" s="85" t="n">
        <v>244.717666666667</v>
      </c>
      <c r="GN68" s="85" t="n">
        <v>245.765333333333</v>
      </c>
      <c r="GO68" s="85" t="n">
        <v>246.649666666667</v>
      </c>
      <c r="GP68" s="85" t="n">
        <v>246.956666666667</v>
      </c>
      <c r="GQ68" s="85" t="n">
        <v>248.901666666667</v>
      </c>
      <c r="GR68" s="85" t="n">
        <v>249.573</v>
      </c>
      <c r="GS68" s="85" t="n">
        <v>251.426666666667</v>
      </c>
      <c r="GT68" s="85" t="n">
        <v>252.162</v>
      </c>
      <c r="GU68" s="85" t="n">
        <v>249.466333333333</v>
      </c>
      <c r="GV68" s="85" t="n">
        <v>252.796</v>
      </c>
      <c r="GW68" s="85" t="n">
        <v>254.727</v>
      </c>
      <c r="GX68" s="85" t="n">
        <v>257.648333333333</v>
      </c>
      <c r="GY68" s="85" t="n">
        <v>263.007666666667</v>
      </c>
      <c r="GZ68" s="85" t="n">
        <v>267.545666666667</v>
      </c>
      <c r="HA68" s="85" t="n">
        <v>273.815666666667</v>
      </c>
      <c r="HB68" s="85" t="n">
        <v>280.381333333333</v>
      </c>
      <c r="HC68" t="n">
        <v>287.391</v>
      </c>
      <c r="HD68" t="n">
        <v>290.784</v>
      </c>
      <c r="HE68" t="n">
        <v>293.193666666667</v>
      </c>
      <c r="HF68" t="n">
        <v>295.602666666667</v>
      </c>
      <c r="HG68" t="n">
        <v>297.699</v>
      </c>
      <c r="HH68" t="n">
        <v>300.327333333333</v>
      </c>
      <c r="HI68" t="n">
        <v>302.323666666667</v>
      </c>
      <c r="HJ68" t="n">
        <v>305.074333333333</v>
      </c>
      <c r="HK68" t="n">
        <v>307.257333333333</v>
      </c>
    </row>
    <row r="69">
      <c r="A69" s="85" t="s">
        <v>2577</v>
      </c>
      <c r="B69" s="85" t="n">
        <v>5304.1</v>
      </c>
      <c r="C69" s="85" t="n">
        <v>5347.1</v>
      </c>
      <c r="D69" s="85" t="n">
        <v>5389.2</v>
      </c>
      <c r="E69" s="85" t="n">
        <v>5431.2</v>
      </c>
      <c r="F69" s="85" t="n">
        <v>5474.9</v>
      </c>
      <c r="G69" s="85" t="n">
        <v>5521.3</v>
      </c>
      <c r="H69" s="85" t="n">
        <v>5569.3</v>
      </c>
      <c r="I69" s="85" t="n">
        <v>5617.4</v>
      </c>
      <c r="J69" s="85" t="n">
        <v>5664.4</v>
      </c>
      <c r="K69" s="85" t="n">
        <v>5709.2</v>
      </c>
      <c r="L69" s="85" t="n">
        <v>5752.7</v>
      </c>
      <c r="M69" s="85" t="n">
        <v>5796.1</v>
      </c>
      <c r="N69" s="85" t="n">
        <v>5841</v>
      </c>
      <c r="O69" s="85" t="n">
        <v>5889.4</v>
      </c>
      <c r="P69" s="85" t="n">
        <v>5939.4</v>
      </c>
      <c r="Q69" s="85" t="n">
        <v>5991</v>
      </c>
      <c r="R69" s="85" t="n">
        <v>6043.4</v>
      </c>
      <c r="S69" s="85" t="n">
        <v>6096</v>
      </c>
      <c r="T69" s="85" t="n">
        <v>6147.7</v>
      </c>
      <c r="U69" s="85" t="n">
        <v>6198.8</v>
      </c>
      <c r="V69" s="85" t="n">
        <v>6248.9</v>
      </c>
      <c r="W69" s="85" t="n">
        <v>6298.4</v>
      </c>
      <c r="X69" s="85" t="n">
        <v>6347.7</v>
      </c>
      <c r="Y69" s="85" t="n">
        <v>6396.9</v>
      </c>
      <c r="Z69" s="85" t="n">
        <v>6445.6</v>
      </c>
      <c r="AA69" s="85" t="n">
        <v>6494.4</v>
      </c>
      <c r="AB69" s="85" t="n">
        <v>6544.4</v>
      </c>
      <c r="AC69" s="85" t="n">
        <v>6594.9</v>
      </c>
      <c r="AD69" s="85" t="n">
        <v>6647.5</v>
      </c>
      <c r="AE69" s="85" t="n">
        <v>6701.7</v>
      </c>
      <c r="AF69" s="85" t="n">
        <v>6757.1</v>
      </c>
      <c r="AG69" s="85" t="n">
        <v>6814.2</v>
      </c>
      <c r="AH69" s="85" t="n">
        <v>6872.6</v>
      </c>
      <c r="AI69" s="85" t="n">
        <v>6931.9</v>
      </c>
      <c r="AJ69" s="85" t="n">
        <v>6992.7</v>
      </c>
      <c r="AK69" s="85" t="n">
        <v>7054.8</v>
      </c>
      <c r="AL69" s="85" t="n">
        <v>7119.1</v>
      </c>
      <c r="AM69" s="85" t="n">
        <v>7181.6</v>
      </c>
      <c r="AN69" s="85" t="n">
        <v>7241.2</v>
      </c>
      <c r="AO69" s="85" t="n">
        <v>7296.8</v>
      </c>
      <c r="AP69" s="85" t="n">
        <v>7347.1</v>
      </c>
      <c r="AQ69" s="85" t="n">
        <v>7391.5</v>
      </c>
      <c r="AR69" s="85" t="n">
        <v>7429.9</v>
      </c>
      <c r="AS69" s="85" t="n">
        <v>7470</v>
      </c>
      <c r="AT69" s="85" t="n">
        <v>7512.1</v>
      </c>
      <c r="AU69" s="85" t="n">
        <v>7560.5</v>
      </c>
      <c r="AV69" s="85" t="n">
        <v>7611.9</v>
      </c>
      <c r="AW69" s="85" t="n">
        <v>7666.1</v>
      </c>
      <c r="AX69" s="85" t="n">
        <v>7722.5</v>
      </c>
      <c r="AY69" s="85" t="n">
        <v>7780.4</v>
      </c>
      <c r="AZ69" s="85" t="n">
        <v>7839.5</v>
      </c>
      <c r="BA69" s="85" t="n">
        <v>7899.9</v>
      </c>
      <c r="BB69" s="85" t="n">
        <v>7960.3</v>
      </c>
      <c r="BC69" s="85" t="n">
        <v>8022.3</v>
      </c>
      <c r="BD69" s="85" t="n">
        <v>8086.2</v>
      </c>
      <c r="BE69" s="85" t="n">
        <v>8152.9</v>
      </c>
      <c r="BF69" s="85" t="n">
        <v>8222.4</v>
      </c>
      <c r="BG69" s="85" t="n">
        <v>8294.7</v>
      </c>
      <c r="BH69" s="85" t="n">
        <v>8368.8</v>
      </c>
      <c r="BI69" s="85" t="n">
        <v>8444.5</v>
      </c>
      <c r="BJ69" s="85" t="n">
        <v>8520.8</v>
      </c>
      <c r="BK69" s="85" t="n">
        <v>8597.5</v>
      </c>
      <c r="BL69" s="85" t="n">
        <v>8674.3</v>
      </c>
      <c r="BM69" s="85" t="n">
        <v>8750.7</v>
      </c>
      <c r="BN69" s="85" t="n">
        <v>8826.5</v>
      </c>
      <c r="BO69" s="85" t="n">
        <v>8901.7</v>
      </c>
      <c r="BP69" s="85" t="n">
        <v>8976.7</v>
      </c>
      <c r="BQ69" s="85" t="n">
        <v>9051.4</v>
      </c>
      <c r="BR69" s="85" t="n">
        <v>9125.7</v>
      </c>
      <c r="BS69" s="85" t="n">
        <v>9199.5</v>
      </c>
      <c r="BT69" s="85" t="n">
        <v>9272.9</v>
      </c>
      <c r="BU69" s="85" t="n">
        <v>9346.7</v>
      </c>
      <c r="BV69" s="85" t="n">
        <v>9420.1</v>
      </c>
      <c r="BW69" s="85" t="n">
        <v>9494</v>
      </c>
      <c r="BX69" s="85" t="n">
        <v>9568.1</v>
      </c>
      <c r="BY69" s="85" t="n">
        <v>9642.6</v>
      </c>
      <c r="BZ69" s="85" t="n">
        <v>9717.1</v>
      </c>
      <c r="CA69" s="85" t="n">
        <v>9791.5</v>
      </c>
      <c r="CB69" s="85" t="n">
        <v>9856.7</v>
      </c>
      <c r="CC69" s="85" t="n">
        <v>9932.3</v>
      </c>
      <c r="CD69" s="85" t="n">
        <v>10006.6</v>
      </c>
      <c r="CE69" s="85" t="n">
        <v>10079.2</v>
      </c>
      <c r="CF69" s="85" t="n">
        <v>10149.4</v>
      </c>
      <c r="CG69" s="85" t="n">
        <v>10217.2</v>
      </c>
      <c r="CH69" s="85" t="n">
        <v>10283</v>
      </c>
      <c r="CI69" s="85" t="n">
        <v>10346.9</v>
      </c>
      <c r="CJ69" s="85" t="n">
        <v>10409.4</v>
      </c>
      <c r="CK69" s="85" t="n">
        <v>10471.6</v>
      </c>
      <c r="CL69" s="85" t="n">
        <v>10533.8</v>
      </c>
      <c r="CM69" s="85" t="n">
        <v>10596.6</v>
      </c>
      <c r="CN69" s="85" t="n">
        <v>10660.8</v>
      </c>
      <c r="CO69" s="85" t="n">
        <v>10725.8</v>
      </c>
      <c r="CP69" s="85" t="n">
        <v>10791.8</v>
      </c>
      <c r="CQ69" s="85" t="n">
        <v>10859.7</v>
      </c>
      <c r="CR69" s="85" t="n">
        <v>10928.5</v>
      </c>
      <c r="CS69" s="85" t="n">
        <v>10998.3</v>
      </c>
      <c r="CT69" s="85" t="n">
        <v>11068.9</v>
      </c>
      <c r="CU69" s="85" t="n">
        <v>11140.3</v>
      </c>
      <c r="CV69" s="85" t="n">
        <v>11213.2</v>
      </c>
      <c r="CW69" s="85" t="n">
        <v>11287.2</v>
      </c>
      <c r="CX69" s="85" t="n">
        <v>11361.8</v>
      </c>
      <c r="CY69" s="85" t="n">
        <v>11437.8</v>
      </c>
      <c r="CZ69" s="85" t="n">
        <v>11514.7</v>
      </c>
      <c r="DA69" s="85" t="n">
        <v>11593.6</v>
      </c>
      <c r="DB69" s="85" t="n">
        <v>11674.2</v>
      </c>
      <c r="DC69" s="85" t="n">
        <v>11760.1</v>
      </c>
      <c r="DD69" s="85" t="n">
        <v>11852.5</v>
      </c>
      <c r="DE69" s="85" t="n">
        <v>11951.1</v>
      </c>
      <c r="DF69" s="85" t="n">
        <v>12055.8</v>
      </c>
      <c r="DG69" s="85" t="n">
        <v>12166</v>
      </c>
      <c r="DH69" s="85" t="n">
        <v>12282.1</v>
      </c>
      <c r="DI69" s="85" t="n">
        <v>12403.1</v>
      </c>
      <c r="DJ69" s="85" t="n">
        <v>12528.5</v>
      </c>
      <c r="DK69" s="85" t="n">
        <v>12659</v>
      </c>
      <c r="DL69" s="85" t="n">
        <v>12792.9</v>
      </c>
      <c r="DM69" s="85" t="n">
        <v>12930.5</v>
      </c>
      <c r="DN69" s="85" t="n">
        <v>13071.5</v>
      </c>
      <c r="DO69" s="85" t="n">
        <v>13215.2</v>
      </c>
      <c r="DP69" s="85" t="n">
        <v>13361</v>
      </c>
      <c r="DQ69" s="85" t="n">
        <v>13509</v>
      </c>
      <c r="DR69" s="85" t="n">
        <v>13657.9</v>
      </c>
      <c r="DS69" s="85" t="n">
        <v>13802.6</v>
      </c>
      <c r="DT69" s="85" t="n">
        <v>13940.7</v>
      </c>
      <c r="DU69" s="85" t="n">
        <v>14071.4</v>
      </c>
      <c r="DV69" s="85" t="n">
        <v>14195</v>
      </c>
      <c r="DW69" s="85" t="n">
        <v>14311.5</v>
      </c>
      <c r="DX69" s="85" t="n">
        <v>14421.3</v>
      </c>
      <c r="DY69" s="85" t="n">
        <v>14525.2</v>
      </c>
      <c r="DZ69" s="85" t="n">
        <v>14624</v>
      </c>
      <c r="EA69" s="85" t="n">
        <v>14719.4</v>
      </c>
      <c r="EB69" s="85" t="n">
        <v>14813.1</v>
      </c>
      <c r="EC69" s="85" t="n">
        <v>14905.5</v>
      </c>
      <c r="ED69" s="85" t="n">
        <v>14997.8</v>
      </c>
      <c r="EE69" s="85" t="n">
        <v>15090.8</v>
      </c>
      <c r="EF69" s="85" t="n">
        <v>15183.9</v>
      </c>
      <c r="EG69" s="85" t="n">
        <v>15278.4</v>
      </c>
      <c r="EH69" s="85" t="n">
        <v>15374.8</v>
      </c>
      <c r="EI69" s="85" t="n">
        <v>15473</v>
      </c>
      <c r="EJ69" s="85" t="n">
        <v>15573.5</v>
      </c>
      <c r="EK69" s="85" t="n">
        <v>15675.6</v>
      </c>
      <c r="EL69" s="85" t="n">
        <v>15775.8</v>
      </c>
      <c r="EM69" s="85" t="n">
        <v>15873.2</v>
      </c>
      <c r="EN69" s="85" t="n">
        <v>15968.8</v>
      </c>
      <c r="EO69" s="85" t="n">
        <v>16062</v>
      </c>
      <c r="EP69" s="85" t="n">
        <v>16152.6</v>
      </c>
      <c r="EQ69" s="85" t="n">
        <v>16240.8</v>
      </c>
      <c r="ER69" s="85" t="n">
        <v>16324.8</v>
      </c>
      <c r="ES69" s="85" t="n">
        <v>16404.4</v>
      </c>
      <c r="ET69" s="85" t="n">
        <v>16484.9</v>
      </c>
      <c r="EU69" s="85" t="n">
        <v>16566.6</v>
      </c>
      <c r="EV69" s="85" t="n">
        <v>16649.6</v>
      </c>
      <c r="EW69" s="85" t="n">
        <v>16732.8</v>
      </c>
      <c r="EX69" s="85" t="n">
        <v>16815.6</v>
      </c>
      <c r="EY69" s="85" t="n">
        <v>16895.9</v>
      </c>
      <c r="EZ69" s="85" t="n">
        <v>16973.2</v>
      </c>
      <c r="FA69" s="85" t="n">
        <v>17046.6</v>
      </c>
      <c r="FB69" s="85" t="n">
        <v>17114.5</v>
      </c>
      <c r="FC69" s="85" t="n">
        <v>17178.4</v>
      </c>
      <c r="FD69" s="85" t="n">
        <v>17238.9</v>
      </c>
      <c r="FE69" s="85" t="n">
        <v>17298</v>
      </c>
      <c r="FF69" s="85" t="n">
        <v>17357.9</v>
      </c>
      <c r="FG69" s="85" t="n">
        <v>17419.6</v>
      </c>
      <c r="FH69" s="85" t="n">
        <v>17484.5</v>
      </c>
      <c r="FI69" s="85" t="n">
        <v>17551.9</v>
      </c>
      <c r="FJ69" s="85" t="n">
        <v>17621.8</v>
      </c>
      <c r="FK69" s="85" t="n">
        <v>17694.3</v>
      </c>
      <c r="FL69" s="85" t="n">
        <v>17769.1</v>
      </c>
      <c r="FM69" s="85" t="n">
        <v>17845.4</v>
      </c>
      <c r="FN69" s="85" t="n">
        <v>17923.1</v>
      </c>
      <c r="FO69" s="85" t="n">
        <v>18002.4</v>
      </c>
      <c r="FP69" s="85" t="n">
        <v>18082.6</v>
      </c>
      <c r="FQ69" s="85" t="n">
        <v>18163.8</v>
      </c>
      <c r="FR69" s="85" t="n">
        <v>18246.4</v>
      </c>
      <c r="FS69" s="85" t="n">
        <v>18329.4</v>
      </c>
      <c r="FT69" s="85" t="n">
        <v>18412.7</v>
      </c>
      <c r="FU69" s="85" t="n">
        <v>18496.9</v>
      </c>
      <c r="FV69" s="85" t="n">
        <v>18582</v>
      </c>
      <c r="FW69" s="85" t="n">
        <v>18667.8</v>
      </c>
      <c r="FX69" s="85" t="n">
        <v>18755.2</v>
      </c>
      <c r="FY69" s="85" t="n">
        <v>18843.3</v>
      </c>
      <c r="FZ69" s="85" t="n">
        <v>18932</v>
      </c>
      <c r="GA69" s="85" t="n">
        <v>19021.1</v>
      </c>
      <c r="GB69" s="85" t="n">
        <v>19110.1</v>
      </c>
      <c r="GC69" s="85" t="n">
        <v>19198.7</v>
      </c>
      <c r="GD69" s="85" t="n">
        <v>19286.9</v>
      </c>
      <c r="GE69" s="85" t="n">
        <v>19375.2</v>
      </c>
      <c r="GF69" s="85" t="n">
        <v>19463.2</v>
      </c>
      <c r="GG69" s="85" t="n">
        <v>19551.3</v>
      </c>
      <c r="GH69" s="85" t="n">
        <v>19640.1</v>
      </c>
      <c r="GI69" s="85" t="n">
        <v>19730.3</v>
      </c>
      <c r="GJ69" s="85" t="n">
        <v>19823.6</v>
      </c>
      <c r="GK69" s="85" t="n">
        <v>19919.8</v>
      </c>
      <c r="GL69" s="85" t="n">
        <v>20019.2</v>
      </c>
      <c r="GM69" s="85" t="n">
        <v>20121.7</v>
      </c>
      <c r="GN69" s="85" t="n">
        <v>20226.1</v>
      </c>
      <c r="GO69" s="85" t="n">
        <v>20331.5</v>
      </c>
      <c r="GP69" s="85" t="n">
        <v>20437.9</v>
      </c>
      <c r="GQ69" s="85" t="n">
        <v>20545.4</v>
      </c>
      <c r="GR69" s="85" t="n">
        <v>20653.1</v>
      </c>
      <c r="GS69" s="85" t="n">
        <v>20758.1</v>
      </c>
      <c r="GT69" s="85" t="n">
        <v>20861.8</v>
      </c>
      <c r="GU69" s="85" t="n">
        <v>20965.1</v>
      </c>
      <c r="GV69" s="85" t="n">
        <v>21065.7</v>
      </c>
      <c r="GW69" s="85" t="n">
        <v>21167.1</v>
      </c>
      <c r="GX69" s="85" t="n">
        <v>21261.6</v>
      </c>
      <c r="GY69" s="85" t="n">
        <v>21356</v>
      </c>
      <c r="GZ69" s="85" t="n">
        <v>21454.6</v>
      </c>
      <c r="HA69" s="85" t="n">
        <v>21558.2</v>
      </c>
      <c r="HB69" s="85" t="n">
        <v>21667.7</v>
      </c>
      <c r="HC69" t="n">
        <v>21780.1</v>
      </c>
      <c r="HD69" t="n">
        <v>21892.8</v>
      </c>
      <c r="HE69" t="n">
        <v>22004.7</v>
      </c>
      <c r="HF69" t="n">
        <v>22116.4</v>
      </c>
      <c r="HG69" t="n">
        <v>22227.6</v>
      </c>
      <c r="HH69" t="n">
        <v>22338.8</v>
      </c>
      <c r="HI69" t="n">
        <v>22452.1</v>
      </c>
      <c r="HJ69" t="n">
        <v>22566.6</v>
      </c>
      <c r="HK69" t="n">
        <v>22682.7</v>
      </c>
    </row>
    <row r="70">
      <c r="A70" s="85" t="s">
        <v>2578</v>
      </c>
      <c r="B70" s="85" t="n">
        <v>1051.9</v>
      </c>
      <c r="C70" s="85" t="n">
        <v>1075.2</v>
      </c>
      <c r="D70" s="85" t="n">
        <v>1092.6</v>
      </c>
      <c r="E70" s="85" t="n">
        <v>1115.6</v>
      </c>
      <c r="F70" s="85" t="n">
        <v>1141.7</v>
      </c>
      <c r="G70" s="85" t="n">
        <v>1166.5</v>
      </c>
      <c r="H70" s="85" t="n">
        <v>1188.6</v>
      </c>
      <c r="I70" s="85" t="n">
        <v>1208.9</v>
      </c>
      <c r="J70" s="85" t="n">
        <v>1237.5</v>
      </c>
      <c r="K70" s="85" t="n">
        <v>1255.1</v>
      </c>
      <c r="L70" s="85" t="n">
        <v>1276.8</v>
      </c>
      <c r="M70" s="85" t="n">
        <v>1302.8</v>
      </c>
      <c r="N70" s="85" t="n">
        <v>1328.1</v>
      </c>
      <c r="O70" s="85" t="n">
        <v>1359.6</v>
      </c>
      <c r="P70" s="85" t="n">
        <v>1397.8</v>
      </c>
      <c r="Q70" s="85" t="n">
        <v>1438.1</v>
      </c>
      <c r="R70" s="85" t="n">
        <v>1478</v>
      </c>
      <c r="S70" s="85" t="n">
        <v>1526.1</v>
      </c>
      <c r="T70" s="85" t="n">
        <v>1584.1</v>
      </c>
      <c r="U70" s="85" t="n">
        <v>1644.3</v>
      </c>
      <c r="V70" s="85" t="n">
        <v>1695.3</v>
      </c>
      <c r="W70" s="85" t="n">
        <v>1734.2</v>
      </c>
      <c r="X70" s="85" t="n">
        <v>1778.6</v>
      </c>
      <c r="Y70" s="85" t="n">
        <v>1822.3</v>
      </c>
      <c r="Z70" s="85" t="n">
        <v>1855.6</v>
      </c>
      <c r="AA70" s="85" t="n">
        <v>1888.5</v>
      </c>
      <c r="AB70" s="85" t="n">
        <v>1927.7</v>
      </c>
      <c r="AC70" s="85" t="n">
        <v>1977.4</v>
      </c>
      <c r="AD70" s="85" t="n">
        <v>2025.1</v>
      </c>
      <c r="AE70" s="85" t="n">
        <v>2070.5</v>
      </c>
      <c r="AF70" s="85" t="n">
        <v>2113.1</v>
      </c>
      <c r="AG70" s="85" t="n">
        <v>2176.9</v>
      </c>
      <c r="AH70" s="85" t="n">
        <v>2227.5</v>
      </c>
      <c r="AI70" s="85" t="n">
        <v>2289.7</v>
      </c>
      <c r="AJ70" s="85" t="n">
        <v>2349</v>
      </c>
      <c r="AK70" s="85" t="n">
        <v>2418.3</v>
      </c>
      <c r="AL70" s="85" t="n">
        <v>2484.8</v>
      </c>
      <c r="AM70" s="85" t="n">
        <v>2568</v>
      </c>
      <c r="AN70" s="85" t="n">
        <v>2646</v>
      </c>
      <c r="AO70" s="85" t="n">
        <v>2715.8</v>
      </c>
      <c r="AP70" s="85" t="n">
        <v>2791.9</v>
      </c>
      <c r="AQ70" s="85" t="n">
        <v>2875.7</v>
      </c>
      <c r="AR70" s="85" t="n">
        <v>2955.2</v>
      </c>
      <c r="AS70" s="85" t="n">
        <v>3048.6</v>
      </c>
      <c r="AT70" s="85" t="n">
        <v>3146.4</v>
      </c>
      <c r="AU70" s="85" t="n">
        <v>3229.5</v>
      </c>
      <c r="AV70" s="85" t="n">
        <v>3312.6</v>
      </c>
      <c r="AW70" s="85" t="n">
        <v>3393.8</v>
      </c>
      <c r="AX70" s="85" t="n">
        <v>3465.9</v>
      </c>
      <c r="AY70" s="85" t="n">
        <v>3537.3</v>
      </c>
      <c r="AZ70" s="85" t="n">
        <v>3614.6</v>
      </c>
      <c r="BA70" s="85" t="n">
        <v>3680.3</v>
      </c>
      <c r="BB70" s="85" t="n">
        <v>3736.3</v>
      </c>
      <c r="BC70" s="85" t="n">
        <v>3793.4</v>
      </c>
      <c r="BD70" s="85" t="n">
        <v>3864.4</v>
      </c>
      <c r="BE70" s="85" t="n">
        <v>3925.7</v>
      </c>
      <c r="BF70" s="85" t="n">
        <v>3999.3</v>
      </c>
      <c r="BG70" s="85" t="n">
        <v>4068.9</v>
      </c>
      <c r="BH70" s="85" t="n">
        <v>4141.9</v>
      </c>
      <c r="BI70" s="85" t="n">
        <v>4210.6</v>
      </c>
      <c r="BJ70" s="85" t="n">
        <v>4290.6</v>
      </c>
      <c r="BK70" s="85" t="n">
        <v>4357.1</v>
      </c>
      <c r="BL70" s="85" t="n">
        <v>4422.5</v>
      </c>
      <c r="BM70" s="85" t="n">
        <v>4486.4</v>
      </c>
      <c r="BN70" s="85" t="n">
        <v>4547.8</v>
      </c>
      <c r="BO70" s="85" t="n">
        <v>4603.8</v>
      </c>
      <c r="BP70" s="85" t="n">
        <v>4661.8</v>
      </c>
      <c r="BQ70" s="85" t="n">
        <v>4726.1</v>
      </c>
      <c r="BR70" s="85" t="n">
        <v>4795.4</v>
      </c>
      <c r="BS70" s="85" t="n">
        <v>4867.7</v>
      </c>
      <c r="BT70" s="85" t="n">
        <v>4943.7</v>
      </c>
      <c r="BU70" s="85" t="n">
        <v>5022.7</v>
      </c>
      <c r="BV70" s="85" t="n">
        <v>5101.9</v>
      </c>
      <c r="BW70" s="85" t="n">
        <v>5191.9</v>
      </c>
      <c r="BX70" s="85" t="n">
        <v>5294.9</v>
      </c>
      <c r="BY70" s="85" t="n">
        <v>5382.3</v>
      </c>
      <c r="BZ70" s="85" t="n">
        <v>5480.5</v>
      </c>
      <c r="CA70" s="85" t="n">
        <v>5581.3</v>
      </c>
      <c r="CB70" s="85" t="n">
        <v>5659.5</v>
      </c>
      <c r="CC70" s="85" t="n">
        <v>5743.4</v>
      </c>
      <c r="CD70" s="85" t="n">
        <v>5848.8</v>
      </c>
      <c r="CE70" s="85" t="n">
        <v>5957.2</v>
      </c>
      <c r="CF70" s="85" t="n">
        <v>6050.2</v>
      </c>
      <c r="CG70" s="85" t="n">
        <v>6135.9</v>
      </c>
      <c r="CH70" s="85" t="n">
        <v>6236</v>
      </c>
      <c r="CI70" s="85" t="n">
        <v>6320.8</v>
      </c>
      <c r="CJ70" s="85" t="n">
        <v>6408.6</v>
      </c>
      <c r="CK70" s="85" t="n">
        <v>6485.2</v>
      </c>
      <c r="CL70" s="85" t="n">
        <v>6547.9</v>
      </c>
      <c r="CM70" s="85" t="n">
        <v>6626.6</v>
      </c>
      <c r="CN70" s="85" t="n">
        <v>6699.2</v>
      </c>
      <c r="CO70" s="85" t="n">
        <v>6786.6</v>
      </c>
      <c r="CP70" s="85" t="n">
        <v>6866.6</v>
      </c>
      <c r="CQ70" s="85" t="n">
        <v>6950.9</v>
      </c>
      <c r="CR70" s="85" t="n">
        <v>7036.6</v>
      </c>
      <c r="CS70" s="85" t="n">
        <v>7120.1</v>
      </c>
      <c r="CT70" s="85" t="n">
        <v>7200.2</v>
      </c>
      <c r="CU70" s="85" t="n">
        <v>7281.5</v>
      </c>
      <c r="CV70" s="85" t="n">
        <v>7371.2</v>
      </c>
      <c r="CW70" s="85" t="n">
        <v>7460.1</v>
      </c>
      <c r="CX70" s="85" t="n">
        <v>7550.1</v>
      </c>
      <c r="CY70" s="85" t="n">
        <v>7637.2</v>
      </c>
      <c r="CZ70" s="85" t="n">
        <v>7726.3</v>
      </c>
      <c r="DA70" s="85" t="n">
        <v>7816.8</v>
      </c>
      <c r="DB70" s="85" t="n">
        <v>7909</v>
      </c>
      <c r="DC70" s="85" t="n">
        <v>8000.2</v>
      </c>
      <c r="DD70" s="85" t="n">
        <v>8089.3</v>
      </c>
      <c r="DE70" s="85" t="n">
        <v>8200.3</v>
      </c>
      <c r="DF70" s="85" t="n">
        <v>8321.5</v>
      </c>
      <c r="DG70" s="85" t="n">
        <v>8414.2</v>
      </c>
      <c r="DH70" s="85" t="n">
        <v>8531.6</v>
      </c>
      <c r="DI70" s="85" t="n">
        <v>8644.3</v>
      </c>
      <c r="DJ70" s="85" t="n">
        <v>8744.2</v>
      </c>
      <c r="DK70" s="85" t="n">
        <v>8856.2</v>
      </c>
      <c r="DL70" s="85" t="n">
        <v>8987.7</v>
      </c>
      <c r="DM70" s="85" t="n">
        <v>9109.9</v>
      </c>
      <c r="DN70" s="85" t="n">
        <v>9239.2</v>
      </c>
      <c r="DO70" s="85" t="n">
        <v>9376.1</v>
      </c>
      <c r="DP70" s="85" t="n">
        <v>9513</v>
      </c>
      <c r="DQ70" s="85" t="n">
        <v>9671.8</v>
      </c>
      <c r="DR70" s="85" t="n">
        <v>9843.5</v>
      </c>
      <c r="DS70" s="85" t="n">
        <v>10009.6</v>
      </c>
      <c r="DT70" s="85" t="n">
        <v>10168.9</v>
      </c>
      <c r="DU70" s="85" t="n">
        <v>10319.5</v>
      </c>
      <c r="DV70" s="85" t="n">
        <v>10479</v>
      </c>
      <c r="DW70" s="85" t="n">
        <v>10628.6</v>
      </c>
      <c r="DX70" s="85" t="n">
        <v>10752.2</v>
      </c>
      <c r="DY70" s="85" t="n">
        <v>10863.7</v>
      </c>
      <c r="DZ70" s="85" t="n">
        <v>10972</v>
      </c>
      <c r="EA70" s="85" t="n">
        <v>11082.2</v>
      </c>
      <c r="EB70" s="85" t="n">
        <v>11206</v>
      </c>
      <c r="EC70" s="85" t="n">
        <v>11341.4</v>
      </c>
      <c r="ED70" s="85" t="n">
        <v>11467.5</v>
      </c>
      <c r="EE70" s="85" t="n">
        <v>11579.2</v>
      </c>
      <c r="EF70" s="85" t="n">
        <v>11717.2</v>
      </c>
      <c r="EG70" s="85" t="n">
        <v>11861.9</v>
      </c>
      <c r="EH70" s="85" t="n">
        <v>12022</v>
      </c>
      <c r="EI70" s="85" t="n">
        <v>12196.4</v>
      </c>
      <c r="EJ70" s="85" t="n">
        <v>12353.6</v>
      </c>
      <c r="EK70" s="85" t="n">
        <v>12530.9</v>
      </c>
      <c r="EL70" s="85" t="n">
        <v>12711.8</v>
      </c>
      <c r="EM70" s="85" t="n">
        <v>12882.4</v>
      </c>
      <c r="EN70" s="85" t="n">
        <v>13078.1</v>
      </c>
      <c r="EO70" s="85" t="n">
        <v>13262.5</v>
      </c>
      <c r="EP70" s="85" t="n">
        <v>13431.9</v>
      </c>
      <c r="EQ70" s="85" t="n">
        <v>13623</v>
      </c>
      <c r="ER70" s="85" t="n">
        <v>13789.2</v>
      </c>
      <c r="ES70" s="85" t="n">
        <v>13906.1</v>
      </c>
      <c r="ET70" s="85" t="n">
        <v>14107.2</v>
      </c>
      <c r="EU70" s="85" t="n">
        <v>14275.7</v>
      </c>
      <c r="EV70" s="85" t="n">
        <v>14425.4</v>
      </c>
      <c r="EW70" s="85" t="n">
        <v>14556.5</v>
      </c>
      <c r="EX70" s="85" t="n">
        <v>14682.6</v>
      </c>
      <c r="EY70" s="85" t="n">
        <v>14824.1</v>
      </c>
      <c r="EZ70" s="85" t="n">
        <v>15004.1</v>
      </c>
      <c r="FA70" s="85" t="n">
        <v>15105.5</v>
      </c>
      <c r="FB70" s="85" t="n">
        <v>15153.6</v>
      </c>
      <c r="FC70" s="85" t="n">
        <v>15185</v>
      </c>
      <c r="FD70" s="85" t="n">
        <v>15256.6</v>
      </c>
      <c r="FE70" s="85" t="n">
        <v>15357.2</v>
      </c>
      <c r="FF70" s="85" t="n">
        <v>15454.8</v>
      </c>
      <c r="FG70" s="85" t="n">
        <v>15585.4</v>
      </c>
      <c r="FH70" s="85" t="n">
        <v>15691</v>
      </c>
      <c r="FI70" s="85" t="n">
        <v>15842.9</v>
      </c>
      <c r="FJ70" s="85" t="n">
        <v>15987.6</v>
      </c>
      <c r="FK70" s="85" t="n">
        <v>16159.5</v>
      </c>
      <c r="FL70" s="85" t="n">
        <v>16325.6</v>
      </c>
      <c r="FM70" s="85" t="n">
        <v>16415.2</v>
      </c>
      <c r="FN70" s="85" t="n">
        <v>16583.3</v>
      </c>
      <c r="FO70" s="85" t="n">
        <v>16725.4</v>
      </c>
      <c r="FP70" s="85" t="n">
        <v>16892.1</v>
      </c>
      <c r="FQ70" s="85" t="n">
        <v>17053.1</v>
      </c>
      <c r="FR70" s="85" t="n">
        <v>17198.7</v>
      </c>
      <c r="FS70" s="85" t="n">
        <v>17314.1</v>
      </c>
      <c r="FT70" s="85" t="n">
        <v>17478</v>
      </c>
      <c r="FU70" s="85" t="n">
        <v>17650.8</v>
      </c>
      <c r="FV70" s="85" t="n">
        <v>17799.3</v>
      </c>
      <c r="FW70" s="85" t="n">
        <v>17982.7</v>
      </c>
      <c r="FX70" s="85" t="n">
        <v>18141.1</v>
      </c>
      <c r="FY70" s="85" t="n">
        <v>18244.5</v>
      </c>
      <c r="FZ70" s="85" t="n">
        <v>18320.3</v>
      </c>
      <c r="GA70" s="85" t="n">
        <v>18512.3</v>
      </c>
      <c r="GB70" s="85" t="n">
        <v>18648.2</v>
      </c>
      <c r="GC70" s="85" t="n">
        <v>18734.1</v>
      </c>
      <c r="GD70" s="85" t="n">
        <v>18804</v>
      </c>
      <c r="GE70" s="85" t="n">
        <v>19018.4</v>
      </c>
      <c r="GF70" s="85" t="n">
        <v>19153.7</v>
      </c>
      <c r="GG70" s="85" t="n">
        <v>19333.6</v>
      </c>
      <c r="GH70" s="85" t="n">
        <v>19520.4</v>
      </c>
      <c r="GI70" s="85" t="n">
        <v>19661.2</v>
      </c>
      <c r="GJ70" s="85" t="n">
        <v>19855.7</v>
      </c>
      <c r="GK70" s="85" t="n">
        <v>20074.8</v>
      </c>
      <c r="GL70" s="85" t="n">
        <v>20303.3</v>
      </c>
      <c r="GM70" s="85" t="n">
        <v>20551.5</v>
      </c>
      <c r="GN70" s="85" t="n">
        <v>20747.3</v>
      </c>
      <c r="GO70" s="85" t="n">
        <v>20945.3</v>
      </c>
      <c r="GP70" s="85" t="n">
        <v>21127.6</v>
      </c>
      <c r="GQ70" s="85" t="n">
        <v>21344.2</v>
      </c>
      <c r="GR70" s="85" t="n">
        <v>21522.8</v>
      </c>
      <c r="GS70" s="85" t="n">
        <v>21700.6</v>
      </c>
      <c r="GT70" s="85" t="n">
        <v>21912.6</v>
      </c>
      <c r="GU70" s="85" t="n">
        <v>21932.5</v>
      </c>
      <c r="GV70" s="85" t="n">
        <v>22232.2</v>
      </c>
      <c r="GW70" s="85" t="n">
        <v>22495.3</v>
      </c>
      <c r="GX70" s="85" t="n">
        <v>22892.1</v>
      </c>
      <c r="GY70" s="85" t="n">
        <v>23343.2</v>
      </c>
      <c r="GZ70" s="85" t="n">
        <v>23797.4</v>
      </c>
      <c r="HA70" s="85" t="n">
        <v>24328.1</v>
      </c>
      <c r="HB70" s="85" t="n">
        <v>24947.1</v>
      </c>
      <c r="HC70" t="n">
        <v>25629</v>
      </c>
      <c r="HD70" t="n">
        <v>26044.2</v>
      </c>
      <c r="HE70" t="n">
        <v>26426</v>
      </c>
      <c r="HF70" t="n">
        <v>26818.6</v>
      </c>
      <c r="HG70" t="n">
        <v>27065.7</v>
      </c>
      <c r="HH70" t="n">
        <v>27423.6</v>
      </c>
      <c r="HI70" t="n">
        <v>27676.9</v>
      </c>
      <c r="HJ70" t="n">
        <v>28033.2</v>
      </c>
      <c r="HK70" t="n">
        <v>28383.9</v>
      </c>
    </row>
    <row r="71">
      <c r="A71" s="85" t="s">
        <v>2579</v>
      </c>
      <c r="B71" s="85" t="n">
        <v>1</v>
      </c>
      <c r="C71" s="85" t="n">
        <v>1</v>
      </c>
      <c r="D71" s="85" t="n">
        <v>1</v>
      </c>
      <c r="E71" s="85" t="n">
        <v>1</v>
      </c>
      <c r="F71" s="85" t="n">
        <v>-1</v>
      </c>
      <c r="G71" s="85" t="n">
        <v>-1</v>
      </c>
      <c r="H71" s="85" t="n">
        <v>-1</v>
      </c>
      <c r="I71" s="85" t="n">
        <v>-1</v>
      </c>
      <c r="J71" s="85" t="n">
        <v>-1</v>
      </c>
      <c r="K71" s="85" t="n">
        <v>-1</v>
      </c>
      <c r="L71" s="85" t="n">
        <v>-1</v>
      </c>
      <c r="M71" s="85" t="n">
        <v>-1</v>
      </c>
      <c r="N71" s="85" t="n">
        <v>-1</v>
      </c>
      <c r="O71" s="85" t="n">
        <v>-1</v>
      </c>
      <c r="P71" s="85" t="n">
        <v>-1</v>
      </c>
      <c r="Q71" s="85" t="n">
        <v>1</v>
      </c>
      <c r="R71" s="85" t="n">
        <v>1</v>
      </c>
      <c r="S71" s="85" t="n">
        <v>1</v>
      </c>
      <c r="T71" s="85" t="n">
        <v>1</v>
      </c>
      <c r="U71" s="85" t="n">
        <v>1</v>
      </c>
      <c r="V71" s="85" t="n">
        <v>1</v>
      </c>
      <c r="W71" s="85" t="n">
        <v>-1</v>
      </c>
      <c r="X71" s="85" t="n">
        <v>-1</v>
      </c>
      <c r="Y71" s="85" t="n">
        <v>-1</v>
      </c>
      <c r="Z71" s="85" t="n">
        <v>-1</v>
      </c>
      <c r="AA71" s="85" t="n">
        <v>-1</v>
      </c>
      <c r="AB71" s="85" t="n">
        <v>-1</v>
      </c>
      <c r="AC71" s="85" t="n">
        <v>-1</v>
      </c>
      <c r="AD71" s="85" t="n">
        <v>-1</v>
      </c>
      <c r="AE71" s="85" t="n">
        <v>-1</v>
      </c>
      <c r="AF71" s="85" t="n">
        <v>-1</v>
      </c>
      <c r="AG71" s="85" t="n">
        <v>-1</v>
      </c>
      <c r="AH71" s="85" t="n">
        <v>-1</v>
      </c>
      <c r="AI71" s="85" t="n">
        <v>-1</v>
      </c>
      <c r="AJ71" s="85" t="n">
        <v>-1</v>
      </c>
      <c r="AK71" s="85" t="n">
        <v>-1</v>
      </c>
      <c r="AL71" s="85" t="n">
        <v>-1</v>
      </c>
      <c r="AM71" s="85" t="n">
        <v>-1</v>
      </c>
      <c r="AN71" s="85" t="n">
        <v>-1</v>
      </c>
      <c r="AO71" s="85" t="n">
        <v>-1</v>
      </c>
      <c r="AP71" s="85" t="n">
        <v>1</v>
      </c>
      <c r="AQ71" s="85" t="n">
        <v>1</v>
      </c>
      <c r="AR71" s="85" t="n">
        <v>1</v>
      </c>
      <c r="AS71" s="85" t="n">
        <v>-1</v>
      </c>
      <c r="AT71" s="85" t="n">
        <v>-1</v>
      </c>
      <c r="AU71" s="85" t="n">
        <v>-1</v>
      </c>
      <c r="AV71" s="85" t="n">
        <v>1</v>
      </c>
      <c r="AW71" s="85" t="n">
        <v>1</v>
      </c>
      <c r="AX71" s="85" t="n">
        <v>1</v>
      </c>
      <c r="AY71" s="85" t="n">
        <v>1</v>
      </c>
      <c r="AZ71" s="85" t="n">
        <v>1</v>
      </c>
      <c r="BA71" s="85" t="n">
        <v>1</v>
      </c>
      <c r="BB71" s="85" t="n">
        <v>-1</v>
      </c>
      <c r="BC71" s="85" t="n">
        <v>-1</v>
      </c>
      <c r="BD71" s="85" t="n">
        <v>-1</v>
      </c>
      <c r="BE71" s="85" t="n">
        <v>-1</v>
      </c>
      <c r="BF71" s="85" t="n">
        <v>-1</v>
      </c>
      <c r="BG71" s="85" t="n">
        <v>-1</v>
      </c>
      <c r="BH71" s="85" t="n">
        <v>-1</v>
      </c>
      <c r="BI71" s="85" t="n">
        <v>-1</v>
      </c>
      <c r="BJ71" s="85" t="n">
        <v>-1</v>
      </c>
      <c r="BK71" s="85" t="n">
        <v>-1</v>
      </c>
      <c r="BL71" s="85" t="n">
        <v>-1</v>
      </c>
      <c r="BM71" s="85" t="n">
        <v>-1</v>
      </c>
      <c r="BN71" s="85" t="n">
        <v>-1</v>
      </c>
      <c r="BO71" s="85" t="n">
        <v>-1</v>
      </c>
      <c r="BP71" s="85" t="n">
        <v>-1</v>
      </c>
      <c r="BQ71" s="85" t="n">
        <v>-1</v>
      </c>
      <c r="BR71" s="85" t="n">
        <v>-1</v>
      </c>
      <c r="BS71" s="85" t="n">
        <v>-1</v>
      </c>
      <c r="BT71" s="85" t="n">
        <v>-1</v>
      </c>
      <c r="BU71" s="85" t="n">
        <v>-1</v>
      </c>
      <c r="BV71" s="85" t="n">
        <v>-1</v>
      </c>
      <c r="BW71" s="85" t="n">
        <v>-1</v>
      </c>
      <c r="BX71" s="85" t="n">
        <v>-1</v>
      </c>
      <c r="BY71" s="85" t="n">
        <v>-1</v>
      </c>
      <c r="BZ71" s="85" t="n">
        <v>-1</v>
      </c>
      <c r="CA71" s="85" t="n">
        <v>-1</v>
      </c>
      <c r="CB71" s="85" t="n">
        <v>-1</v>
      </c>
      <c r="CC71" s="85" t="n">
        <v>-1</v>
      </c>
      <c r="CD71" s="85" t="n">
        <v>-1</v>
      </c>
      <c r="CE71" s="85" t="n">
        <v>-1</v>
      </c>
      <c r="CF71" s="85" t="n">
        <v>1</v>
      </c>
      <c r="CG71" s="85" t="n">
        <v>1</v>
      </c>
      <c r="CH71" s="85" t="n">
        <v>1</v>
      </c>
      <c r="CI71" s="85" t="n">
        <v>-1</v>
      </c>
      <c r="CJ71" s="85" t="n">
        <v>-1</v>
      </c>
      <c r="CK71" s="85" t="n">
        <v>-1</v>
      </c>
      <c r="CL71" s="85" t="n">
        <v>-1</v>
      </c>
      <c r="CM71" s="85" t="n">
        <v>-1</v>
      </c>
      <c r="CN71" s="85" t="n">
        <v>-1</v>
      </c>
      <c r="CO71" s="85" t="n">
        <v>-1</v>
      </c>
      <c r="CP71" s="85" t="n">
        <v>-1</v>
      </c>
      <c r="CQ71" s="85" t="n">
        <v>-1</v>
      </c>
      <c r="CR71" s="85" t="n">
        <v>-1</v>
      </c>
      <c r="CS71" s="85" t="n">
        <v>-1</v>
      </c>
      <c r="CT71" s="85" t="n">
        <v>-1</v>
      </c>
      <c r="CU71" s="85" t="n">
        <v>-1</v>
      </c>
      <c r="CV71" s="85" t="n">
        <v>-1</v>
      </c>
      <c r="CW71" s="85" t="n">
        <v>-1</v>
      </c>
      <c r="CX71" s="85" t="n">
        <v>-1</v>
      </c>
      <c r="CY71" s="85" t="n">
        <v>-1</v>
      </c>
      <c r="CZ71" s="85" t="n">
        <v>-1</v>
      </c>
      <c r="DA71" s="85" t="n">
        <v>-1</v>
      </c>
      <c r="DB71" s="85" t="n">
        <v>-1</v>
      </c>
      <c r="DC71" s="85" t="n">
        <v>-1</v>
      </c>
      <c r="DD71" s="85" t="n">
        <v>-1</v>
      </c>
      <c r="DE71" s="85" t="n">
        <v>-1</v>
      </c>
      <c r="DF71" s="85" t="n">
        <v>-1</v>
      </c>
      <c r="DG71" s="85" t="n">
        <v>-1</v>
      </c>
      <c r="DH71" s="85" t="n">
        <v>-1</v>
      </c>
      <c r="DI71" s="85" t="n">
        <v>-1</v>
      </c>
      <c r="DJ71" s="85" t="n">
        <v>-1</v>
      </c>
      <c r="DK71" s="85" t="n">
        <v>-1</v>
      </c>
      <c r="DL71" s="85" t="n">
        <v>-1</v>
      </c>
      <c r="DM71" s="85" t="n">
        <v>-1</v>
      </c>
      <c r="DN71" s="85" t="n">
        <v>-1</v>
      </c>
      <c r="DO71" s="85" t="n">
        <v>-1</v>
      </c>
      <c r="DP71" s="85" t="n">
        <v>-1</v>
      </c>
      <c r="DQ71" s="85" t="n">
        <v>-1</v>
      </c>
      <c r="DR71" s="85" t="n">
        <v>-1</v>
      </c>
      <c r="DS71" s="85" t="n">
        <v>-1</v>
      </c>
      <c r="DT71" s="85" t="n">
        <v>-1</v>
      </c>
      <c r="DU71" s="85" t="n">
        <v>-1</v>
      </c>
      <c r="DV71" s="85" t="n">
        <v>1</v>
      </c>
      <c r="DW71" s="85" t="n">
        <v>1</v>
      </c>
      <c r="DX71" s="85" t="n">
        <v>1</v>
      </c>
      <c r="DY71" s="85" t="n">
        <v>1</v>
      </c>
      <c r="DZ71" s="85" t="n">
        <v>-1</v>
      </c>
      <c r="EA71" s="85" t="n">
        <v>-1</v>
      </c>
      <c r="EB71" s="85" t="n">
        <v>-1</v>
      </c>
      <c r="EC71" s="85" t="n">
        <v>-1</v>
      </c>
      <c r="ED71" s="85" t="n">
        <v>-1</v>
      </c>
      <c r="EE71" s="85" t="n">
        <v>-1</v>
      </c>
      <c r="EF71" s="85" t="n">
        <v>-1</v>
      </c>
      <c r="EG71" s="85" t="n">
        <v>-1</v>
      </c>
      <c r="EH71" s="85" t="n">
        <v>-1</v>
      </c>
      <c r="EI71" s="85" t="n">
        <v>-1</v>
      </c>
      <c r="EJ71" s="85" t="n">
        <v>-1</v>
      </c>
      <c r="EK71" s="85" t="n">
        <v>-1</v>
      </c>
      <c r="EL71" s="85" t="n">
        <v>-1</v>
      </c>
      <c r="EM71" s="85" t="n">
        <v>-1</v>
      </c>
      <c r="EN71" s="85" t="n">
        <v>-1</v>
      </c>
      <c r="EO71" s="85" t="n">
        <v>-1</v>
      </c>
      <c r="EP71" s="85" t="n">
        <v>-1</v>
      </c>
      <c r="EQ71" s="85" t="n">
        <v>-1</v>
      </c>
      <c r="ER71" s="85" t="n">
        <v>-1</v>
      </c>
      <c r="ES71" s="85" t="n">
        <v>-1</v>
      </c>
      <c r="ET71" s="85" t="n">
        <v>-1</v>
      </c>
      <c r="EU71" s="85" t="n">
        <v>-1</v>
      </c>
      <c r="EV71" s="85" t="n">
        <v>-1</v>
      </c>
      <c r="EW71" s="85" t="n">
        <v>1</v>
      </c>
      <c r="EX71" s="85" t="n">
        <v>1</v>
      </c>
      <c r="EY71" s="85" t="n">
        <v>1</v>
      </c>
      <c r="EZ71" s="85" t="n">
        <v>1</v>
      </c>
      <c r="FA71" s="85" t="n">
        <v>1</v>
      </c>
      <c r="FB71" s="85" t="n">
        <v>1</v>
      </c>
      <c r="FC71" s="85" t="n">
        <v>1</v>
      </c>
      <c r="FD71" s="85" t="n">
        <v>-1</v>
      </c>
      <c r="FE71" s="85" t="n">
        <v>-1</v>
      </c>
      <c r="FF71" s="85" t="n">
        <v>-1</v>
      </c>
      <c r="FG71" s="85" t="n">
        <v>-1</v>
      </c>
      <c r="FH71" s="85" t="n">
        <v>-1</v>
      </c>
      <c r="FI71" s="85" t="n">
        <v>-1</v>
      </c>
      <c r="FJ71" s="85" t="n">
        <v>-1</v>
      </c>
      <c r="FK71" s="85" t="n">
        <v>-1</v>
      </c>
      <c r="FL71" s="85" t="n">
        <v>-1</v>
      </c>
      <c r="FM71" s="85" t="n">
        <v>-1</v>
      </c>
      <c r="FN71" s="85" t="n">
        <v>-1</v>
      </c>
      <c r="FO71" s="85" t="n">
        <v>-1</v>
      </c>
      <c r="FP71" s="85" t="n">
        <v>-1</v>
      </c>
      <c r="FQ71" s="85" t="n">
        <v>-1</v>
      </c>
      <c r="FR71" s="85" t="n">
        <v>-1</v>
      </c>
      <c r="FS71" s="85" t="n">
        <v>-1</v>
      </c>
      <c r="FT71" s="85" t="n">
        <v>-1</v>
      </c>
      <c r="FU71" s="85" t="n">
        <v>-1</v>
      </c>
      <c r="FV71" s="85" t="n">
        <v>-1</v>
      </c>
      <c r="FW71" s="85" t="n">
        <v>-1</v>
      </c>
      <c r="FX71" s="85" t="n">
        <v>-1</v>
      </c>
      <c r="FY71" s="85" t="n">
        <v>-1</v>
      </c>
      <c r="FZ71" s="85" t="n">
        <v>-1</v>
      </c>
      <c r="GA71" s="85" t="n">
        <v>-1</v>
      </c>
      <c r="GB71" s="85" t="n">
        <v>-1</v>
      </c>
      <c r="GC71" s="85" t="n">
        <v>-1</v>
      </c>
      <c r="GD71" s="85" t="n">
        <v>-1</v>
      </c>
      <c r="GE71" s="85" t="n">
        <v>-1</v>
      </c>
      <c r="GF71" s="85" t="n">
        <v>-1</v>
      </c>
      <c r="GG71" s="85" t="n">
        <v>-1</v>
      </c>
      <c r="GH71" s="85" t="n">
        <v>-1</v>
      </c>
      <c r="GI71" s="85" t="n">
        <v>-1</v>
      </c>
      <c r="GJ71" s="85" t="n">
        <v>-1</v>
      </c>
      <c r="GK71" s="85" t="n">
        <v>-1</v>
      </c>
      <c r="GL71" s="85" t="n">
        <v>-1</v>
      </c>
      <c r="GM71" s="85" t="n">
        <v>-1</v>
      </c>
      <c r="GN71" s="85" t="n">
        <v>-1</v>
      </c>
      <c r="GO71" s="85" t="n">
        <v>-1</v>
      </c>
      <c r="GP71" s="85" t="n">
        <v>-1</v>
      </c>
      <c r="GQ71" s="85" t="n">
        <v>-1</v>
      </c>
      <c r="GR71" s="85" t="n">
        <v>-1</v>
      </c>
      <c r="GS71" s="85" t="n">
        <v>1</v>
      </c>
      <c r="GT71" s="85" t="n">
        <v>1</v>
      </c>
      <c r="GU71" s="85" t="n">
        <v>1</v>
      </c>
      <c r="GV71" s="85" t="n">
        <v>-1</v>
      </c>
      <c r="GW71" s="85" t="n">
        <v>-1</v>
      </c>
      <c r="GX71" s="85" t="n">
        <v>-1</v>
      </c>
      <c r="GY71" s="85" t="n">
        <v>-1</v>
      </c>
      <c r="GZ71" s="85" t="n">
        <v>-1</v>
      </c>
      <c r="HA71" s="85" t="n">
        <v>-1</v>
      </c>
      <c r="HB71" s="85" t="n">
        <v>-1</v>
      </c>
      <c r="HC71" t="n">
        <v>-1</v>
      </c>
      <c r="HD71" t="n">
        <v>-1</v>
      </c>
      <c r="HE71" t="n">
        <v>-1</v>
      </c>
      <c r="HF71" t="n">
        <v>-1</v>
      </c>
      <c r="HG71" t="n">
        <v>-1</v>
      </c>
      <c r="HH71" t="n">
        <v>-1</v>
      </c>
      <c r="HI71" t="n">
        <v>-1</v>
      </c>
      <c r="HJ71" t="n">
        <v>-1</v>
      </c>
      <c r="HK71" t="n">
        <v>-1</v>
      </c>
    </row>
    <row r="72">
      <c r="A72" s="85" t="s">
        <v>2580</v>
      </c>
      <c r="B72" s="85" t="n">
        <v>2613.33333333333</v>
      </c>
      <c r="C72" s="85" t="n">
        <v>2648.33333333333</v>
      </c>
      <c r="D72" s="85" t="n">
        <v>2681.66666666667</v>
      </c>
      <c r="E72" s="85" t="n">
        <v>2716.33333333333</v>
      </c>
      <c r="F72" s="85" t="n">
        <v>2719.33333333333</v>
      </c>
      <c r="G72" s="85" t="n">
        <v>2739.66666666667</v>
      </c>
      <c r="H72" s="85" t="n">
        <v>2751.66666666667</v>
      </c>
      <c r="I72" s="85" t="n">
        <v>2781</v>
      </c>
      <c r="J72" s="85" t="n">
        <v>2815</v>
      </c>
      <c r="K72" s="85" t="n">
        <v>2849</v>
      </c>
      <c r="L72" s="85" t="n">
        <v>2874</v>
      </c>
      <c r="M72" s="85" t="n">
        <v>2901.33333333333</v>
      </c>
      <c r="N72" s="85" t="n">
        <v>2899.66666666667</v>
      </c>
      <c r="O72" s="85" t="n">
        <v>2911.66666666667</v>
      </c>
      <c r="P72" s="85" t="n">
        <v>2926.33333333333</v>
      </c>
      <c r="Q72" s="85" t="n">
        <v>2953.33333333333</v>
      </c>
      <c r="R72" s="85" t="n">
        <v>2988.66666666667</v>
      </c>
      <c r="S72" s="85" t="n">
        <v>3018</v>
      </c>
      <c r="T72" s="85" t="n">
        <v>3048.33333333333</v>
      </c>
      <c r="U72" s="85" t="n">
        <v>3099</v>
      </c>
      <c r="V72" s="85" t="n">
        <v>3161.66666666667</v>
      </c>
      <c r="W72" s="85" t="n">
        <v>3177.33333333333</v>
      </c>
      <c r="X72" s="85" t="n">
        <v>3178</v>
      </c>
      <c r="Y72" s="85" t="n">
        <v>3197.33333333333</v>
      </c>
      <c r="Z72" s="85" t="n">
        <v>3214.33333333333</v>
      </c>
      <c r="AA72" s="85" t="n">
        <v>3241.66666666667</v>
      </c>
      <c r="AB72" s="85" t="n">
        <v>3290.66666666667</v>
      </c>
      <c r="AC72" s="85" t="n">
        <v>3342</v>
      </c>
      <c r="AD72" s="85" t="n">
        <v>3341.33333333333</v>
      </c>
      <c r="AE72" s="85" t="n">
        <v>3374.66666666667</v>
      </c>
      <c r="AF72" s="85" t="n">
        <v>3385</v>
      </c>
      <c r="AG72" s="85" t="n">
        <v>3404.66666666667</v>
      </c>
      <c r="AH72" s="85" t="n">
        <v>3442.33333333333</v>
      </c>
      <c r="AI72" s="85" t="n">
        <v>3479</v>
      </c>
      <c r="AJ72" s="85" t="n">
        <v>3477.33333333333</v>
      </c>
      <c r="AK72" s="85" t="n">
        <v>3494</v>
      </c>
      <c r="AL72" s="85" t="n">
        <v>3504.33333333333</v>
      </c>
      <c r="AM72" s="85" t="n">
        <v>3518</v>
      </c>
      <c r="AN72" s="85" t="n">
        <v>3560.66666666667</v>
      </c>
      <c r="AO72" s="85" t="n">
        <v>3579.33333333333</v>
      </c>
      <c r="AP72" s="85" t="n">
        <v>3582</v>
      </c>
      <c r="AQ72" s="85" t="n">
        <v>3602.66666666667</v>
      </c>
      <c r="AR72" s="85" t="n">
        <v>3624</v>
      </c>
      <c r="AS72" s="85" t="n">
        <v>3630.66666666667</v>
      </c>
      <c r="AT72" s="85" t="n">
        <v>3636</v>
      </c>
      <c r="AU72" s="85" t="n">
        <v>3631.66666666667</v>
      </c>
      <c r="AV72" s="85" t="n">
        <v>3640</v>
      </c>
      <c r="AW72" s="85" t="n">
        <v>3653</v>
      </c>
      <c r="AX72" s="85" t="n">
        <v>3645.66666666667</v>
      </c>
      <c r="AY72" s="85" t="n">
        <v>3647.33333333333</v>
      </c>
      <c r="AZ72" s="85" t="n">
        <v>3625.66666666667</v>
      </c>
      <c r="BA72" s="85" t="n">
        <v>3640.33333333333</v>
      </c>
      <c r="BB72" s="85" t="n">
        <v>3650.33333333333</v>
      </c>
      <c r="BC72" s="85" t="n">
        <v>3656</v>
      </c>
      <c r="BD72" s="85" t="n">
        <v>3671.33333333333</v>
      </c>
      <c r="BE72" s="85" t="n">
        <v>3671.66666666667</v>
      </c>
      <c r="BF72" s="85" t="n">
        <v>3687</v>
      </c>
      <c r="BG72" s="85" t="n">
        <v>3720</v>
      </c>
      <c r="BH72" s="85" t="n">
        <v>3758</v>
      </c>
      <c r="BI72" s="85" t="n">
        <v>3773</v>
      </c>
      <c r="BJ72" s="85" t="n">
        <v>3798.33333333333</v>
      </c>
      <c r="BK72" s="85" t="n">
        <v>3819.33333333333</v>
      </c>
      <c r="BL72" s="85" t="n">
        <v>3844.33333333333</v>
      </c>
      <c r="BM72" s="85" t="n">
        <v>3864.33333333333</v>
      </c>
      <c r="BN72" s="85" t="n">
        <v>3872.33333333333</v>
      </c>
      <c r="BO72" s="85" t="n">
        <v>3883</v>
      </c>
      <c r="BP72" s="85" t="n">
        <v>3889.33333333333</v>
      </c>
      <c r="BQ72" s="85" t="n">
        <v>3926.66666666667</v>
      </c>
      <c r="BR72" s="85" t="n">
        <v>3943.66666666667</v>
      </c>
      <c r="BS72" s="85" t="n">
        <v>3953</v>
      </c>
      <c r="BT72" s="85" t="n">
        <v>3969</v>
      </c>
      <c r="BU72" s="85" t="n">
        <v>4000.66666666667</v>
      </c>
      <c r="BV72" s="85" t="n">
        <v>4030.66666666667</v>
      </c>
      <c r="BW72" s="85" t="n">
        <v>4065.33333333333</v>
      </c>
      <c r="BX72" s="85" t="n">
        <v>4094.33333333333</v>
      </c>
      <c r="BY72" s="85" t="n">
        <v>4114.66666666667</v>
      </c>
      <c r="BZ72" s="85" t="n">
        <v>4135.66666666667</v>
      </c>
      <c r="CA72" s="85" t="n">
        <v>4169</v>
      </c>
      <c r="CB72" s="85" t="n">
        <v>4201.33333333333</v>
      </c>
      <c r="CC72" s="85" t="n">
        <v>4221</v>
      </c>
      <c r="CD72" s="85" t="n">
        <v>4258</v>
      </c>
      <c r="CE72" s="85" t="n">
        <v>4295.66666666667</v>
      </c>
      <c r="CF72" s="85" t="n">
        <v>4322.66666666667</v>
      </c>
      <c r="CG72" s="85" t="n">
        <v>4342.66666666667</v>
      </c>
      <c r="CH72" s="85" t="n">
        <v>4358</v>
      </c>
      <c r="CI72" s="85" t="n">
        <v>4362.33333333333</v>
      </c>
      <c r="CJ72" s="85" t="n">
        <v>4345</v>
      </c>
      <c r="CK72" s="85" t="n">
        <v>4354.33333333333</v>
      </c>
      <c r="CL72" s="85" t="n">
        <v>4372</v>
      </c>
      <c r="CM72" s="85" t="n">
        <v>4395.66666666667</v>
      </c>
      <c r="CN72" s="85" t="n">
        <v>4425.33333333333</v>
      </c>
      <c r="CO72" s="85" t="n">
        <v>4438</v>
      </c>
      <c r="CP72" s="85" t="n">
        <v>4456</v>
      </c>
      <c r="CQ72" s="85" t="n">
        <v>4478</v>
      </c>
      <c r="CR72" s="85" t="n">
        <v>4496</v>
      </c>
      <c r="CS72" s="85" t="n">
        <v>4515</v>
      </c>
      <c r="CT72" s="85" t="n">
        <v>4523.66666666667</v>
      </c>
      <c r="CU72" s="85" t="n">
        <v>4555.33333333333</v>
      </c>
      <c r="CV72" s="85" t="n">
        <v>4600</v>
      </c>
      <c r="CW72" s="85" t="n">
        <v>4626.33333333333</v>
      </c>
      <c r="CX72" s="85" t="n">
        <v>4649.66666666667</v>
      </c>
      <c r="CY72" s="85" t="n">
        <v>4643</v>
      </c>
      <c r="CZ72" s="85" t="n">
        <v>4623.66666666667</v>
      </c>
      <c r="DA72" s="85" t="n">
        <v>4624.66666666667</v>
      </c>
      <c r="DB72" s="85" t="n">
        <v>4621.33333333333</v>
      </c>
      <c r="DC72" s="85" t="n">
        <v>4618.33333333333</v>
      </c>
      <c r="DD72" s="85" t="n">
        <v>4600.33333333333</v>
      </c>
      <c r="DE72" s="85" t="n">
        <v>4581.33333333333</v>
      </c>
      <c r="DF72" s="85" t="n">
        <v>4574.33333333333</v>
      </c>
      <c r="DG72" s="85" t="n">
        <v>4577</v>
      </c>
      <c r="DH72" s="85" t="n">
        <v>4589</v>
      </c>
      <c r="DI72" s="85" t="n">
        <v>4583</v>
      </c>
      <c r="DJ72" s="85" t="n">
        <v>4578</v>
      </c>
      <c r="DK72" s="85" t="n">
        <v>4596.66666666667</v>
      </c>
      <c r="DL72" s="85" t="n">
        <v>4631.66666666667</v>
      </c>
      <c r="DM72" s="85" t="n">
        <v>4640.66666666667</v>
      </c>
      <c r="DN72" s="85" t="n">
        <v>4669</v>
      </c>
      <c r="DO72" s="85" t="n">
        <v>4688.33333333333</v>
      </c>
      <c r="DP72" s="85" t="n">
        <v>4717.33333333333</v>
      </c>
      <c r="DQ72" s="85" t="n">
        <v>4757.33333333333</v>
      </c>
      <c r="DR72" s="85" t="n">
        <v>4768</v>
      </c>
      <c r="DS72" s="85" t="n">
        <v>4779.33333333333</v>
      </c>
      <c r="DT72" s="85" t="n">
        <v>4793.33333333333</v>
      </c>
      <c r="DU72" s="85" t="n">
        <v>4809</v>
      </c>
      <c r="DV72" s="85" t="n">
        <v>4832</v>
      </c>
      <c r="DW72" s="85" t="n">
        <v>4877.66666666667</v>
      </c>
      <c r="DX72" s="85" t="n">
        <v>4936.66666666667</v>
      </c>
      <c r="DY72" s="85" t="n">
        <v>4977.33333333333</v>
      </c>
      <c r="DZ72" s="85" t="n">
        <v>5004.33333333333</v>
      </c>
      <c r="EA72" s="85" t="n">
        <v>5039</v>
      </c>
      <c r="EB72" s="85" t="n">
        <v>5052.66666666667</v>
      </c>
      <c r="EC72" s="85" t="n">
        <v>5020.66666666667</v>
      </c>
      <c r="ED72" s="85" t="n">
        <v>5029.33333333333</v>
      </c>
      <c r="EE72" s="85" t="n">
        <v>5007.66666666667</v>
      </c>
      <c r="EF72" s="85" t="n">
        <v>4978.66666666667</v>
      </c>
      <c r="EG72" s="85" t="n">
        <v>4985.33333333333</v>
      </c>
      <c r="EH72" s="85" t="n">
        <v>4968.33333333333</v>
      </c>
      <c r="EI72" s="85" t="n">
        <v>4974</v>
      </c>
      <c r="EJ72" s="85" t="n">
        <v>4984</v>
      </c>
      <c r="EK72" s="85" t="n">
        <v>4995.33333333333</v>
      </c>
      <c r="EL72" s="85" t="n">
        <v>5015.66666666667</v>
      </c>
      <c r="EM72" s="85" t="n">
        <v>5023.33333333333</v>
      </c>
      <c r="EN72" s="85" t="n">
        <v>5039.33333333333</v>
      </c>
      <c r="EO72" s="85" t="n">
        <v>5047.66666666667</v>
      </c>
      <c r="EP72" s="85" t="n">
        <v>5047</v>
      </c>
      <c r="EQ72" s="85" t="n">
        <v>5068.33333333333</v>
      </c>
      <c r="ER72" s="85" t="n">
        <v>5086</v>
      </c>
      <c r="ES72" s="85" t="n">
        <v>5098.33333333333</v>
      </c>
      <c r="ET72" s="85" t="n">
        <v>5106.33333333333</v>
      </c>
      <c r="EU72" s="85" t="n">
        <v>5124.33333333333</v>
      </c>
      <c r="EV72" s="85" t="n">
        <v>5122</v>
      </c>
      <c r="EW72" s="85" t="n">
        <v>5136</v>
      </c>
      <c r="EX72" s="85" t="n">
        <v>5148.66666666667</v>
      </c>
      <c r="EY72" s="85" t="n">
        <v>5166</v>
      </c>
      <c r="EZ72" s="85" t="n">
        <v>5196.33333333333</v>
      </c>
      <c r="FA72" s="85" t="n">
        <v>5189</v>
      </c>
      <c r="FB72" s="85" t="n">
        <v>5192</v>
      </c>
      <c r="FC72" s="85" t="n">
        <v>5181.66666666667</v>
      </c>
      <c r="FD72" s="85" t="n">
        <v>5145.33333333333</v>
      </c>
      <c r="FE72" s="85" t="n">
        <v>5153.33333333333</v>
      </c>
      <c r="FF72" s="85" t="n">
        <v>5144</v>
      </c>
      <c r="FG72" s="85" t="n">
        <v>5136.66666666667</v>
      </c>
      <c r="FH72" s="85" t="n">
        <v>5129.33333333333</v>
      </c>
      <c r="FI72" s="85" t="n">
        <v>5137</v>
      </c>
      <c r="FJ72" s="85" t="n">
        <v>5113.33333333333</v>
      </c>
      <c r="FK72" s="85" t="n">
        <v>5084.33333333333</v>
      </c>
      <c r="FL72" s="85" t="n">
        <v>5069.66666666667</v>
      </c>
      <c r="FM72" s="85" t="n">
        <v>5051</v>
      </c>
      <c r="FN72" s="85" t="n">
        <v>5048</v>
      </c>
      <c r="FO72" s="85" t="n">
        <v>5055.33333333333</v>
      </c>
      <c r="FP72" s="85" t="n">
        <v>5064.66666666667</v>
      </c>
      <c r="FQ72" s="85" t="n">
        <v>5051.66666666667</v>
      </c>
      <c r="FR72" s="85" t="n">
        <v>5042</v>
      </c>
      <c r="FS72" s="85" t="n">
        <v>5044.66666666667</v>
      </c>
      <c r="FT72" s="85" t="n">
        <v>5040</v>
      </c>
      <c r="FU72" s="85" t="n">
        <v>5055.33333333333</v>
      </c>
      <c r="FV72" s="85" t="n">
        <v>5054.66666666667</v>
      </c>
      <c r="FW72" s="85" t="n">
        <v>5054.66666666667</v>
      </c>
      <c r="FX72" s="85" t="n">
        <v>5030.66666666667</v>
      </c>
      <c r="FY72" s="85" t="n">
        <v>5052.66666666667</v>
      </c>
      <c r="FZ72" s="85" t="n">
        <v>5067.66666666667</v>
      </c>
      <c r="GA72" s="85" t="n">
        <v>5072.33333333333</v>
      </c>
      <c r="GB72" s="85" t="n">
        <v>5077.66666666667</v>
      </c>
      <c r="GC72" s="85" t="n">
        <v>5087.33333333333</v>
      </c>
      <c r="GD72" s="85" t="n">
        <v>5089</v>
      </c>
      <c r="GE72" s="85" t="n">
        <v>5098.66666666667</v>
      </c>
      <c r="GF72" s="85" t="n">
        <v>5126.66666666667</v>
      </c>
      <c r="GG72" s="85" t="n">
        <v>5135.33333333333</v>
      </c>
      <c r="GH72" s="85" t="n">
        <v>5159.66666666667</v>
      </c>
      <c r="GI72" s="85" t="n">
        <v>5174.66666666667</v>
      </c>
      <c r="GJ72" s="85" t="n">
        <v>5163.66666666667</v>
      </c>
      <c r="GK72" s="85" t="n">
        <v>5157.33333333333</v>
      </c>
      <c r="GL72" s="85" t="n">
        <v>5157.33333333333</v>
      </c>
      <c r="GM72" s="85" t="n">
        <v>5176.66666666667</v>
      </c>
      <c r="GN72" s="85" t="n">
        <v>5177.33333333333</v>
      </c>
      <c r="GO72" s="85" t="n">
        <v>5174.66666666667</v>
      </c>
      <c r="GP72" s="85" t="n">
        <v>5182</v>
      </c>
      <c r="GQ72" s="85" t="n">
        <v>5170.66666666667</v>
      </c>
      <c r="GR72" s="85" t="n">
        <v>5207.66666666667</v>
      </c>
      <c r="GS72" s="85" t="n">
        <v>5246</v>
      </c>
      <c r="GT72" s="85" t="n">
        <v>5285</v>
      </c>
      <c r="GU72" s="85" t="n">
        <v>5077</v>
      </c>
      <c r="GV72" s="85" t="n">
        <v>5093.66666666667</v>
      </c>
      <c r="GW72" s="85" t="n">
        <v>5078</v>
      </c>
      <c r="GX72" s="85" t="n">
        <v>5173.66666666667</v>
      </c>
      <c r="GY72" s="85" t="n">
        <v>5183.66666666667</v>
      </c>
      <c r="GZ72" s="85" t="n">
        <v>5151.66666666667</v>
      </c>
      <c r="HA72" s="85" t="n">
        <v>5126.66666666667</v>
      </c>
      <c r="HB72" s="85" t="n">
        <v>5080.66666666667</v>
      </c>
      <c r="HC72" t="n">
        <v>5093</v>
      </c>
      <c r="HD72" t="n">
        <v>5138.66666666667</v>
      </c>
      <c r="HE72" t="n">
        <v>5145</v>
      </c>
      <c r="HF72" t="n">
        <v>5228</v>
      </c>
      <c r="HG72" t="n">
        <v>5281.33333333333</v>
      </c>
      <c r="HH72" t="n">
        <v>5325.33333333333</v>
      </c>
      <c r="HI72" t="n">
        <v>5387.33333333333</v>
      </c>
      <c r="HJ72" t="n">
        <v>5432.66666666667</v>
      </c>
      <c r="HK72" t="n">
        <v>5437.66666666667</v>
      </c>
    </row>
    <row r="73">
      <c r="A73" s="85" t="s">
        <v>2581</v>
      </c>
      <c r="B73" s="85" t="n">
        <v>7048.66666666667</v>
      </c>
      <c r="C73" s="85" t="n">
        <v>7104.33333333333</v>
      </c>
      <c r="D73" s="85" t="n">
        <v>7204.33333333333</v>
      </c>
      <c r="E73" s="85" t="n">
        <v>7279.33333333333</v>
      </c>
      <c r="F73" s="85" t="n">
        <v>7353.33333333333</v>
      </c>
      <c r="G73" s="85" t="n">
        <v>7419.66666666667</v>
      </c>
      <c r="H73" s="85" t="n">
        <v>7443.66666666667</v>
      </c>
      <c r="I73" s="85" t="n">
        <v>7534</v>
      </c>
      <c r="J73" s="85" t="n">
        <v>7651.66666666667</v>
      </c>
      <c r="K73" s="85" t="n">
        <v>7726.33333333333</v>
      </c>
      <c r="L73" s="85" t="n">
        <v>7855</v>
      </c>
      <c r="M73" s="85" t="n">
        <v>7931.33333333333</v>
      </c>
      <c r="N73" s="85" t="n">
        <v>8016</v>
      </c>
      <c r="O73" s="85" t="n">
        <v>8115</v>
      </c>
      <c r="P73" s="85" t="n">
        <v>8183.66666666667</v>
      </c>
      <c r="Q73" s="85" t="n">
        <v>8272.33333333333</v>
      </c>
      <c r="R73" s="85" t="n">
        <v>8307.66666666667</v>
      </c>
      <c r="S73" s="85" t="n">
        <v>8346.33333333333</v>
      </c>
      <c r="T73" s="85" t="n">
        <v>8424.66666666667</v>
      </c>
      <c r="U73" s="85" t="n">
        <v>8551.33333333333</v>
      </c>
      <c r="V73" s="85" t="n">
        <v>8673</v>
      </c>
      <c r="W73" s="85" t="n">
        <v>8751.33333333333</v>
      </c>
      <c r="X73" s="85" t="n">
        <v>8786.33333333333</v>
      </c>
      <c r="Y73" s="85" t="n">
        <v>8824.66666666667</v>
      </c>
      <c r="Z73" s="85" t="n">
        <v>8883</v>
      </c>
      <c r="AA73" s="85" t="n">
        <v>8868.66666666667</v>
      </c>
      <c r="AB73" s="85" t="n">
        <v>8845</v>
      </c>
      <c r="AC73" s="85" t="n">
        <v>8861</v>
      </c>
      <c r="AD73" s="85" t="n">
        <v>8860.66666666667</v>
      </c>
      <c r="AE73" s="85" t="n">
        <v>8907.33333333333</v>
      </c>
      <c r="AF73" s="85" t="n">
        <v>9099.33333333333</v>
      </c>
      <c r="AG73" s="85" t="n">
        <v>9231</v>
      </c>
      <c r="AH73" s="85" t="n">
        <v>9348.33333333333</v>
      </c>
      <c r="AI73" s="85" t="n">
        <v>9466</v>
      </c>
      <c r="AJ73" s="85" t="n">
        <v>9492.33333333333</v>
      </c>
      <c r="AK73" s="85" t="n">
        <v>9482.66666666667</v>
      </c>
      <c r="AL73" s="85" t="n">
        <v>9531.33333333333</v>
      </c>
      <c r="AM73" s="85" t="n">
        <v>9604.33333333333</v>
      </c>
      <c r="AN73" s="85" t="n">
        <v>9710.66666666667</v>
      </c>
      <c r="AO73" s="85" t="n">
        <v>9697.33333333333</v>
      </c>
      <c r="AP73" s="85" t="n">
        <v>9741.33333333333</v>
      </c>
      <c r="AQ73" s="85" t="n">
        <v>9749.33333333333</v>
      </c>
      <c r="AR73" s="85" t="n">
        <v>9782.33333333333</v>
      </c>
      <c r="AS73" s="85" t="n">
        <v>9793</v>
      </c>
      <c r="AT73" s="85" t="n">
        <v>9750.33333333333</v>
      </c>
      <c r="AU73" s="85" t="n">
        <v>9665</v>
      </c>
      <c r="AV73" s="85" t="n">
        <v>9547.66666666667</v>
      </c>
      <c r="AW73" s="85" t="n">
        <v>9507</v>
      </c>
      <c r="AX73" s="85" t="n">
        <v>9484.33333333333</v>
      </c>
      <c r="AY73" s="85" t="n">
        <v>9495.66666666667</v>
      </c>
      <c r="AZ73" s="85" t="n">
        <v>9409.66666666667</v>
      </c>
      <c r="BA73" s="85" t="n">
        <v>9437</v>
      </c>
      <c r="BB73" s="85" t="n">
        <v>9447.33333333333</v>
      </c>
      <c r="BC73" s="85" t="n">
        <v>9445.33333333333</v>
      </c>
      <c r="BD73" s="85" t="n">
        <v>9433</v>
      </c>
      <c r="BE73" s="85" t="n">
        <v>9401.66666666667</v>
      </c>
      <c r="BF73" s="85" t="n">
        <v>9412</v>
      </c>
      <c r="BG73" s="85" t="n">
        <v>9445.33333333333</v>
      </c>
      <c r="BH73" s="85" t="n">
        <v>9509</v>
      </c>
      <c r="BI73" s="85" t="n">
        <v>9555</v>
      </c>
      <c r="BJ73" s="85" t="n">
        <v>9595.66666666667</v>
      </c>
      <c r="BK73" s="85" t="n">
        <v>9640.33333333333</v>
      </c>
      <c r="BL73" s="85" t="n">
        <v>9746.66666666667</v>
      </c>
      <c r="BM73" s="85" t="n">
        <v>9764.33333333333</v>
      </c>
      <c r="BN73" s="85" t="n">
        <v>9815.33333333333</v>
      </c>
      <c r="BO73" s="85" t="n">
        <v>9854.33333333333</v>
      </c>
      <c r="BP73" s="85" t="n">
        <v>9906.66666666667</v>
      </c>
      <c r="BQ73" s="85" t="n">
        <v>10024.3333333333</v>
      </c>
      <c r="BR73" s="85" t="n">
        <v>10039.3333333333</v>
      </c>
      <c r="BS73" s="85" t="n">
        <v>10083.3333333333</v>
      </c>
      <c r="BT73" s="85" t="n">
        <v>10092.3333333333</v>
      </c>
      <c r="BU73" s="85" t="n">
        <v>10184.6666666667</v>
      </c>
      <c r="BV73" s="85" t="n">
        <v>10250.6666666667</v>
      </c>
      <c r="BW73" s="85" t="n">
        <v>10315.3333333333</v>
      </c>
      <c r="BX73" s="85" t="n">
        <v>10341.6666666667</v>
      </c>
      <c r="BY73" s="85" t="n">
        <v>10446.6666666667</v>
      </c>
      <c r="BZ73" s="85" t="n">
        <v>10510.6666666667</v>
      </c>
      <c r="CA73" s="85" t="n">
        <v>10566.3333333333</v>
      </c>
      <c r="CB73" s="85" t="n">
        <v>10640.6666666667</v>
      </c>
      <c r="CC73" s="85" t="n">
        <v>10719.6666666667</v>
      </c>
      <c r="CD73" s="85" t="n">
        <v>10814</v>
      </c>
      <c r="CE73" s="85" t="n">
        <v>10873</v>
      </c>
      <c r="CF73" s="85" t="n">
        <v>10967.3333333333</v>
      </c>
      <c r="CG73" s="85" t="n">
        <v>11000.3333333333</v>
      </c>
      <c r="CH73" s="85" t="n">
        <v>11027</v>
      </c>
      <c r="CI73" s="85" t="n">
        <v>11057.3333333333</v>
      </c>
      <c r="CJ73" s="85" t="n">
        <v>11099.3333333333</v>
      </c>
      <c r="CK73" s="85" t="n">
        <v>11139.3333333333</v>
      </c>
      <c r="CL73" s="85" t="n">
        <v>11199</v>
      </c>
      <c r="CM73" s="85" t="n">
        <v>11238</v>
      </c>
      <c r="CN73" s="85" t="n">
        <v>11306.6666666667</v>
      </c>
      <c r="CO73" s="85" t="n">
        <v>11319.6666666667</v>
      </c>
      <c r="CP73" s="85" t="n">
        <v>11366.6666666667</v>
      </c>
      <c r="CQ73" s="85" t="n">
        <v>11407.6666666667</v>
      </c>
      <c r="CR73" s="85" t="n">
        <v>11483</v>
      </c>
      <c r="CS73" s="85" t="n">
        <v>11520.6666666667</v>
      </c>
      <c r="CT73" s="85" t="n">
        <v>11591.3333333333</v>
      </c>
      <c r="CU73" s="85" t="n">
        <v>11672.3333333333</v>
      </c>
      <c r="CV73" s="85" t="n">
        <v>11710.3333333333</v>
      </c>
      <c r="CW73" s="85" t="n">
        <v>11752</v>
      </c>
      <c r="CX73" s="85" t="n">
        <v>11791.3333333333</v>
      </c>
      <c r="CY73" s="85" t="n">
        <v>11828.6666666667</v>
      </c>
      <c r="CZ73" s="85" t="n">
        <v>11868</v>
      </c>
      <c r="DA73" s="85" t="n">
        <v>11923</v>
      </c>
      <c r="DB73" s="85" t="n">
        <v>11966</v>
      </c>
      <c r="DC73" s="85" t="n">
        <v>12017.3333333333</v>
      </c>
      <c r="DD73" s="85" t="n">
        <v>12067</v>
      </c>
      <c r="DE73" s="85" t="n">
        <v>12139</v>
      </c>
      <c r="DF73" s="85" t="n">
        <v>12185.6666666667</v>
      </c>
      <c r="DG73" s="85" t="n">
        <v>12229.6666666667</v>
      </c>
      <c r="DH73" s="85" t="n">
        <v>12296</v>
      </c>
      <c r="DI73" s="85" t="n">
        <v>12380</v>
      </c>
      <c r="DJ73" s="85" t="n">
        <v>12437.3333333333</v>
      </c>
      <c r="DK73" s="85" t="n">
        <v>12501.3333333333</v>
      </c>
      <c r="DL73" s="85" t="n">
        <v>12553.3333333333</v>
      </c>
      <c r="DM73" s="85" t="n">
        <v>12616.3333333333</v>
      </c>
      <c r="DN73" s="85" t="n">
        <v>12694.6666666667</v>
      </c>
      <c r="DO73" s="85" t="n">
        <v>12783.3333333333</v>
      </c>
      <c r="DP73" s="85" t="n">
        <v>12887.3333333333</v>
      </c>
      <c r="DQ73" s="85" t="n">
        <v>12972.3333333333</v>
      </c>
      <c r="DR73" s="85" t="n">
        <v>13050.3333333333</v>
      </c>
      <c r="DS73" s="85" t="n">
        <v>13113</v>
      </c>
      <c r="DT73" s="85" t="n">
        <v>13168</v>
      </c>
      <c r="DU73" s="85" t="n">
        <v>13220.6666666667</v>
      </c>
      <c r="DV73" s="85" t="n">
        <v>13310</v>
      </c>
      <c r="DW73" s="85" t="n">
        <v>13410.6666666667</v>
      </c>
      <c r="DX73" s="85" t="n">
        <v>13500.6666666667</v>
      </c>
      <c r="DY73" s="85" t="n">
        <v>13583.6666666667</v>
      </c>
      <c r="DZ73" s="85" t="n">
        <v>13639</v>
      </c>
      <c r="EA73" s="85" t="n">
        <v>13699.3333333333</v>
      </c>
      <c r="EB73" s="85" t="n">
        <v>13744.6666666667</v>
      </c>
      <c r="EC73" s="85" t="n">
        <v>13775</v>
      </c>
      <c r="ED73" s="85" t="n">
        <v>13801</v>
      </c>
      <c r="EE73" s="85" t="n">
        <v>13820</v>
      </c>
      <c r="EF73" s="85" t="n">
        <v>13832.3333333333</v>
      </c>
      <c r="EG73" s="85" t="n">
        <v>13824.3333333333</v>
      </c>
      <c r="EH73" s="85" t="n">
        <v>13859</v>
      </c>
      <c r="EI73" s="85" t="n">
        <v>13898</v>
      </c>
      <c r="EJ73" s="85" t="n">
        <v>13909.3333333333</v>
      </c>
      <c r="EK73" s="85" t="n">
        <v>13958.6666666667</v>
      </c>
      <c r="EL73" s="85" t="n">
        <v>13994.6666666667</v>
      </c>
      <c r="EM73" s="85" t="n">
        <v>14012</v>
      </c>
      <c r="EN73" s="85" t="n">
        <v>14085.3333333333</v>
      </c>
      <c r="EO73" s="85" t="n">
        <v>14072.3333333333</v>
      </c>
      <c r="EP73" s="85" t="n">
        <v>14098</v>
      </c>
      <c r="EQ73" s="85" t="n">
        <v>14119.6666666667</v>
      </c>
      <c r="ER73" s="85" t="n">
        <v>14201</v>
      </c>
      <c r="ES73" s="85" t="n">
        <v>14251.3333333333</v>
      </c>
      <c r="ET73" s="85" t="n">
        <v>14287.3333333333</v>
      </c>
      <c r="EU73" s="85" t="n">
        <v>14336</v>
      </c>
      <c r="EV73" s="85" t="n">
        <v>14369.3333333333</v>
      </c>
      <c r="EW73" s="85" t="n">
        <v>14455</v>
      </c>
      <c r="EX73" s="85" t="n">
        <v>14521.6666666667</v>
      </c>
      <c r="EY73" s="85" t="n">
        <v>14560.3333333333</v>
      </c>
      <c r="EZ73" s="85" t="n">
        <v>14594</v>
      </c>
      <c r="FA73" s="85" t="n">
        <v>14591</v>
      </c>
      <c r="FB73" s="85" t="n">
        <v>14587</v>
      </c>
      <c r="FC73" s="85" t="n">
        <v>14576.3333333333</v>
      </c>
      <c r="FD73" s="85" t="n">
        <v>14532</v>
      </c>
      <c r="FE73" s="85" t="n">
        <v>14521</v>
      </c>
      <c r="FF73" s="85" t="n">
        <v>14466</v>
      </c>
      <c r="FG73" s="85" t="n">
        <v>14434</v>
      </c>
      <c r="FH73" s="85" t="n">
        <v>14327.6666666667</v>
      </c>
      <c r="FI73" s="85" t="n">
        <v>14279</v>
      </c>
      <c r="FJ73" s="85" t="n">
        <v>14232.6666666667</v>
      </c>
      <c r="FK73" s="85" t="n">
        <v>14207.6666666667</v>
      </c>
      <c r="FL73" s="85" t="n">
        <v>14094</v>
      </c>
      <c r="FM73" s="85" t="n">
        <v>14080.6666666667</v>
      </c>
      <c r="FN73" s="85" t="n">
        <v>14067.6666666667</v>
      </c>
      <c r="FO73" s="85" t="n">
        <v>14044.3333333333</v>
      </c>
      <c r="FP73" s="85" t="n">
        <v>14034.3333333333</v>
      </c>
      <c r="FQ73" s="85" t="n">
        <v>14026.3333333333</v>
      </c>
      <c r="FR73" s="85" t="n">
        <v>14029.3333333333</v>
      </c>
      <c r="FS73" s="85" t="n">
        <v>14033</v>
      </c>
      <c r="FT73" s="85" t="n">
        <v>14031</v>
      </c>
      <c r="FU73" s="85" t="n">
        <v>14033.6666666667</v>
      </c>
      <c r="FV73" s="85" t="n">
        <v>14037.6666666667</v>
      </c>
      <c r="FW73" s="85" t="n">
        <v>14077</v>
      </c>
      <c r="FX73" s="85" t="n">
        <v>14120</v>
      </c>
      <c r="FY73" s="85" t="n">
        <v>14140</v>
      </c>
      <c r="FZ73" s="85" t="n">
        <v>14155</v>
      </c>
      <c r="GA73" s="85" t="n">
        <v>14181.6666666667</v>
      </c>
      <c r="GB73" s="85" t="n">
        <v>14214</v>
      </c>
      <c r="GC73" s="85" t="n">
        <v>14223.6666666667</v>
      </c>
      <c r="GD73" s="85" t="n">
        <v>14277</v>
      </c>
      <c r="GE73" s="85" t="n">
        <v>14297.6666666667</v>
      </c>
      <c r="GF73" s="85" t="n">
        <v>14369</v>
      </c>
      <c r="GG73" s="85" t="n">
        <v>14351</v>
      </c>
      <c r="GH73" s="85" t="n">
        <v>14352.3333333333</v>
      </c>
      <c r="GI73" s="85" t="n">
        <v>14369</v>
      </c>
      <c r="GJ73" s="85" t="n">
        <v>14373</v>
      </c>
      <c r="GK73" s="85" t="n">
        <v>14421.6666666667</v>
      </c>
      <c r="GL73" s="85" t="n">
        <v>14457.3333333333</v>
      </c>
      <c r="GM73" s="85" t="n">
        <v>14484.6666666667</v>
      </c>
      <c r="GN73" s="85" t="n">
        <v>14480.3333333333</v>
      </c>
      <c r="GO73" s="85" t="n">
        <v>14505.6666666667</v>
      </c>
      <c r="GP73" s="85" t="n">
        <v>14542.3333333333</v>
      </c>
      <c r="GQ73" s="85" t="n">
        <v>14594.6666666667</v>
      </c>
      <c r="GR73" s="85" t="n">
        <v>14564</v>
      </c>
      <c r="GS73" s="85" t="n">
        <v>14617</v>
      </c>
      <c r="GT73" s="85" t="n">
        <v>14685</v>
      </c>
      <c r="GU73" s="85" t="n">
        <v>13623.3333333333</v>
      </c>
      <c r="GV73" s="85" t="n">
        <v>13664</v>
      </c>
      <c r="GW73" s="85" t="n">
        <v>13706.3333333333</v>
      </c>
      <c r="GX73" s="85" t="n">
        <v>13753.3333333333</v>
      </c>
      <c r="GY73" s="85" t="n">
        <v>13875</v>
      </c>
      <c r="GZ73" s="85" t="n">
        <v>14041</v>
      </c>
      <c r="HA73" s="85" t="n">
        <v>14037.6666666667</v>
      </c>
      <c r="HB73" s="85" t="n">
        <v>14100.3333333333</v>
      </c>
      <c r="HC73" t="n">
        <v>14151.3333333333</v>
      </c>
      <c r="HD73" t="n">
        <v>14266</v>
      </c>
      <c r="HE73" t="n">
        <v>14325</v>
      </c>
      <c r="HF73" t="n">
        <v>14429.6666666667</v>
      </c>
      <c r="HG73" t="n">
        <v>14508.6666666667</v>
      </c>
      <c r="HH73" t="n">
        <v>14587</v>
      </c>
      <c r="HI73" t="n">
        <v>14672.6666666667</v>
      </c>
      <c r="HJ73" t="n">
        <v>14783.3333333333</v>
      </c>
      <c r="HK73" t="n">
        <v>14850.6666666667</v>
      </c>
    </row>
    <row r="74">
      <c r="A74" s="85" t="s">
        <v>2582</v>
      </c>
      <c r="B74" s="85" t="n">
        <v>23545.6666666667</v>
      </c>
      <c r="C74" s="85" t="n">
        <v>24037</v>
      </c>
      <c r="D74" s="85" t="n">
        <v>25485.6666666667</v>
      </c>
      <c r="E74" s="85" t="n">
        <v>25754.6666666667</v>
      </c>
      <c r="F74" s="85" t="n">
        <v>25713</v>
      </c>
      <c r="G74" s="85" t="n">
        <v>25998.6666666667</v>
      </c>
      <c r="H74" s="85" t="n">
        <v>25691</v>
      </c>
      <c r="I74" s="85" t="n">
        <v>26178.6666666667</v>
      </c>
      <c r="J74" s="85" t="n">
        <v>25519</v>
      </c>
      <c r="K74" s="85" t="n">
        <v>24875</v>
      </c>
      <c r="L74" s="85" t="n">
        <v>25641</v>
      </c>
      <c r="M74" s="85" t="n">
        <v>27114.3333333333</v>
      </c>
      <c r="N74" s="85" t="n">
        <v>27472.6666666667</v>
      </c>
      <c r="O74" s="85" t="n">
        <v>27079.3333333333</v>
      </c>
      <c r="P74" s="85" t="n">
        <v>27510</v>
      </c>
      <c r="Q74" s="85" t="n">
        <v>28620</v>
      </c>
      <c r="R74" s="85" t="n">
        <v>30923.6666666667</v>
      </c>
      <c r="S74" s="85" t="n">
        <v>33400.6666666667</v>
      </c>
      <c r="T74" s="85" t="n">
        <v>33701.6666666667</v>
      </c>
      <c r="U74" s="85" t="n">
        <v>33884</v>
      </c>
      <c r="V74" s="85" t="n">
        <v>37820.3333333333</v>
      </c>
      <c r="W74" s="85" t="n">
        <v>35429.6666666667</v>
      </c>
      <c r="X74" s="85" t="n">
        <v>36988.3333333333</v>
      </c>
      <c r="Y74" s="85" t="n">
        <v>39554</v>
      </c>
      <c r="Z74" s="85" t="n">
        <v>42554</v>
      </c>
      <c r="AA74" s="85" t="n">
        <v>38830.6666666667</v>
      </c>
      <c r="AB74" s="85" t="n">
        <v>36130</v>
      </c>
      <c r="AC74" s="85" t="n">
        <v>34359.6666666667</v>
      </c>
      <c r="AD74" s="85" t="n">
        <v>36034</v>
      </c>
      <c r="AE74" s="85" t="n">
        <v>37037.6666666667</v>
      </c>
      <c r="AF74" s="85" t="n">
        <v>35666.3333333333</v>
      </c>
      <c r="AG74" s="85" t="n">
        <v>35160</v>
      </c>
      <c r="AH74" s="85" t="n">
        <v>34095.3333333333</v>
      </c>
      <c r="AI74" s="85" t="n">
        <v>41889.6666666667</v>
      </c>
      <c r="AJ74" s="85" t="n">
        <v>43760.6666666667</v>
      </c>
      <c r="AK74" s="85" t="n">
        <v>45015.3333333333</v>
      </c>
      <c r="AL74" s="85" t="n">
        <v>40794</v>
      </c>
      <c r="AM74" s="85" t="n">
        <v>45875.3333333333</v>
      </c>
      <c r="AN74" s="85" t="n">
        <v>49343.6666666667</v>
      </c>
      <c r="AO74" s="85" t="n">
        <v>52609</v>
      </c>
      <c r="AP74" s="85" t="n">
        <v>55934.3333333333</v>
      </c>
      <c r="AQ74" s="85" t="n">
        <v>54112</v>
      </c>
      <c r="AR74" s="85" t="n">
        <v>52797</v>
      </c>
      <c r="AS74" s="85" t="n">
        <v>54381</v>
      </c>
      <c r="AT74" s="85" t="n">
        <v>60484</v>
      </c>
      <c r="AU74" s="85" t="n">
        <v>53862</v>
      </c>
      <c r="AV74" s="85" t="n">
        <v>52044</v>
      </c>
      <c r="AW74" s="85" t="n">
        <v>54313.6666666667</v>
      </c>
      <c r="AX74" s="85" t="n">
        <v>51944</v>
      </c>
      <c r="AY74" s="85" t="n">
        <v>52182.6666666667</v>
      </c>
      <c r="AZ74" s="85" t="n">
        <v>52486.3333333333</v>
      </c>
      <c r="BA74" s="85" t="n">
        <v>54765.3333333333</v>
      </c>
      <c r="BB74" s="85" t="n">
        <v>52678.3333333333</v>
      </c>
      <c r="BC74" s="85" t="n">
        <v>51386</v>
      </c>
      <c r="BD74" s="85" t="n">
        <v>53662.3333333333</v>
      </c>
      <c r="BE74" s="85" t="n">
        <v>53249</v>
      </c>
      <c r="BF74" s="85" t="n">
        <v>55752.3333333333</v>
      </c>
      <c r="BG74" s="85" t="n">
        <v>57382.6666666667</v>
      </c>
      <c r="BH74" s="85" t="n">
        <v>59910.3333333333</v>
      </c>
      <c r="BI74" s="85" t="n">
        <v>60890.6666666667</v>
      </c>
      <c r="BJ74" s="85" t="n">
        <v>62514.6666666667</v>
      </c>
      <c r="BK74" s="85" t="n">
        <v>65739.3333333333</v>
      </c>
      <c r="BL74" s="85" t="n">
        <v>67220</v>
      </c>
      <c r="BM74" s="85" t="n">
        <v>66558.3333333333</v>
      </c>
      <c r="BN74" s="85" t="n">
        <v>70815.3333333333</v>
      </c>
      <c r="BO74" s="85" t="n">
        <v>72215.3333333333</v>
      </c>
      <c r="BP74" s="85" t="n">
        <v>73843.3333333333</v>
      </c>
      <c r="BQ74" s="85" t="n">
        <v>71122.6666666667</v>
      </c>
      <c r="BR74" s="85" t="n">
        <v>75290</v>
      </c>
      <c r="BS74" s="85" t="n">
        <v>75025.6666666667</v>
      </c>
      <c r="BT74" s="85" t="n">
        <v>77047</v>
      </c>
      <c r="BU74" s="85" t="n">
        <v>78058</v>
      </c>
      <c r="BV74" s="85" t="n">
        <v>79349.6666666667</v>
      </c>
      <c r="BW74" s="85" t="n">
        <v>83348</v>
      </c>
      <c r="BX74" s="85" t="n">
        <v>82022.6666666667</v>
      </c>
      <c r="BY74" s="85" t="n">
        <v>84604</v>
      </c>
      <c r="BZ74" s="85" t="n">
        <v>83566.6666666667</v>
      </c>
      <c r="CA74" s="85" t="n">
        <v>85684</v>
      </c>
      <c r="CB74" s="85" t="n">
        <v>85730.3333333333</v>
      </c>
      <c r="CC74" s="85" t="n">
        <v>89358.3333333333</v>
      </c>
      <c r="CD74" s="85" t="n">
        <v>94388.3333333333</v>
      </c>
      <c r="CE74" s="85" t="n">
        <v>93807</v>
      </c>
      <c r="CF74" s="85" t="n">
        <v>94972</v>
      </c>
      <c r="CG74" s="85" t="n">
        <v>98807.6666666667</v>
      </c>
      <c r="CH74" s="85" t="n">
        <v>95253.6666666667</v>
      </c>
      <c r="CI74" s="85" t="n">
        <v>96128.6666666667</v>
      </c>
      <c r="CJ74" s="85" t="n">
        <v>97326.3333333333</v>
      </c>
      <c r="CK74" s="85" t="n">
        <v>99221</v>
      </c>
      <c r="CL74" s="85" t="n">
        <v>106368.666666667</v>
      </c>
      <c r="CM74" s="85" t="n">
        <v>103446</v>
      </c>
      <c r="CN74" s="85" t="n">
        <v>99580.3333333333</v>
      </c>
      <c r="CO74" s="85" t="n">
        <v>98022.3333333333</v>
      </c>
      <c r="CP74" s="85" t="n">
        <v>102495</v>
      </c>
      <c r="CQ74" s="85" t="n">
        <v>111962</v>
      </c>
      <c r="CR74" s="85" t="n">
        <v>116124.666666667</v>
      </c>
      <c r="CS74" s="85" t="n">
        <v>118029</v>
      </c>
      <c r="CT74" s="85" t="n">
        <v>111803</v>
      </c>
      <c r="CU74" s="85" t="n">
        <v>113545</v>
      </c>
      <c r="CV74" s="85" t="n">
        <v>118942</v>
      </c>
      <c r="CW74" s="85" t="n">
        <v>117294.333333333</v>
      </c>
      <c r="CX74" s="85" t="n">
        <v>116848.666666667</v>
      </c>
      <c r="CY74" s="85" t="n">
        <v>124434.333333333</v>
      </c>
      <c r="CZ74" s="85" t="n">
        <v>125240</v>
      </c>
      <c r="DA74" s="85" t="n">
        <v>127572.666666667</v>
      </c>
      <c r="DB74" s="85" t="n">
        <v>126179.333333333</v>
      </c>
      <c r="DC74" s="85" t="n">
        <v>131672</v>
      </c>
      <c r="DD74" s="85" t="n">
        <v>131615</v>
      </c>
      <c r="DE74" s="85" t="n">
        <v>135638.666666667</v>
      </c>
      <c r="DF74" s="85" t="n">
        <v>135471.666666667</v>
      </c>
      <c r="DG74" s="85" t="n">
        <v>139479.333333333</v>
      </c>
      <c r="DH74" s="85" t="n">
        <v>141385.333333333</v>
      </c>
      <c r="DI74" s="85" t="n">
        <v>140102.666666667</v>
      </c>
      <c r="DJ74" s="85" t="n">
        <v>133975</v>
      </c>
      <c r="DK74" s="85" t="n">
        <v>137818</v>
      </c>
      <c r="DL74" s="85" t="n">
        <v>143529.333333333</v>
      </c>
      <c r="DM74" s="85" t="n">
        <v>144434.666666667</v>
      </c>
      <c r="DN74" s="85" t="n">
        <v>150497</v>
      </c>
      <c r="DO74" s="85" t="n">
        <v>152515.333333333</v>
      </c>
      <c r="DP74" s="85" t="n">
        <v>155465.333333333</v>
      </c>
      <c r="DQ74" s="85" t="n">
        <v>163365.333333333</v>
      </c>
      <c r="DR74" s="85" t="n">
        <v>168776.333333333</v>
      </c>
      <c r="DS74" s="85" t="n">
        <v>165200.666666667</v>
      </c>
      <c r="DT74" s="85" t="n">
        <v>166145</v>
      </c>
      <c r="DU74" s="85" t="n">
        <v>170616.666666667</v>
      </c>
      <c r="DV74" s="85" t="n">
        <v>176411.333333333</v>
      </c>
      <c r="DW74" s="85" t="n">
        <v>189275.666666667</v>
      </c>
      <c r="DX74" s="85" t="n">
        <v>187116</v>
      </c>
      <c r="DY74" s="85" t="n">
        <v>193037.666666667</v>
      </c>
      <c r="DZ74" s="85" t="n">
        <v>198023.333333333</v>
      </c>
      <c r="EA74" s="85" t="n">
        <v>194794</v>
      </c>
      <c r="EB74" s="85" t="n">
        <v>196443.666666667</v>
      </c>
      <c r="EC74" s="85" t="n">
        <v>199770.666666667</v>
      </c>
      <c r="ED74" s="85" t="n">
        <v>197410.666666667</v>
      </c>
      <c r="EE74" s="85" t="n">
        <v>195858</v>
      </c>
      <c r="EF74" s="85" t="n">
        <v>200686</v>
      </c>
      <c r="EG74" s="85" t="n">
        <v>199340</v>
      </c>
      <c r="EH74" s="85" t="n">
        <v>197322.333333333</v>
      </c>
      <c r="EI74" s="85" t="n">
        <v>202356.333333333</v>
      </c>
      <c r="EJ74" s="85" t="n">
        <v>202328</v>
      </c>
      <c r="EK74" s="85" t="n">
        <v>204931</v>
      </c>
      <c r="EL74" s="85" t="n">
        <v>207202</v>
      </c>
      <c r="EM74" s="85" t="n">
        <v>215946</v>
      </c>
      <c r="EN74" s="85" t="n">
        <v>219407.666666667</v>
      </c>
      <c r="EO74" s="85" t="n">
        <v>222763.666666667</v>
      </c>
      <c r="EP74" s="85" t="n">
        <v>230117.666666667</v>
      </c>
      <c r="EQ74" s="85" t="n">
        <v>238436</v>
      </c>
      <c r="ER74" s="85" t="n">
        <v>238965</v>
      </c>
      <c r="ES74" s="85" t="n">
        <v>242956.333333333</v>
      </c>
      <c r="ET74" s="85" t="n">
        <v>258254.333333333</v>
      </c>
      <c r="EU74" s="85" t="n">
        <v>266203.666666667</v>
      </c>
      <c r="EV74" s="85" t="n">
        <v>271640.333333333</v>
      </c>
      <c r="EW74" s="85" t="n">
        <v>276454.666666667</v>
      </c>
      <c r="EX74" s="85" t="n">
        <v>278038.333333333</v>
      </c>
      <c r="EY74" s="85" t="n">
        <v>283074.333333333</v>
      </c>
      <c r="EZ74" s="85" t="n">
        <v>287093.666666667</v>
      </c>
      <c r="FA74" s="85" t="n">
        <v>288334</v>
      </c>
      <c r="FB74" s="85" t="n">
        <v>289591.333333333</v>
      </c>
      <c r="FC74" s="85" t="n">
        <v>292223.666666667</v>
      </c>
      <c r="FD74" s="85" t="n">
        <v>287368</v>
      </c>
      <c r="FE74" s="85" t="n">
        <v>274301</v>
      </c>
      <c r="FF74" s="85" t="n">
        <v>268022</v>
      </c>
      <c r="FG74" s="85" t="n">
        <v>274526.666666667</v>
      </c>
      <c r="FH74" s="85" t="n">
        <v>277232.333333333</v>
      </c>
      <c r="FI74" s="85" t="n">
        <v>269906.333333333</v>
      </c>
      <c r="FJ74" s="85" t="n">
        <v>258077</v>
      </c>
      <c r="FK74" s="85" t="n">
        <v>251739</v>
      </c>
      <c r="FL74" s="85" t="n">
        <v>253215.333333333</v>
      </c>
      <c r="FM74" s="85" t="n">
        <v>258046</v>
      </c>
      <c r="FN74" s="85" t="n">
        <v>254528.333333333</v>
      </c>
      <c r="FO74" s="85" t="n">
        <v>254598.666666667</v>
      </c>
      <c r="FP74" s="85" t="n">
        <v>252248.666666667</v>
      </c>
      <c r="FQ74" s="85" t="n">
        <v>246424.333333333</v>
      </c>
      <c r="FR74" s="85" t="n">
        <v>242924.333333333</v>
      </c>
      <c r="FS74" s="85" t="n">
        <v>245991.666666667</v>
      </c>
      <c r="FT74" s="85" t="n">
        <v>249225</v>
      </c>
      <c r="FU74" s="85" t="n">
        <v>247543.333333333</v>
      </c>
      <c r="FV74" s="85" t="n">
        <v>242281</v>
      </c>
      <c r="FW74" s="85" t="n">
        <v>251080</v>
      </c>
      <c r="FX74" s="85" t="n">
        <v>258128</v>
      </c>
      <c r="FY74" s="85" t="n">
        <v>260687.666666667</v>
      </c>
      <c r="FZ74" s="85" t="n">
        <v>259584</v>
      </c>
      <c r="GA74" s="85" t="n">
        <v>273165.333333333</v>
      </c>
      <c r="GB74" s="85" t="n">
        <v>279160.666666667</v>
      </c>
      <c r="GC74" s="85" t="n">
        <v>269714.666666667</v>
      </c>
      <c r="GD74" s="85" t="n">
        <v>278853</v>
      </c>
      <c r="GE74" s="85" t="n">
        <v>273154</v>
      </c>
      <c r="GF74" s="85" t="n">
        <v>272552.666666667</v>
      </c>
      <c r="GG74" s="85" t="n">
        <v>276613</v>
      </c>
      <c r="GH74" s="85" t="n">
        <v>272767.666666667</v>
      </c>
      <c r="GI74" s="85" t="n">
        <v>272875</v>
      </c>
      <c r="GJ74" s="85" t="n">
        <v>275357.666666667</v>
      </c>
      <c r="GK74" s="85" t="n">
        <v>281739</v>
      </c>
      <c r="GL74" s="85" t="n">
        <v>281221.666666667</v>
      </c>
      <c r="GM74" s="85" t="n">
        <v>289749.333333333</v>
      </c>
      <c r="GN74" s="85" t="n">
        <v>294085</v>
      </c>
      <c r="GO74" s="85" t="n">
        <v>286210.333333333</v>
      </c>
      <c r="GP74" s="85" t="n">
        <v>302265.333333333</v>
      </c>
      <c r="GQ74" s="85" t="n">
        <v>320029.666666667</v>
      </c>
      <c r="GR74" s="85" t="n">
        <v>323820</v>
      </c>
      <c r="GS74" s="85" t="n">
        <v>324569.333333333</v>
      </c>
      <c r="GT74" s="85" t="n">
        <v>343782</v>
      </c>
      <c r="GU74" s="85" t="n">
        <v>342186.666666667</v>
      </c>
      <c r="GV74" s="85" t="n">
        <v>335548</v>
      </c>
      <c r="GW74" s="85" t="n">
        <v>341539.666666667</v>
      </c>
      <c r="GX74" s="85" t="n">
        <v>339364</v>
      </c>
      <c r="GY74" s="85" t="n">
        <v>333909.666666667</v>
      </c>
      <c r="GZ74" s="85" t="n">
        <v>330388.666666667</v>
      </c>
      <c r="HA74" s="85" t="n">
        <v>329826.333333333</v>
      </c>
      <c r="HB74" t="n">
        <v>340441</v>
      </c>
      <c r="HC74" t="n">
        <v>346689.666666667</v>
      </c>
      <c r="HD74" t="n">
        <v>362679.333333333</v>
      </c>
      <c r="HE74" t="n">
        <v>368692.666666667</v>
      </c>
      <c r="HF74" t="n">
        <v>386955.666666667</v>
      </c>
      <c r="HG74" t="n">
        <v>411120.333333333</v>
      </c>
      <c r="HH74" t="n">
        <v>422729.666666667</v>
      </c>
      <c r="HI74" t="n">
        <v>444155.666666667</v>
      </c>
      <c r="HJ74" t="n">
        <v>446004.666666667</v>
      </c>
      <c r="HK74" t="n">
        <v>450451.666666667</v>
      </c>
    </row>
    <row r="75">
      <c r="A75" s="85" t="s">
        <v>2583</v>
      </c>
      <c r="B75" s="85" t="n">
        <v>0.0144276850123595</v>
      </c>
      <c r="C75" s="85" t="n">
        <v>0.0144276850123595</v>
      </c>
      <c r="D75" s="85" t="n">
        <v>0.00820528121736541</v>
      </c>
      <c r="E75" s="85" t="n">
        <v>0.0130709282825294</v>
      </c>
      <c r="F75" s="85" t="n">
        <v>0.015141925118068</v>
      </c>
      <c r="G75" s="85" t="n">
        <v>0.013429256594724</v>
      </c>
      <c r="H75" s="85" t="n">
        <v>0.0100804543303361</v>
      </c>
      <c r="I75" s="85" t="n">
        <v>0.00829311718127723</v>
      </c>
      <c r="J75" s="85" t="n">
        <v>0.0160315985130111</v>
      </c>
      <c r="K75" s="85" t="n">
        <v>0.00612851589297958</v>
      </c>
      <c r="L75" s="85" t="n">
        <v>0.00904586572116917</v>
      </c>
      <c r="M75" s="85" t="n">
        <v>0.0113523740877557</v>
      </c>
      <c r="N75" s="85" t="n">
        <v>0.012694877505568</v>
      </c>
      <c r="O75" s="85" t="n">
        <v>0.0165383769518364</v>
      </c>
      <c r="P75" s="85" t="n">
        <v>0.0191250919475574</v>
      </c>
      <c r="Q75" s="85" t="n">
        <v>0.0173226340593553</v>
      </c>
      <c r="R75" s="85" t="n">
        <v>0.0202412253244857</v>
      </c>
      <c r="S75" s="85" t="n">
        <v>0.0222122228585453</v>
      </c>
      <c r="T75" s="85" t="n">
        <v>0.0308135579655049</v>
      </c>
      <c r="U75" s="85" t="n">
        <v>0.0303583213634069</v>
      </c>
      <c r="V75" s="85" t="n">
        <v>0.0226065332881202</v>
      </c>
      <c r="W75" s="85" t="n">
        <v>0.0144799381010281</v>
      </c>
      <c r="X75" s="85" t="n">
        <v>0.0176872230696594</v>
      </c>
      <c r="Y75" s="85" t="n">
        <v>0.0167017593947396</v>
      </c>
      <c r="Z75" s="85" t="n">
        <v>0.0109164940854365</v>
      </c>
      <c r="AA75" s="85" t="n">
        <v>0.01</v>
      </c>
      <c r="AB75" s="85" t="n">
        <v>0.0127544004400439</v>
      </c>
      <c r="AC75" s="85" t="n">
        <v>0.0170066872602601</v>
      </c>
      <c r="AD75" s="85" t="n">
        <v>0.0161214953271027</v>
      </c>
      <c r="AE75" s="85" t="n">
        <v>0.0158328679827875</v>
      </c>
      <c r="AF75" s="85" t="n">
        <v>0.013775262732417</v>
      </c>
      <c r="AG75" s="85" t="n">
        <v>0.0167139804152978</v>
      </c>
      <c r="AH75" s="85" t="n">
        <v>0.0163764705882352</v>
      </c>
      <c r="AI75" s="85" t="n">
        <v>0.0199401179121523</v>
      </c>
      <c r="AJ75" s="85" t="n">
        <v>0.0176436764216323</v>
      </c>
      <c r="AK75" s="85" t="n">
        <v>0.0197763635282222</v>
      </c>
      <c r="AL75" s="85" t="n">
        <v>0.0186637893324779</v>
      </c>
      <c r="AM75" s="85" t="n">
        <v>0.0241619192121612</v>
      </c>
      <c r="AN75" s="85" t="n">
        <v>0.0208805031446542</v>
      </c>
      <c r="AO75" s="85" t="n">
        <v>0.0182355840315427</v>
      </c>
      <c r="AP75" s="85" t="n">
        <v>0.0218618909325587</v>
      </c>
      <c r="AQ75" s="85" t="n">
        <v>0.0237362174679614</v>
      </c>
      <c r="AR75" s="85" t="n">
        <v>0.0222861990077887</v>
      </c>
      <c r="AS75" s="85" t="n">
        <v>0.0265275333165702</v>
      </c>
      <c r="AT75" s="85" t="n">
        <v>0.0265033680342925</v>
      </c>
      <c r="AU75" s="85" t="n">
        <v>0.0187796788126091</v>
      </c>
      <c r="AV75" s="85" t="n">
        <v>0.0194406708202557</v>
      </c>
      <c r="AW75" s="85" t="n">
        <v>0.016519621358331</v>
      </c>
      <c r="AX75" s="85" t="n">
        <v>0.0143299505006442</v>
      </c>
      <c r="AY75" s="85" t="n">
        <v>0.0132807451478485</v>
      </c>
      <c r="AZ75" s="85" t="n">
        <v>0.0138763661953247</v>
      </c>
      <c r="BA75" s="85" t="n">
        <v>0.0101292729481173</v>
      </c>
      <c r="BB75" s="85" t="n">
        <v>0.0079878035687444</v>
      </c>
      <c r="BC75" s="85" t="n">
        <v>0.00741324585135161</v>
      </c>
      <c r="BD75" s="85" t="n">
        <v>0.0106362732866718</v>
      </c>
      <c r="BE75" s="85" t="n">
        <v>0.00746955684813999</v>
      </c>
      <c r="BF75" s="85" t="n">
        <v>0.00986480031567338</v>
      </c>
      <c r="BG75" s="85" t="n">
        <v>0.0089869617077285</v>
      </c>
      <c r="BH75" s="85" t="n">
        <v>0.00902920734565749</v>
      </c>
      <c r="BI75" s="85" t="n">
        <v>0.00698905183210119</v>
      </c>
      <c r="BJ75" s="85" t="n">
        <v>0.0102503410093879</v>
      </c>
      <c r="BK75" s="85" t="n">
        <v>0.00589718642654313</v>
      </c>
      <c r="BL75" s="85" t="n">
        <v>0.00665219107777348</v>
      </c>
      <c r="BM75" s="85" t="n">
        <v>0.00519638410102563</v>
      </c>
      <c r="BN75" s="85" t="n">
        <v>0.00493542975303352</v>
      </c>
      <c r="BO75" s="85" t="n">
        <v>0.00349412792390558</v>
      </c>
      <c r="BP75" s="85" t="n">
        <v>0.0047586807234743</v>
      </c>
      <c r="BQ75" s="85" t="n">
        <v>0.0059490575845671</v>
      </c>
      <c r="BR75" s="85" t="n">
        <v>0.00581818181818194</v>
      </c>
      <c r="BS75" s="85" t="n">
        <v>0.00679301290101608</v>
      </c>
      <c r="BT75" s="85" t="n">
        <v>0.00772996163368678</v>
      </c>
      <c r="BU75" s="85" t="n">
        <v>0.00750187546886716</v>
      </c>
      <c r="BV75" s="85" t="n">
        <v>0.00772524199553248</v>
      </c>
      <c r="BW75" s="85" t="n">
        <v>0.00999353468181408</v>
      </c>
      <c r="BX75" s="85" t="n">
        <v>0.0122357158533908</v>
      </c>
      <c r="BY75" s="85" t="n">
        <v>0.00919685608456056</v>
      </c>
      <c r="BZ75" s="85" t="n">
        <v>0.0096322555233288</v>
      </c>
      <c r="CA75" s="85" t="n">
        <v>0.0108171371825792</v>
      </c>
      <c r="CB75" s="85" t="n">
        <v>0.00742079225290326</v>
      </c>
      <c r="CC75" s="85" t="n">
        <v>0.00682629516760991</v>
      </c>
      <c r="CD75" s="85" t="n">
        <v>0.010896449141256</v>
      </c>
      <c r="CE75" s="85" t="n">
        <v>0.0111896247882697</v>
      </c>
      <c r="CF75" s="85" t="n">
        <v>0.00864621580007108</v>
      </c>
      <c r="CG75" s="85" t="n">
        <v>0.00763269140441514</v>
      </c>
      <c r="CH75" s="85" t="n">
        <v>0.00972247656783254</v>
      </c>
      <c r="CI75" s="85" t="n">
        <v>0.00720515737580585</v>
      </c>
      <c r="CJ75" s="85" t="n">
        <v>0.00767744892613931</v>
      </c>
      <c r="CK75" s="85" t="n">
        <v>0.00581574800591311</v>
      </c>
      <c r="CL75" s="85" t="n">
        <v>0.00398934022450126</v>
      </c>
      <c r="CM75" s="85" t="n">
        <v>0.00596827643898212</v>
      </c>
      <c r="CN75" s="85" t="n">
        <v>0.00479746693745708</v>
      </c>
      <c r="CO75" s="85" t="n">
        <v>0.00703452007702965</v>
      </c>
      <c r="CP75" s="85" t="n">
        <v>0.00595811932042678</v>
      </c>
      <c r="CQ75" s="85" t="n">
        <v>0.00589140953937028</v>
      </c>
      <c r="CR75" s="85" t="n">
        <v>0.00502912833648317</v>
      </c>
      <c r="CS75" s="85" t="n">
        <v>0.00587421715955183</v>
      </c>
      <c r="CT75" s="85" t="n">
        <v>0.00511378559179332</v>
      </c>
      <c r="CU75" s="85" t="n">
        <v>0.00478034984167963</v>
      </c>
      <c r="CV75" s="85" t="n">
        <v>0.00532362434793243</v>
      </c>
      <c r="CW75" s="85" t="n">
        <v>0.00556933517963398</v>
      </c>
      <c r="CX75" s="85" t="n">
        <v>0.00570494680931555</v>
      </c>
      <c r="CY75" s="85" t="n">
        <v>0.00489015949443283</v>
      </c>
      <c r="CZ75" s="85" t="n">
        <v>0.00447705323051584</v>
      </c>
      <c r="DA75" s="85" t="n">
        <v>0.00472541887782474</v>
      </c>
      <c r="DB75" s="85" t="n">
        <v>0.00461417486387461</v>
      </c>
      <c r="DC75" s="85" t="n">
        <v>0.00407608695652173</v>
      </c>
      <c r="DD75" s="85" t="n">
        <v>0.00485379772901107</v>
      </c>
      <c r="DE75" s="85" t="n">
        <v>0.00423021751222219</v>
      </c>
      <c r="DF75" s="85" t="n">
        <v>0.00448933782267136</v>
      </c>
      <c r="DG75" s="85" t="n">
        <v>0.00497714575926844</v>
      </c>
      <c r="DH75" s="85" t="n">
        <v>0.00297438563054087</v>
      </c>
      <c r="DI75" s="85" t="n">
        <v>0.00358459057929283</v>
      </c>
      <c r="DJ75" s="85" t="n">
        <v>0.00100411687920476</v>
      </c>
      <c r="DK75" s="85" t="n">
        <v>0.0025937549259849</v>
      </c>
      <c r="DL75" s="85" t="n">
        <v>0.0038734206163169</v>
      </c>
      <c r="DM75" s="85" t="n">
        <v>0.00269096604257157</v>
      </c>
      <c r="DN75" s="85" t="n">
        <v>0.00271214358741312</v>
      </c>
      <c r="DO75" s="85" t="n">
        <v>0.004517453798768</v>
      </c>
      <c r="DP75" s="85" t="n">
        <v>0.00384864803902207</v>
      </c>
      <c r="DQ75" s="85" t="n">
        <v>0.00525229261168159</v>
      </c>
      <c r="DR75" s="85" t="n">
        <v>0.00666377949455876</v>
      </c>
      <c r="DS75" s="85" t="n">
        <v>0.00600904826667392</v>
      </c>
      <c r="DT75" s="85" t="n">
        <v>0.00626284642231445</v>
      </c>
      <c r="DU75" s="85" t="n">
        <v>0.00542874768661328</v>
      </c>
      <c r="DV75" s="85" t="n">
        <v>0.00684473895910886</v>
      </c>
      <c r="DW75" s="85" t="n">
        <v>0.00666278455642355</v>
      </c>
      <c r="DX75" s="85" t="n">
        <v>0.00302683796327452</v>
      </c>
      <c r="DY75" s="85" t="n">
        <v>0.003232296137339</v>
      </c>
      <c r="DZ75" s="85" t="n">
        <v>0.00263365463028564</v>
      </c>
      <c r="EA75" s="85" t="n">
        <v>0.00396010560281601</v>
      </c>
      <c r="EB75" s="85" t="n">
        <v>0.00448900989441525</v>
      </c>
      <c r="EC75" s="85" t="n">
        <v>0.00581756640619835</v>
      </c>
      <c r="ED75" s="85" t="n">
        <v>0.00537641475950745</v>
      </c>
      <c r="EE75" s="85" t="n">
        <v>0.00345179257864592</v>
      </c>
      <c r="EF75" s="85" t="n">
        <v>0.00572016782633633</v>
      </c>
      <c r="EG75" s="85" t="n">
        <v>0.00580423657446394</v>
      </c>
      <c r="EH75" s="85" t="n">
        <v>0.00718766503935186</v>
      </c>
      <c r="EI75" s="85" t="n">
        <v>0.0081083500658643</v>
      </c>
      <c r="EJ75" s="85" t="n">
        <v>0.00631779257849652</v>
      </c>
      <c r="EK75" s="85" t="n">
        <v>0.00772789733116519</v>
      </c>
      <c r="EL75" s="85" t="n">
        <v>0.00768114491593264</v>
      </c>
      <c r="EM75" s="85" t="n">
        <v>0.00728739913097454</v>
      </c>
      <c r="EN75" s="85" t="n">
        <v>0.00946547197949155</v>
      </c>
      <c r="EO75" s="85" t="n">
        <v>0.00796044197545931</v>
      </c>
      <c r="EP75" s="85" t="n">
        <v>0.00700122339716813</v>
      </c>
      <c r="EQ75" s="85" t="n">
        <v>0.00885307030733129</v>
      </c>
      <c r="ER75" s="85" t="n">
        <v>0.00733268948742727</v>
      </c>
      <c r="ES75" s="85" t="n">
        <v>0.00378760978150217</v>
      </c>
      <c r="ET75" s="85" t="n">
        <v>0.0100110841214065</v>
      </c>
      <c r="EU75" s="85" t="n">
        <v>0.00637440896620145</v>
      </c>
      <c r="EV75" s="85" t="n">
        <v>0.00425749121239893</v>
      </c>
      <c r="EW75" s="85" t="n">
        <v>0.00478236761851947</v>
      </c>
      <c r="EX75" s="85" t="n">
        <v>0.00433423007058931</v>
      </c>
      <c r="EY75" s="85" t="n">
        <v>0.00365159857599107</v>
      </c>
      <c r="EZ75" s="85" t="n">
        <v>0.00778986746960486</v>
      </c>
      <c r="FA75" s="85" t="n">
        <v>0.00169758151220556</v>
      </c>
      <c r="FB75" s="85" t="n">
        <v>0.000282450768831044</v>
      </c>
      <c r="FC75" s="85" t="n">
        <v>-0.0013327911809885</v>
      </c>
      <c r="FD75" s="85" t="n">
        <v>0.000633355199167518</v>
      </c>
      <c r="FE75" s="85" t="n">
        <v>0.00366209281822916</v>
      </c>
      <c r="FF75" s="85" t="n">
        <v>0.00247753327777644</v>
      </c>
      <c r="FG75" s="85" t="n">
        <v>0.00463951111011252</v>
      </c>
      <c r="FH75" s="85" t="n">
        <v>0.00362290480929439</v>
      </c>
      <c r="FI75" s="85" t="n">
        <v>0.00573784190295812</v>
      </c>
      <c r="FJ75" s="85" t="n">
        <v>0.00487426609061692</v>
      </c>
      <c r="FK75" s="85" t="n">
        <v>0.00719876529599839</v>
      </c>
      <c r="FL75" s="85" t="n">
        <v>0.00522093188708772</v>
      </c>
      <c r="FM75" s="85" t="n">
        <v>0.00120862369337971</v>
      </c>
      <c r="FN75" s="85" t="n">
        <v>0.00591619449489422</v>
      </c>
      <c r="FO75" s="85" t="n">
        <v>0.00417319855127296</v>
      </c>
      <c r="FP75" s="85" t="n">
        <v>0.00622301654805613</v>
      </c>
      <c r="FQ75" s="85" t="n">
        <v>0.00438695042746007</v>
      </c>
      <c r="FR75" s="85" t="n">
        <v>0.00356880333230336</v>
      </c>
      <c r="FS75" s="85" t="n">
        <v>0.00286612033459321</v>
      </c>
      <c r="FT75" s="85" t="n">
        <v>0.00545123526049496</v>
      </c>
      <c r="FU75" s="85" t="n">
        <v>0.00513743696638547</v>
      </c>
      <c r="FV75" s="85" t="n">
        <v>0.00380196277637546</v>
      </c>
      <c r="FW75" s="85" t="n">
        <v>0.00524833055091811</v>
      </c>
      <c r="FX75" s="85" t="n">
        <v>0.00434904455954244</v>
      </c>
      <c r="FY75" s="85" t="n">
        <v>0.000392716148901462</v>
      </c>
      <c r="FZ75" s="85" t="n">
        <v>-0.000599173553718968</v>
      </c>
      <c r="GA75" s="85" t="n">
        <v>0.00578859233838469</v>
      </c>
      <c r="GB75" s="85" t="n">
        <v>0.00240488376395143</v>
      </c>
      <c r="GC75" s="85" t="n">
        <v>-0.0000922736220472231</v>
      </c>
      <c r="GD75" s="85" t="n">
        <v>-0.000604960677555888</v>
      </c>
      <c r="GE75" s="85" t="n">
        <v>0.00656625764353436</v>
      </c>
      <c r="GF75" s="85" t="n">
        <v>0.00269091205610139</v>
      </c>
      <c r="GG75" s="85" t="n">
        <v>0.00520473305412117</v>
      </c>
      <c r="GH75" s="85" t="n">
        <v>0.00510699405363857</v>
      </c>
      <c r="GI75" s="85" t="n">
        <v>0.00268641398947578</v>
      </c>
      <c r="GJ75" s="85" t="n">
        <v>0.00519788070964111</v>
      </c>
      <c r="GK75" s="85" t="n">
        <v>0.00604947391538713</v>
      </c>
      <c r="GL75" s="85" t="n">
        <v>0.00642984719190309</v>
      </c>
      <c r="GM75" s="85" t="n">
        <v>0.00701975785779085</v>
      </c>
      <c r="GN75" s="85" t="n">
        <v>0.00436655570785205</v>
      </c>
      <c r="GO75" s="85" t="n">
        <v>0.00408437798530015</v>
      </c>
      <c r="GP75" s="85" t="n">
        <v>0.00317460317460316</v>
      </c>
      <c r="GQ75" s="85" t="n">
        <v>0.00506135563039534</v>
      </c>
      <c r="GR75" s="85" t="n">
        <v>0.00328342400462178</v>
      </c>
      <c r="GS75" s="85" t="n">
        <v>0.00333026219816501</v>
      </c>
      <c r="GT75" s="85" t="n">
        <v>0.00438097242283075</v>
      </c>
      <c r="GU75" s="85" t="n">
        <v>-0.00333330158760403</v>
      </c>
      <c r="GV75" s="85" t="n">
        <v>0.00881979149745349</v>
      </c>
      <c r="GW75" s="85" t="n">
        <v>0.00681038892151475</v>
      </c>
      <c r="GX75" s="85" t="n">
        <v>0.0127195582023274</v>
      </c>
      <c r="GY75" s="85" t="n">
        <v>0.0151702354963075</v>
      </c>
      <c r="GZ75" s="85" t="n">
        <v>0.0151265579531104</v>
      </c>
      <c r="HA75" s="85" t="n">
        <v>0.0171728371690509</v>
      </c>
      <c r="HB75" s="85" t="n">
        <v>0.0205962636038144</v>
      </c>
      <c r="HC75" t="n">
        <v>0.0225772837790901</v>
      </c>
      <c r="HD75" t="n">
        <v>0.0111497961956522</v>
      </c>
      <c r="HE75" t="n">
        <v>0.00923803045190774</v>
      </c>
      <c r="HF75" t="n">
        <v>0.00893711565825939</v>
      </c>
      <c r="HG75" t="n">
        <v>0.00463516623091698</v>
      </c>
      <c r="HH75" t="n">
        <v>0.00801254422907993</v>
      </c>
      <c r="HI75" t="n">
        <v>0.0037626745938022</v>
      </c>
      <c r="HJ75" t="n">
        <v>0.00747279852653615</v>
      </c>
      <c r="HK75" t="n">
        <v>0.00623349011017327</v>
      </c>
    </row>
    <row r="76">
      <c r="A76" s="85" t="s">
        <v>2584</v>
      </c>
      <c r="B76" s="85" t="n">
        <v>0.0110573955976137</v>
      </c>
      <c r="C76" s="85" t="n">
        <v>0.0110573955976137</v>
      </c>
      <c r="D76" s="85" t="n">
        <v>0.0097665191515337</v>
      </c>
      <c r="E76" s="85" t="n">
        <v>0.0129464510604</v>
      </c>
      <c r="F76" s="85" t="n">
        <v>0.0094987069822956</v>
      </c>
      <c r="G76" s="85" t="n">
        <v>0.0113798709296025</v>
      </c>
      <c r="H76" s="85" t="n">
        <v>0.00983925962006804</v>
      </c>
      <c r="I76" s="85" t="n">
        <v>0.00617403048427545</v>
      </c>
      <c r="J76" s="85" t="n">
        <v>0.0105465004793863</v>
      </c>
      <c r="K76" s="85" t="n">
        <v>0.00578747628083498</v>
      </c>
      <c r="L76" s="85" t="n">
        <v>0.0087727572870484</v>
      </c>
      <c r="M76" s="85" t="n">
        <v>0.00813540302973625</v>
      </c>
      <c r="N76" s="85" t="n">
        <v>0.012104628513125</v>
      </c>
      <c r="O76" s="85" t="n">
        <v>0.0191999266828575</v>
      </c>
      <c r="P76" s="85" t="n">
        <v>0.0182087941731857</v>
      </c>
      <c r="Q76" s="85" t="n">
        <v>0.0204442089459973</v>
      </c>
      <c r="R76" s="85" t="n">
        <v>0.02977066205106</v>
      </c>
      <c r="S76" s="85" t="n">
        <v>0.0283217077065301</v>
      </c>
      <c r="T76" s="85" t="n">
        <v>0.0269695979078131</v>
      </c>
      <c r="U76" s="85" t="n">
        <v>0.0254257520292853</v>
      </c>
      <c r="V76" s="85" t="n">
        <v>0.0188196034302122</v>
      </c>
      <c r="W76" s="85" t="n">
        <v>0.0122638634978671</v>
      </c>
      <c r="X76" s="85" t="n">
        <v>0.0187373015275794</v>
      </c>
      <c r="Y76" s="85" t="n">
        <v>0.016767617077855</v>
      </c>
      <c r="Z76" s="85" t="n">
        <v>0.011006175081729</v>
      </c>
      <c r="AA76" s="85" t="n">
        <v>0.00837135774081132</v>
      </c>
      <c r="AB76" s="85" t="n">
        <v>0.0151785078030358</v>
      </c>
      <c r="AC76" s="85" t="n">
        <v>0.0157939070616313</v>
      </c>
      <c r="AD76" s="85" t="n">
        <v>0.018070624006634</v>
      </c>
      <c r="AE76" s="85" t="n">
        <v>0.0171050398778212</v>
      </c>
      <c r="AF76" s="85" t="n">
        <v>0.0150488838466416</v>
      </c>
      <c r="AG76" s="85" t="n">
        <v>0.0142011834319526</v>
      </c>
      <c r="AH76" s="85" t="n">
        <v>0.0164008816284196</v>
      </c>
      <c r="AI76" s="85" t="n">
        <v>0.020537024044901</v>
      </c>
      <c r="AJ76" s="85" t="n">
        <v>0.0175614024123492</v>
      </c>
      <c r="AK76" s="85" t="n">
        <v>0.0188858862547598</v>
      </c>
      <c r="AL76" s="85" t="n">
        <v>0.0188372163115222</v>
      </c>
      <c r="AM76" s="85" t="n">
        <v>0.0273340433084841</v>
      </c>
      <c r="AN76" s="85" t="n">
        <v>0.0248214697074407</v>
      </c>
      <c r="AO76" s="85" t="n">
        <v>0.0241921888170833</v>
      </c>
      <c r="AP76" s="85" t="n">
        <v>0.0300128940221118</v>
      </c>
      <c r="AQ76" s="85" t="n">
        <v>0.0244772939139699</v>
      </c>
      <c r="AR76" s="85" t="n">
        <v>0.0233985024958403</v>
      </c>
      <c r="AS76" s="85" t="n">
        <v>0.0247434203841075</v>
      </c>
      <c r="AT76" s="85" t="n">
        <v>0.025930884029947</v>
      </c>
      <c r="AU76" s="85" t="n">
        <v>0.0167697660931763</v>
      </c>
      <c r="AV76" s="85" t="n">
        <v>0.0164931793336185</v>
      </c>
      <c r="AW76" s="85" t="n">
        <v>0.0153137566632378</v>
      </c>
      <c r="AX76" s="85" t="n">
        <v>0.0127109862527921</v>
      </c>
      <c r="AY76" s="85" t="n">
        <v>0.00961822688101144</v>
      </c>
      <c r="AZ76" s="85" t="n">
        <v>0.0157875771361651</v>
      </c>
      <c r="BA76" s="85" t="n">
        <v>0.0110413941422964</v>
      </c>
      <c r="BB76" s="85" t="n">
        <v>0.00826736255783866</v>
      </c>
      <c r="BC76" s="85" t="n">
        <v>0.0091348036017227</v>
      </c>
      <c r="BD76" s="85" t="n">
        <v>0.0131471184102763</v>
      </c>
      <c r="BE76" s="85" t="n">
        <v>0.00659462219196727</v>
      </c>
      <c r="BF76" s="85" t="n">
        <v>0.0108204066105921</v>
      </c>
      <c r="BG76" s="85" t="n">
        <v>0.00968011708132965</v>
      </c>
      <c r="BH76" s="85" t="n">
        <v>0.00772368666266332</v>
      </c>
      <c r="BI76" s="85" t="n">
        <v>0.00616446800641124</v>
      </c>
      <c r="BJ76" s="85" t="n">
        <v>0.0118041089735734</v>
      </c>
      <c r="BK76" s="85" t="n">
        <v>0.00809381559825617</v>
      </c>
      <c r="BL76" s="85" t="n">
        <v>0.00784863349684661</v>
      </c>
      <c r="BM76" s="85" t="n">
        <v>0.00697300196674422</v>
      </c>
      <c r="BN76" s="85" t="n">
        <v>0.00708254419191912</v>
      </c>
      <c r="BO76" s="85" t="n">
        <v>-0.00105784864928393</v>
      </c>
      <c r="BP76" s="85" t="n">
        <v>0.00529484439040639</v>
      </c>
      <c r="BQ76" s="85" t="n">
        <v>0.00604724655209421</v>
      </c>
      <c r="BR76" s="85" t="n">
        <v>0.0094623155527116</v>
      </c>
      <c r="BS76" s="85" t="n">
        <v>0.00966174295537936</v>
      </c>
      <c r="BT76" s="85" t="n">
        <v>0.00947416482763863</v>
      </c>
      <c r="BU76" s="85" t="n">
        <v>0.00863141231012787</v>
      </c>
      <c r="BV76" s="85" t="n">
        <v>0.00790358744394615</v>
      </c>
      <c r="BW76" s="85" t="n">
        <v>0.0110486995532322</v>
      </c>
      <c r="BX76" s="85" t="n">
        <v>0.0123214580392013</v>
      </c>
      <c r="BY76" s="85" t="n">
        <v>0.0101066816395283</v>
      </c>
      <c r="BZ76" s="85" t="n">
        <v>0.0114938406641683</v>
      </c>
      <c r="CA76" s="85" t="n">
        <v>0.0134727885126751</v>
      </c>
      <c r="CB76" s="85" t="n">
        <v>0.00589470001749159</v>
      </c>
      <c r="CC76" s="85" t="n">
        <v>0.00785991270627928</v>
      </c>
      <c r="CD76" s="85" t="n">
        <v>0.0144930036750115</v>
      </c>
      <c r="CE76" s="85" t="n">
        <v>0.00908178710522289</v>
      </c>
      <c r="CF76" s="85" t="n">
        <v>0.0127079365614415</v>
      </c>
      <c r="CG76" s="85" t="n">
        <v>0.0132308153177891</v>
      </c>
      <c r="CH76" s="85" t="n">
        <v>0.00525606911730891</v>
      </c>
      <c r="CI76" s="85" t="n">
        <v>0.00545733799549031</v>
      </c>
      <c r="CJ76" s="85" t="n">
        <v>0.00679277171086845</v>
      </c>
      <c r="CK76" s="85" t="n">
        <v>0.00726345353003843</v>
      </c>
      <c r="CL76" s="85" t="n">
        <v>0.00626562399846153</v>
      </c>
      <c r="CM76" s="85" t="n">
        <v>0.00664065610319287</v>
      </c>
      <c r="CN76" s="85" t="n">
        <v>0.0063753717648547</v>
      </c>
      <c r="CO76" s="85" t="n">
        <v>0.00697948597028986</v>
      </c>
      <c r="CP76" s="85" t="n">
        <v>0.005963252626485</v>
      </c>
      <c r="CQ76" s="85" t="n">
        <v>0.00671932465355907</v>
      </c>
      <c r="CR76" s="85" t="n">
        <v>0.00433147331750794</v>
      </c>
      <c r="CS76" s="85" t="n">
        <v>0.00577085411710554</v>
      </c>
      <c r="CT76" s="85" t="n">
        <v>0.00358608902656754</v>
      </c>
      <c r="CU76" s="85" t="n">
        <v>0.00558039108353836</v>
      </c>
      <c r="CV76" s="85" t="n">
        <v>0.00716737483555874</v>
      </c>
      <c r="CW76" s="85" t="n">
        <v>0.00469920578918126</v>
      </c>
      <c r="CX76" s="85" t="n">
        <v>0.00488643156007162</v>
      </c>
      <c r="CY76" s="85" t="n">
        <v>0.00582925632370213</v>
      </c>
      <c r="CZ76" s="85" t="n">
        <v>0.00408048611008449</v>
      </c>
      <c r="DA76" s="85" t="n">
        <v>0.00440256202606193</v>
      </c>
      <c r="DB76" s="85" t="n">
        <v>0.00555604421379785</v>
      </c>
      <c r="DC76" s="85" t="n">
        <v>0.0066916449200356</v>
      </c>
      <c r="DD76" s="85" t="n">
        <v>0.00425766089323987</v>
      </c>
      <c r="DE76" s="85" t="n">
        <v>0.00682086926426906</v>
      </c>
      <c r="DF76" s="85" t="n">
        <v>0.00441140663716166</v>
      </c>
      <c r="DG76" s="85" t="n">
        <v>0.00250973234274965</v>
      </c>
      <c r="DH76" s="85" t="n">
        <v>0.00263146665149439</v>
      </c>
      <c r="DI76" s="85" t="n">
        <v>0.00314947225059581</v>
      </c>
      <c r="DJ76" s="85" t="n">
        <v>0.0000707113562439243</v>
      </c>
      <c r="DK76" s="85" t="n">
        <v>0.00181008272643712</v>
      </c>
      <c r="DL76" s="85" t="n">
        <v>0.00309134282850798</v>
      </c>
      <c r="DM76" s="85" t="n">
        <v>0.00263150488305985</v>
      </c>
      <c r="DN76" s="85" t="n">
        <v>0.00197897514351086</v>
      </c>
      <c r="DO76" s="85" t="n">
        <v>0.00568707101835009</v>
      </c>
      <c r="DP76" s="85" t="n">
        <v>0.00550169925901156</v>
      </c>
      <c r="DQ76" s="85" t="n">
        <v>0.00606723829840283</v>
      </c>
      <c r="DR76" s="85" t="n">
        <v>0.00812347684809089</v>
      </c>
      <c r="DS76" s="85" t="n">
        <v>0.00476652235075603</v>
      </c>
      <c r="DT76" s="85" t="n">
        <v>0.00644301870378428</v>
      </c>
      <c r="DU76" s="85" t="n">
        <v>0.00564544447745874</v>
      </c>
      <c r="DV76" s="85" t="n">
        <v>0.00741337630942795</v>
      </c>
      <c r="DW76" s="85" t="n">
        <v>0.00467925131978886</v>
      </c>
      <c r="DX76" s="85" t="n">
        <v>0.000504226211801573</v>
      </c>
      <c r="DY76" s="85" t="n">
        <v>0.000411135130833795</v>
      </c>
      <c r="DZ76" s="85" t="n">
        <v>0.00201505992151874</v>
      </c>
      <c r="EA76" s="85" t="n">
        <v>0.00742220575783215</v>
      </c>
      <c r="EB76" s="85" t="n">
        <v>0.00517433843325232</v>
      </c>
      <c r="EC76" s="85" t="n">
        <v>0.00466428879394809</v>
      </c>
      <c r="ED76" s="85" t="n">
        <v>0.00764669163545562</v>
      </c>
      <c r="EE76" s="85" t="n">
        <v>0.00100665943936806</v>
      </c>
      <c r="EF76" s="85" t="n">
        <v>0.00658827776488491</v>
      </c>
      <c r="EG76" s="85" t="n">
        <v>0.00491847373611876</v>
      </c>
      <c r="EH76" s="85" t="n">
        <v>0.00771123035548138</v>
      </c>
      <c r="EI76" s="85" t="n">
        <v>0.00672889630922557</v>
      </c>
      <c r="EJ76" s="85" t="n">
        <v>0.00491243058521995</v>
      </c>
      <c r="EK76" s="85" t="n">
        <v>0.00855160342564232</v>
      </c>
      <c r="EL76" s="85" t="n">
        <v>0.00581388141665329</v>
      </c>
      <c r="EM76" s="85" t="n">
        <v>0.00631023688037669</v>
      </c>
      <c r="EN76" s="85" t="n">
        <v>0.010802204531537</v>
      </c>
      <c r="EO76" s="85" t="n">
        <v>0.00796054863568063</v>
      </c>
      <c r="EP76" s="85" t="n">
        <v>0.0051929942660689</v>
      </c>
      <c r="EQ76" s="85" t="n">
        <v>0.00877769938173434</v>
      </c>
      <c r="ER76" s="85" t="n">
        <v>0.00719577974038299</v>
      </c>
      <c r="ES76" s="85" t="n">
        <v>-0.00164779548504035</v>
      </c>
      <c r="ET76" s="85" t="n">
        <v>0.00913678055221512</v>
      </c>
      <c r="EU76" s="85" t="n">
        <v>0.00849328831617946</v>
      </c>
      <c r="EV76" s="85" t="n">
        <v>0.00565312080070424</v>
      </c>
      <c r="EW76" s="85" t="n">
        <v>0.0101598857300835</v>
      </c>
      <c r="EX76" s="85" t="n">
        <v>0.00814194813784286</v>
      </c>
      <c r="EY76" s="85" t="n">
        <v>0.00973893765270106</v>
      </c>
      <c r="EZ76" s="85" t="n">
        <v>0.0106643963750013</v>
      </c>
      <c r="FA76" s="85" t="n">
        <v>-0.0159608073508385</v>
      </c>
      <c r="FB76" s="85" t="n">
        <v>-0.0067582027686105</v>
      </c>
      <c r="FC76" s="85" t="n">
        <v>0.0039804493031379</v>
      </c>
      <c r="FD76" s="85" t="n">
        <v>0.00689016400849418</v>
      </c>
      <c r="FE76" s="85" t="n">
        <v>0.00771802292970758</v>
      </c>
      <c r="FF76" s="85" t="n">
        <v>0.00386285205387971</v>
      </c>
      <c r="FG76" s="85" t="n">
        <v>0.0015525023010301</v>
      </c>
      <c r="FH76" s="85" t="n">
        <v>0.00191547549187865</v>
      </c>
      <c r="FI76" s="85" t="n">
        <v>0.00640954801635529</v>
      </c>
      <c r="FJ76" s="85" t="n">
        <v>0.00840013176677279</v>
      </c>
      <c r="FK76" s="85" t="n">
        <v>0.0098328523983231</v>
      </c>
      <c r="FL76" s="85" t="n">
        <v>0.00462593543099921</v>
      </c>
      <c r="FM76" s="85" t="n">
        <v>0.00330589157104977</v>
      </c>
      <c r="FN76" s="85" t="n">
        <v>0.00662209146830706</v>
      </c>
      <c r="FO76" s="85" t="n">
        <v>0.00241248113588544</v>
      </c>
      <c r="FP76" s="85" t="n">
        <v>0.00290497344175744</v>
      </c>
      <c r="FQ76" s="85" t="n">
        <v>0.00561340451398062</v>
      </c>
      <c r="FR76" s="85" t="n">
        <v>0.00350062023001074</v>
      </c>
      <c r="FS76" s="85" t="n">
        <v>0.000513309378895599</v>
      </c>
      <c r="FT76" s="85" t="n">
        <v>0.00411483854755623</v>
      </c>
      <c r="FU76" s="85" t="n">
        <v>0.00368087924004978</v>
      </c>
      <c r="FV76" s="85" t="n">
        <v>0.00459201695513944</v>
      </c>
      <c r="FW76" s="85" t="n">
        <v>0.00447795151816011</v>
      </c>
      <c r="FX76" s="85" t="n">
        <v>0.00272833036477271</v>
      </c>
      <c r="FY76" s="85" t="n">
        <v>-0.00132451691069269</v>
      </c>
      <c r="FZ76" s="85" t="n">
        <v>-0.00448259908497406</v>
      </c>
      <c r="GA76" s="85" t="n">
        <v>0.00498817503020788</v>
      </c>
      <c r="GB76" s="85" t="n">
        <v>0.00259988490628094</v>
      </c>
      <c r="GC76" s="85" t="n">
        <v>-0.000768718290370507</v>
      </c>
      <c r="GD76" s="85" t="n">
        <v>0.000492358190583575</v>
      </c>
      <c r="GE76" s="85" t="n">
        <v>0.0063462445405893</v>
      </c>
      <c r="GF76" s="85" t="n">
        <v>0.00345365078394821</v>
      </c>
      <c r="GG76" s="85" t="n">
        <v>0.00457886614684866</v>
      </c>
      <c r="GH76" s="85" t="n">
        <v>0.00583140469140053</v>
      </c>
      <c r="GI76" s="85" t="n">
        <v>0.0020095655319321</v>
      </c>
      <c r="GJ76" s="85" t="n">
        <v>0.00352974208816326</v>
      </c>
      <c r="GK76" s="85" t="n">
        <v>0.00599544346296832</v>
      </c>
      <c r="GL76" s="85" t="n">
        <v>0.00699272915093951</v>
      </c>
      <c r="GM76" s="85" t="n">
        <v>0.00524758334977315</v>
      </c>
      <c r="GN76" s="85" t="n">
        <v>0.0033558364078814</v>
      </c>
      <c r="GO76" s="85" t="n">
        <v>0.00379447258786936</v>
      </c>
      <c r="GP76" s="85" t="n">
        <v>0.00203620350343914</v>
      </c>
      <c r="GQ76" s="85" t="n">
        <v>0.00559061166152985</v>
      </c>
      <c r="GR76" s="85" t="n">
        <v>0.00240751841896625</v>
      </c>
      <c r="GS76" s="85" t="n">
        <v>0.00393537496985763</v>
      </c>
      <c r="GT76" s="85" t="n">
        <v>0.00308407713075143</v>
      </c>
      <c r="GU76" s="85" t="n">
        <v>-0.00398452166583652</v>
      </c>
      <c r="GV76" s="85" t="n">
        <v>0.00811632111397453</v>
      </c>
      <c r="GW76" s="85" t="n">
        <v>0.00484584859584869</v>
      </c>
      <c r="GX76" s="85" t="n">
        <v>0.011287260299981</v>
      </c>
      <c r="GY76" s="85" t="n">
        <v>0.0155732241924735</v>
      </c>
      <c r="GZ76" s="85" t="n">
        <v>0.013800051761748</v>
      </c>
      <c r="HA76" s="85" t="n">
        <v>0.0165024024215681</v>
      </c>
      <c r="HB76" s="85" t="n">
        <v>0.0187817850768224</v>
      </c>
      <c r="HC76" t="n">
        <v>0.0183739050050624</v>
      </c>
      <c r="HD76" t="n">
        <v>0.0116017705235494</v>
      </c>
      <c r="HE76" t="n">
        <v>0.00989625173056208</v>
      </c>
      <c r="HF76" t="n">
        <v>0.00971465321734422</v>
      </c>
      <c r="HG76" t="n">
        <v>0.0072242708682535</v>
      </c>
      <c r="HH76" t="n">
        <v>0.00666489158110206</v>
      </c>
      <c r="HI76" t="n">
        <v>0.00410801517568582</v>
      </c>
      <c r="HJ76" t="n">
        <v>0.00845406651300618</v>
      </c>
      <c r="HK76" t="n">
        <v>0.00626902952484354</v>
      </c>
    </row>
    <row r="77">
      <c r="A77" s="85" t="s">
        <v>2585</v>
      </c>
      <c r="B77" s="85" t="n">
        <v>0.0132039273219726</v>
      </c>
      <c r="C77" s="85" t="n">
        <v>0.0132039273219726</v>
      </c>
      <c r="D77" s="85" t="n">
        <v>0.017097349075518</v>
      </c>
      <c r="E77" s="85" t="n">
        <v>0.0127032798554454</v>
      </c>
      <c r="F77" s="85" t="n">
        <v>0.031684238983509</v>
      </c>
      <c r="G77" s="85" t="n">
        <v>0.0186573030763588</v>
      </c>
      <c r="H77" s="85" t="n">
        <v>0.0145084117919432</v>
      </c>
      <c r="I77" s="85" t="n">
        <v>0.0204371418428926</v>
      </c>
      <c r="J77" s="85" t="n">
        <v>0.0412980817016202</v>
      </c>
      <c r="K77" s="85" t="n">
        <v>0.0101656087433781</v>
      </c>
      <c r="L77" s="85" t="n">
        <v>0.00822073136161761</v>
      </c>
      <c r="M77" s="85" t="n">
        <v>0.0217432052483599</v>
      </c>
      <c r="N77" s="85" t="n">
        <v>0.0160979636763898</v>
      </c>
      <c r="O77" s="85" t="n">
        <v>0.0173775671406002</v>
      </c>
      <c r="P77" s="85" t="n">
        <v>0.0206743566992014</v>
      </c>
      <c r="Q77" s="85" t="n">
        <v>0.0213857254629228</v>
      </c>
      <c r="R77" s="85" t="n">
        <v>0.0102561920163418</v>
      </c>
      <c r="S77" s="85" t="n">
        <v>0.0180715278655377</v>
      </c>
      <c r="T77" s="85" t="n">
        <v>0.0292121813968884</v>
      </c>
      <c r="U77" s="85" t="n">
        <v>0.0332073651202058</v>
      </c>
      <c r="V77" s="85" t="n">
        <v>0.0181712062256809</v>
      </c>
      <c r="W77" s="85" t="n">
        <v>0.0144838919249435</v>
      </c>
      <c r="X77" s="85" t="n">
        <v>0.0134860242597754</v>
      </c>
      <c r="Y77" s="85" t="n">
        <v>0.0229705619982159</v>
      </c>
      <c r="Z77" s="85" t="n">
        <v>0.0146064966208852</v>
      </c>
      <c r="AA77" s="85" t="n">
        <v>0.0083798882681565</v>
      </c>
      <c r="AB77" s="85" t="n">
        <v>0.0114709851551957</v>
      </c>
      <c r="AC77" s="85" t="n">
        <v>0.0267195674309189</v>
      </c>
      <c r="AD77" s="85" t="n">
        <v>0.0141577183503179</v>
      </c>
      <c r="AE77" s="85" t="n">
        <v>0.0113636363636365</v>
      </c>
      <c r="AF77" s="85" t="n">
        <v>0.00493448471309965</v>
      </c>
      <c r="AG77" s="85" t="n">
        <v>0.0289638698118841</v>
      </c>
      <c r="AH77" s="85" t="n">
        <v>0.0114464435416264</v>
      </c>
      <c r="AI77" s="85" t="n">
        <v>0.0196372214606777</v>
      </c>
      <c r="AJ77" s="85" t="n">
        <v>0.0167265905893388</v>
      </c>
      <c r="AK77" s="85" t="n">
        <v>0.017250922509225</v>
      </c>
      <c r="AL77" s="85" t="n">
        <v>0.018439587678728</v>
      </c>
      <c r="AM77" s="85" t="n">
        <v>0.0151078923154553</v>
      </c>
      <c r="AN77" s="85" t="n">
        <v>0.0233333333333332</v>
      </c>
      <c r="AO77" s="85" t="n">
        <v>0.0220012572146981</v>
      </c>
      <c r="AP77" s="85" t="n">
        <v>0.0197662715276226</v>
      </c>
      <c r="AQ77" s="85" t="n">
        <v>0.0386566141192597</v>
      </c>
      <c r="AR77" s="85" t="n">
        <v>0.0101359377062162</v>
      </c>
      <c r="AS77" s="85" t="n">
        <v>0.0301026940865976</v>
      </c>
      <c r="AT77" s="85" t="n">
        <v>0.0199893457801681</v>
      </c>
      <c r="AU77" s="85" t="n">
        <v>0.0232535004600958</v>
      </c>
      <c r="AV77" s="85" t="n">
        <v>0.0219230021388295</v>
      </c>
      <c r="AW77" s="85" t="n">
        <v>0.0191694810445702</v>
      </c>
      <c r="AX77" s="85" t="n">
        <v>0.0159619154298516</v>
      </c>
      <c r="AY77" s="85" t="n">
        <v>0.0198226754869533</v>
      </c>
      <c r="AZ77" s="85" t="n">
        <v>0.00837856708484419</v>
      </c>
      <c r="BA77" s="85" t="n">
        <v>0.0118156842599002</v>
      </c>
      <c r="BB77" s="85" t="n">
        <v>0.00187637969094934</v>
      </c>
      <c r="BC77" s="85" t="n">
        <v>0.00771179905255037</v>
      </c>
      <c r="BD77" s="85" t="n">
        <v>0.0110856018366676</v>
      </c>
      <c r="BE77" s="85" t="n">
        <v>0.00653085939189491</v>
      </c>
      <c r="BF77" s="85" t="n">
        <v>0.0129554829838432</v>
      </c>
      <c r="BG77" s="85" t="n">
        <v>0.00996882092179785</v>
      </c>
      <c r="BH77" s="85" t="n">
        <v>0.0148686393514923</v>
      </c>
      <c r="BI77" s="85" t="n">
        <v>0.0123124676668391</v>
      </c>
      <c r="BJ77" s="85" t="n">
        <v>-0.00398609975470154</v>
      </c>
      <c r="BK77" s="85" t="n">
        <v>0.00236018471010779</v>
      </c>
      <c r="BL77" s="85" t="n">
        <v>0.00534398034398031</v>
      </c>
      <c r="BM77" s="85" t="n">
        <v>0.00655791124417027</v>
      </c>
      <c r="BN77" s="85" t="n">
        <v>-0.00252918681585501</v>
      </c>
      <c r="BO77" s="85" t="n">
        <v>-0.00249503022434994</v>
      </c>
      <c r="BP77" s="85" t="n">
        <v>0.00142348754448407</v>
      </c>
      <c r="BQ77" s="85" t="n">
        <v>0.00111686465631022</v>
      </c>
      <c r="BR77" s="85" t="n">
        <v>-0.00168356997971597</v>
      </c>
      <c r="BS77" s="85" t="n">
        <v>0.00473413657882449</v>
      </c>
      <c r="BT77" s="85" t="n">
        <v>0.00723963599595545</v>
      </c>
      <c r="BU77" s="85" t="n">
        <v>0.00208801798907809</v>
      </c>
      <c r="BV77" s="85" t="n">
        <v>0.0136440134636961</v>
      </c>
      <c r="BW77" s="85" t="n">
        <v>0.00982349336864785</v>
      </c>
      <c r="BX77" s="85" t="n">
        <v>0.00571540418868643</v>
      </c>
      <c r="BY77" s="85" t="n">
        <v>0.00805729632945384</v>
      </c>
      <c r="BZ77" s="85" t="n">
        <v>0.00741369989960616</v>
      </c>
      <c r="CA77" s="85" t="n">
        <v>0.00733997700268296</v>
      </c>
      <c r="CB77" s="85" t="n">
        <v>0.00498449479672014</v>
      </c>
      <c r="CC77" s="85" t="n">
        <v>0.00357785139611932</v>
      </c>
      <c r="CD77" s="85" t="n">
        <v>0.00701701437356173</v>
      </c>
      <c r="CE77" s="85" t="n">
        <v>0.0171767879219269</v>
      </c>
      <c r="CF77" s="85" t="n">
        <v>0.00134430878588665</v>
      </c>
      <c r="CG77" s="85" t="n">
        <v>0.0118986317493013</v>
      </c>
      <c r="CH77" s="85" t="n">
        <v>0.0089780637188086</v>
      </c>
      <c r="CI77" s="85" t="n">
        <v>0.00491741268440293</v>
      </c>
      <c r="CJ77" s="85" t="n">
        <v>0.0128696899085858</v>
      </c>
      <c r="CK77" s="85" t="n">
        <v>0.0101047639272316</v>
      </c>
      <c r="CL77" s="85" t="n">
        <v>0.00147164456279891</v>
      </c>
      <c r="CM77" s="85" t="n">
        <v>0.0036387173521335</v>
      </c>
      <c r="CN77" s="85" t="n">
        <v>0.00873263495494236</v>
      </c>
      <c r="CO77" s="85" t="n">
        <v>0.00627246336743159</v>
      </c>
      <c r="CP77" s="85" t="n">
        <v>0.00250708336910788</v>
      </c>
      <c r="CQ77" s="85" t="n">
        <v>0.00438498826673062</v>
      </c>
      <c r="CR77" s="85" t="n">
        <v>0.00724798335521926</v>
      </c>
      <c r="CS77" s="85" t="n">
        <v>0.00895668958044094</v>
      </c>
      <c r="CT77" s="85" t="n">
        <v>0.00459800976657543</v>
      </c>
      <c r="CU77" s="85" t="n">
        <v>0.00838553411843312</v>
      </c>
      <c r="CV77" s="85" t="n">
        <v>0.00573160832905395</v>
      </c>
      <c r="CW77" s="85" t="n">
        <v>0.00821899757877231</v>
      </c>
      <c r="CX77" s="85" t="n">
        <v>0.00842971966281114</v>
      </c>
      <c r="CY77" s="85" t="n">
        <v>0.00665824261275283</v>
      </c>
      <c r="CZ77" s="85" t="n">
        <v>0.0051819308324883</v>
      </c>
      <c r="DA77" s="85" t="n">
        <v>0.0138006115816269</v>
      </c>
      <c r="DB77" s="85" t="n">
        <v>0.00235301549200129</v>
      </c>
      <c r="DC77" s="85" t="n">
        <v>-0.00535669271489791</v>
      </c>
      <c r="DD77" s="85" t="n">
        <v>0.00581321675220181</v>
      </c>
      <c r="DE77" s="85" t="n">
        <v>0.0034173766516008</v>
      </c>
      <c r="DF77" s="85" t="n">
        <v>0.00342143260719441</v>
      </c>
      <c r="DG77" s="85" t="n">
        <v>0.0065692745643946</v>
      </c>
      <c r="DH77" s="85" t="n">
        <v>0.002315318395127</v>
      </c>
      <c r="DI77" s="85" t="n">
        <v>0.00699192285630112</v>
      </c>
      <c r="DJ77" s="85" t="n">
        <v>-0.00418757890199206</v>
      </c>
      <c r="DK77" s="85" t="n">
        <v>0.00644692495593824</v>
      </c>
      <c r="DL77" s="85" t="n">
        <v>0.00652851810319666</v>
      </c>
      <c r="DM77" s="85" t="n">
        <v>0.00322019412734265</v>
      </c>
      <c r="DN77" s="85" t="n">
        <v>0.00322507035825659</v>
      </c>
      <c r="DO77" s="85" t="n">
        <v>0.0084310127829923</v>
      </c>
      <c r="DP77" s="85" t="n">
        <v>0.00906726012360326</v>
      </c>
      <c r="DQ77" s="85" t="n">
        <v>0.0122939826543083</v>
      </c>
      <c r="DR77" s="85" t="n">
        <v>0.00974518261176782</v>
      </c>
      <c r="DS77" s="85" t="n">
        <v>0.00383421048795052</v>
      </c>
      <c r="DT77" s="85" t="n">
        <v>0.00715986987335904</v>
      </c>
      <c r="DU77" s="85" t="n">
        <v>0.0045134032213876</v>
      </c>
      <c r="DV77" s="85" t="n">
        <v>0.0017226034279807</v>
      </c>
      <c r="DW77" s="85" t="n">
        <v>0.00524490556303925</v>
      </c>
      <c r="DX77" s="85" t="n">
        <v>0.00640075269430351</v>
      </c>
      <c r="DY77" s="85" t="n">
        <v>0.00648752779863182</v>
      </c>
      <c r="DZ77" s="85" t="n">
        <v>0.00647385827879798</v>
      </c>
      <c r="EA77" s="85" t="n">
        <v>0.00945256239949654</v>
      </c>
      <c r="EB77" s="85" t="n">
        <v>0.00858832818495392</v>
      </c>
      <c r="EC77" s="85" t="n">
        <v>0.0185411544958864</v>
      </c>
      <c r="ED77" s="85" t="n">
        <v>0.010841277760548</v>
      </c>
      <c r="EE77" s="85" t="n">
        <v>0.00712332421796824</v>
      </c>
      <c r="EF77" s="85" t="n">
        <v>0.00904647743678733</v>
      </c>
      <c r="EG77" s="85" t="n">
        <v>0.00748208238166481</v>
      </c>
      <c r="EH77" s="85" t="n">
        <v>0.00850792161767777</v>
      </c>
      <c r="EI77" s="85" t="n">
        <v>0.00868160971513454</v>
      </c>
      <c r="EJ77" s="85" t="n">
        <v>0.00915762644568829</v>
      </c>
      <c r="EK77" s="85" t="n">
        <v>0.00973449081124977</v>
      </c>
      <c r="EL77" s="85" t="n">
        <v>0.013160044746666</v>
      </c>
      <c r="EM77" s="85" t="n">
        <v>0.00901917971366895</v>
      </c>
      <c r="EN77" s="85" t="n">
        <v>0.0104385673711778</v>
      </c>
      <c r="EO77" s="85" t="n">
        <v>0.00717918765666448</v>
      </c>
      <c r="EP77" s="85" t="n">
        <v>0.00842072198327926</v>
      </c>
      <c r="EQ77" s="85" t="n">
        <v>0.00697264852819623</v>
      </c>
      <c r="ER77" s="85" t="n">
        <v>0.00740026888436773</v>
      </c>
      <c r="ES77" s="85" t="n">
        <v>0.00520827182218664</v>
      </c>
      <c r="ET77" s="85" t="n">
        <v>0.00855323448551348</v>
      </c>
      <c r="EU77" s="85" t="n">
        <v>0.00799142610843195</v>
      </c>
      <c r="EV77" s="85" t="n">
        <v>0.00688794378698221</v>
      </c>
      <c r="EW77" s="85" t="n">
        <v>0.00801156971672556</v>
      </c>
      <c r="EX77" s="85" t="n">
        <v>0.00843752135000342</v>
      </c>
      <c r="EY77" s="85" t="n">
        <v>0.0102412971556971</v>
      </c>
      <c r="EZ77" s="85" t="n">
        <v>0.00749972057672976</v>
      </c>
      <c r="FA77" s="85" t="n">
        <v>-0.00475921057010686</v>
      </c>
      <c r="FB77" s="85" t="n">
        <v>-0.00839352594970577</v>
      </c>
      <c r="FC77" s="85" t="n">
        <v>0.000179858136894362</v>
      </c>
      <c r="FD77" s="85" t="n">
        <v>0.003057038493959</v>
      </c>
      <c r="FE77" s="85" t="n">
        <v>0.00768653288065724</v>
      </c>
      <c r="FF77" s="85" t="n">
        <v>0.00637140982731577</v>
      </c>
      <c r="FG77" s="85" t="n">
        <v>0.00766799991160805</v>
      </c>
      <c r="FH77" s="85" t="n">
        <v>0.00396929824561387</v>
      </c>
      <c r="FI77" s="85" t="n">
        <v>0.00813656320307565</v>
      </c>
      <c r="FJ77" s="85" t="n">
        <v>0.0089809006900885</v>
      </c>
      <c r="FK77" s="85" t="n">
        <v>0.00905127984882337</v>
      </c>
      <c r="FL77" s="85" t="n">
        <v>0.00347950073952696</v>
      </c>
      <c r="FM77" s="85" t="n">
        <v>-0.00133607617754961</v>
      </c>
      <c r="FN77" s="85" t="n">
        <v>0.00346145678487986</v>
      </c>
      <c r="FO77" s="85" t="n">
        <v>0.00221149979895463</v>
      </c>
      <c r="FP77" s="85" t="n">
        <v>0.00192155413609241</v>
      </c>
      <c r="FQ77" s="85" t="n">
        <v>0.00122237794661584</v>
      </c>
      <c r="FR77" s="85" t="n">
        <v>-0.000694641785860872</v>
      </c>
      <c r="FS77" s="85" t="n">
        <v>0.00163248970478258</v>
      </c>
      <c r="FT77" s="85" t="n">
        <v>0.0035120186746862</v>
      </c>
      <c r="FU77" s="85" t="n">
        <v>0.0153820361289241</v>
      </c>
      <c r="FV77" s="85" t="n">
        <v>-0.00263147032114253</v>
      </c>
      <c r="FW77" s="85" t="n">
        <v>0.00422146116359201</v>
      </c>
      <c r="FX77" s="85" t="n">
        <v>0.00469827008871082</v>
      </c>
      <c r="FY77" s="85" t="n">
        <v>0.00132290053633866</v>
      </c>
      <c r="FZ77" s="85" t="n">
        <v>-0.00194588394338502</v>
      </c>
      <c r="GA77" s="85" t="n">
        <v>0.0019394163280384</v>
      </c>
      <c r="GB77" s="85" t="n">
        <v>0.000911502340205539</v>
      </c>
      <c r="GC77" s="85" t="n">
        <v>-0.00121764043794126</v>
      </c>
      <c r="GD77" s="85" t="n">
        <v>-0.00110643267664512</v>
      </c>
      <c r="GE77" s="85" t="n">
        <v>0.00532291314113409</v>
      </c>
      <c r="GF77" s="85" t="n">
        <v>0.00389708432800795</v>
      </c>
      <c r="GG77" s="85" t="n">
        <v>0.00494898581358494</v>
      </c>
      <c r="GH77" s="85" t="n">
        <v>0.00474259538279509</v>
      </c>
      <c r="GI77" s="85" t="n">
        <v>0.00324074074074088</v>
      </c>
      <c r="GJ77" s="85" t="n">
        <v>0.00439397283361087</v>
      </c>
      <c r="GK77" s="85" t="n">
        <v>0.00717139432680769</v>
      </c>
      <c r="GL77" s="85" t="n">
        <v>0.00952022055177615</v>
      </c>
      <c r="GM77" s="85" t="n">
        <v>0.00686653961767414</v>
      </c>
      <c r="GN77" s="85" t="n">
        <v>0.00517088305023572</v>
      </c>
      <c r="GO77" s="85" t="n">
        <v>0.0072893513350869</v>
      </c>
      <c r="GP77" s="85" t="n">
        <v>0.00918306384782897</v>
      </c>
      <c r="GQ77" s="85" t="n">
        <v>-0.00665514508598208</v>
      </c>
      <c r="GR77" s="85" t="n">
        <v>0.000932387488705499</v>
      </c>
      <c r="GS77" s="85" t="n">
        <v>0.00363964621486401</v>
      </c>
      <c r="GT77" s="85" t="n">
        <v>0.00302363410199979</v>
      </c>
      <c r="GU77" s="85" t="n">
        <v>0.00063915440825757</v>
      </c>
      <c r="GV77" s="85" t="n">
        <v>0.00546270961837303</v>
      </c>
      <c r="GW77" s="85" t="n">
        <v>0.00746212049380857</v>
      </c>
      <c r="GX77" s="85" t="n">
        <v>0.00767978315906381</v>
      </c>
      <c r="GY77" s="85" t="n">
        <v>0.0107780963677628</v>
      </c>
      <c r="GZ77" s="85" t="n">
        <v>0.0118089500383467</v>
      </c>
      <c r="HA77" s="85" t="n">
        <v>0.0123743162162901</v>
      </c>
      <c r="HB77" s="85" t="n">
        <v>0.0160298044309735</v>
      </c>
      <c r="HC77" t="n">
        <v>0.0182184617296886</v>
      </c>
      <c r="HD77" t="n">
        <v>0.0130705846448969</v>
      </c>
      <c r="HE77" t="n">
        <v>0.0102165530537768</v>
      </c>
      <c r="HF77" t="n">
        <v>0.0105562702882314</v>
      </c>
      <c r="HG77" t="n">
        <v>0.00864176713599196</v>
      </c>
      <c r="HH77" t="n">
        <v>0.00939524386676127</v>
      </c>
      <c r="HI77" t="n">
        <v>0.00944029016470815</v>
      </c>
      <c r="HJ77" t="n">
        <v>0.00876135161075964</v>
      </c>
      <c r="HK77" t="n">
        <v>0.00697748176340007</v>
      </c>
    </row>
    <row r="78">
      <c r="A78" s="85" t="s">
        <v>2586</v>
      </c>
      <c r="B78" s="85" t="n">
        <v>0.0211423161880719</v>
      </c>
      <c r="C78" s="85" t="n">
        <v>0.0211423161880719</v>
      </c>
      <c r="D78" s="85" t="n">
        <v>0.0180778739184178</v>
      </c>
      <c r="E78" s="85" t="n">
        <v>0.0189710122932161</v>
      </c>
      <c r="F78" s="85" t="n">
        <v>0.0227137324992552</v>
      </c>
      <c r="G78" s="85" t="n">
        <v>0.0180586907449209</v>
      </c>
      <c r="H78" s="85" t="n">
        <v>0.0140905514626994</v>
      </c>
      <c r="I78" s="85" t="n">
        <v>0.0109324305261673</v>
      </c>
      <c r="J78" s="85" t="n">
        <v>0.0223958696713877</v>
      </c>
      <c r="K78" s="85" t="n">
        <v>0.0118056503343797</v>
      </c>
      <c r="L78" s="85" t="n">
        <v>0.0151750185472448</v>
      </c>
      <c r="M78" s="85" t="n">
        <v>0.013752325272389</v>
      </c>
      <c r="N78" s="85" t="n">
        <v>0.0196605282128579</v>
      </c>
      <c r="O78" s="85" t="n">
        <v>0.0178032007198408</v>
      </c>
      <c r="P78" s="85" t="n">
        <v>0.0134503662541046</v>
      </c>
      <c r="Q78" s="85" t="n">
        <v>0.01894199015515</v>
      </c>
      <c r="R78" s="85" t="n">
        <v>0.0290466581055462</v>
      </c>
      <c r="S78" s="85" t="n">
        <v>0.0347634894223914</v>
      </c>
      <c r="T78" s="85" t="n">
        <v>0.036467007408258</v>
      </c>
      <c r="U78" s="85" t="n">
        <v>0.0294215425531916</v>
      </c>
      <c r="V78" s="85" t="n">
        <v>0.0201302545885138</v>
      </c>
      <c r="W78" s="85" t="n">
        <v>0.0198385479871261</v>
      </c>
      <c r="X78" s="85" t="n">
        <v>0.012778726266232</v>
      </c>
      <c r="Y78" s="85" t="n">
        <v>0.0127707396812424</v>
      </c>
      <c r="Z78" s="85" t="n">
        <v>0.0112982951679612</v>
      </c>
      <c r="AA78" s="85" t="n">
        <v>0.0121197007481295</v>
      </c>
      <c r="AB78" s="85" t="n">
        <v>0.0074409895037697</v>
      </c>
      <c r="AC78" s="85" t="n">
        <v>0.0119839561729604</v>
      </c>
      <c r="AD78" s="85" t="n">
        <v>0.0188505969355697</v>
      </c>
      <c r="AE78" s="85" t="n">
        <v>0.0178850989136106</v>
      </c>
      <c r="AF78" s="85" t="n">
        <v>0.0170115585384043</v>
      </c>
      <c r="AG78" s="85" t="n">
        <v>0.0168644883369231</v>
      </c>
      <c r="AH78" s="85" t="n">
        <v>0.0141511559781875</v>
      </c>
      <c r="AI78" s="85" t="n">
        <v>0.0167088832600097</v>
      </c>
      <c r="AJ78" s="85" t="n">
        <v>0.0152104550024039</v>
      </c>
      <c r="AK78" s="85" t="n">
        <v>0.0143367632496663</v>
      </c>
      <c r="AL78" s="85" t="n">
        <v>0.0238115449915111</v>
      </c>
      <c r="AM78" s="85" t="n">
        <v>0.0228846233572406</v>
      </c>
      <c r="AN78" s="85" t="n">
        <v>0.0338831921533662</v>
      </c>
      <c r="AO78" s="85" t="n">
        <v>0.019522521463013</v>
      </c>
      <c r="AP78" s="85" t="n">
        <v>0.0260314530703272</v>
      </c>
      <c r="AQ78" s="85" t="n">
        <v>0.0274696447309248</v>
      </c>
      <c r="AR78" s="85" t="n">
        <v>0.0288507130612392</v>
      </c>
      <c r="AS78" s="85" t="n">
        <v>0.0272263187748156</v>
      </c>
      <c r="AT78" s="85" t="n">
        <v>0.0324751518498068</v>
      </c>
      <c r="AU78" s="85" t="n">
        <v>0.0215596483604639</v>
      </c>
      <c r="AV78" s="85" t="n">
        <v>0.0135789542569202</v>
      </c>
      <c r="AW78" s="85" t="n">
        <v>0.0157859056719503</v>
      </c>
      <c r="AX78" s="85" t="n">
        <v>0.0168753575287612</v>
      </c>
      <c r="AY78" s="85" t="n">
        <v>0.0160640060005626</v>
      </c>
      <c r="AZ78" s="85" t="n">
        <v>0.0156869982467471</v>
      </c>
      <c r="BA78" s="85" t="n">
        <v>0.0127191787044609</v>
      </c>
      <c r="BB78" s="85" t="n">
        <v>0.00717681887503341</v>
      </c>
      <c r="BC78" s="85" t="n">
        <v>0.010985422048039</v>
      </c>
      <c r="BD78" s="85" t="n">
        <v>0.00969134533493876</v>
      </c>
      <c r="BE78" s="85" t="n">
        <v>0.00759140222797483</v>
      </c>
      <c r="BF78" s="85" t="n">
        <v>0.0145199468852837</v>
      </c>
      <c r="BG78" s="85" t="n">
        <v>0.0095034855598235</v>
      </c>
      <c r="BH78" s="85" t="n">
        <v>0.00932946249894306</v>
      </c>
      <c r="BI78" s="85" t="n">
        <v>0.00994135716280353</v>
      </c>
      <c r="BJ78" s="85" t="n">
        <v>0.0118066692473595</v>
      </c>
      <c r="BK78" s="85" t="n">
        <v>0.00983794714836161</v>
      </c>
      <c r="BL78" s="85" t="n">
        <v>0.00828078911049168</v>
      </c>
      <c r="BM78" s="85" t="n">
        <v>0.00925950776993467</v>
      </c>
      <c r="BN78" s="85" t="n">
        <v>0.00414849484097424</v>
      </c>
      <c r="BO78" s="85" t="n">
        <v>0.00442266949152548</v>
      </c>
      <c r="BP78" s="85" t="n">
        <v>0.00864819258048355</v>
      </c>
      <c r="BQ78" s="85" t="n">
        <v>0.0127042216703699</v>
      </c>
      <c r="BR78" s="85" t="n">
        <v>0.014300095506053</v>
      </c>
      <c r="BS78" s="85" t="n">
        <v>0.0122407430970861</v>
      </c>
      <c r="BT78" s="85" t="n">
        <v>0.0119670152855993</v>
      </c>
      <c r="BU78" s="85" t="n">
        <v>0.00593759316307252</v>
      </c>
      <c r="BV78" s="85" t="n">
        <v>0.00513694401224951</v>
      </c>
      <c r="BW78" s="85" t="n">
        <v>0.00975453942357296</v>
      </c>
      <c r="BX78" s="85" t="n">
        <v>0.0084436441502822</v>
      </c>
      <c r="BY78" s="85" t="n">
        <v>0.011461525468716</v>
      </c>
      <c r="BZ78" s="85" t="n">
        <v>0.013144711102629</v>
      </c>
      <c r="CA78" s="85" t="n">
        <v>0.0135863806541241</v>
      </c>
      <c r="CB78" s="85" t="n">
        <v>0.00938530873948817</v>
      </c>
      <c r="CC78" s="85" t="n">
        <v>0.0129113924050632</v>
      </c>
      <c r="CD78" s="85" t="n">
        <v>0.0141555520210856</v>
      </c>
      <c r="CE78" s="85" t="n">
        <v>0.0103060447192724</v>
      </c>
      <c r="CF78" s="85" t="n">
        <v>0.0135938262296535</v>
      </c>
      <c r="CG78" s="85" t="n">
        <v>0.0157525105563698</v>
      </c>
      <c r="CH78" s="85" t="n">
        <v>0.00420014215865772</v>
      </c>
      <c r="CI78" s="85" t="n">
        <v>0.00604864656170911</v>
      </c>
      <c r="CJ78" s="85" t="n">
        <v>0.00822957530274593</v>
      </c>
      <c r="CK78" s="85" t="n">
        <v>0.0087333474307465</v>
      </c>
      <c r="CL78" s="85" t="n">
        <v>0.00712743433327034</v>
      </c>
      <c r="CM78" s="85" t="n">
        <v>0.0119476302479029</v>
      </c>
      <c r="CN78" s="85" t="n">
        <v>0.00736367937141336</v>
      </c>
      <c r="CO78" s="85" t="n">
        <v>0.00684022460438993</v>
      </c>
      <c r="CP78" s="85" t="n">
        <v>0.00582032042182101</v>
      </c>
      <c r="CQ78" s="85" t="n">
        <v>0.00588745287013337</v>
      </c>
      <c r="CR78" s="85" t="n">
        <v>0.00284631882779762</v>
      </c>
      <c r="CS78" s="85" t="n">
        <v>0.00503687713617551</v>
      </c>
      <c r="CT78" s="85" t="n">
        <v>0.00817373665055787</v>
      </c>
      <c r="CU78" s="85" t="n">
        <v>0.00554306229534074</v>
      </c>
      <c r="CV78" s="85" t="n">
        <v>0.00874938695438932</v>
      </c>
      <c r="CW78" s="85" t="n">
        <v>0.00847902607883944</v>
      </c>
      <c r="CX78" s="85" t="n">
        <v>0.005573018107488</v>
      </c>
      <c r="CY78" s="85" t="n">
        <v>0.00759406282361064</v>
      </c>
      <c r="CZ78" s="85" t="n">
        <v>0.00411099691675232</v>
      </c>
      <c r="DA78" s="85" t="n">
        <v>0.00382880321467827</v>
      </c>
      <c r="DB78" s="85" t="n">
        <v>0.00998867069486398</v>
      </c>
      <c r="DC78" s="85" t="n">
        <v>0.001346071154817</v>
      </c>
      <c r="DD78" s="85" t="n">
        <v>0.00631056178936173</v>
      </c>
      <c r="DE78" s="85" t="n">
        <v>0.00718009610567916</v>
      </c>
      <c r="DF78" s="85" t="n">
        <v>0.00663154404450506</v>
      </c>
      <c r="DG78" s="85" t="n">
        <v>0.00323902938915932</v>
      </c>
      <c r="DH78" s="85" t="n">
        <v>0.00434124363861876</v>
      </c>
      <c r="DI78" s="85" t="n">
        <v>0.00784584370062302</v>
      </c>
      <c r="DJ78" s="85" t="n">
        <v>0.0013335015227145</v>
      </c>
      <c r="DK78" s="85" t="n">
        <v>0.00442708801986802</v>
      </c>
      <c r="DL78" s="85" t="n">
        <v>0.00748929460878278</v>
      </c>
      <c r="DM78" s="85" t="n">
        <v>0.00835837883018264</v>
      </c>
      <c r="DN78" s="85" t="n">
        <v>0.00765418599319223</v>
      </c>
      <c r="DO78" s="85" t="n">
        <v>0.0135468626936204</v>
      </c>
      <c r="DP78" s="85" t="n">
        <v>0.0120015886995113</v>
      </c>
      <c r="DQ78" s="85" t="n">
        <v>0.0114838577571497</v>
      </c>
      <c r="DR78" s="85" t="n">
        <v>0.0127705518160501</v>
      </c>
      <c r="DS78" s="85" t="n">
        <v>0.0106273111903255</v>
      </c>
      <c r="DT78" s="85" t="n">
        <v>0.0107463080168777</v>
      </c>
      <c r="DU78" s="85" t="n">
        <v>0.0124910312438851</v>
      </c>
      <c r="DV78" s="85" t="n">
        <v>0.0119503945885004</v>
      </c>
      <c r="DW78" s="85" t="n">
        <v>0.00389928698752229</v>
      </c>
      <c r="DX78" s="85" t="n">
        <v>0.00259999682927226</v>
      </c>
      <c r="DY78" s="85" t="n">
        <v>0.00192912825540392</v>
      </c>
      <c r="DZ78" s="85" t="n">
        <v>0.005886716222401</v>
      </c>
      <c r="EA78" s="85" t="n">
        <v>0.00902158905485151</v>
      </c>
      <c r="EB78" s="85" t="n">
        <v>0.00726158821974465</v>
      </c>
      <c r="EC78" s="85" t="n">
        <v>0.0084442248911667</v>
      </c>
      <c r="ED78" s="85" t="n">
        <v>0.0142518178339073</v>
      </c>
      <c r="EE78" s="85" t="n">
        <v>0.000769741608307228</v>
      </c>
      <c r="EF78" s="85" t="n">
        <v>0.00663580014176479</v>
      </c>
      <c r="EG78" s="85" t="n">
        <v>0.0078805039926888</v>
      </c>
      <c r="EH78" s="85" t="n">
        <v>0.0127540023486392</v>
      </c>
      <c r="EI78" s="85" t="n">
        <v>0.0143400214293055</v>
      </c>
      <c r="EJ78" s="85" t="n">
        <v>0.0161486369161312</v>
      </c>
      <c r="EK78" s="85" t="n">
        <v>0.017301777170198</v>
      </c>
      <c r="EL78" s="85" t="n">
        <v>0.00905667772505225</v>
      </c>
      <c r="EM78" s="85" t="n">
        <v>0.0128180229170713</v>
      </c>
      <c r="EN78" s="85" t="n">
        <v>0.0160252020271197</v>
      </c>
      <c r="EO78" s="85" t="n">
        <v>0.0163251550283094</v>
      </c>
      <c r="EP78" s="85" t="n">
        <v>0.00714939449005847</v>
      </c>
      <c r="EQ78" s="85" t="n">
        <v>0.0154484393520347</v>
      </c>
      <c r="ER78" s="85" t="n">
        <v>0.0101552468775534</v>
      </c>
      <c r="ES78" s="85" t="n">
        <v>0.0105538864494261</v>
      </c>
      <c r="ET78" s="85" t="n">
        <v>0.0191340143314529</v>
      </c>
      <c r="EU78" s="85" t="n">
        <v>0.0108335203331089</v>
      </c>
      <c r="EV78" s="85" t="n">
        <v>0.0109517408088009</v>
      </c>
      <c r="EW78" s="85" t="n">
        <v>0.0143343377535958</v>
      </c>
      <c r="EX78" s="85" t="n">
        <v>0.0161162292834292</v>
      </c>
      <c r="EY78" s="85" t="n">
        <v>0.0140023199109911</v>
      </c>
      <c r="EZ78" s="85" t="n">
        <v>0.0135171415564557</v>
      </c>
      <c r="FA78" s="85" t="n">
        <v>-0.012012392458567</v>
      </c>
      <c r="FB78" s="85" t="n">
        <v>-0.0128695327800056</v>
      </c>
      <c r="FC78" s="85" t="n">
        <v>0.00230278696268305</v>
      </c>
      <c r="FD78" s="85" t="n">
        <v>0.00520765832106029</v>
      </c>
      <c r="FE78" s="85" t="n">
        <v>0.00720841098491509</v>
      </c>
      <c r="FF78" s="85" t="n">
        <v>0.00997300190848582</v>
      </c>
      <c r="FG78" s="85" t="n">
        <v>0.00672896334788975</v>
      </c>
      <c r="FH78" s="85" t="n">
        <v>0.00527622949881534</v>
      </c>
      <c r="FI78" s="85" t="n">
        <v>0.00841359837875988</v>
      </c>
      <c r="FJ78" s="85" t="n">
        <v>0.010172400167094</v>
      </c>
      <c r="FK78" s="85" t="n">
        <v>0.0121599570825044</v>
      </c>
      <c r="FL78" s="85" t="n">
        <v>0.00511251959983228</v>
      </c>
      <c r="FM78" s="85" t="n">
        <v>-0.00123043120021982</v>
      </c>
      <c r="FN78" s="85" t="n">
        <v>0.0121214787764126</v>
      </c>
      <c r="FO78" s="85" t="n">
        <v>0.0000978101396511555</v>
      </c>
      <c r="FP78" s="85" t="n">
        <v>0.0059549682691471</v>
      </c>
      <c r="FQ78" s="85" t="n">
        <v>0.0122499243831828</v>
      </c>
      <c r="FR78" s="85" t="n">
        <v>0.01140802083111</v>
      </c>
      <c r="FS78" s="85" t="n">
        <v>0.00510683197045636</v>
      </c>
      <c r="FT78" s="85" t="n">
        <v>0.00791526259985931</v>
      </c>
      <c r="FU78" s="85" t="n">
        <v>0.00578046722839609</v>
      </c>
      <c r="FV78" s="85" t="n">
        <v>0.00799436666390529</v>
      </c>
      <c r="FW78" s="85" t="n">
        <v>0.00310252722416271</v>
      </c>
      <c r="FX78" s="85" t="n">
        <v>0.00531533561377273</v>
      </c>
      <c r="FY78" s="85" t="n">
        <v>-0.000876111694053661</v>
      </c>
      <c r="FZ78" s="85" t="n">
        <v>-0.00918684680091764</v>
      </c>
      <c r="GA78" s="85" t="n">
        <v>0.0062671084858088</v>
      </c>
      <c r="GB78" s="85" t="n">
        <v>0.000634057044680558</v>
      </c>
      <c r="GC78" s="85" t="n">
        <v>-0.00386325310439983</v>
      </c>
      <c r="GD78" s="85" t="n">
        <v>-0.00802322837473191</v>
      </c>
      <c r="GE78" s="85" t="n">
        <v>0.0075606350519728</v>
      </c>
      <c r="GF78" s="85" t="n">
        <v>0.00314116777531415</v>
      </c>
      <c r="GG78" s="85" t="n">
        <v>0.00487096047972813</v>
      </c>
      <c r="GH78" s="85" t="n">
        <v>0.00922625715391368</v>
      </c>
      <c r="GI78" s="85" t="n">
        <v>0.00180618340329364</v>
      </c>
      <c r="GJ78" s="85" t="n">
        <v>0.00887362388324275</v>
      </c>
      <c r="GK78" s="85" t="n">
        <v>0.0128189768779201</v>
      </c>
      <c r="GL78" s="85" t="n">
        <v>0.0129228767447362</v>
      </c>
      <c r="GM78" s="85" t="n">
        <v>0.0101986200722077</v>
      </c>
      <c r="GN78" s="85" t="n">
        <v>0.00897819992871396</v>
      </c>
      <c r="GO78" s="85" t="n">
        <v>0.00437277422927473</v>
      </c>
      <c r="GP78" s="85" t="n">
        <v>-0.00485755297204293</v>
      </c>
      <c r="GQ78" s="85" t="n">
        <v>0.00751771965687853</v>
      </c>
      <c r="GR78" s="85" t="n">
        <v>0.00392517516331203</v>
      </c>
      <c r="GS78" s="85" t="n">
        <v>0.00584585454305064</v>
      </c>
      <c r="GT78" s="85" t="n">
        <v>0.0129100707941336</v>
      </c>
      <c r="GU78" s="85" t="n">
        <v>-0.00130699567115622</v>
      </c>
      <c r="GV78" s="85" t="n">
        <v>0.0120011137924634</v>
      </c>
      <c r="GW78" s="85" t="n">
        <v>0.0122623425935267</v>
      </c>
      <c r="GX78" s="85" t="n">
        <v>0.0221890006342302</v>
      </c>
      <c r="GY78" s="85" t="n">
        <v>0.0197218553612424</v>
      </c>
      <c r="GZ78" s="85" t="n">
        <v>0.0160721115399325</v>
      </c>
      <c r="HA78" s="85" t="n">
        <v>0.0197616623749926</v>
      </c>
      <c r="HB78" s="85" t="n">
        <v>0.0231370015855306</v>
      </c>
      <c r="HC78" t="n">
        <v>0.0339534769311503</v>
      </c>
      <c r="HD78" t="n">
        <v>0.00143534598975426</v>
      </c>
      <c r="HE78" t="n">
        <v>0.00282698383788782</v>
      </c>
      <c r="HF78" t="n">
        <v>-0.00525900189513584</v>
      </c>
      <c r="HG78" t="n">
        <v>-0.00931938336482141</v>
      </c>
      <c r="HH78" t="n">
        <v>0.00994391025641028</v>
      </c>
      <c r="HI78" t="n">
        <v>-0.000277687419173112</v>
      </c>
      <c r="HJ78" t="n">
        <v>0.00951541990063953</v>
      </c>
      <c r="HK78" t="n">
        <v>0.00404858299595134</v>
      </c>
    </row>
    <row r="79">
      <c r="A79" s="85" t="s">
        <v>2587</v>
      </c>
      <c r="B79" s="85" t="n">
        <v>0.0198894115705208</v>
      </c>
      <c r="C79" s="85" t="n">
        <v>0.0198894115705208</v>
      </c>
      <c r="D79" s="85" t="n">
        <v>0.0176403948859039</v>
      </c>
      <c r="E79" s="85" t="n">
        <v>0.0168575063613232</v>
      </c>
      <c r="F79" s="85" t="n">
        <v>0.0245542696277761</v>
      </c>
      <c r="G79" s="85" t="n">
        <v>0.0187757594260418</v>
      </c>
      <c r="H79" s="85" t="n">
        <v>0.0150584357207071</v>
      </c>
      <c r="I79" s="85" t="n">
        <v>0.00907816074987089</v>
      </c>
      <c r="J79" s="85" t="n">
        <v>0.0252340550029255</v>
      </c>
      <c r="K79" s="85" t="n">
        <v>0.0131269173146893</v>
      </c>
      <c r="L79" s="85" t="n">
        <v>0.0155622843461729</v>
      </c>
      <c r="M79" s="85" t="n">
        <v>0.0124115933989739</v>
      </c>
      <c r="N79" s="85" t="n">
        <v>0.0197246763920278</v>
      </c>
      <c r="O79" s="85" t="n">
        <v>0.0169252468265162</v>
      </c>
      <c r="P79" s="85" t="n">
        <v>0.0115580212667592</v>
      </c>
      <c r="Q79" s="85" t="n">
        <v>0.016779838077827</v>
      </c>
      <c r="R79" s="85" t="n">
        <v>0.0242727798112117</v>
      </c>
      <c r="S79" s="85" t="n">
        <v>0.0268948655256722</v>
      </c>
      <c r="T79" s="85" t="n">
        <v>0.0287545787545787</v>
      </c>
      <c r="U79" s="85" t="n">
        <v>0.0261705536763399</v>
      </c>
      <c r="V79" s="85" t="n">
        <v>0.0199514226231783</v>
      </c>
      <c r="W79" s="85" t="n">
        <v>0.0240970686624711</v>
      </c>
      <c r="X79" s="85" t="n">
        <v>0.0153914295205402</v>
      </c>
      <c r="Y79" s="85" t="n">
        <v>0.0145583424209379</v>
      </c>
      <c r="Z79" s="85" t="n">
        <v>0.0130058580104262</v>
      </c>
      <c r="AA79" s="85" t="n">
        <v>0.0130510902435141</v>
      </c>
      <c r="AB79" s="85" t="n">
        <v>0.00874574495941349</v>
      </c>
      <c r="AC79" s="85" t="n">
        <v>0.0132385006749038</v>
      </c>
      <c r="AD79" s="85" t="n">
        <v>0.0202900035866169</v>
      </c>
      <c r="AE79" s="85" t="n">
        <v>0.0198865063024156</v>
      </c>
      <c r="AF79" s="85" t="n">
        <v>0.0178738490324486</v>
      </c>
      <c r="AG79" s="85" t="n">
        <v>0.0183339783281733</v>
      </c>
      <c r="AH79" s="85" t="n">
        <v>0.0145361265498076</v>
      </c>
      <c r="AI79" s="85" t="n">
        <v>0.0160603080957062</v>
      </c>
      <c r="AJ79" s="85" t="n">
        <v>0.0142857142857145</v>
      </c>
      <c r="AK79" s="85" t="n">
        <v>0.013402998636983</v>
      </c>
      <c r="AL79" s="85" t="n">
        <v>0.0245684824030488</v>
      </c>
      <c r="AM79" s="85" t="n">
        <v>0.021835207631383</v>
      </c>
      <c r="AN79" s="85" t="n">
        <v>0.035157588215142</v>
      </c>
      <c r="AO79" s="85" t="n">
        <v>0.0171679146154802</v>
      </c>
      <c r="AP79" s="85" t="n">
        <v>0.0257035952497153</v>
      </c>
      <c r="AQ79" s="85" t="n">
        <v>0.0271609833465505</v>
      </c>
      <c r="AR79" s="85" t="n">
        <v>0.0277938621887666</v>
      </c>
      <c r="AS79" s="85" t="n">
        <v>0.0265915492957747</v>
      </c>
      <c r="AT79" s="85" t="n">
        <v>0.0335491896242637</v>
      </c>
      <c r="AU79" s="85" t="n">
        <v>0.0208849557522124</v>
      </c>
      <c r="AV79" s="85" t="n">
        <v>0.0119625520110958</v>
      </c>
      <c r="AW79" s="85" t="n">
        <v>0.0153503512078121</v>
      </c>
      <c r="AX79" s="85" t="n">
        <v>0.0175142577531806</v>
      </c>
      <c r="AY79" s="85" t="n">
        <v>0.0159525072963651</v>
      </c>
      <c r="AZ79" s="85" t="n">
        <v>0.0166160676394738</v>
      </c>
      <c r="BA79" s="85" t="n">
        <v>0.014995825573181</v>
      </c>
      <c r="BB79" s="85" t="n">
        <v>0.00860514410452717</v>
      </c>
      <c r="BC79" s="85" t="n">
        <v>0.0136444904488568</v>
      </c>
      <c r="BD79" s="85" t="n">
        <v>0.0116969922020052</v>
      </c>
      <c r="BE79" s="85" t="n">
        <v>0.00939010215941738</v>
      </c>
      <c r="BF79" s="85" t="n">
        <v>0.0175146207690677</v>
      </c>
      <c r="BG79" s="85" t="n">
        <v>0.0108996694362549</v>
      </c>
      <c r="BH79" s="85" t="n">
        <v>0.010752688172043</v>
      </c>
      <c r="BI79" s="85" t="n">
        <v>0.0118041387350627</v>
      </c>
      <c r="BJ79" s="85" t="n">
        <v>0.0132219501656343</v>
      </c>
      <c r="BK79" s="85" t="n">
        <v>0.0114288963438904</v>
      </c>
      <c r="BL79" s="85" t="n">
        <v>0.00927591634809977</v>
      </c>
      <c r="BM79" s="85" t="n">
        <v>0.0100818804656604</v>
      </c>
      <c r="BN79" s="85" t="n">
        <v>0.00363957207455612</v>
      </c>
      <c r="BO79" s="85" t="n">
        <v>0.00302197802197801</v>
      </c>
      <c r="BP79" s="85" t="n">
        <v>0.00854560394412496</v>
      </c>
      <c r="BQ79" s="85" t="n">
        <v>0.0131714735755799</v>
      </c>
      <c r="BR79" s="85" t="n">
        <v>0.0162167957755917</v>
      </c>
      <c r="BS79" s="85" t="n">
        <v>0.013135682633467</v>
      </c>
      <c r="BT79" s="85" t="n">
        <v>0.0127050247331426</v>
      </c>
      <c r="BU79" s="85" t="n">
        <v>0.00611856650727538</v>
      </c>
      <c r="BV79" s="85" t="n">
        <v>0.00442048242027782</v>
      </c>
      <c r="BW79" s="85" t="n">
        <v>0.0107863339184411</v>
      </c>
      <c r="BX79" s="85" t="n">
        <v>0.00890947071703629</v>
      </c>
      <c r="BY79" s="85" t="n">
        <v>0.012946840621648</v>
      </c>
      <c r="BZ79" s="85" t="n">
        <v>0.0151701718957789</v>
      </c>
      <c r="CA79" s="85" t="n">
        <v>0.0148949590024743</v>
      </c>
      <c r="CB79" s="85" t="n">
        <v>0.00984797781814706</v>
      </c>
      <c r="CC79" s="85" t="n">
        <v>0.0146989206589661</v>
      </c>
      <c r="CD79" s="85" t="n">
        <v>0.0158389512234949</v>
      </c>
      <c r="CE79" s="85" t="n">
        <v>0.0106778726922017</v>
      </c>
      <c r="CF79" s="85" t="n">
        <v>0.0145184377343059</v>
      </c>
      <c r="CG79" s="85" t="n">
        <v>0.0189465197527545</v>
      </c>
      <c r="CH79" s="85" t="n">
        <v>0.00474746142687588</v>
      </c>
      <c r="CI79" s="85" t="n">
        <v>0.00627816423852656</v>
      </c>
      <c r="CJ79" s="85" t="n">
        <v>0.00954327079846085</v>
      </c>
      <c r="CK79" s="85" t="n">
        <v>0.0113910422049959</v>
      </c>
      <c r="CL79" s="85" t="n">
        <v>0.00941046221976194</v>
      </c>
      <c r="CM79" s="85" t="n">
        <v>0.0136044377886988</v>
      </c>
      <c r="CN79" s="85" t="n">
        <v>0.00855252205759949</v>
      </c>
      <c r="CO79" s="85" t="n">
        <v>0.00732457135783116</v>
      </c>
      <c r="CP79" s="85" t="n">
        <v>0.00546884601204356</v>
      </c>
      <c r="CQ79" s="85" t="n">
        <v>0.00590763714885201</v>
      </c>
      <c r="CR79" s="85" t="n">
        <v>0.00326049535227524</v>
      </c>
      <c r="CS79" s="85" t="n">
        <v>0.00510698425514744</v>
      </c>
      <c r="CT79" s="85" t="n">
        <v>0.00837467113851353</v>
      </c>
      <c r="CU79" s="85" t="n">
        <v>0.00581557458673565</v>
      </c>
      <c r="CV79" s="85" t="n">
        <v>0.00873232743257679</v>
      </c>
      <c r="CW79" s="85" t="n">
        <v>0.00853895530298576</v>
      </c>
      <c r="CX79" s="85" t="n">
        <v>0.00459340573786449</v>
      </c>
      <c r="CY79" s="85" t="n">
        <v>0.00769171155112969</v>
      </c>
      <c r="CZ79" s="85" t="n">
        <v>0.00378766030262812</v>
      </c>
      <c r="DA79" s="85" t="n">
        <v>0.00339028501379102</v>
      </c>
      <c r="DB79" s="85" t="n">
        <v>0.0110146034170089</v>
      </c>
      <c r="DC79" s="85" t="n">
        <v>0.00141610966353234</v>
      </c>
      <c r="DD79" s="85" t="n">
        <v>0.00661802138129985</v>
      </c>
      <c r="DE79" s="85" t="n">
        <v>0.00811043680227774</v>
      </c>
      <c r="DF79" s="85" t="n">
        <v>0.00685605990226867</v>
      </c>
      <c r="DG79" s="85" t="n">
        <v>0.00239896659900363</v>
      </c>
      <c r="DH79" s="85" t="n">
        <v>0.00476804123711339</v>
      </c>
      <c r="DI79" s="85" t="n">
        <v>0.00817164110738555</v>
      </c>
      <c r="DJ79" s="85" t="n">
        <v>0.00158109950022722</v>
      </c>
      <c r="DK79" s="85" t="n">
        <v>0.00531644650892726</v>
      </c>
      <c r="DL79" s="85" t="n">
        <v>0.00779713022290407</v>
      </c>
      <c r="DM79" s="85" t="n">
        <v>0.00900836362985125</v>
      </c>
      <c r="DN79" s="85" t="n">
        <v>0.00853745118920823</v>
      </c>
      <c r="DO79" s="85" t="n">
        <v>0.0149944562749689</v>
      </c>
      <c r="DP79" s="85" t="n">
        <v>0.0138539697952247</v>
      </c>
      <c r="DQ79" s="85" t="n">
        <v>0.0121938705705296</v>
      </c>
      <c r="DR79" s="85" t="n">
        <v>0.0139562389118866</v>
      </c>
      <c r="DS79" s="85" t="n">
        <v>0.0104480845178383</v>
      </c>
      <c r="DT79" s="85" t="n">
        <v>0.0117418120650419</v>
      </c>
      <c r="DU79" s="85" t="n">
        <v>0.014083129584352</v>
      </c>
      <c r="DV79" s="85" t="n">
        <v>0.0133571221911468</v>
      </c>
      <c r="DW79" s="85" t="n">
        <v>0.00421920850186375</v>
      </c>
      <c r="DX79" s="85" t="n">
        <v>0.00247982183190931</v>
      </c>
      <c r="DY79" s="85" t="n">
        <v>0.0011029180059241</v>
      </c>
      <c r="DZ79" s="85" t="n">
        <v>0.00624822940602487</v>
      </c>
      <c r="EA79" s="85" t="n">
        <v>0.00988503949323527</v>
      </c>
      <c r="EB79" s="85" t="n">
        <v>0.0082549909396441</v>
      </c>
      <c r="EC79" s="85" t="n">
        <v>0.0100614439324116</v>
      </c>
      <c r="ED79" s="85" t="n">
        <v>0.0157250399209186</v>
      </c>
      <c r="EE79" s="85" t="n">
        <v>0.000703708694545391</v>
      </c>
      <c r="EF79" s="85" t="n">
        <v>0.00791489616374408</v>
      </c>
      <c r="EG79" s="85" t="n">
        <v>0.00912936985081281</v>
      </c>
      <c r="EH79" s="85" t="n">
        <v>0.0142247719917623</v>
      </c>
      <c r="EI79" s="85" t="n">
        <v>0.0133870944348558</v>
      </c>
      <c r="EJ79" s="85" t="n">
        <v>0.0135823672534707</v>
      </c>
      <c r="EK79" s="85" t="n">
        <v>0.0157302418842402</v>
      </c>
      <c r="EL79" s="85" t="n">
        <v>0.00920300835499699</v>
      </c>
      <c r="EM79" s="85" t="n">
        <v>0.0114195192506372</v>
      </c>
      <c r="EN79" s="85" t="n">
        <v>0.0145456526476355</v>
      </c>
      <c r="EO79" s="85" t="n">
        <v>0.0169011437469795</v>
      </c>
      <c r="EP79" s="85" t="n">
        <v>0.00737944053543838</v>
      </c>
      <c r="EQ79" s="85" t="n">
        <v>0.0138513956231163</v>
      </c>
      <c r="ER79" s="85" t="n">
        <v>0.00925459175100496</v>
      </c>
      <c r="ES79" s="85" t="n">
        <v>0.00746641394413627</v>
      </c>
      <c r="ET79" s="85" t="n">
        <v>0.0176569292960111</v>
      </c>
      <c r="EU79" s="85" t="n">
        <v>0.0109174942227219</v>
      </c>
      <c r="EV79" s="85" t="n">
        <v>0.0112567806348776</v>
      </c>
      <c r="EW79" s="85" t="n">
        <v>0.0149560117302052</v>
      </c>
      <c r="EX79" s="85" t="n">
        <v>0.0177333140710778</v>
      </c>
      <c r="EY79" s="85" t="n">
        <v>0.0155434898328541</v>
      </c>
      <c r="EZ79" s="85" t="n">
        <v>0.0136632071845406</v>
      </c>
      <c r="FA79" s="85" t="n">
        <v>-0.0192360728075015</v>
      </c>
      <c r="FB79" s="85" t="n">
        <v>-0.0174692442882249</v>
      </c>
      <c r="FC79" s="85" t="n">
        <v>0.0050680308613269</v>
      </c>
      <c r="FD79" s="85" t="n">
        <v>0.00868492240520147</v>
      </c>
      <c r="FE79" s="85" t="n">
        <v>0.00912769361061438</v>
      </c>
      <c r="FF79" s="85" t="n">
        <v>0.0116094740768369</v>
      </c>
      <c r="FG79" s="85" t="n">
        <v>0.00727059040420341</v>
      </c>
      <c r="FH79" s="85" t="n">
        <v>0.00575389789405056</v>
      </c>
      <c r="FI79" s="85" t="n">
        <v>0.00931507472532478</v>
      </c>
      <c r="FJ79" s="85" t="n">
        <v>0.0111109859027958</v>
      </c>
      <c r="FK79" s="85" t="n">
        <v>0.0126160464520155</v>
      </c>
      <c r="FL79" s="85" t="n">
        <v>0.00373105581175226</v>
      </c>
      <c r="FM79" s="85" t="n">
        <v>-0.00362946555845511</v>
      </c>
      <c r="FN79" s="85" t="n">
        <v>0.0132061144309814</v>
      </c>
      <c r="FO79" s="85" t="n">
        <v>-0.00160752495465255</v>
      </c>
      <c r="FP79" s="85" t="n">
        <v>0.00607056212534962</v>
      </c>
      <c r="FQ79" s="85" t="n">
        <v>0.0145225299263601</v>
      </c>
      <c r="FR79" s="85" t="n">
        <v>0.0129929652526115</v>
      </c>
      <c r="FS79" s="85" t="n">
        <v>0.00514525615799832</v>
      </c>
      <c r="FT79" s="85" t="n">
        <v>0.00845825307763159</v>
      </c>
      <c r="FU79" s="85" t="n">
        <v>0.00543929579804026</v>
      </c>
      <c r="FV79" s="85" t="n">
        <v>0.00849679950443938</v>
      </c>
      <c r="FW79" s="85" t="n">
        <v>0.00283570324416726</v>
      </c>
      <c r="FX79" s="85" t="n">
        <v>0.00545120457329529</v>
      </c>
      <c r="FY79" s="85" t="n">
        <v>-0.00141125347736915</v>
      </c>
      <c r="FZ79" s="85" t="n">
        <v>-0.0110619693965737</v>
      </c>
      <c r="GA79" s="85" t="n">
        <v>0.0067237603709378</v>
      </c>
      <c r="GB79" s="85" t="n">
        <v>0.000163397024131706</v>
      </c>
      <c r="GC79" s="85" t="n">
        <v>-0.00456415859174775</v>
      </c>
      <c r="GD79" s="85" t="n">
        <v>-0.00924197353574718</v>
      </c>
      <c r="GE79" s="85" t="n">
        <v>0.00746461812421706</v>
      </c>
      <c r="GF79" s="85" t="n">
        <v>0.00368924057136977</v>
      </c>
      <c r="GG79" s="85" t="n">
        <v>0.00489408102878097</v>
      </c>
      <c r="GH79" s="85" t="n">
        <v>0.00986275688508043</v>
      </c>
      <c r="GI79" s="85" t="n">
        <v>0.00103919689249876</v>
      </c>
      <c r="GJ79" s="85" t="n">
        <v>0.00897014654598971</v>
      </c>
      <c r="GK79" s="85" t="n">
        <v>0.0144943461062053</v>
      </c>
      <c r="GL79" s="85" t="n">
        <v>0.0137457044673539</v>
      </c>
      <c r="GM79" s="85" t="n">
        <v>0.00959642562284491</v>
      </c>
      <c r="GN79" s="85" t="n">
        <v>0.00951483024349886</v>
      </c>
      <c r="GO79" s="85" t="n">
        <v>0.00306865398543832</v>
      </c>
      <c r="GP79" s="85" t="n">
        <v>-0.00682159347863265</v>
      </c>
      <c r="GQ79" s="85" t="n">
        <v>0.00682061682099944</v>
      </c>
      <c r="GR79" s="85" t="n">
        <v>0.00383851628043974</v>
      </c>
      <c r="GS79" s="85" t="n">
        <v>0.00675797185124893</v>
      </c>
      <c r="GT79" s="85" t="n">
        <v>0.0152866960617484</v>
      </c>
      <c r="GU79" s="85" t="n">
        <v>-0.000777828192567886</v>
      </c>
      <c r="GV79" s="85" t="n">
        <v>0.0124734730189324</v>
      </c>
      <c r="GW79" s="85" t="n">
        <v>0.0138391835613931</v>
      </c>
      <c r="GX79" s="85" t="n">
        <v>0.0237977014814883</v>
      </c>
      <c r="GY79" s="85" t="n">
        <v>0.0189501159581316</v>
      </c>
      <c r="GZ79" s="85" t="n">
        <v>0.014902381611742</v>
      </c>
      <c r="HA79" s="85" t="n">
        <v>0.0177191875437011</v>
      </c>
      <c r="HB79" s="85" t="n">
        <v>0.0217926804745627</v>
      </c>
      <c r="HC79" t="n">
        <v>0.0341361016129165</v>
      </c>
      <c r="HD79" t="n">
        <v>-0.00294966538742114</v>
      </c>
      <c r="HE79" t="n">
        <v>0.000548733935615164</v>
      </c>
      <c r="HF79" t="n">
        <v>-0.00902132530024724</v>
      </c>
      <c r="HG79" t="n">
        <v>-0.0115176695166749</v>
      </c>
      <c r="HH79" t="n">
        <v>0.011822268382532</v>
      </c>
      <c r="HI79" t="n">
        <v>-0.00106656829645779</v>
      </c>
      <c r="HJ79" t="n">
        <v>0.0103800394971341</v>
      </c>
      <c r="HK79" t="n">
        <v>0.00483080272368297</v>
      </c>
    </row>
    <row r="80">
      <c r="A80" s="85" t="s">
        <v>2588</v>
      </c>
      <c r="B80" s="85" t="n">
        <v>0.0251540041067762</v>
      </c>
      <c r="C80" s="85" t="n">
        <v>0.0251540041067762</v>
      </c>
      <c r="D80" s="85" t="n">
        <v>0.0193415122684026</v>
      </c>
      <c r="E80" s="85" t="n">
        <v>0.0254221676389317</v>
      </c>
      <c r="F80" s="85" t="n">
        <v>0.0168273549314328</v>
      </c>
      <c r="G80" s="85" t="n">
        <v>0.0159599528857479</v>
      </c>
      <c r="H80" s="85" t="n">
        <v>0.0108979189612195</v>
      </c>
      <c r="I80" s="85" t="n">
        <v>0.0173175067377715</v>
      </c>
      <c r="J80" s="85" t="n">
        <v>0.0127952201116059</v>
      </c>
      <c r="K80" s="85" t="n">
        <v>0.00701246660730193</v>
      </c>
      <c r="L80" s="85" t="n">
        <v>0.0138720017685419</v>
      </c>
      <c r="M80" s="85" t="n">
        <v>0.0186971926955575</v>
      </c>
      <c r="N80" s="85" t="n">
        <v>0.0192636986301369</v>
      </c>
      <c r="O80" s="85" t="n">
        <v>0.021052078958421</v>
      </c>
      <c r="P80" s="85" t="n">
        <v>0.0203609440074037</v>
      </c>
      <c r="Q80" s="85" t="n">
        <v>0.0268581506676746</v>
      </c>
      <c r="R80" s="85" t="n">
        <v>0.0463735400922565</v>
      </c>
      <c r="S80" s="85" t="n">
        <v>0.0628429395488439</v>
      </c>
      <c r="T80" s="85" t="n">
        <v>0.0638926885231434</v>
      </c>
      <c r="U80" s="85" t="n">
        <v>0.0415577951972128</v>
      </c>
      <c r="V80" s="85" t="n">
        <v>0.0213037072432605</v>
      </c>
      <c r="W80" s="85" t="n">
        <v>0.00491266375545862</v>
      </c>
      <c r="X80" s="85" t="n">
        <v>0.00318150073717693</v>
      </c>
      <c r="Y80" s="85" t="n">
        <v>0.00607209158415833</v>
      </c>
      <c r="Z80" s="85" t="n">
        <v>0.0049206166147695</v>
      </c>
      <c r="AA80" s="85" t="n">
        <v>0.00856891473164767</v>
      </c>
      <c r="AB80" s="85" t="n">
        <v>0.00219988621278211</v>
      </c>
      <c r="AC80" s="85" t="n">
        <v>0.00677440108995953</v>
      </c>
      <c r="AD80" s="85" t="n">
        <v>0.0129313585444704</v>
      </c>
      <c r="AE80" s="85" t="n">
        <v>0.00987159504193569</v>
      </c>
      <c r="AF80" s="85" t="n">
        <v>0.0134499485521093</v>
      </c>
      <c r="AG80" s="85" t="n">
        <v>0.0106969323373705</v>
      </c>
      <c r="AH80" s="85" t="n">
        <v>0.0124134467046964</v>
      </c>
      <c r="AI80" s="85" t="n">
        <v>0.0196321627272404</v>
      </c>
      <c r="AJ80" s="85" t="n">
        <v>0.0191498974733257</v>
      </c>
      <c r="AK80" s="85" t="n">
        <v>0.0178693220570181</v>
      </c>
      <c r="AL80" s="85" t="n">
        <v>0.0206043956043958</v>
      </c>
      <c r="AM80" s="85" t="n">
        <v>0.0271476873584349</v>
      </c>
      <c r="AN80" s="85" t="n">
        <v>0.0292106104186642</v>
      </c>
      <c r="AO80" s="85" t="n">
        <v>0.0283815675071419</v>
      </c>
      <c r="AP80" s="85" t="n">
        <v>0.0272963343197052</v>
      </c>
      <c r="AQ80" s="85" t="n">
        <v>0.0287167127153021</v>
      </c>
      <c r="AR80" s="85" t="n">
        <v>0.0328580816594759</v>
      </c>
      <c r="AS80" s="85" t="n">
        <v>0.0295997123018616</v>
      </c>
      <c r="AT80" s="85" t="n">
        <v>0.0283188693946641</v>
      </c>
      <c r="AU80" s="85" t="n">
        <v>0.023907193060382</v>
      </c>
      <c r="AV80" s="85" t="n">
        <v>0.0204909666224353</v>
      </c>
      <c r="AW80" s="85" t="n">
        <v>0.0178040059013278</v>
      </c>
      <c r="AX80" s="85" t="n">
        <v>0.0140284499914012</v>
      </c>
      <c r="AY80" s="85" t="n">
        <v>0.0167417744827252</v>
      </c>
      <c r="AZ80" s="85" t="n">
        <v>0.0117955439056356</v>
      </c>
      <c r="BA80" s="85" t="n">
        <v>0.00254357041921804</v>
      </c>
      <c r="BB80" s="85" t="n">
        <v>0.000916181168953312</v>
      </c>
      <c r="BC80" s="85" t="n">
        <v>-0.00133780834135244</v>
      </c>
      <c r="BD80" s="85" t="n">
        <v>0.000564042303172752</v>
      </c>
      <c r="BE80" s="85" t="n">
        <v>-0.000281862169399183</v>
      </c>
      <c r="BF80" s="85" t="n">
        <v>0.00108077627931014</v>
      </c>
      <c r="BG80" s="85" t="n">
        <v>0.00354393541119036</v>
      </c>
      <c r="BH80" s="85" t="n">
        <v>0.00322739072475975</v>
      </c>
      <c r="BI80" s="85" t="n">
        <v>0.00202811385411583</v>
      </c>
      <c r="BJ80" s="85" t="n">
        <v>0.00556020844965555</v>
      </c>
      <c r="BK80" s="85" t="n">
        <v>0.00310020128172495</v>
      </c>
      <c r="BL80" s="85" t="n">
        <v>0.00408238577392339</v>
      </c>
      <c r="BM80" s="85" t="n">
        <v>0.00597234345568975</v>
      </c>
      <c r="BN80" s="85" t="n">
        <v>0.00621089646983619</v>
      </c>
      <c r="BO80" s="85" t="n">
        <v>0.0103027277265919</v>
      </c>
      <c r="BP80" s="85" t="n">
        <v>0.00909703504043113</v>
      </c>
      <c r="BQ80" s="85" t="n">
        <v>0.0108180300500835</v>
      </c>
      <c r="BR80" s="85" t="n">
        <v>0.00640813899715931</v>
      </c>
      <c r="BS80" s="85" t="n">
        <v>0.00842413898735295</v>
      </c>
      <c r="BT80" s="85" t="n">
        <v>0.00889621802243568</v>
      </c>
      <c r="BU80" s="85" t="n">
        <v>0.00529066391380084</v>
      </c>
      <c r="BV80" s="85" t="n">
        <v>0.0080439851956442</v>
      </c>
      <c r="BW80" s="85" t="n">
        <v>0.00551794392920057</v>
      </c>
      <c r="BX80" s="85" t="n">
        <v>0.0064585575888052</v>
      </c>
      <c r="BY80" s="85" t="n">
        <v>0.00526370976197965</v>
      </c>
      <c r="BZ80" s="85" t="n">
        <v>0.00483978638184235</v>
      </c>
      <c r="CA80" s="85" t="n">
        <v>0.00811742235509039</v>
      </c>
      <c r="CB80" s="85" t="n">
        <v>0.00741366173109004</v>
      </c>
      <c r="CC80" s="85" t="n">
        <v>0.00553976982358595</v>
      </c>
      <c r="CD80" s="85" t="n">
        <v>0.00719658467168127</v>
      </c>
      <c r="CE80" s="85" t="n">
        <v>0.00882044243500735</v>
      </c>
      <c r="CF80" s="85" t="n">
        <v>0.00970368740121241</v>
      </c>
      <c r="CG80" s="85" t="n">
        <v>0.00267506836285802</v>
      </c>
      <c r="CH80" s="85" t="n">
        <v>0.00195648307345708</v>
      </c>
      <c r="CI80" s="85" t="n">
        <v>0.00514792899408278</v>
      </c>
      <c r="CJ80" s="85" t="n">
        <v>0.00266870744294656</v>
      </c>
      <c r="CK80" s="85" t="n">
        <v>-0.00250503943480052</v>
      </c>
      <c r="CL80" s="85" t="n">
        <v>-0.00260942926092333</v>
      </c>
      <c r="CM80" s="85" t="n">
        <v>0.00472106381304593</v>
      </c>
      <c r="CN80" s="85" t="n">
        <v>0.00205576004385621</v>
      </c>
      <c r="CO80" s="85" t="n">
        <v>0.00455247064340281</v>
      </c>
      <c r="CP80" s="85" t="n">
        <v>0.00742988291126934</v>
      </c>
      <c r="CQ80" s="85" t="n">
        <v>0.00583056606687782</v>
      </c>
      <c r="CR80" s="85" t="n">
        <v>0.00101731352451151</v>
      </c>
      <c r="CS80" s="85" t="n">
        <v>0.00467872140515047</v>
      </c>
      <c r="CT80" s="85" t="n">
        <v>0.00729077202023087</v>
      </c>
      <c r="CU80" s="85" t="n">
        <v>0.00433901131174563</v>
      </c>
      <c r="CV80" s="85" t="n">
        <v>0.00875372599328372</v>
      </c>
      <c r="CW80" s="85" t="n">
        <v>0.00832242378904069</v>
      </c>
      <c r="CX80" s="85" t="n">
        <v>0.00997867012890663</v>
      </c>
      <c r="CY80" s="85" t="n">
        <v>0.00716213982700675</v>
      </c>
      <c r="CZ80" s="85" t="n">
        <v>0.00550662801086732</v>
      </c>
      <c r="DA80" s="85" t="n">
        <v>0.00576661528697064</v>
      </c>
      <c r="DB80" s="85" t="n">
        <v>0.00537295133692739</v>
      </c>
      <c r="DC80" s="85" t="n">
        <v>0.00109395455605177</v>
      </c>
      <c r="DD80" s="85" t="n">
        <v>0.00498011536670129</v>
      </c>
      <c r="DE80" s="85" t="n">
        <v>0.00322638146167553</v>
      </c>
      <c r="DF80" s="85" t="n">
        <v>0.00565021943462263</v>
      </c>
      <c r="DG80" s="85" t="n">
        <v>0.00681990847894842</v>
      </c>
      <c r="DH80" s="85" t="n">
        <v>0.00254452926208648</v>
      </c>
      <c r="DI80" s="85" t="n">
        <v>0.00642394538771218</v>
      </c>
      <c r="DJ80" s="85" t="n">
        <v>0.000347844235351502</v>
      </c>
      <c r="DK80" s="85" t="n">
        <v>0.000608515743171445</v>
      </c>
      <c r="DL80" s="85" t="n">
        <v>0.00618571031415072</v>
      </c>
      <c r="DM80" s="85" t="n">
        <v>0.0056296193962837</v>
      </c>
      <c r="DN80" s="85" t="n">
        <v>0.00401827111309538</v>
      </c>
      <c r="DO80" s="85" t="n">
        <v>0.00740576041595409</v>
      </c>
      <c r="DP80" s="85" t="n">
        <v>0.00422743247143509</v>
      </c>
      <c r="DQ80" s="85" t="n">
        <v>0.00852071005917177</v>
      </c>
      <c r="DR80" s="85" t="n">
        <v>0.00791229423006001</v>
      </c>
      <c r="DS80" s="85" t="n">
        <v>0.0113927419086586</v>
      </c>
      <c r="DT80" s="85" t="n">
        <v>0.0065448685270757</v>
      </c>
      <c r="DU80" s="85" t="n">
        <v>0.00588148801646815</v>
      </c>
      <c r="DV80" s="85" t="n">
        <v>0.00617193717617615</v>
      </c>
      <c r="DW80" s="85" t="n">
        <v>0.00256662738704416</v>
      </c>
      <c r="DX80" s="85" t="n">
        <v>0.00313969214915955</v>
      </c>
      <c r="DY80" s="85" t="n">
        <v>0.00537694814053902</v>
      </c>
      <c r="DZ80" s="85" t="n">
        <v>0.00439030620390168</v>
      </c>
      <c r="EA80" s="85" t="n">
        <v>0.00543607839397264</v>
      </c>
      <c r="EB80" s="85" t="n">
        <v>0.00306695122915168</v>
      </c>
      <c r="EC80" s="85" t="n">
        <v>0.00173367586565587</v>
      </c>
      <c r="ED80" s="85" t="n">
        <v>0.00829150867697726</v>
      </c>
      <c r="EE80" s="85" t="n">
        <v>0.00104547014948664</v>
      </c>
      <c r="EF80" s="85" t="n">
        <v>0.00126260658114186</v>
      </c>
      <c r="EG80" s="85" t="n">
        <v>0.00277111809944897</v>
      </c>
      <c r="EH80" s="85" t="n">
        <v>0.00650499906849644</v>
      </c>
      <c r="EI80" s="85" t="n">
        <v>0.0183708411099628</v>
      </c>
      <c r="EJ80" s="85" t="n">
        <v>0.0269304171336826</v>
      </c>
      <c r="EK80" s="85" t="n">
        <v>0.0240117994100295</v>
      </c>
      <c r="EL80" s="85" t="n">
        <v>0.00845480209713667</v>
      </c>
      <c r="EM80" s="85" t="n">
        <v>0.0188102549453688</v>
      </c>
      <c r="EN80" s="85" t="n">
        <v>0.0222761173106041</v>
      </c>
      <c r="EO80" s="85" t="n">
        <v>0.0139465997449293</v>
      </c>
      <c r="EP80" s="85" t="n">
        <v>0.00620790391950021</v>
      </c>
      <c r="EQ80" s="85" t="n">
        <v>0.0220438996196084</v>
      </c>
      <c r="ER80" s="85" t="n">
        <v>0.0139142785749042</v>
      </c>
      <c r="ES80" s="85" t="n">
        <v>0.0234515857059474</v>
      </c>
      <c r="ET80" s="85" t="n">
        <v>0.0252335145685207</v>
      </c>
      <c r="EU80" s="85" t="n">
        <v>0.0104581303928597</v>
      </c>
      <c r="EV80" s="85" t="n">
        <v>0.00962808906288237</v>
      </c>
      <c r="EW80" s="85" t="n">
        <v>0.0117658463290802</v>
      </c>
      <c r="EX80" s="85" t="n">
        <v>0.00948525713190729</v>
      </c>
      <c r="EY80" s="85" t="n">
        <v>0.0076877446909478</v>
      </c>
      <c r="EZ80" s="85" t="n">
        <v>0.0129270762203018</v>
      </c>
      <c r="FA80" s="85" t="n">
        <v>0.0183179134315867</v>
      </c>
      <c r="FB80" s="85" t="n">
        <v>0.0062434369721045</v>
      </c>
      <c r="FC80" s="85" t="n">
        <v>-0.00877959142004792</v>
      </c>
      <c r="FD80" s="85" t="n">
        <v>-0.00901756594381198</v>
      </c>
      <c r="FE80" s="85" t="n">
        <v>-0.000773698857927996</v>
      </c>
      <c r="FF80" s="85" t="n">
        <v>0.00283138795793381</v>
      </c>
      <c r="FG80" s="85" t="n">
        <v>0.00435609334485743</v>
      </c>
      <c r="FH80" s="85" t="n">
        <v>0.00314389636616075</v>
      </c>
      <c r="FI80" s="85" t="n">
        <v>0.00449517883491346</v>
      </c>
      <c r="FJ80" s="85" t="n">
        <v>0.00603507173764517</v>
      </c>
      <c r="FK80" s="85" t="n">
        <v>0.0101075268817203</v>
      </c>
      <c r="FL80" s="85" t="n">
        <v>0.0113062088903331</v>
      </c>
      <c r="FM80" s="85" t="n">
        <v>0.0093959136639632</v>
      </c>
      <c r="FN80" s="85" t="n">
        <v>0.00744237102085643</v>
      </c>
      <c r="FO80" s="85" t="n">
        <v>0.00783412146701812</v>
      </c>
      <c r="FP80" s="85" t="n">
        <v>0.00545963652875225</v>
      </c>
      <c r="FQ80" s="85" t="n">
        <v>0.0019461947054904</v>
      </c>
      <c r="FR80" s="85" t="n">
        <v>0.00395994977624681</v>
      </c>
      <c r="FS80" s="85" t="n">
        <v>0.00495980844877719</v>
      </c>
      <c r="FT80" s="85" t="n">
        <v>0.00535015316541876</v>
      </c>
      <c r="FU80" s="85" t="n">
        <v>0.00743765803700835</v>
      </c>
      <c r="FV80" s="85" t="n">
        <v>0.00555543886916898</v>
      </c>
      <c r="FW80" s="85" t="n">
        <v>0.00442815218640003</v>
      </c>
      <c r="FX80" s="85" t="n">
        <v>0.00462698206394596</v>
      </c>
      <c r="FY80" s="85" t="n">
        <v>0.00164562202442542</v>
      </c>
      <c r="FZ80" s="85" t="n">
        <v>-0.000382314345054091</v>
      </c>
      <c r="GA80" s="85" t="n">
        <v>0.00419672944532867</v>
      </c>
      <c r="GB80" s="85" t="n">
        <v>0.00277926462716693</v>
      </c>
      <c r="GC80" s="85" t="n">
        <v>-0.000667227822373828</v>
      </c>
      <c r="GD80" s="85" t="n">
        <v>-0.00246525530800279</v>
      </c>
      <c r="GE80" s="85" t="n">
        <v>0.00804217766931314</v>
      </c>
      <c r="GF80" s="85" t="n">
        <v>0.000602692708439712</v>
      </c>
      <c r="GG80" s="85" t="n">
        <v>0.00476759262095094</v>
      </c>
      <c r="GH80" s="85" t="n">
        <v>0.00640113798008524</v>
      </c>
      <c r="GI80" s="85" t="n">
        <v>0.00524987380111042</v>
      </c>
      <c r="GJ80" s="85" t="n">
        <v>0.00845636235814018</v>
      </c>
      <c r="GK80" s="85" t="n">
        <v>0.00553718679042348</v>
      </c>
      <c r="GL80" s="85" t="n">
        <v>0.00933959274225504</v>
      </c>
      <c r="GM80" s="85" t="n">
        <v>0.0127856659241887</v>
      </c>
      <c r="GN80" s="85" t="n">
        <v>0.00661731935590137</v>
      </c>
      <c r="GO80" s="85" t="n">
        <v>0.0100869130003753</v>
      </c>
      <c r="GP80" s="85" t="n">
        <v>0.003773405116966</v>
      </c>
      <c r="GQ80" s="85" t="n">
        <v>0.010508728795056</v>
      </c>
      <c r="GR80" s="85" t="n">
        <v>0.00435893581842794</v>
      </c>
      <c r="GS80" s="85" t="n">
        <v>0.00189875785692895</v>
      </c>
      <c r="GT80" s="85" t="n">
        <v>0.00252065537039647</v>
      </c>
      <c r="GU80" s="85" t="n">
        <v>-0.00360385528705132</v>
      </c>
      <c r="GV80" s="85" t="n">
        <v>0.00980392156862742</v>
      </c>
      <c r="GW80" s="85" t="n">
        <v>0.00504410117819099</v>
      </c>
      <c r="GX80" s="85" t="n">
        <v>0.014595918668042</v>
      </c>
      <c r="GY80" s="85" t="n">
        <v>0.0231355001497588</v>
      </c>
      <c r="GZ80" s="85" t="n">
        <v>0.0216010503344393</v>
      </c>
      <c r="HA80" s="85" t="n">
        <v>0.0297843888121847</v>
      </c>
      <c r="HB80" s="85" t="n">
        <v>0.0297324417535902</v>
      </c>
      <c r="HC80" t="n">
        <v>0.0329520050443428</v>
      </c>
      <c r="HD80" t="n">
        <v>0.0230694223131256</v>
      </c>
      <c r="HE80" t="n">
        <v>0.0135140370861133</v>
      </c>
      <c r="HF80" t="n">
        <v>0.0123016934898124</v>
      </c>
      <c r="HG80" t="n">
        <v>0.000528684933989831</v>
      </c>
      <c r="HH80" t="n">
        <v>0.00146443830487497</v>
      </c>
      <c r="HI80" t="n">
        <v>0.00300750746223666</v>
      </c>
      <c r="HJ80" t="n">
        <v>0.00589928381942939</v>
      </c>
      <c r="HK80" t="n">
        <v>0.000829274123658852</v>
      </c>
    </row>
    <row r="81">
      <c r="A81" s="85" t="s">
        <v>2589</v>
      </c>
      <c r="B81" s="85" t="n">
        <v>545.1</v>
      </c>
      <c r="C81" s="85" t="n">
        <v>549</v>
      </c>
      <c r="D81" s="85" t="n">
        <v>555.7</v>
      </c>
      <c r="E81" s="85" t="n">
        <v>556.3</v>
      </c>
      <c r="F81" s="85" t="n">
        <v>570.5</v>
      </c>
      <c r="G81" s="85" t="n">
        <v>580.4</v>
      </c>
      <c r="H81" s="85" t="n">
        <v>588.8</v>
      </c>
      <c r="I81" s="85" t="n">
        <v>598.4</v>
      </c>
      <c r="J81" s="85" t="n">
        <v>618.5</v>
      </c>
      <c r="K81" s="85" t="n">
        <v>630.4</v>
      </c>
      <c r="L81" s="85" t="n">
        <v>642.3</v>
      </c>
      <c r="M81" s="85" t="n">
        <v>664</v>
      </c>
      <c r="N81" s="85" t="n">
        <v>683.4</v>
      </c>
      <c r="O81" s="85" t="n">
        <v>700.2</v>
      </c>
      <c r="P81" s="85" t="n">
        <v>716.2</v>
      </c>
      <c r="Q81" s="85" t="n">
        <v>735.4</v>
      </c>
      <c r="R81" s="85" t="n">
        <v>748.2</v>
      </c>
      <c r="S81" s="85" t="n">
        <v>765.3</v>
      </c>
      <c r="T81" s="85" t="n">
        <v>783.2</v>
      </c>
      <c r="U81" s="85" t="n">
        <v>792.5</v>
      </c>
      <c r="V81" s="85" t="n">
        <v>792</v>
      </c>
      <c r="W81" s="85" t="n">
        <v>800.4</v>
      </c>
      <c r="X81" s="85" t="n">
        <v>821.3</v>
      </c>
      <c r="Y81" s="85" t="n">
        <v>845.8</v>
      </c>
      <c r="Z81" s="85" t="n">
        <v>871.3</v>
      </c>
      <c r="AA81" s="85" t="n">
        <v>889.4</v>
      </c>
      <c r="AB81" s="85" t="n">
        <v>908.5</v>
      </c>
      <c r="AC81" s="85" t="n">
        <v>930</v>
      </c>
      <c r="AD81" s="85" t="n">
        <v>950.1</v>
      </c>
      <c r="AE81" s="85" t="n">
        <v>981</v>
      </c>
      <c r="AF81" s="85" t="n">
        <v>1007.6</v>
      </c>
      <c r="AG81" s="85" t="n">
        <v>1038.2</v>
      </c>
      <c r="AH81" s="85" t="n">
        <v>1063.9</v>
      </c>
      <c r="AI81" s="85" t="n">
        <v>1106.1</v>
      </c>
      <c r="AJ81" s="85" t="n">
        <v>1138.1</v>
      </c>
      <c r="AK81" s="85" t="n">
        <v>1174.5</v>
      </c>
      <c r="AL81" s="85" t="n">
        <v>1208.6</v>
      </c>
      <c r="AM81" s="85" t="n">
        <v>1234.5</v>
      </c>
      <c r="AN81" s="85" t="n">
        <v>1269.5</v>
      </c>
      <c r="AO81" s="85" t="n">
        <v>1301</v>
      </c>
      <c r="AP81" s="85" t="n">
        <v>1333.9</v>
      </c>
      <c r="AQ81" s="85" t="n">
        <v>1354</v>
      </c>
      <c r="AR81" s="85" t="n">
        <v>1377.4</v>
      </c>
      <c r="AS81" s="85" t="n">
        <v>1428.8</v>
      </c>
      <c r="AT81" s="85" t="n">
        <v>1467.8</v>
      </c>
      <c r="AU81" s="85" t="n">
        <v>1496.8</v>
      </c>
      <c r="AV81" s="85" t="n">
        <v>1530.7</v>
      </c>
      <c r="AW81" s="85" t="n">
        <v>1550.7</v>
      </c>
      <c r="AX81" s="85" t="n">
        <v>1567.7</v>
      </c>
      <c r="AY81" s="85" t="n">
        <v>1581.9</v>
      </c>
      <c r="AZ81" s="85" t="n">
        <v>1596.6</v>
      </c>
      <c r="BA81" s="85" t="n">
        <v>1604.5</v>
      </c>
      <c r="BB81" s="85" t="n">
        <v>1622.6</v>
      </c>
      <c r="BC81" s="85" t="n">
        <v>1654.8</v>
      </c>
      <c r="BD81" s="85" t="n">
        <v>1691.6</v>
      </c>
      <c r="BE81" s="85" t="n">
        <v>1741.7</v>
      </c>
      <c r="BF81" s="85" t="n">
        <v>1784.2</v>
      </c>
      <c r="BG81" s="85" t="n">
        <v>1828.4</v>
      </c>
      <c r="BH81" s="85" t="n">
        <v>1867.3</v>
      </c>
      <c r="BI81" s="85" t="n">
        <v>1900.7</v>
      </c>
      <c r="BJ81" s="85" t="n">
        <v>1932.4</v>
      </c>
      <c r="BK81" s="85" t="n">
        <v>1963.8</v>
      </c>
      <c r="BL81" s="85" t="n">
        <v>1997.6</v>
      </c>
      <c r="BM81" s="85" t="n">
        <v>2037.2</v>
      </c>
      <c r="BN81" s="85" t="n">
        <v>2065.5</v>
      </c>
      <c r="BO81" s="85" t="n">
        <v>2083.6</v>
      </c>
      <c r="BP81" s="85" t="n">
        <v>2113.1</v>
      </c>
      <c r="BQ81" s="85" t="n">
        <v>2154.2</v>
      </c>
      <c r="BR81" s="85" t="n">
        <v>2194.3</v>
      </c>
      <c r="BS81" s="85" t="n">
        <v>2231.4</v>
      </c>
      <c r="BT81" s="85" t="n">
        <v>2272</v>
      </c>
      <c r="BU81" s="85" t="n">
        <v>2332.8</v>
      </c>
      <c r="BV81" s="85" t="n">
        <v>2367.1</v>
      </c>
      <c r="BW81" s="85" t="n">
        <v>2422.5</v>
      </c>
      <c r="BX81" s="85" t="n">
        <v>2463.6</v>
      </c>
      <c r="BY81" s="85" t="n">
        <v>2509.5</v>
      </c>
      <c r="BZ81" s="85" t="n">
        <v>2541.9</v>
      </c>
      <c r="CA81" s="85" t="n">
        <v>2564.7</v>
      </c>
      <c r="CB81" s="85" t="n">
        <v>2593.5</v>
      </c>
      <c r="CC81" s="85" t="n">
        <v>2637.3</v>
      </c>
      <c r="CD81" s="85" t="n">
        <v>2686.6</v>
      </c>
      <c r="CE81" s="85" t="n">
        <v>2741</v>
      </c>
      <c r="CF81" s="85" t="n">
        <v>2771.6</v>
      </c>
      <c r="CG81" s="85" t="n">
        <v>2774.8</v>
      </c>
      <c r="CH81" s="85" t="n">
        <v>2774.1</v>
      </c>
      <c r="CI81" s="85" t="n">
        <v>2802.8</v>
      </c>
      <c r="CJ81" s="85" t="n">
        <v>2830.9</v>
      </c>
      <c r="CK81" s="85" t="n">
        <v>2861.2</v>
      </c>
      <c r="CL81" s="85" t="n">
        <v>2915.9</v>
      </c>
      <c r="CM81" s="85" t="n">
        <v>2955</v>
      </c>
      <c r="CN81" s="85" t="n">
        <v>2979.4</v>
      </c>
      <c r="CO81" s="85" t="n">
        <v>3023.8</v>
      </c>
      <c r="CP81" s="85" t="n">
        <v>3019</v>
      </c>
      <c r="CQ81" s="85" t="n">
        <v>3069.8</v>
      </c>
      <c r="CR81" s="85" t="n">
        <v>3096.9</v>
      </c>
      <c r="CS81" s="85" t="n">
        <v>3144.9</v>
      </c>
      <c r="CT81" s="85" t="n">
        <v>3156.6</v>
      </c>
      <c r="CU81" s="85" t="n">
        <v>3227.4</v>
      </c>
      <c r="CV81" s="85" t="n">
        <v>3262.7</v>
      </c>
      <c r="CW81" s="85" t="n">
        <v>3315.7</v>
      </c>
      <c r="CX81" s="85" t="n">
        <v>3362.1</v>
      </c>
      <c r="CY81" s="85" t="n">
        <v>3399.3</v>
      </c>
      <c r="CZ81" s="85" t="n">
        <v>3443</v>
      </c>
      <c r="DA81" s="85" t="n">
        <v>3484.1</v>
      </c>
      <c r="DB81" s="85" t="n">
        <v>3528.3</v>
      </c>
      <c r="DC81" s="85" t="n">
        <v>3594</v>
      </c>
      <c r="DD81" s="85" t="n">
        <v>3651.3</v>
      </c>
      <c r="DE81" s="85" t="n">
        <v>3708.7</v>
      </c>
      <c r="DF81" s="85" t="n">
        <v>3780.5</v>
      </c>
      <c r="DG81" s="85" t="n">
        <v>3840</v>
      </c>
      <c r="DH81" s="85" t="n">
        <v>3907.4</v>
      </c>
      <c r="DI81" s="85" t="n">
        <v>3997.1</v>
      </c>
      <c r="DJ81" s="85" t="n">
        <v>4079.3</v>
      </c>
      <c r="DK81" s="85" t="n">
        <v>4149.9</v>
      </c>
      <c r="DL81" s="85" t="n">
        <v>4222</v>
      </c>
      <c r="DM81" s="85" t="n">
        <v>4293.5</v>
      </c>
      <c r="DN81" s="85" t="n">
        <v>4372.7</v>
      </c>
      <c r="DO81" s="85" t="n">
        <v>4416.9</v>
      </c>
      <c r="DP81" s="85" t="n">
        <v>4480.2</v>
      </c>
      <c r="DQ81" s="85" t="n">
        <v>4591</v>
      </c>
      <c r="DR81" s="85" t="n">
        <v>4758.7</v>
      </c>
      <c r="DS81" s="85" t="n">
        <v>4786.6</v>
      </c>
      <c r="DT81" s="85" t="n">
        <v>4878.8</v>
      </c>
      <c r="DU81" s="85" t="n">
        <v>4905.7</v>
      </c>
      <c r="DV81" s="85" t="n">
        <v>4987.2</v>
      </c>
      <c r="DW81" s="85" t="n">
        <v>4969.3</v>
      </c>
      <c r="DX81" s="85" t="n">
        <v>4944.1</v>
      </c>
      <c r="DY81" s="85" t="n">
        <v>4946</v>
      </c>
      <c r="DZ81" s="85" t="n">
        <v>4953.9</v>
      </c>
      <c r="EA81" s="85" t="n">
        <v>5006.4</v>
      </c>
      <c r="EB81" s="85" t="n">
        <v>5020.5</v>
      </c>
      <c r="EC81" s="85" t="n">
        <v>5035.5</v>
      </c>
      <c r="ED81" s="85" t="n">
        <v>5035.7</v>
      </c>
      <c r="EE81" s="85" t="n">
        <v>5109.8</v>
      </c>
      <c r="EF81" s="85" t="n">
        <v>5177.4</v>
      </c>
      <c r="EG81" s="85" t="n">
        <v>5264.9</v>
      </c>
      <c r="EH81" s="85" t="n">
        <v>5284</v>
      </c>
      <c r="EI81" s="85" t="n">
        <v>5390.8</v>
      </c>
      <c r="EJ81" s="85" t="n">
        <v>5502.5</v>
      </c>
      <c r="EK81" s="85" t="n">
        <v>5546.1</v>
      </c>
      <c r="EL81" s="85" t="n">
        <v>5586.1</v>
      </c>
      <c r="EM81" s="85" t="n">
        <v>5649.4</v>
      </c>
      <c r="EN81" s="85" t="n">
        <v>5749.8</v>
      </c>
      <c r="EO81" s="85" t="n">
        <v>5826.7</v>
      </c>
      <c r="EP81" s="85" t="n">
        <v>5983.1</v>
      </c>
      <c r="EQ81" s="85" t="n">
        <v>6024.2</v>
      </c>
      <c r="ER81" s="85" t="n">
        <v>6073</v>
      </c>
      <c r="ES81" s="85" t="n">
        <v>6193</v>
      </c>
      <c r="ET81" s="85" t="n">
        <v>6354.7</v>
      </c>
      <c r="EU81" s="85" t="n">
        <v>6381.4</v>
      </c>
      <c r="EV81" s="85" t="n">
        <v>6407.7</v>
      </c>
      <c r="EW81" s="85" t="n">
        <v>6485.3</v>
      </c>
      <c r="EX81" s="85" t="n">
        <v>6552.3</v>
      </c>
      <c r="EY81" s="85" t="n">
        <v>6544.1</v>
      </c>
      <c r="EZ81" s="85" t="n">
        <v>6558</v>
      </c>
      <c r="FA81" s="85" t="n">
        <v>6529.4</v>
      </c>
      <c r="FB81" s="85" t="n">
        <v>6234.6</v>
      </c>
      <c r="FC81" s="85" t="n">
        <v>6262.8</v>
      </c>
      <c r="FD81" s="85" t="n">
        <v>6245.2</v>
      </c>
      <c r="FE81" s="85" t="n">
        <v>6286.6</v>
      </c>
      <c r="FF81" s="85" t="n">
        <v>6240.2</v>
      </c>
      <c r="FG81" s="85" t="n">
        <v>6368.2</v>
      </c>
      <c r="FH81" s="85" t="n">
        <v>6430.5</v>
      </c>
      <c r="FI81" s="85" t="n">
        <v>6481.4</v>
      </c>
      <c r="FJ81" s="85" t="n">
        <v>6584.9</v>
      </c>
      <c r="FK81" s="85" t="n">
        <v>6615.9</v>
      </c>
      <c r="FL81" s="85" t="n">
        <v>6689.7</v>
      </c>
      <c r="FM81" s="85" t="n">
        <v>6645.7</v>
      </c>
      <c r="FN81" s="85" t="n">
        <v>6844.2</v>
      </c>
      <c r="FO81" s="85" t="n">
        <v>6884.3</v>
      </c>
      <c r="FP81" s="85" t="n">
        <v>6914.2</v>
      </c>
      <c r="FQ81" s="85" t="n">
        <v>7101.8</v>
      </c>
      <c r="FR81" s="85" t="n">
        <v>7052.2</v>
      </c>
      <c r="FS81" s="85" t="n">
        <v>7111.5</v>
      </c>
      <c r="FT81" s="85" t="n">
        <v>7121.5</v>
      </c>
      <c r="FU81" s="85" t="n">
        <v>7205.1</v>
      </c>
      <c r="FV81" s="85" t="n">
        <v>7367.7</v>
      </c>
      <c r="FW81" s="85" t="n">
        <v>7418.9</v>
      </c>
      <c r="FX81" s="85" t="n">
        <v>7512.6</v>
      </c>
      <c r="FY81" s="85" t="n">
        <v>7643.9</v>
      </c>
      <c r="FZ81" s="85" t="n">
        <v>7755.9</v>
      </c>
      <c r="GA81" s="85" t="n">
        <v>7840.7</v>
      </c>
      <c r="GB81" s="85" t="n">
        <v>7913.3</v>
      </c>
      <c r="GC81" s="85" t="n">
        <v>7968.5</v>
      </c>
      <c r="GD81" s="85" t="n">
        <v>8003.5</v>
      </c>
      <c r="GE81" s="85" t="n">
        <v>8050.2</v>
      </c>
      <c r="GF81" s="85" t="n">
        <v>8130.4</v>
      </c>
      <c r="GG81" s="85" t="n">
        <v>8224.9</v>
      </c>
      <c r="GH81" s="85" t="n">
        <v>8321.3</v>
      </c>
      <c r="GI81" s="85" t="n">
        <v>8412.8</v>
      </c>
      <c r="GJ81" s="85" t="n">
        <v>8529.1</v>
      </c>
      <c r="GK81" s="85" t="n">
        <v>8676.9</v>
      </c>
      <c r="GL81" s="85" t="n">
        <v>8772.7</v>
      </c>
      <c r="GM81" s="85" t="n">
        <v>8853.5</v>
      </c>
      <c r="GN81" s="85" t="n">
        <v>8979.5</v>
      </c>
      <c r="GO81" s="85" t="n">
        <v>9034.7</v>
      </c>
      <c r="GP81" s="85" t="n">
        <v>9233.3</v>
      </c>
      <c r="GQ81" s="85" t="n">
        <v>9285</v>
      </c>
      <c r="GR81" s="85" t="n">
        <v>9341</v>
      </c>
      <c r="GS81" s="85" t="n">
        <v>9488.8</v>
      </c>
      <c r="GT81" s="85" t="n">
        <v>9636.5</v>
      </c>
      <c r="GU81" s="85" t="n">
        <v>9005.3</v>
      </c>
      <c r="GV81" s="85" t="n">
        <v>9441.8</v>
      </c>
      <c r="GW81" s="85" t="n">
        <v>9809.5</v>
      </c>
      <c r="GX81" s="85" t="n">
        <v>9889.8</v>
      </c>
      <c r="GY81" s="85" t="n">
        <v>10182.5</v>
      </c>
      <c r="GZ81" s="85" t="n">
        <v>10462.8</v>
      </c>
      <c r="HA81" s="85" t="n">
        <v>10772</v>
      </c>
      <c r="HB81" s="85" t="n">
        <v>10909.7</v>
      </c>
      <c r="HC81" t="n">
        <v>11012.9</v>
      </c>
      <c r="HD81" t="n">
        <v>11296.3</v>
      </c>
      <c r="HE81" t="n">
        <v>11343.1</v>
      </c>
      <c r="HF81" t="n">
        <v>11499.3</v>
      </c>
      <c r="HG81" t="n">
        <v>11660.4</v>
      </c>
      <c r="HH81" t="n">
        <v>11843.5</v>
      </c>
      <c r="HI81" t="n">
        <v>11975.4</v>
      </c>
      <c r="HJ81" t="n">
        <v>12270.7</v>
      </c>
      <c r="HK81" t="n">
        <v>12455.3</v>
      </c>
    </row>
    <row r="82">
      <c r="A82" s="85" t="s">
        <v>2590</v>
      </c>
      <c r="B82" s="85" t="n">
        <v>77.1</v>
      </c>
      <c r="C82" s="85" t="n">
        <v>76.7</v>
      </c>
      <c r="D82" s="85" t="n">
        <v>78.5</v>
      </c>
      <c r="E82" s="85" t="n">
        <v>78.9</v>
      </c>
      <c r="F82" s="85" t="n">
        <v>80.3</v>
      </c>
      <c r="G82" s="85" t="n">
        <v>82.8</v>
      </c>
      <c r="H82" s="85" t="n">
        <v>84.6</v>
      </c>
      <c r="I82" s="85" t="n">
        <v>87.9</v>
      </c>
      <c r="J82" s="85" t="n">
        <v>87.9</v>
      </c>
      <c r="K82" s="85" t="n">
        <v>91.3</v>
      </c>
      <c r="L82" s="85" t="n">
        <v>95.5</v>
      </c>
      <c r="M82" s="85" t="n">
        <v>105.6</v>
      </c>
      <c r="N82" s="85" t="n">
        <v>104.1</v>
      </c>
      <c r="O82" s="85" t="n">
        <v>109.9</v>
      </c>
      <c r="P82" s="85" t="n">
        <v>113.8</v>
      </c>
      <c r="Q82" s="85" t="n">
        <v>122.2</v>
      </c>
      <c r="R82" s="85" t="n">
        <v>115.7</v>
      </c>
      <c r="S82" s="85" t="n">
        <v>108.6</v>
      </c>
      <c r="T82" s="85" t="n">
        <v>111</v>
      </c>
      <c r="U82" s="85" t="n">
        <v>113.5</v>
      </c>
      <c r="V82" s="85" t="n">
        <v>112.7</v>
      </c>
      <c r="W82" s="85" t="n">
        <v>114.3</v>
      </c>
      <c r="X82" s="85" t="n">
        <v>120.7</v>
      </c>
      <c r="Y82" s="85" t="n">
        <v>125.2</v>
      </c>
      <c r="Z82" s="85" t="n">
        <v>126.4</v>
      </c>
      <c r="AA82" s="85" t="n">
        <v>128.6</v>
      </c>
      <c r="AB82" s="85" t="n">
        <v>132.7</v>
      </c>
      <c r="AC82" s="85" t="n">
        <v>136.2</v>
      </c>
      <c r="AD82" s="85" t="n">
        <v>138.6</v>
      </c>
      <c r="AE82" s="85" t="n">
        <v>140.5</v>
      </c>
      <c r="AF82" s="85" t="n">
        <v>142.4</v>
      </c>
      <c r="AG82" s="85" t="n">
        <v>156.5</v>
      </c>
      <c r="AH82" s="85" t="n">
        <v>158.5</v>
      </c>
      <c r="AI82" s="85" t="n">
        <v>166.1</v>
      </c>
      <c r="AJ82" s="85" t="n">
        <v>168.3</v>
      </c>
      <c r="AK82" s="85" t="n">
        <v>170.9</v>
      </c>
      <c r="AL82" s="85" t="n">
        <v>180.1</v>
      </c>
      <c r="AM82" s="85" t="n">
        <v>179.2</v>
      </c>
      <c r="AN82" s="85" t="n">
        <v>180.7</v>
      </c>
      <c r="AO82" s="85" t="n">
        <v>177.8</v>
      </c>
      <c r="AP82" s="85" t="n">
        <v>167.6</v>
      </c>
      <c r="AQ82" s="85" t="n">
        <v>160.3</v>
      </c>
      <c r="AR82" s="85" t="n">
        <v>173.4</v>
      </c>
      <c r="AS82" s="85" t="n">
        <v>185</v>
      </c>
      <c r="AT82" s="85" t="n">
        <v>188.2</v>
      </c>
      <c r="AU82" s="85" t="n">
        <v>176.4</v>
      </c>
      <c r="AV82" s="85" t="n">
        <v>182.3</v>
      </c>
      <c r="AW82" s="85" t="n">
        <v>171.8</v>
      </c>
      <c r="AX82" s="85" t="n">
        <v>165.2</v>
      </c>
      <c r="AY82" s="85" t="n">
        <v>169.4</v>
      </c>
      <c r="AZ82" s="85" t="n">
        <v>170.7</v>
      </c>
      <c r="BA82" s="85" t="n">
        <v>179.5</v>
      </c>
      <c r="BB82" s="85" t="n">
        <v>183.3</v>
      </c>
      <c r="BC82" s="85" t="n">
        <v>182.6</v>
      </c>
      <c r="BD82" s="85" t="n">
        <v>183.8</v>
      </c>
      <c r="BE82" s="85" t="n">
        <v>195.3</v>
      </c>
      <c r="BF82" s="85" t="n">
        <v>221.9</v>
      </c>
      <c r="BG82" s="85" t="n">
        <v>231.8</v>
      </c>
      <c r="BH82" s="85" t="n">
        <v>232.4</v>
      </c>
      <c r="BI82" s="85" t="n">
        <v>226.9</v>
      </c>
      <c r="BJ82" s="85" t="n">
        <v>240.7</v>
      </c>
      <c r="BK82" s="85" t="n">
        <v>238.5</v>
      </c>
      <c r="BL82" s="85" t="n">
        <v>240.7</v>
      </c>
      <c r="BM82" s="85" t="n">
        <v>244.3</v>
      </c>
      <c r="BN82" s="85" t="n">
        <v>245.6</v>
      </c>
      <c r="BO82" s="85" t="n">
        <v>251.6</v>
      </c>
      <c r="BP82" s="85" t="n">
        <v>264.4</v>
      </c>
      <c r="BQ82" s="85" t="n">
        <v>264.2</v>
      </c>
      <c r="BR82" s="85" t="n">
        <v>275.4</v>
      </c>
      <c r="BS82" s="85" t="n">
        <v>282.3</v>
      </c>
      <c r="BT82" s="85" t="n">
        <v>289.5</v>
      </c>
      <c r="BU82" s="85" t="n">
        <v>298.6</v>
      </c>
      <c r="BV82" s="85" t="n">
        <v>319.2</v>
      </c>
      <c r="BW82" s="85" t="n">
        <v>322.5</v>
      </c>
      <c r="BX82" s="85" t="n">
        <v>333.6</v>
      </c>
      <c r="BY82" s="85" t="n">
        <v>326.8</v>
      </c>
      <c r="BZ82" s="85" t="n">
        <v>348.1</v>
      </c>
      <c r="CA82" s="85" t="n">
        <v>339.5</v>
      </c>
      <c r="CB82" s="85" t="n">
        <v>337.2</v>
      </c>
      <c r="CC82" s="85" t="n">
        <v>339.7</v>
      </c>
      <c r="CD82" s="85" t="n">
        <v>345.6</v>
      </c>
      <c r="CE82" s="85" t="n">
        <v>351.1</v>
      </c>
      <c r="CF82" s="85" t="n">
        <v>358.9</v>
      </c>
      <c r="CG82" s="85" t="n">
        <v>357</v>
      </c>
      <c r="CH82" s="85" t="n">
        <v>347.5</v>
      </c>
      <c r="CI82" s="85" t="n">
        <v>353</v>
      </c>
      <c r="CJ82" s="85" t="n">
        <v>353.6</v>
      </c>
      <c r="CK82" s="85" t="n">
        <v>362.6</v>
      </c>
      <c r="CL82" s="85" t="n">
        <v>378.7</v>
      </c>
      <c r="CM82" s="85" t="n">
        <v>395.2</v>
      </c>
      <c r="CN82" s="85" t="n">
        <v>407.9</v>
      </c>
      <c r="CO82" s="85" t="n">
        <v>418.8</v>
      </c>
      <c r="CP82" s="85" t="n">
        <v>418.9</v>
      </c>
      <c r="CQ82" s="85" t="n">
        <v>429.6</v>
      </c>
      <c r="CR82" s="85" t="n">
        <v>423.4</v>
      </c>
      <c r="CS82" s="85" t="n">
        <v>440</v>
      </c>
      <c r="CT82" s="85" t="n">
        <v>450.2</v>
      </c>
      <c r="CU82" s="85" t="n">
        <v>454.1</v>
      </c>
      <c r="CV82" s="85" t="n">
        <v>456.8</v>
      </c>
      <c r="CW82" s="85" t="n">
        <v>465.5</v>
      </c>
      <c r="CX82" s="85" t="n">
        <v>467.4</v>
      </c>
      <c r="CY82" s="85" t="n">
        <v>472</v>
      </c>
      <c r="CZ82" s="85" t="n">
        <v>484.5</v>
      </c>
      <c r="DA82" s="85" t="n">
        <v>501</v>
      </c>
      <c r="DB82" s="85" t="n">
        <v>523.3</v>
      </c>
      <c r="DC82" s="85" t="n">
        <v>547.5</v>
      </c>
      <c r="DD82" s="85" t="n">
        <v>547.5</v>
      </c>
      <c r="DE82" s="85" t="n">
        <v>556.8</v>
      </c>
      <c r="DF82" s="85" t="n">
        <v>575.6</v>
      </c>
      <c r="DG82" s="85" t="n">
        <v>575.1</v>
      </c>
      <c r="DH82" s="85" t="n">
        <v>588.5</v>
      </c>
      <c r="DI82" s="85" t="n">
        <v>596.6</v>
      </c>
      <c r="DJ82" s="85" t="n">
        <v>617.4</v>
      </c>
      <c r="DK82" s="85" t="n">
        <v>630.2</v>
      </c>
      <c r="DL82" s="85" t="n">
        <v>645.4</v>
      </c>
      <c r="DM82" s="85" t="n">
        <v>668.1</v>
      </c>
      <c r="DN82" s="85" t="n">
        <v>682.4</v>
      </c>
      <c r="DO82" s="85" t="n">
        <v>690.2</v>
      </c>
      <c r="DP82" s="85" t="n">
        <v>699.5</v>
      </c>
      <c r="DQ82" s="85" t="n">
        <v>713.3</v>
      </c>
      <c r="DR82" s="85" t="n">
        <v>720.6</v>
      </c>
      <c r="DS82" s="85" t="n">
        <v>750.7</v>
      </c>
      <c r="DT82" s="85" t="n">
        <v>760.3</v>
      </c>
      <c r="DU82" s="85" t="n">
        <v>782.7</v>
      </c>
      <c r="DV82" s="85" t="n">
        <v>810</v>
      </c>
      <c r="DW82" s="85" t="n">
        <v>827.8</v>
      </c>
      <c r="DX82" s="85" t="n">
        <v>845.6</v>
      </c>
      <c r="DY82" s="85" t="n">
        <v>840.9</v>
      </c>
      <c r="DZ82" s="85" t="n">
        <v>859.7</v>
      </c>
      <c r="EA82" s="85" t="n">
        <v>864.4</v>
      </c>
      <c r="EB82" s="85" t="n">
        <v>873</v>
      </c>
      <c r="EC82" s="85" t="n">
        <v>883.4</v>
      </c>
      <c r="ED82" s="85" t="n">
        <v>876.3</v>
      </c>
      <c r="EE82" s="85" t="n">
        <v>892.4</v>
      </c>
      <c r="EF82" s="85" t="n">
        <v>905.3</v>
      </c>
      <c r="EG82" s="85" t="n">
        <v>916.1</v>
      </c>
      <c r="EH82" s="85" t="n">
        <v>946.6</v>
      </c>
      <c r="EI82" s="85" t="n">
        <v>963</v>
      </c>
      <c r="EJ82" s="85" t="n">
        <v>964.2</v>
      </c>
      <c r="EK82" s="85" t="n">
        <v>977.8</v>
      </c>
      <c r="EL82" s="85" t="n">
        <v>957.1</v>
      </c>
      <c r="EM82" s="85" t="n">
        <v>963.9</v>
      </c>
      <c r="EN82" s="85" t="n">
        <v>988</v>
      </c>
      <c r="EO82" s="85" t="n">
        <v>1007.5</v>
      </c>
      <c r="EP82" s="85" t="n">
        <v>1049.5</v>
      </c>
      <c r="EQ82" s="85" t="n">
        <v>1052</v>
      </c>
      <c r="ER82" s="85" t="n">
        <v>1048.8</v>
      </c>
      <c r="ES82" s="85" t="n">
        <v>1053.2</v>
      </c>
      <c r="ET82" s="85" t="n">
        <v>1017.2</v>
      </c>
      <c r="EU82" s="85" t="n">
        <v>998.5</v>
      </c>
      <c r="EV82" s="85" t="n">
        <v>987.1</v>
      </c>
      <c r="EW82" s="85" t="n">
        <v>978.8</v>
      </c>
      <c r="EX82" s="85" t="n">
        <v>965</v>
      </c>
      <c r="EY82" s="85" t="n">
        <v>967.5</v>
      </c>
      <c r="EZ82" s="85" t="n">
        <v>957.2</v>
      </c>
      <c r="FA82" s="85" t="n">
        <v>951.5</v>
      </c>
      <c r="FB82" s="85" t="n">
        <v>913.8</v>
      </c>
      <c r="FC82" s="85" t="n">
        <v>902</v>
      </c>
      <c r="FD82" s="85" t="n">
        <v>935</v>
      </c>
      <c r="FE82" s="85" t="n">
        <v>1001.7</v>
      </c>
      <c r="FF82" s="85" t="n">
        <v>1057.1</v>
      </c>
      <c r="FG82" s="85" t="n">
        <v>1103.5</v>
      </c>
      <c r="FH82" s="85" t="n">
        <v>1129</v>
      </c>
      <c r="FI82" s="85" t="n">
        <v>1144.4</v>
      </c>
      <c r="FJ82" s="85" t="n">
        <v>1181.2</v>
      </c>
      <c r="FK82" s="85" t="n">
        <v>1211.9</v>
      </c>
      <c r="FL82" s="85" t="n">
        <v>1252.1</v>
      </c>
      <c r="FM82" s="85" t="n">
        <v>1268.2</v>
      </c>
      <c r="FN82" s="85" t="n">
        <v>1297.7</v>
      </c>
      <c r="FO82" s="85" t="n">
        <v>1308.7</v>
      </c>
      <c r="FP82" s="85" t="n">
        <v>1286.8</v>
      </c>
      <c r="FQ82" s="85" t="n">
        <v>1306.6</v>
      </c>
      <c r="FR82" s="85" t="n">
        <v>1339.6</v>
      </c>
      <c r="FS82" s="85" t="n">
        <v>1364.1</v>
      </c>
      <c r="FT82" s="85" t="n">
        <v>1363.1</v>
      </c>
      <c r="FU82" s="85" t="n">
        <v>1340.1</v>
      </c>
      <c r="FV82" s="85" t="n">
        <v>1349.4</v>
      </c>
      <c r="FW82" s="85" t="n">
        <v>1376.7</v>
      </c>
      <c r="FX82" s="85" t="n">
        <v>1381.9</v>
      </c>
      <c r="FY82" s="85" t="n">
        <v>1371.7</v>
      </c>
      <c r="FZ82" s="85" t="n">
        <v>1356.1</v>
      </c>
      <c r="GA82" s="85" t="n">
        <v>1339.9</v>
      </c>
      <c r="GB82" s="85" t="n">
        <v>1352.3</v>
      </c>
      <c r="GC82" s="85" t="n">
        <v>1342.5</v>
      </c>
      <c r="GD82" s="85" t="n">
        <v>1335.9</v>
      </c>
      <c r="GE82" s="85" t="n">
        <v>1334</v>
      </c>
      <c r="GF82" s="85" t="n">
        <v>1355.9</v>
      </c>
      <c r="GG82" s="85" t="n">
        <v>1371.1</v>
      </c>
      <c r="GH82" s="85" t="n">
        <v>1409.4</v>
      </c>
      <c r="GI82" s="85" t="n">
        <v>1419.7</v>
      </c>
      <c r="GJ82" s="85" t="n">
        <v>1423.9</v>
      </c>
      <c r="GK82" s="85" t="n">
        <v>1461.5</v>
      </c>
      <c r="GL82" s="85" t="n">
        <v>1472.2</v>
      </c>
      <c r="GM82" s="85" t="n">
        <v>1479.6</v>
      </c>
      <c r="GN82" s="85" t="n">
        <v>1499.9</v>
      </c>
      <c r="GO82" s="85" t="n">
        <v>1529.7</v>
      </c>
      <c r="GP82" s="85" t="n">
        <v>1534</v>
      </c>
      <c r="GQ82" s="85" t="n">
        <v>1535.6</v>
      </c>
      <c r="GR82" s="85" t="n">
        <v>1570.9</v>
      </c>
      <c r="GS82" s="85" t="n">
        <v>1582.7</v>
      </c>
      <c r="GT82" s="85" t="n">
        <v>1577.7</v>
      </c>
      <c r="GU82" s="85" t="n">
        <v>1424.4</v>
      </c>
      <c r="GV82" s="85" t="n">
        <v>1705.8</v>
      </c>
      <c r="GW82" s="85" t="n">
        <v>1668.1</v>
      </c>
      <c r="GX82" s="85" t="n">
        <v>1697.5</v>
      </c>
      <c r="GY82" s="85" t="n">
        <v>1845.5</v>
      </c>
      <c r="GZ82" s="85" t="n">
        <v>1867.1</v>
      </c>
      <c r="HA82" s="85" t="n">
        <v>1850.8</v>
      </c>
      <c r="HB82" s="85" t="n">
        <v>1833.3</v>
      </c>
      <c r="HC82" t="n">
        <v>1850.1</v>
      </c>
      <c r="HD82" t="n">
        <v>1895.3</v>
      </c>
      <c r="HE82" t="n">
        <v>1915.5</v>
      </c>
      <c r="HF82" t="n">
        <v>1934.7</v>
      </c>
      <c r="HG82" t="n">
        <v>1936.6</v>
      </c>
      <c r="HH82" t="n">
        <v>1954.6</v>
      </c>
      <c r="HI82" t="n">
        <v>1970.1</v>
      </c>
      <c r="HJ82" t="n">
        <v>1972.1</v>
      </c>
      <c r="HK82" t="n">
        <v>2002.3</v>
      </c>
    </row>
    <row r="83">
      <c r="A83" s="85" t="s">
        <v>2591</v>
      </c>
      <c r="B83" s="85" t="n">
        <v>20.4</v>
      </c>
      <c r="C83" s="85" t="n">
        <v>20.2</v>
      </c>
      <c r="D83" s="85" t="n">
        <v>20.9</v>
      </c>
      <c r="E83" s="85" t="n">
        <v>21.2</v>
      </c>
      <c r="F83" s="85" t="n">
        <v>21.1</v>
      </c>
      <c r="G83" s="85" t="n">
        <v>21.7</v>
      </c>
      <c r="H83" s="85" t="n">
        <v>22</v>
      </c>
      <c r="I83" s="85" t="n">
        <v>22.5</v>
      </c>
      <c r="J83" s="85" t="n">
        <v>23.1</v>
      </c>
      <c r="K83" s="85" t="n">
        <v>20.2</v>
      </c>
      <c r="L83" s="85" t="n">
        <v>23.9</v>
      </c>
      <c r="M83" s="85" t="n">
        <v>23.8</v>
      </c>
      <c r="N83" s="85" t="n">
        <v>23.5</v>
      </c>
      <c r="O83" s="85" t="n">
        <v>23.3</v>
      </c>
      <c r="P83" s="85" t="n">
        <v>22.3</v>
      </c>
      <c r="Q83" s="85" t="n">
        <v>23.3</v>
      </c>
      <c r="R83" s="85" t="n">
        <v>23.5</v>
      </c>
      <c r="S83" s="85" t="n">
        <v>22.9</v>
      </c>
      <c r="T83" s="85" t="n">
        <v>23.3</v>
      </c>
      <c r="U83" s="85" t="n">
        <v>23</v>
      </c>
      <c r="V83" s="85" t="n">
        <v>22.7</v>
      </c>
      <c r="W83" s="85" t="n">
        <v>22.4</v>
      </c>
      <c r="X83" s="85" t="n">
        <v>22.2</v>
      </c>
      <c r="Y83" s="85" t="n">
        <v>21.9</v>
      </c>
      <c r="Z83" s="85" t="n">
        <v>21.6</v>
      </c>
      <c r="AA83" s="85" t="n">
        <v>20.5</v>
      </c>
      <c r="AB83" s="85" t="n">
        <v>20</v>
      </c>
      <c r="AC83" s="85" t="n">
        <v>19.1</v>
      </c>
      <c r="AD83" s="85" t="n">
        <v>16.4</v>
      </c>
      <c r="AE83" s="85" t="n">
        <v>16.3</v>
      </c>
      <c r="AF83" s="85" t="n">
        <v>15.6</v>
      </c>
      <c r="AG83" s="85" t="n">
        <v>15.1</v>
      </c>
      <c r="AH83" s="85" t="n">
        <v>15.9</v>
      </c>
      <c r="AI83" s="85" t="n">
        <v>15.6</v>
      </c>
      <c r="AJ83" s="85" t="n">
        <v>17.1</v>
      </c>
      <c r="AK83" s="85" t="n">
        <v>17.5</v>
      </c>
      <c r="AL83" s="85" t="n">
        <v>17.3</v>
      </c>
      <c r="AM83" s="85" t="n">
        <v>15.6</v>
      </c>
      <c r="AN83" s="85" t="n">
        <v>15.4</v>
      </c>
      <c r="AO83" s="85" t="n">
        <v>16.1</v>
      </c>
      <c r="AP83" s="85" t="n">
        <v>15.8</v>
      </c>
      <c r="AQ83" s="85" t="n">
        <v>17.1</v>
      </c>
      <c r="AR83" s="85" t="n">
        <v>19.9</v>
      </c>
      <c r="AS83" s="85" t="n">
        <v>23.2</v>
      </c>
      <c r="AT83" s="85" t="n">
        <v>24</v>
      </c>
      <c r="AU83" s="85" t="n">
        <v>23.3</v>
      </c>
      <c r="AV83" s="85" t="n">
        <v>23.1</v>
      </c>
      <c r="AW83" s="85" t="n">
        <v>24.7</v>
      </c>
      <c r="AX83" s="85" t="n">
        <v>23.5</v>
      </c>
      <c r="AY83" s="85" t="n">
        <v>21.1</v>
      </c>
      <c r="AZ83" s="85" t="n">
        <v>24.4</v>
      </c>
      <c r="BA83" s="85" t="n">
        <v>26.3</v>
      </c>
      <c r="BB83" s="85" t="n">
        <v>25.8</v>
      </c>
      <c r="BC83" s="85" t="n">
        <v>24.7</v>
      </c>
      <c r="BD83" s="85" t="n">
        <v>23.7</v>
      </c>
      <c r="BE83" s="85" t="n">
        <v>23.5</v>
      </c>
      <c r="BF83" s="85" t="n">
        <v>23.2</v>
      </c>
      <c r="BG83" s="85" t="n">
        <v>21.7</v>
      </c>
      <c r="BH83" s="85" t="n">
        <v>24.4</v>
      </c>
      <c r="BI83" s="85" t="n">
        <v>29.3</v>
      </c>
      <c r="BJ83" s="85" t="n">
        <v>26.9</v>
      </c>
      <c r="BK83" s="85" t="n">
        <v>25.3</v>
      </c>
      <c r="BL83" s="85" t="n">
        <v>27.1</v>
      </c>
      <c r="BM83" s="85" t="n">
        <v>25.6</v>
      </c>
      <c r="BN83" s="85" t="n">
        <v>22</v>
      </c>
      <c r="BO83" s="85" t="n">
        <v>21.1</v>
      </c>
      <c r="BP83" s="85" t="n">
        <v>16.6</v>
      </c>
      <c r="BQ83" s="85" t="n">
        <v>13.4</v>
      </c>
      <c r="BR83" s="85" t="n">
        <v>14.5</v>
      </c>
      <c r="BS83" s="85" t="n">
        <v>14.1</v>
      </c>
      <c r="BT83" s="85" t="n">
        <v>17.5</v>
      </c>
      <c r="BU83" s="85" t="n">
        <v>20.3</v>
      </c>
      <c r="BV83" s="85" t="n">
        <v>21.1</v>
      </c>
      <c r="BW83" s="85" t="n">
        <v>20.3</v>
      </c>
      <c r="BX83" s="85" t="n">
        <v>21.2</v>
      </c>
      <c r="BY83" s="85" t="n">
        <v>27.4</v>
      </c>
      <c r="BZ83" s="85" t="n">
        <v>23.1</v>
      </c>
      <c r="CA83" s="85" t="n">
        <v>21.2</v>
      </c>
      <c r="CB83" s="85" t="n">
        <v>20</v>
      </c>
      <c r="CC83" s="85" t="n">
        <v>21.8</v>
      </c>
      <c r="CD83" s="85" t="n">
        <v>23.1</v>
      </c>
      <c r="CE83" s="85" t="n">
        <v>26.7</v>
      </c>
      <c r="CF83" s="85" t="n">
        <v>31.6</v>
      </c>
      <c r="CG83" s="85" t="n">
        <v>31.3</v>
      </c>
      <c r="CH83" s="85" t="n">
        <v>33</v>
      </c>
      <c r="CI83" s="85" t="n">
        <v>35.5</v>
      </c>
      <c r="CJ83" s="85" t="n">
        <v>39.4</v>
      </c>
      <c r="CK83" s="85" t="n">
        <v>46.4</v>
      </c>
      <c r="CL83" s="85" t="n">
        <v>50</v>
      </c>
      <c r="CM83" s="85" t="n">
        <v>57.3</v>
      </c>
      <c r="CN83" s="85" t="n">
        <v>64.3</v>
      </c>
      <c r="CO83" s="85" t="n">
        <v>70.7</v>
      </c>
      <c r="CP83" s="85" t="n">
        <v>80.7</v>
      </c>
      <c r="CQ83" s="85" t="n">
        <v>86.9</v>
      </c>
      <c r="CR83" s="85" t="n">
        <v>92.5</v>
      </c>
      <c r="CS83" s="85" t="n">
        <v>100.2</v>
      </c>
      <c r="CT83" s="85" t="n">
        <v>109</v>
      </c>
      <c r="CU83" s="85" t="n">
        <v>113.5</v>
      </c>
      <c r="CV83" s="85" t="n">
        <v>116.3</v>
      </c>
      <c r="CW83" s="85" t="n">
        <v>115.9</v>
      </c>
      <c r="CX83" s="85" t="n">
        <v>118.3</v>
      </c>
      <c r="CY83" s="85" t="n">
        <v>121.6</v>
      </c>
      <c r="CZ83" s="85" t="n">
        <v>125.7</v>
      </c>
      <c r="DA83" s="85" t="n">
        <v>134</v>
      </c>
      <c r="DB83" s="85" t="n">
        <v>139.5</v>
      </c>
      <c r="DC83" s="85" t="n">
        <v>141.6</v>
      </c>
      <c r="DD83" s="85" t="n">
        <v>143.7</v>
      </c>
      <c r="DE83" s="85" t="n">
        <v>145.3</v>
      </c>
      <c r="DF83" s="85" t="n">
        <v>144.2</v>
      </c>
      <c r="DG83" s="85" t="n">
        <v>144.6</v>
      </c>
      <c r="DH83" s="85" t="n">
        <v>147.4</v>
      </c>
      <c r="DI83" s="85" t="n">
        <v>152.1</v>
      </c>
      <c r="DJ83" s="85" t="n">
        <v>156.8</v>
      </c>
      <c r="DK83" s="85" t="n">
        <v>162.6</v>
      </c>
      <c r="DL83" s="85" t="n">
        <v>168</v>
      </c>
      <c r="DM83" s="85" t="n">
        <v>173.4</v>
      </c>
      <c r="DN83" s="85" t="n">
        <v>176.1</v>
      </c>
      <c r="DO83" s="85" t="n">
        <v>179.6</v>
      </c>
      <c r="DP83" s="85" t="n">
        <v>179.4</v>
      </c>
      <c r="DQ83" s="85" t="n">
        <v>178.9</v>
      </c>
      <c r="DR83" s="85" t="n">
        <v>179.8</v>
      </c>
      <c r="DS83" s="85" t="n">
        <v>180.2</v>
      </c>
      <c r="DT83" s="85" t="n">
        <v>182.9</v>
      </c>
      <c r="DU83" s="85" t="n">
        <v>191</v>
      </c>
      <c r="DV83" s="85" t="n">
        <v>197.1</v>
      </c>
      <c r="DW83" s="85" t="n">
        <v>202.6</v>
      </c>
      <c r="DX83" s="85" t="n">
        <v>204.8</v>
      </c>
      <c r="DY83" s="85" t="n">
        <v>205.1</v>
      </c>
      <c r="DZ83" s="85" t="n">
        <v>207.3</v>
      </c>
      <c r="EA83" s="85" t="n">
        <v>208.9</v>
      </c>
      <c r="EB83" s="85" t="n">
        <v>207.7</v>
      </c>
      <c r="EC83" s="85" t="n">
        <v>209.9</v>
      </c>
      <c r="ED83" s="85" t="n">
        <v>218.7</v>
      </c>
      <c r="EE83" s="85" t="n">
        <v>223.2</v>
      </c>
      <c r="EF83" s="85" t="n">
        <v>227.5</v>
      </c>
      <c r="EG83" s="85" t="n">
        <v>239</v>
      </c>
      <c r="EH83" s="85" t="n">
        <v>243</v>
      </c>
      <c r="EI83" s="85" t="n">
        <v>243.4</v>
      </c>
      <c r="EJ83" s="85" t="n">
        <v>241.8</v>
      </c>
      <c r="EK83" s="85" t="n">
        <v>242.9</v>
      </c>
      <c r="EL83" s="85" t="n">
        <v>233.7</v>
      </c>
      <c r="EM83" s="85" t="n">
        <v>231.2</v>
      </c>
      <c r="EN83" s="85" t="n">
        <v>213.6</v>
      </c>
      <c r="EO83" s="85" t="n">
        <v>206</v>
      </c>
      <c r="EP83" s="85" t="n">
        <v>194.5</v>
      </c>
      <c r="EQ83" s="85" t="n">
        <v>183.4</v>
      </c>
      <c r="ER83" s="85" t="n">
        <v>177.8</v>
      </c>
      <c r="ES83" s="85" t="n">
        <v>168.7</v>
      </c>
      <c r="ET83" s="85" t="n">
        <v>162.5</v>
      </c>
      <c r="EU83" s="85" t="n">
        <v>180.3</v>
      </c>
      <c r="EV83" s="85" t="n">
        <v>193.6</v>
      </c>
      <c r="EW83" s="85" t="n">
        <v>208.7</v>
      </c>
      <c r="EX83" s="85" t="n">
        <v>249.2</v>
      </c>
      <c r="EY83" s="85" t="n">
        <v>281</v>
      </c>
      <c r="EZ83" s="85" t="n">
        <v>305.2</v>
      </c>
      <c r="FA83" s="85" t="n">
        <v>325.6</v>
      </c>
      <c r="FB83" s="85" t="n">
        <v>326.5</v>
      </c>
      <c r="FC83" s="85" t="n">
        <v>335.9</v>
      </c>
      <c r="FD83" s="85" t="n">
        <v>355.9</v>
      </c>
      <c r="FE83" s="85" t="n">
        <v>372</v>
      </c>
      <c r="FF83" s="85" t="n">
        <v>404.9</v>
      </c>
      <c r="FG83" s="85" t="n">
        <v>428.9</v>
      </c>
      <c r="FH83" s="85" t="n">
        <v>442.6</v>
      </c>
      <c r="FI83" s="85" t="n">
        <v>458.3</v>
      </c>
      <c r="FJ83" s="85" t="n">
        <v>489.1</v>
      </c>
      <c r="FK83" s="85" t="n">
        <v>501.4</v>
      </c>
      <c r="FL83" s="85" t="n">
        <v>510.1</v>
      </c>
      <c r="FM83" s="85" t="n">
        <v>525.6</v>
      </c>
      <c r="FN83" s="85" t="n">
        <v>526.8</v>
      </c>
      <c r="FO83" s="85" t="n">
        <v>532.5</v>
      </c>
      <c r="FP83" s="85" t="n">
        <v>536.1</v>
      </c>
      <c r="FQ83" s="85" t="n">
        <v>542.6</v>
      </c>
      <c r="FR83" s="85" t="n">
        <v>562.3</v>
      </c>
      <c r="FS83" s="85" t="n">
        <v>576.3</v>
      </c>
      <c r="FT83" s="85" t="n">
        <v>588.6</v>
      </c>
      <c r="FU83" s="85" t="n">
        <v>587.6</v>
      </c>
      <c r="FV83" s="85" t="n">
        <v>595</v>
      </c>
      <c r="FW83" s="85" t="n">
        <v>599.1</v>
      </c>
      <c r="FX83" s="85" t="n">
        <v>600.3</v>
      </c>
      <c r="FY83" s="85" t="n">
        <v>599.7</v>
      </c>
      <c r="FZ83" s="85" t="n">
        <v>588.8</v>
      </c>
      <c r="GA83" s="85" t="n">
        <v>603.1</v>
      </c>
      <c r="GB83" s="85" t="n">
        <v>606.4</v>
      </c>
      <c r="GC83" s="85" t="n">
        <v>607.2</v>
      </c>
      <c r="GD83" s="85" t="n">
        <v>612</v>
      </c>
      <c r="GE83" s="85" t="n">
        <v>619.1</v>
      </c>
      <c r="GF83" s="85" t="n">
        <v>619.9</v>
      </c>
      <c r="GG83" s="85" t="n">
        <v>623.9</v>
      </c>
      <c r="GH83" s="85" t="n">
        <v>633.9</v>
      </c>
      <c r="GI83" s="85" t="n">
        <v>634.3</v>
      </c>
      <c r="GJ83" s="85" t="n">
        <v>643.8</v>
      </c>
      <c r="GK83" s="85" t="n">
        <v>656.2</v>
      </c>
      <c r="GL83" s="85" t="n">
        <v>663.5</v>
      </c>
      <c r="GM83" s="85" t="n">
        <v>669</v>
      </c>
      <c r="GN83" s="85" t="n">
        <v>679.8</v>
      </c>
      <c r="GO83" s="85" t="n">
        <v>673.6</v>
      </c>
      <c r="GP83" s="85" t="n">
        <v>674.4</v>
      </c>
      <c r="GQ83" s="85" t="n">
        <v>682.8</v>
      </c>
      <c r="GR83" s="85" t="n">
        <v>690.2</v>
      </c>
      <c r="GS83" s="85" t="n">
        <v>706.3</v>
      </c>
      <c r="GT83" s="85" t="n">
        <v>729.3</v>
      </c>
      <c r="GU83" s="85" t="n">
        <v>731.2</v>
      </c>
      <c r="GV83" s="85" t="n">
        <v>744.6</v>
      </c>
      <c r="GW83" s="85" t="n">
        <v>747.4</v>
      </c>
      <c r="GX83" s="85" t="n">
        <v>745.6</v>
      </c>
      <c r="GY83" s="85" t="n">
        <v>761.6</v>
      </c>
      <c r="GZ83" s="85" t="n">
        <v>781.2</v>
      </c>
      <c r="HA83" s="85" t="n">
        <v>800.7</v>
      </c>
      <c r="HB83" s="85" t="n">
        <v>814.3</v>
      </c>
      <c r="HC83" t="n">
        <v>858.2</v>
      </c>
      <c r="HD83" t="n">
        <v>889.5</v>
      </c>
      <c r="HE83" t="n">
        <v>919.1</v>
      </c>
      <c r="HF83" t="n">
        <v>963.6</v>
      </c>
      <c r="HG83" t="n">
        <v>984.1</v>
      </c>
      <c r="HH83" t="n">
        <v>995</v>
      </c>
      <c r="HI83" t="n">
        <v>1013.6</v>
      </c>
      <c r="HJ83" t="n">
        <v>1046.1</v>
      </c>
      <c r="HK83" t="n">
        <v>1053.4</v>
      </c>
    </row>
    <row r="84">
      <c r="A84" s="85" t="s">
        <v>2592</v>
      </c>
      <c r="B84" s="85" t="n">
        <v>109.2</v>
      </c>
      <c r="C84" s="85" t="n">
        <v>113.1</v>
      </c>
      <c r="D84" s="85" t="n">
        <v>117.5</v>
      </c>
      <c r="E84" s="85" t="n">
        <v>120</v>
      </c>
      <c r="F84" s="85" t="n">
        <v>122.8</v>
      </c>
      <c r="G84" s="85" t="n">
        <v>124.2</v>
      </c>
      <c r="H84" s="85" t="n">
        <v>126.1</v>
      </c>
      <c r="I84" s="85" t="n">
        <v>127.4</v>
      </c>
      <c r="J84" s="85" t="n">
        <v>131</v>
      </c>
      <c r="K84" s="85" t="n">
        <v>134.1</v>
      </c>
      <c r="L84" s="85" t="n">
        <v>138.4</v>
      </c>
      <c r="M84" s="85" t="n">
        <v>142.8</v>
      </c>
      <c r="N84" s="85" t="n">
        <v>146.6</v>
      </c>
      <c r="O84" s="85" t="n">
        <v>151.6</v>
      </c>
      <c r="P84" s="85" t="n">
        <v>158.8</v>
      </c>
      <c r="Q84" s="85" t="n">
        <v>164.6</v>
      </c>
      <c r="R84" s="85" t="n">
        <v>170.5</v>
      </c>
      <c r="S84" s="85" t="n">
        <v>177.6</v>
      </c>
      <c r="T84" s="85" t="n">
        <v>183.9</v>
      </c>
      <c r="U84" s="85" t="n">
        <v>190.4</v>
      </c>
      <c r="V84" s="85" t="n">
        <v>196.4</v>
      </c>
      <c r="W84" s="85" t="n">
        <v>198.5</v>
      </c>
      <c r="X84" s="85" t="n">
        <v>202.5</v>
      </c>
      <c r="Y84" s="85" t="n">
        <v>206.5</v>
      </c>
      <c r="Z84" s="85" t="n">
        <v>210.5</v>
      </c>
      <c r="AA84" s="85" t="n">
        <v>217.1</v>
      </c>
      <c r="AB84" s="85" t="n">
        <v>222.8</v>
      </c>
      <c r="AC84" s="85" t="n">
        <v>229.7</v>
      </c>
      <c r="AD84" s="85" t="n">
        <v>238.8</v>
      </c>
      <c r="AE84" s="85" t="n">
        <v>246.6</v>
      </c>
      <c r="AF84" s="85" t="n">
        <v>255.4</v>
      </c>
      <c r="AG84" s="85" t="n">
        <v>265.5</v>
      </c>
      <c r="AH84" s="85" t="n">
        <v>273.3</v>
      </c>
      <c r="AI84" s="85" t="n">
        <v>281.3</v>
      </c>
      <c r="AJ84" s="85" t="n">
        <v>289.8</v>
      </c>
      <c r="AK84" s="85" t="n">
        <v>298.9</v>
      </c>
      <c r="AL84" s="85" t="n">
        <v>308.6</v>
      </c>
      <c r="AM84" s="85" t="n">
        <v>318.6</v>
      </c>
      <c r="AN84" s="85" t="n">
        <v>330.4</v>
      </c>
      <c r="AO84" s="85" t="n">
        <v>351</v>
      </c>
      <c r="AP84" s="85" t="n">
        <v>378.8</v>
      </c>
      <c r="AQ84" s="85" t="n">
        <v>392.5</v>
      </c>
      <c r="AR84" s="85" t="n">
        <v>397.7</v>
      </c>
      <c r="AS84" s="85" t="n">
        <v>421.8</v>
      </c>
      <c r="AT84" s="85" t="n">
        <v>439.6</v>
      </c>
      <c r="AU84" s="85" t="n">
        <v>467.3</v>
      </c>
      <c r="AV84" s="85" t="n">
        <v>506.4</v>
      </c>
      <c r="AW84" s="85" t="n">
        <v>522.4</v>
      </c>
      <c r="AX84" s="85" t="n">
        <v>541</v>
      </c>
      <c r="AY84" s="85" t="n">
        <v>557.2</v>
      </c>
      <c r="AZ84" s="85" t="n">
        <v>558.8</v>
      </c>
      <c r="BA84" s="85" t="n">
        <v>562.5</v>
      </c>
      <c r="BB84" s="85" t="n">
        <v>575.1</v>
      </c>
      <c r="BC84" s="85" t="n">
        <v>585.8</v>
      </c>
      <c r="BD84" s="85" t="n">
        <v>610.2</v>
      </c>
      <c r="BE84" s="85" t="n">
        <v>629.8</v>
      </c>
      <c r="BF84" s="85" t="n">
        <v>642.8</v>
      </c>
      <c r="BG84" s="85" t="n">
        <v>667.2</v>
      </c>
      <c r="BH84" s="85" t="n">
        <v>693.7</v>
      </c>
      <c r="BI84" s="85" t="n">
        <v>703.2</v>
      </c>
      <c r="BJ84" s="85" t="n">
        <v>714.7</v>
      </c>
      <c r="BK84" s="85" t="n">
        <v>721.2</v>
      </c>
      <c r="BL84" s="85" t="n">
        <v>722.7</v>
      </c>
      <c r="BM84" s="85" t="n">
        <v>738.6</v>
      </c>
      <c r="BN84" s="85" t="n">
        <v>763.4</v>
      </c>
      <c r="BO84" s="85" t="n">
        <v>770.6</v>
      </c>
      <c r="BP84" s="85" t="n">
        <v>768.1</v>
      </c>
      <c r="BQ84" s="85" t="n">
        <v>763</v>
      </c>
      <c r="BR84" s="85" t="n">
        <v>758.1</v>
      </c>
      <c r="BS84" s="85" t="n">
        <v>764.7</v>
      </c>
      <c r="BT84" s="85" t="n">
        <v>780.5</v>
      </c>
      <c r="BU84" s="85" t="n">
        <v>801.9</v>
      </c>
      <c r="BV84" s="85" t="n">
        <v>816.5</v>
      </c>
      <c r="BW84" s="85" t="n">
        <v>830.3</v>
      </c>
      <c r="BX84" s="85" t="n">
        <v>859</v>
      </c>
      <c r="BY84" s="85" t="n">
        <v>886.3</v>
      </c>
      <c r="BZ84" s="85" t="n">
        <v>930.1</v>
      </c>
      <c r="CA84" s="85" t="n">
        <v>956.6</v>
      </c>
      <c r="CB84" s="85" t="n">
        <v>970.4</v>
      </c>
      <c r="CC84" s="85" t="n">
        <v>981.9</v>
      </c>
      <c r="CD84" s="85" t="n">
        <v>996.1</v>
      </c>
      <c r="CE84" s="85" t="n">
        <v>1001.4</v>
      </c>
      <c r="CF84" s="85" t="n">
        <v>1010.4</v>
      </c>
      <c r="CG84" s="85" t="n">
        <v>1011.5</v>
      </c>
      <c r="CH84" s="85" t="n">
        <v>1009.2</v>
      </c>
      <c r="CI84" s="85" t="n">
        <v>1010.5</v>
      </c>
      <c r="CJ84" s="85" t="n">
        <v>1012</v>
      </c>
      <c r="CK84" s="85" t="n">
        <v>1003.1</v>
      </c>
      <c r="CL84" s="85" t="n">
        <v>996.3</v>
      </c>
      <c r="CM84" s="85" t="n">
        <v>997.3</v>
      </c>
      <c r="CN84" s="85" t="n">
        <v>992.5</v>
      </c>
      <c r="CO84" s="85" t="n">
        <v>995.7</v>
      </c>
      <c r="CP84" s="85" t="n">
        <v>1002.7</v>
      </c>
      <c r="CQ84" s="85" t="n">
        <v>1002.4</v>
      </c>
      <c r="CR84" s="85" t="n">
        <v>1001.2</v>
      </c>
      <c r="CS84" s="85" t="n">
        <v>1001.5</v>
      </c>
      <c r="CT84" s="85" t="n">
        <v>1009.5</v>
      </c>
      <c r="CU84" s="85" t="n">
        <v>1029.5</v>
      </c>
      <c r="CV84" s="85" t="n">
        <v>1051.6</v>
      </c>
      <c r="CW84" s="85" t="n">
        <v>1084</v>
      </c>
      <c r="CX84" s="85" t="n">
        <v>1105.6</v>
      </c>
      <c r="CY84" s="85" t="n">
        <v>1123.3</v>
      </c>
      <c r="CZ84" s="85" t="n">
        <v>1136.1</v>
      </c>
      <c r="DA84" s="85" t="n">
        <v>1149.2</v>
      </c>
      <c r="DB84" s="85" t="n">
        <v>1160.5</v>
      </c>
      <c r="DC84" s="85" t="n">
        <v>1177.3</v>
      </c>
      <c r="DD84" s="85" t="n">
        <v>1197.7</v>
      </c>
      <c r="DE84" s="85" t="n">
        <v>1219.9</v>
      </c>
      <c r="DF84" s="85" t="n">
        <v>1234.2</v>
      </c>
      <c r="DG84" s="85" t="n">
        <v>1255.5</v>
      </c>
      <c r="DH84" s="85" t="n">
        <v>1276</v>
      </c>
      <c r="DI84" s="85" t="n">
        <v>1300.4</v>
      </c>
      <c r="DJ84" s="85" t="n">
        <v>1335.9</v>
      </c>
      <c r="DK84" s="85" t="n">
        <v>1361.9</v>
      </c>
      <c r="DL84" s="85" t="n">
        <v>1367.1</v>
      </c>
      <c r="DM84" s="85" t="n">
        <v>1345.1</v>
      </c>
      <c r="DN84" s="85" t="n">
        <v>1326.7</v>
      </c>
      <c r="DO84" s="85" t="n">
        <v>1321</v>
      </c>
      <c r="DP84" s="85" t="n">
        <v>1337.2</v>
      </c>
      <c r="DQ84" s="85" t="n">
        <v>1359.8</v>
      </c>
      <c r="DR84" s="85" t="n">
        <v>1398.1</v>
      </c>
      <c r="DS84" s="85" t="n">
        <v>1441.8</v>
      </c>
      <c r="DT84" s="85" t="n">
        <v>1478.2</v>
      </c>
      <c r="DU84" s="85" t="n">
        <v>1504.5</v>
      </c>
      <c r="DV84" s="85" t="n">
        <v>1494.8</v>
      </c>
      <c r="DW84" s="85" t="n">
        <v>1486.8</v>
      </c>
      <c r="DX84" s="85" t="n">
        <v>1462.4</v>
      </c>
      <c r="DY84" s="85" t="n">
        <v>1403.7</v>
      </c>
      <c r="DZ84" s="85" t="n">
        <v>1388</v>
      </c>
      <c r="EA84" s="85" t="n">
        <v>1398.7</v>
      </c>
      <c r="EB84" s="85" t="n">
        <v>1401.3</v>
      </c>
      <c r="EC84" s="85" t="n">
        <v>1422.5</v>
      </c>
      <c r="ED84" s="85" t="n">
        <v>1437.6</v>
      </c>
      <c r="EE84" s="85" t="n">
        <v>1419.2</v>
      </c>
      <c r="EF84" s="85" t="n">
        <v>1434</v>
      </c>
      <c r="EG84" s="85" t="n">
        <v>1451.5</v>
      </c>
      <c r="EH84" s="85" t="n">
        <v>1452.2</v>
      </c>
      <c r="EI84" s="85" t="n">
        <v>1467.5</v>
      </c>
      <c r="EJ84" s="85" t="n">
        <v>1477.8</v>
      </c>
      <c r="EK84" s="85" t="n">
        <v>1597.3</v>
      </c>
      <c r="EL84" s="85" t="n">
        <v>1545.5</v>
      </c>
      <c r="EM84" s="85" t="n">
        <v>1611.1</v>
      </c>
      <c r="EN84" s="85" t="n">
        <v>1648.9</v>
      </c>
      <c r="EO84" s="85" t="n">
        <v>1740</v>
      </c>
      <c r="EP84" s="85" t="n">
        <v>1805.5</v>
      </c>
      <c r="EQ84" s="85" t="n">
        <v>1909.5</v>
      </c>
      <c r="ER84" s="85" t="n">
        <v>1931.4</v>
      </c>
      <c r="ES84" s="85" t="n">
        <v>1949.7</v>
      </c>
      <c r="ET84" s="85" t="n">
        <v>1997.6</v>
      </c>
      <c r="EU84" s="85" t="n">
        <v>2125</v>
      </c>
      <c r="EV84" s="85" t="n">
        <v>2143.4</v>
      </c>
      <c r="EW84" s="85" t="n">
        <v>2155.3</v>
      </c>
      <c r="EX84" s="85" t="n">
        <v>2181.1</v>
      </c>
      <c r="EY84" s="85" t="n">
        <v>2148.7</v>
      </c>
      <c r="EZ84" s="85" t="n">
        <v>2175.2</v>
      </c>
      <c r="FA84" s="85" t="n">
        <v>2101</v>
      </c>
      <c r="FB84" s="85" t="n">
        <v>1982.2</v>
      </c>
      <c r="FC84" s="85" t="n">
        <v>1865.1</v>
      </c>
      <c r="FD84" s="85" t="n">
        <v>1773.6</v>
      </c>
      <c r="FE84" s="85" t="n">
        <v>1733</v>
      </c>
      <c r="FF84" s="85" t="n">
        <v>1729.5</v>
      </c>
      <c r="FG84" s="85" t="n">
        <v>1742.5</v>
      </c>
      <c r="FH84" s="85" t="n">
        <v>1735.7</v>
      </c>
      <c r="FI84" s="85" t="n">
        <v>1783</v>
      </c>
      <c r="FJ84" s="85" t="n">
        <v>1847.8</v>
      </c>
      <c r="FK84" s="85" t="n">
        <v>1882.4</v>
      </c>
      <c r="FL84" s="85" t="n">
        <v>1913.9</v>
      </c>
      <c r="FM84" s="85" t="n">
        <v>1981.8</v>
      </c>
      <c r="FN84" s="85" t="n">
        <v>2039.5</v>
      </c>
      <c r="FO84" s="85" t="n">
        <v>2088.9</v>
      </c>
      <c r="FP84" s="85" t="n">
        <v>2025.8</v>
      </c>
      <c r="FQ84" s="85" t="n">
        <v>2260</v>
      </c>
      <c r="FR84" s="85" t="n">
        <v>1957.5</v>
      </c>
      <c r="FS84" s="85" t="n">
        <v>1963.9</v>
      </c>
      <c r="FT84" s="85" t="n">
        <v>1998.1</v>
      </c>
      <c r="FU84" s="85" t="n">
        <v>2013.4</v>
      </c>
      <c r="FV84" s="85" t="n">
        <v>2067.2</v>
      </c>
      <c r="FW84" s="85" t="n">
        <v>2160.8</v>
      </c>
      <c r="FX84" s="85" t="n">
        <v>2214</v>
      </c>
      <c r="FY84" s="85" t="n">
        <v>2267.6</v>
      </c>
      <c r="FZ84" s="85" t="n">
        <v>2322.2</v>
      </c>
      <c r="GA84" s="85" t="n">
        <v>2341.2</v>
      </c>
      <c r="GB84" s="85" t="n">
        <v>2347.8</v>
      </c>
      <c r="GC84" s="85" t="n">
        <v>2367.2</v>
      </c>
      <c r="GD84" s="85" t="n">
        <v>2388.1</v>
      </c>
      <c r="GE84" s="85" t="n">
        <v>2391.2</v>
      </c>
      <c r="GF84" s="85" t="n">
        <v>2421.8</v>
      </c>
      <c r="GG84" s="85" t="n">
        <v>2460.5</v>
      </c>
      <c r="GH84" s="85" t="n">
        <v>2535.6</v>
      </c>
      <c r="GI84" s="85" t="n">
        <v>2612.7</v>
      </c>
      <c r="GJ84" s="85" t="n">
        <v>2636.3</v>
      </c>
      <c r="GK84" s="85" t="n">
        <v>2659.4</v>
      </c>
      <c r="GL84" s="85" t="n">
        <v>2690.3</v>
      </c>
      <c r="GM84" s="85" t="n">
        <v>2755.1</v>
      </c>
      <c r="GN84" s="85" t="n">
        <v>2808</v>
      </c>
      <c r="GO84" s="85" t="n">
        <v>2904.2</v>
      </c>
      <c r="GP84" s="85" t="n">
        <v>2920.5</v>
      </c>
      <c r="GQ84" s="85" t="n">
        <v>2961.5</v>
      </c>
      <c r="GR84" s="85" t="n">
        <v>2962.7</v>
      </c>
      <c r="GS84" s="85" t="n">
        <v>2955.4</v>
      </c>
      <c r="GT84" s="85" t="n">
        <v>2932.4</v>
      </c>
      <c r="GU84" s="85" t="n">
        <v>2874</v>
      </c>
      <c r="GV84" s="85" t="n">
        <v>2862.9</v>
      </c>
      <c r="GW84" s="85" t="n">
        <v>2980.3</v>
      </c>
      <c r="GX84" s="85" t="n">
        <v>3048</v>
      </c>
      <c r="GY84" s="85" t="n">
        <v>3158.1</v>
      </c>
      <c r="GZ84" s="85" t="n">
        <v>3225.4</v>
      </c>
      <c r="HA84" s="85" t="n">
        <v>3291.3</v>
      </c>
      <c r="HB84" s="85" t="n">
        <v>3333.6</v>
      </c>
      <c r="HC84" t="n">
        <v>3424.9</v>
      </c>
      <c r="HD84" t="n">
        <v>3509.5</v>
      </c>
      <c r="HE84" t="n">
        <v>3628.2</v>
      </c>
      <c r="HF84" t="n">
        <v>3729.9</v>
      </c>
      <c r="HG84" t="n">
        <v>3806.4</v>
      </c>
      <c r="HH84" t="n">
        <v>3836.2</v>
      </c>
      <c r="HI84" t="n">
        <v>3919.1</v>
      </c>
      <c r="HJ84" t="n">
        <v>3938.9</v>
      </c>
      <c r="HK84" t="n">
        <v>3950.2</v>
      </c>
    </row>
    <row r="85">
      <c r="A85" s="85" t="s">
        <v>2593</v>
      </c>
      <c r="B85" s="85" t="n">
        <v>77.5</v>
      </c>
      <c r="C85" s="85" t="n">
        <v>81.1</v>
      </c>
      <c r="D85" s="85" t="n">
        <v>81.1</v>
      </c>
      <c r="E85" s="85" t="n">
        <v>76.9</v>
      </c>
      <c r="F85" s="85" t="n">
        <v>89.1</v>
      </c>
      <c r="G85" s="85" t="n">
        <v>90.8</v>
      </c>
      <c r="H85" s="85" t="n">
        <v>93.7</v>
      </c>
      <c r="I85" s="85" t="n">
        <v>97.6</v>
      </c>
      <c r="J85" s="85" t="n">
        <v>102.7</v>
      </c>
      <c r="K85" s="85" t="n">
        <v>104.3</v>
      </c>
      <c r="L85" s="85" t="n">
        <v>108.2</v>
      </c>
      <c r="M85" s="85" t="n">
        <v>115.5</v>
      </c>
      <c r="N85" s="85" t="n">
        <v>121</v>
      </c>
      <c r="O85" s="85" t="n">
        <v>117.2</v>
      </c>
      <c r="P85" s="85" t="n">
        <v>116.6</v>
      </c>
      <c r="Q85" s="85" t="n">
        <v>119.1</v>
      </c>
      <c r="R85" s="85" t="n">
        <v>111.1</v>
      </c>
      <c r="S85" s="85" t="n">
        <v>110.8</v>
      </c>
      <c r="T85" s="85" t="n">
        <v>107.3</v>
      </c>
      <c r="U85" s="85" t="n">
        <v>103.8</v>
      </c>
      <c r="V85" s="85" t="n">
        <v>103.9</v>
      </c>
      <c r="W85" s="85" t="n">
        <v>115.6</v>
      </c>
      <c r="X85" s="85" t="n">
        <v>135.4</v>
      </c>
      <c r="Y85" s="85" t="n">
        <v>142</v>
      </c>
      <c r="Z85" s="85" t="n">
        <v>159.1</v>
      </c>
      <c r="AA85" s="85" t="n">
        <v>156.6</v>
      </c>
      <c r="AB85" s="85" t="n">
        <v>158.4</v>
      </c>
      <c r="AC85" s="85" t="n">
        <v>157.1</v>
      </c>
      <c r="AD85" s="85" t="n">
        <v>165</v>
      </c>
      <c r="AE85" s="85" t="n">
        <v>185.7</v>
      </c>
      <c r="AF85" s="85" t="n">
        <v>199.9</v>
      </c>
      <c r="AG85" s="85" t="n">
        <v>196.1</v>
      </c>
      <c r="AH85" s="85" t="n">
        <v>187.5</v>
      </c>
      <c r="AI85" s="85" t="n">
        <v>220</v>
      </c>
      <c r="AJ85" s="85" t="n">
        <v>223.8</v>
      </c>
      <c r="AK85" s="85" t="n">
        <v>231.5</v>
      </c>
      <c r="AL85" s="85" t="n">
        <v>222.3</v>
      </c>
      <c r="AM85" s="85" t="n">
        <v>219.7</v>
      </c>
      <c r="AN85" s="85" t="n">
        <v>211.3</v>
      </c>
      <c r="AO85" s="85" t="n">
        <v>205.2</v>
      </c>
      <c r="AP85" s="85" t="n">
        <v>197.2</v>
      </c>
      <c r="AQ85" s="85" t="n">
        <v>169.9</v>
      </c>
      <c r="AR85" s="85" t="n">
        <v>179.2</v>
      </c>
      <c r="AS85" s="85" t="n">
        <v>204.4</v>
      </c>
      <c r="AT85" s="85" t="n">
        <v>213</v>
      </c>
      <c r="AU85" s="85" t="n">
        <v>211.8</v>
      </c>
      <c r="AV85" s="85" t="n">
        <v>228.6</v>
      </c>
      <c r="AW85" s="85" t="n">
        <v>211.4</v>
      </c>
      <c r="AX85" s="85" t="n">
        <v>188.2</v>
      </c>
      <c r="AY85" s="85" t="n">
        <v>200.5</v>
      </c>
      <c r="AZ85" s="85" t="n">
        <v>200.4</v>
      </c>
      <c r="BA85" s="85" t="n">
        <v>191.5</v>
      </c>
      <c r="BB85" s="85" t="n">
        <v>209.5</v>
      </c>
      <c r="BC85" s="85" t="n">
        <v>238.3</v>
      </c>
      <c r="BD85" s="85" t="n">
        <v>254.4</v>
      </c>
      <c r="BE85" s="85" t="n">
        <v>269.2</v>
      </c>
      <c r="BF85" s="85" t="n">
        <v>301.1</v>
      </c>
      <c r="BG85" s="85" t="n">
        <v>301.2</v>
      </c>
      <c r="BH85" s="85" t="n">
        <v>295.3</v>
      </c>
      <c r="BI85" s="85" t="n">
        <v>305.2</v>
      </c>
      <c r="BJ85" s="85" t="n">
        <v>311.4</v>
      </c>
      <c r="BK85" s="85" t="n">
        <v>310.3</v>
      </c>
      <c r="BL85" s="85" t="n">
        <v>331.5</v>
      </c>
      <c r="BM85" s="85" t="n">
        <v>306.6</v>
      </c>
      <c r="BN85" s="85" t="n">
        <v>296.7</v>
      </c>
      <c r="BO85" s="85" t="n">
        <v>286.4</v>
      </c>
      <c r="BP85" s="85" t="n">
        <v>275.6</v>
      </c>
      <c r="BQ85" s="85" t="n">
        <v>277.7</v>
      </c>
      <c r="BR85" s="85" t="n">
        <v>288.4</v>
      </c>
      <c r="BS85" s="85" t="n">
        <v>319.7</v>
      </c>
      <c r="BT85" s="85" t="n">
        <v>344.2</v>
      </c>
      <c r="BU85" s="85" t="n">
        <v>338.9</v>
      </c>
      <c r="BV85" s="85" t="n">
        <v>344.1</v>
      </c>
      <c r="BW85" s="85" t="n">
        <v>352.3</v>
      </c>
      <c r="BX85" s="85" t="n">
        <v>359.3</v>
      </c>
      <c r="BY85" s="85" t="n">
        <v>381.4</v>
      </c>
      <c r="BZ85" s="85" t="n">
        <v>363.2</v>
      </c>
      <c r="CA85" s="85" t="n">
        <v>356.4</v>
      </c>
      <c r="CB85" s="85" t="n">
        <v>355</v>
      </c>
      <c r="CC85" s="85" t="n">
        <v>331.8</v>
      </c>
      <c r="CD85" s="85" t="n">
        <v>344.4</v>
      </c>
      <c r="CE85" s="85" t="n">
        <v>361.4</v>
      </c>
      <c r="CF85" s="85" t="n">
        <v>337.8</v>
      </c>
      <c r="CG85" s="85" t="n">
        <v>329.4</v>
      </c>
      <c r="CH85" s="85" t="n">
        <v>367</v>
      </c>
      <c r="CI85" s="85" t="n">
        <v>373.1</v>
      </c>
      <c r="CJ85" s="85" t="n">
        <v>376.3</v>
      </c>
      <c r="CK85" s="85" t="n">
        <v>372.6</v>
      </c>
      <c r="CL85" s="85" t="n">
        <v>400.9</v>
      </c>
      <c r="CM85" s="85" t="n">
        <v>407.8</v>
      </c>
      <c r="CN85" s="85" t="n">
        <v>399.3</v>
      </c>
      <c r="CO85" s="85" t="n">
        <v>424.7</v>
      </c>
      <c r="CP85" s="85" t="n">
        <v>406.5</v>
      </c>
      <c r="CQ85" s="85" t="n">
        <v>444.7</v>
      </c>
      <c r="CR85" s="85" t="n">
        <v>452.4</v>
      </c>
      <c r="CS85" s="85" t="n">
        <v>511.6</v>
      </c>
      <c r="CT85" s="85" t="n">
        <v>517.5</v>
      </c>
      <c r="CU85" s="85" t="n">
        <v>539.2</v>
      </c>
      <c r="CV85" s="85" t="n">
        <v>571.9</v>
      </c>
      <c r="CW85" s="85" t="n">
        <v>595.8</v>
      </c>
      <c r="CX85" s="85" t="n">
        <v>588.9</v>
      </c>
      <c r="CY85" s="85" t="n">
        <v>605.8</v>
      </c>
      <c r="CZ85" s="85" t="n">
        <v>649.9</v>
      </c>
      <c r="DA85" s="85" t="n">
        <v>650.3</v>
      </c>
      <c r="DB85" s="85" t="n">
        <v>683.8</v>
      </c>
      <c r="DC85" s="85" t="n">
        <v>700.2</v>
      </c>
      <c r="DD85" s="85" t="n">
        <v>706</v>
      </c>
      <c r="DE85" s="85" t="n">
        <v>716.3</v>
      </c>
      <c r="DF85" s="85" t="n">
        <v>753.3</v>
      </c>
      <c r="DG85" s="85" t="n">
        <v>767.9</v>
      </c>
      <c r="DH85" s="85" t="n">
        <v>808.1</v>
      </c>
      <c r="DI85" s="85" t="n">
        <v>799.9</v>
      </c>
      <c r="DJ85" s="85" t="n">
        <v>728.6</v>
      </c>
      <c r="DK85" s="85" t="n">
        <v>729.6</v>
      </c>
      <c r="DL85" s="85" t="n">
        <v>749.1</v>
      </c>
      <c r="DM85" s="85" t="n">
        <v>722.4</v>
      </c>
      <c r="DN85" s="85" t="n">
        <v>761.9</v>
      </c>
      <c r="DO85" s="85" t="n">
        <v>754.1</v>
      </c>
      <c r="DP85" s="85" t="n">
        <v>737.7</v>
      </c>
      <c r="DQ85" s="85" t="n">
        <v>726.5</v>
      </c>
      <c r="DR85" s="85" t="n">
        <v>714.8</v>
      </c>
      <c r="DS85" s="85" t="n">
        <v>699.1</v>
      </c>
      <c r="DT85" s="85" t="n">
        <v>677.6</v>
      </c>
      <c r="DU85" s="85" t="n">
        <v>631.5</v>
      </c>
      <c r="DV85" s="85" t="n">
        <v>622.6</v>
      </c>
      <c r="DW85" s="85" t="n">
        <v>638</v>
      </c>
      <c r="DX85" s="85" t="n">
        <v>627.7</v>
      </c>
      <c r="DY85" s="85" t="n">
        <v>585.2</v>
      </c>
      <c r="DZ85" s="85" t="n">
        <v>711.7</v>
      </c>
      <c r="EA85" s="85" t="n">
        <v>756</v>
      </c>
      <c r="EB85" s="85" t="n">
        <v>778.5</v>
      </c>
      <c r="EC85" s="85" t="n">
        <v>848.2</v>
      </c>
      <c r="ED85" s="85" t="n">
        <v>862.8</v>
      </c>
      <c r="EE85" s="85" t="n">
        <v>891.4</v>
      </c>
      <c r="EF85" s="85" t="n">
        <v>941.8</v>
      </c>
      <c r="EG85" s="85" t="n">
        <v>976.6</v>
      </c>
      <c r="EH85" s="85" t="n">
        <v>1064.6</v>
      </c>
      <c r="EI85" s="85" t="n">
        <v>1113.5</v>
      </c>
      <c r="EJ85" s="85" t="n">
        <v>1158.9</v>
      </c>
      <c r="EK85" s="85" t="n">
        <v>1164.7</v>
      </c>
      <c r="EL85" s="85" t="n">
        <v>1257.9</v>
      </c>
      <c r="EM85" s="85" t="n">
        <v>1276.9</v>
      </c>
      <c r="EN85" s="85" t="n">
        <v>1287.2</v>
      </c>
      <c r="EO85" s="85" t="n">
        <v>1395.3</v>
      </c>
      <c r="EP85" s="85" t="n">
        <v>1445.4</v>
      </c>
      <c r="EQ85" s="85" t="n">
        <v>1453.1</v>
      </c>
      <c r="ER85" s="85" t="n">
        <v>1505.8</v>
      </c>
      <c r="ES85" s="85" t="n">
        <v>1421.3</v>
      </c>
      <c r="ET85" s="85" t="n">
        <v>1316.3</v>
      </c>
      <c r="EU85" s="85" t="n">
        <v>1347.7</v>
      </c>
      <c r="EV85" s="85" t="n">
        <v>1229.2</v>
      </c>
      <c r="EW85" s="85" t="n">
        <v>1138.9</v>
      </c>
      <c r="EX85" s="85" t="n">
        <v>1053.8</v>
      </c>
      <c r="EY85" s="85" t="n">
        <v>1027</v>
      </c>
      <c r="EZ85" s="85" t="n">
        <v>1008.2</v>
      </c>
      <c r="FA85" s="85" t="n">
        <v>732.8</v>
      </c>
      <c r="FB85" s="85" t="n">
        <v>953.5</v>
      </c>
      <c r="FC85" s="85" t="n">
        <v>1003.3</v>
      </c>
      <c r="FD85" s="85" t="n">
        <v>1123.2</v>
      </c>
      <c r="FE85" s="85" t="n">
        <v>1227.5</v>
      </c>
      <c r="FF85" s="85" t="n">
        <v>1295.5</v>
      </c>
      <c r="FG85" s="85" t="n">
        <v>1300</v>
      </c>
      <c r="FH85" s="85" t="n">
        <v>1475.5</v>
      </c>
      <c r="FI85" s="85" t="n">
        <v>1483.8</v>
      </c>
      <c r="FJ85" s="85" t="n">
        <v>1323.4</v>
      </c>
      <c r="FK85" s="85" t="n">
        <v>1443.9</v>
      </c>
      <c r="FL85" s="85" t="n">
        <v>1447.1</v>
      </c>
      <c r="FM85" s="85" t="n">
        <v>1585</v>
      </c>
      <c r="FN85" s="85" t="n">
        <v>1660</v>
      </c>
      <c r="FO85" s="85" t="n">
        <v>1662.6</v>
      </c>
      <c r="FP85" s="85" t="n">
        <v>1644.6</v>
      </c>
      <c r="FQ85" s="85" t="n">
        <v>1642.3</v>
      </c>
      <c r="FR85" s="85" t="n">
        <v>1672.8</v>
      </c>
      <c r="FS85" s="85" t="n">
        <v>1665.6</v>
      </c>
      <c r="FT85" s="85" t="n">
        <v>1676.1</v>
      </c>
      <c r="FU85" s="85" t="n">
        <v>1714.8</v>
      </c>
      <c r="FV85" s="85" t="n">
        <v>1650.3</v>
      </c>
      <c r="FW85" s="85" t="n">
        <v>1832.1</v>
      </c>
      <c r="FX85" s="85" t="n">
        <v>1864.9</v>
      </c>
      <c r="FY85" s="85" t="n">
        <v>1884.5</v>
      </c>
      <c r="FZ85" s="85" t="n">
        <v>1847.9</v>
      </c>
      <c r="GA85" s="85" t="n">
        <v>1831.7</v>
      </c>
      <c r="GB85" s="85" t="n">
        <v>1779</v>
      </c>
      <c r="GC85" s="85" t="n">
        <v>1653</v>
      </c>
      <c r="GD85" s="85" t="n">
        <v>1757.8</v>
      </c>
      <c r="GE85" s="85" t="n">
        <v>1708.7</v>
      </c>
      <c r="GF85" s="85" t="n">
        <v>1731</v>
      </c>
      <c r="GG85" s="85" t="n">
        <v>1700.1</v>
      </c>
      <c r="GH85" s="85" t="n">
        <v>1721.1</v>
      </c>
      <c r="GI85" s="85" t="n">
        <v>1723.6</v>
      </c>
      <c r="GJ85" s="85" t="n">
        <v>1718</v>
      </c>
      <c r="GK85" s="85" t="n">
        <v>1742.7</v>
      </c>
      <c r="GL85" s="85" t="n">
        <v>1772.4</v>
      </c>
      <c r="GM85" s="85" t="n">
        <v>1846</v>
      </c>
      <c r="GN85" s="85" t="n">
        <v>1868.8</v>
      </c>
      <c r="GO85" s="85" t="n">
        <v>1891.1</v>
      </c>
      <c r="GP85" s="85" t="n">
        <v>1875.4</v>
      </c>
      <c r="GQ85" s="85" t="n">
        <v>1906.5</v>
      </c>
      <c r="GR85" s="85" t="n">
        <v>1968.1</v>
      </c>
      <c r="GS85" s="85" t="n">
        <v>2003.2</v>
      </c>
      <c r="GT85" s="85" t="n">
        <v>1752.6</v>
      </c>
      <c r="GU85" s="85" t="n">
        <v>1686.1</v>
      </c>
      <c r="GV85" s="85" t="n">
        <v>2323.9</v>
      </c>
      <c r="GW85" s="85" t="n">
        <v>2101.5</v>
      </c>
      <c r="GX85" s="85" t="n">
        <v>2438.7</v>
      </c>
      <c r="GY85" s="85" t="n">
        <v>2763.8</v>
      </c>
      <c r="GZ85" s="85" t="n">
        <v>2747.4</v>
      </c>
      <c r="HA85" s="85" t="n">
        <v>2751.8</v>
      </c>
      <c r="HB85" t="n">
        <v>2738.7</v>
      </c>
      <c r="HC85" t="n">
        <v>2876.9</v>
      </c>
      <c r="HD85" t="n">
        <v>2950.7</v>
      </c>
      <c r="HE85" t="n">
        <v>2921.1</v>
      </c>
      <c r="HF85" t="n">
        <v>2941.2</v>
      </c>
      <c r="HG85" t="n">
        <v>2953.4</v>
      </c>
      <c r="HH85" t="n">
        <v>3079.7</v>
      </c>
      <c r="HI85" t="n">
        <v>3253.6</v>
      </c>
      <c r="HJ85" t="n">
        <v>3186.2</v>
      </c>
      <c r="HK85" t="n">
        <v>3337.4</v>
      </c>
    </row>
    <row r="86">
      <c r="A86" s="85" t="s">
        <v>2594</v>
      </c>
      <c r="B86" s="85"/>
      <c r="C86" s="85"/>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Y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c r="DL86" s="85"/>
      <c r="DM86" s="85"/>
      <c r="DN86" s="85"/>
      <c r="DO86" s="85"/>
      <c r="DP86" s="85"/>
      <c r="DQ86" s="85"/>
      <c r="DR86" s="85"/>
      <c r="DS86" s="85"/>
      <c r="DT86" s="85"/>
      <c r="DU86" s="85"/>
      <c r="DV86" s="85"/>
      <c r="DW86" s="85"/>
      <c r="DX86" s="85"/>
      <c r="DY86" s="85"/>
      <c r="DZ86" s="85"/>
      <c r="EA86" s="85"/>
      <c r="EB86" s="85"/>
      <c r="EC86" s="85"/>
      <c r="ED86" s="85"/>
      <c r="EE86" s="85"/>
      <c r="EF86" s="85"/>
      <c r="EG86" s="85"/>
      <c r="EH86" s="85"/>
      <c r="EI86" s="85"/>
      <c r="EJ86" s="85"/>
      <c r="EK86" s="85"/>
      <c r="EL86" s="85"/>
      <c r="EM86" s="85"/>
      <c r="EN86" s="85"/>
      <c r="EO86" s="85"/>
      <c r="EP86" s="85"/>
      <c r="EQ86" s="85"/>
      <c r="ER86" s="85"/>
      <c r="ES86" s="85"/>
      <c r="ET86" s="85"/>
      <c r="EU86" s="85"/>
      <c r="EV86" s="85"/>
      <c r="EW86" s="85"/>
      <c r="EX86" s="85"/>
      <c r="EY86" s="85"/>
      <c r="EZ86" s="85"/>
      <c r="FA86" s="85"/>
      <c r="FB86" s="85"/>
      <c r="FC86" s="85"/>
      <c r="FD86" s="85"/>
      <c r="FE86" s="85"/>
      <c r="FF86" s="85"/>
      <c r="FG86" s="85"/>
      <c r="FH86" s="85"/>
      <c r="FI86" s="85"/>
      <c r="FJ86" s="85"/>
      <c r="FK86" s="85"/>
      <c r="FL86" s="85"/>
      <c r="FM86" s="85"/>
      <c r="FN86" s="85"/>
      <c r="FO86" s="85"/>
      <c r="FP86" s="85"/>
      <c r="FQ86" s="85"/>
      <c r="FR86" s="85"/>
      <c r="FS86" s="85"/>
      <c r="FT86" s="85"/>
      <c r="FU86" s="85"/>
      <c r="FV86" s="85"/>
      <c r="FW86" s="85"/>
      <c r="FX86" s="85"/>
      <c r="FY86" s="85"/>
      <c r="FZ86" s="85"/>
      <c r="GA86" s="85"/>
      <c r="GB86" s="85"/>
      <c r="GC86" s="85"/>
      <c r="GD86" s="85"/>
      <c r="GE86" s="85"/>
      <c r="GF86" s="85"/>
      <c r="GG86" s="85"/>
      <c r="GH86" s="85"/>
      <c r="GI86" s="85"/>
      <c r="GJ86" s="85"/>
      <c r="GK86" s="85"/>
      <c r="GL86" s="85"/>
      <c r="GM86" s="85"/>
      <c r="GN86" s="85"/>
      <c r="GO86" s="85"/>
      <c r="GP86" s="85"/>
      <c r="GQ86" s="85"/>
      <c r="GR86" s="85"/>
      <c r="GS86" s="85"/>
      <c r="GT86" s="85"/>
      <c r="GU86" s="85"/>
      <c r="GV86" s="85"/>
      <c r="GW86" s="85"/>
      <c r="GX86" s="85" t="n">
        <v>0</v>
      </c>
      <c r="GY86" s="85" t="n">
        <v>21.4</v>
      </c>
      <c r="GZ86" s="85" t="n">
        <v>57</v>
      </c>
      <c r="HA86" s="85" t="n">
        <v>35.5</v>
      </c>
      <c r="HB86" s="85" t="n">
        <v>0</v>
      </c>
      <c r="HC86" t="n">
        <v>0</v>
      </c>
      <c r="HD86" t="n">
        <v>0</v>
      </c>
      <c r="HE86" t="n">
        <v>0</v>
      </c>
      <c r="HF86"/>
      <c r="HG86"/>
      <c r="HH86"/>
      <c r="HI86"/>
      <c r="HJ86"/>
      <c r="HK86"/>
    </row>
    <row r="87">
      <c r="A87" s="85" t="s">
        <v>2595</v>
      </c>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c r="DL87" s="85"/>
      <c r="DM87" s="85"/>
      <c r="DN87" s="85"/>
      <c r="DO87" s="85"/>
      <c r="DP87" s="85"/>
      <c r="DQ87" s="85"/>
      <c r="DR87" s="85"/>
      <c r="DS87" s="85"/>
      <c r="DT87" s="85"/>
      <c r="DU87" s="85"/>
      <c r="DV87" s="85"/>
      <c r="DW87" s="85"/>
      <c r="DX87" s="85"/>
      <c r="DY87" s="85"/>
      <c r="DZ87" s="85"/>
      <c r="EA87" s="85"/>
      <c r="EB87" s="85"/>
      <c r="EC87" s="85"/>
      <c r="ED87" s="85"/>
      <c r="EE87" s="85"/>
      <c r="EF87" s="85"/>
      <c r="EG87" s="85"/>
      <c r="EH87" s="85"/>
      <c r="EI87" s="85"/>
      <c r="EJ87" s="85"/>
      <c r="EK87" s="85"/>
      <c r="EL87" s="85"/>
      <c r="EM87" s="85"/>
      <c r="EN87" s="85"/>
      <c r="EO87" s="85"/>
      <c r="EP87" s="85"/>
      <c r="EQ87" s="85"/>
      <c r="ER87" s="85"/>
      <c r="ES87" s="85"/>
      <c r="ET87" s="85"/>
      <c r="EU87" s="85"/>
      <c r="EV87" s="85"/>
      <c r="EW87" s="85"/>
      <c r="EX87" s="85"/>
      <c r="EY87" s="85"/>
      <c r="EZ87" s="85"/>
      <c r="FA87" s="85"/>
      <c r="FB87" s="85"/>
      <c r="FC87" s="85"/>
      <c r="FD87" s="85"/>
      <c r="FE87" s="85"/>
      <c r="FF87" s="85"/>
      <c r="FG87" s="85"/>
      <c r="FH87" s="85"/>
      <c r="FI87" s="85"/>
      <c r="FJ87" s="85"/>
      <c r="FK87" s="85"/>
      <c r="FL87" s="85"/>
      <c r="FM87" s="85"/>
      <c r="FN87" s="85"/>
      <c r="FO87" s="85"/>
      <c r="FP87" s="85"/>
      <c r="FQ87" s="85"/>
      <c r="FR87" s="85"/>
      <c r="FS87" s="85"/>
      <c r="FT87" s="85"/>
      <c r="FU87" s="85"/>
      <c r="FV87" s="85"/>
      <c r="FW87" s="85"/>
      <c r="FX87" s="85"/>
      <c r="FY87" s="85"/>
      <c r="FZ87" s="85"/>
      <c r="GA87" s="85"/>
      <c r="GB87" s="85"/>
      <c r="GC87" s="85"/>
      <c r="GD87" s="85"/>
      <c r="GE87" s="85"/>
      <c r="GF87" s="85"/>
      <c r="GG87" s="85"/>
      <c r="GH87" s="85"/>
      <c r="GI87" s="85"/>
      <c r="GJ87" s="85"/>
      <c r="GK87" s="85"/>
      <c r="GL87" s="85"/>
      <c r="GM87" s="85"/>
      <c r="GN87" s="85"/>
      <c r="GO87" s="85"/>
      <c r="GP87" s="85"/>
      <c r="GQ87" s="85"/>
      <c r="GR87" s="85"/>
      <c r="GS87" s="85"/>
      <c r="GT87" s="85"/>
      <c r="GU87" s="85" t="n">
        <v>60.3</v>
      </c>
      <c r="GV87" s="85" t="n">
        <v>18.5</v>
      </c>
      <c r="GW87" s="85" t="n">
        <v>0</v>
      </c>
      <c r="GX87" s="85" t="n">
        <v>0.3</v>
      </c>
      <c r="GY87" s="85" t="n">
        <v>11.3</v>
      </c>
      <c r="GZ87" s="85" t="n">
        <v>10.4</v>
      </c>
      <c r="HA87" s="85" t="n">
        <v>5.3</v>
      </c>
      <c r="HB87" s="85" t="n">
        <v>2.4</v>
      </c>
      <c r="HC87" t="n">
        <v>0.3</v>
      </c>
      <c r="HD87" t="n">
        <v>0</v>
      </c>
      <c r="HE87" t="n">
        <v>0</v>
      </c>
      <c r="HF87"/>
      <c r="HG87"/>
      <c r="HH87"/>
      <c r="HI87"/>
      <c r="HJ87"/>
      <c r="HK87"/>
    </row>
    <row r="88" ht="19.399999999999999" customHeight="1">
      <c r="A88" s="85" t="s">
        <v>2596</v>
      </c>
      <c r="B88" s="85" t="n">
        <v>27088</v>
      </c>
      <c r="C88" s="85" t="n">
        <v>34148</v>
      </c>
      <c r="D88" s="85" t="n">
        <v>31952</v>
      </c>
      <c r="E88" s="85" t="n">
        <v>32332</v>
      </c>
      <c r="F88" s="85" t="n">
        <v>32820</v>
      </c>
      <c r="G88" s="85" t="n">
        <v>38700</v>
      </c>
      <c r="H88" s="85" t="n">
        <v>37216</v>
      </c>
      <c r="I88" s="85" t="n">
        <v>37732</v>
      </c>
      <c r="J88" s="85" t="n">
        <v>38284</v>
      </c>
      <c r="K88" s="85" t="n">
        <v>38748</v>
      </c>
      <c r="L88" s="85" t="n">
        <v>39284</v>
      </c>
      <c r="M88" s="85" t="n">
        <v>47476</v>
      </c>
      <c r="N88" s="85" t="n">
        <v>49096</v>
      </c>
      <c r="O88" s="85" t="n">
        <v>50332</v>
      </c>
      <c r="P88" s="85" t="n">
        <v>51216</v>
      </c>
      <c r="Q88" s="85" t="n">
        <v>52016</v>
      </c>
      <c r="R88" s="85" t="n">
        <v>52464</v>
      </c>
      <c r="S88" s="85" t="n">
        <v>56916</v>
      </c>
      <c r="T88" s="85" t="n">
        <v>59804</v>
      </c>
      <c r="U88" s="85" t="n">
        <v>61244</v>
      </c>
      <c r="V88" s="85" t="n">
        <v>62000</v>
      </c>
      <c r="W88" s="85" t="n">
        <v>62888</v>
      </c>
      <c r="X88" s="85" t="n">
        <v>69012</v>
      </c>
      <c r="Y88" s="85" t="n">
        <v>69680</v>
      </c>
      <c r="Z88" s="85" t="n">
        <v>70960</v>
      </c>
      <c r="AA88" s="85" t="n">
        <v>71416</v>
      </c>
      <c r="AB88" s="85" t="n">
        <v>76996</v>
      </c>
      <c r="AC88" s="85" t="n">
        <v>78632</v>
      </c>
      <c r="AD88" s="85" t="n">
        <v>79228</v>
      </c>
      <c r="AE88" s="85" t="n">
        <v>80364</v>
      </c>
      <c r="AF88" s="85" t="n">
        <v>86256</v>
      </c>
      <c r="AG88" s="85" t="n">
        <v>87108</v>
      </c>
      <c r="AH88" s="85" t="n">
        <v>87776</v>
      </c>
      <c r="AI88" s="85" t="n">
        <v>87912</v>
      </c>
      <c r="AJ88" s="85" t="n">
        <v>94276</v>
      </c>
      <c r="AK88" s="85" t="n">
        <v>95556</v>
      </c>
      <c r="AL88" s="85" t="n">
        <v>96528</v>
      </c>
      <c r="AM88" s="85" t="n">
        <v>97848</v>
      </c>
      <c r="AN88" s="85" t="n">
        <v>107624</v>
      </c>
      <c r="AO88" s="85" t="n">
        <v>108324</v>
      </c>
      <c r="AP88" s="85" t="n">
        <v>109348</v>
      </c>
      <c r="AQ88" s="85" t="n">
        <v>109988</v>
      </c>
      <c r="AR88" s="85" t="n">
        <v>126932</v>
      </c>
      <c r="AS88" s="85" t="n">
        <v>128076</v>
      </c>
      <c r="AT88" s="85" t="n">
        <v>130716</v>
      </c>
      <c r="AU88" s="85" t="n">
        <v>131096</v>
      </c>
      <c r="AV88" s="85" t="n">
        <v>146284</v>
      </c>
      <c r="AW88" s="85" t="n">
        <v>146480</v>
      </c>
      <c r="AX88" s="85" t="n">
        <v>146772</v>
      </c>
      <c r="AY88" s="85" t="n">
        <v>147528</v>
      </c>
      <c r="AZ88" s="85" t="n">
        <v>157636</v>
      </c>
      <c r="BA88" s="85" t="n">
        <v>162896</v>
      </c>
      <c r="BB88" s="85" t="n">
        <v>162144</v>
      </c>
      <c r="BC88" s="85" t="n">
        <v>164008</v>
      </c>
      <c r="BD88" s="85" t="n">
        <v>163980</v>
      </c>
      <c r="BE88" s="85" t="n">
        <v>167572</v>
      </c>
      <c r="BF88" s="85" t="n">
        <v>170936</v>
      </c>
      <c r="BG88" s="85" t="n">
        <v>172680</v>
      </c>
      <c r="BH88" s="85" t="n">
        <v>172444</v>
      </c>
      <c r="BI88" s="85" t="n">
        <v>176048</v>
      </c>
      <c r="BJ88" s="85" t="n">
        <v>181540</v>
      </c>
      <c r="BK88" s="85" t="n">
        <v>181976</v>
      </c>
      <c r="BL88" s="85" t="n">
        <v>185252</v>
      </c>
      <c r="BM88" s="85" t="n">
        <v>184332</v>
      </c>
      <c r="BN88" s="85" t="n">
        <v>191100</v>
      </c>
      <c r="BO88" s="85" t="n">
        <v>192104</v>
      </c>
      <c r="BP88" s="85" t="n">
        <v>195880</v>
      </c>
      <c r="BQ88" s="85" t="n">
        <v>195440</v>
      </c>
      <c r="BR88" s="85" t="n">
        <v>198912</v>
      </c>
      <c r="BS88" s="85" t="n">
        <v>201652</v>
      </c>
      <c r="BT88" s="85" t="n">
        <v>201436</v>
      </c>
      <c r="BU88" s="85" t="n">
        <v>201980</v>
      </c>
      <c r="BV88" s="85" t="n">
        <v>213484</v>
      </c>
      <c r="BW88" s="85" t="n">
        <v>213536</v>
      </c>
      <c r="BX88" s="85" t="n">
        <v>214156</v>
      </c>
      <c r="BY88" s="85" t="n">
        <v>214488</v>
      </c>
      <c r="BZ88" s="85" t="n">
        <v>225904</v>
      </c>
      <c r="CA88" s="85" t="n">
        <v>226768</v>
      </c>
      <c r="CB88" s="85" t="n">
        <v>227804</v>
      </c>
      <c r="CC88" s="85" t="n">
        <v>229044</v>
      </c>
      <c r="CD88" s="85" t="n">
        <v>241024</v>
      </c>
      <c r="CE88" s="85" t="n">
        <v>243792</v>
      </c>
      <c r="CF88" s="85" t="n">
        <v>244712</v>
      </c>
      <c r="CG88" s="85" t="n">
        <v>247012</v>
      </c>
      <c r="CH88" s="85" t="n">
        <v>261292</v>
      </c>
      <c r="CI88" s="85" t="n">
        <v>263620</v>
      </c>
      <c r="CJ88" s="85" t="n">
        <v>265076</v>
      </c>
      <c r="CK88" s="85" t="n">
        <v>266828</v>
      </c>
      <c r="CL88" s="85" t="n">
        <v>278568</v>
      </c>
      <c r="CM88" s="85" t="n">
        <v>281744</v>
      </c>
      <c r="CN88" s="85" t="n">
        <v>282848</v>
      </c>
      <c r="CO88" s="85" t="n">
        <v>283944</v>
      </c>
      <c r="CP88" s="85" t="n">
        <v>295568</v>
      </c>
      <c r="CQ88" s="85" t="n">
        <v>297064</v>
      </c>
      <c r="CR88" s="85" t="n">
        <v>298552</v>
      </c>
      <c r="CS88" s="85" t="n">
        <v>300556</v>
      </c>
      <c r="CT88" s="85" t="n">
        <v>308800</v>
      </c>
      <c r="CU88" s="85" t="n">
        <v>311776</v>
      </c>
      <c r="CV88" s="85" t="n">
        <v>312956</v>
      </c>
      <c r="CW88" s="85" t="n">
        <v>315112</v>
      </c>
      <c r="CX88" s="85" t="n">
        <v>324784</v>
      </c>
      <c r="CY88" s="85" t="n">
        <v>327504</v>
      </c>
      <c r="CZ88" s="85" t="n">
        <v>328632</v>
      </c>
      <c r="DA88" s="85" t="n">
        <v>329780</v>
      </c>
      <c r="DB88" s="85" t="n">
        <v>339100</v>
      </c>
      <c r="DC88" s="85" t="n">
        <v>341412</v>
      </c>
      <c r="DD88" s="85" t="n">
        <v>342632</v>
      </c>
      <c r="DE88" s="85" t="n">
        <v>344876</v>
      </c>
      <c r="DF88" s="85" t="n">
        <v>353920</v>
      </c>
      <c r="DG88" s="85" t="n">
        <v>355872</v>
      </c>
      <c r="DH88" s="85" t="n">
        <v>357524</v>
      </c>
      <c r="DI88" s="85" t="n">
        <v>359052</v>
      </c>
      <c r="DJ88" s="85" t="n">
        <v>366632</v>
      </c>
      <c r="DK88" s="85" t="n">
        <v>368208</v>
      </c>
      <c r="DL88" s="85" t="n">
        <v>370704</v>
      </c>
      <c r="DM88" s="85" t="n">
        <v>371184</v>
      </c>
      <c r="DN88" s="85" t="n">
        <v>376964</v>
      </c>
      <c r="DO88" s="85" t="n">
        <v>378944</v>
      </c>
      <c r="DP88" s="85" t="n">
        <v>380800</v>
      </c>
      <c r="DQ88" s="85" t="n">
        <v>382748</v>
      </c>
      <c r="DR88" s="85" t="n">
        <v>392512</v>
      </c>
      <c r="DS88" s="85" t="n">
        <v>404664</v>
      </c>
      <c r="DT88" s="85" t="n">
        <v>403872</v>
      </c>
      <c r="DU88" s="85" t="n">
        <v>404524</v>
      </c>
      <c r="DV88" s="85" t="n">
        <v>420812</v>
      </c>
      <c r="DW88" s="85" t="n">
        <v>422668</v>
      </c>
      <c r="DX88" s="85" t="n">
        <v>428384</v>
      </c>
      <c r="DY88" s="85" t="n">
        <v>428472</v>
      </c>
      <c r="DZ88" s="85" t="n">
        <v>442872</v>
      </c>
      <c r="EA88" s="85" t="n">
        <v>445487</v>
      </c>
      <c r="EB88" s="85" t="n">
        <v>448080</v>
      </c>
      <c r="EC88" s="85" t="n">
        <v>451196</v>
      </c>
      <c r="ED88" s="85" t="n">
        <v>458142</v>
      </c>
      <c r="EE88" s="85" t="n">
        <v>463083</v>
      </c>
      <c r="EF88" s="85" t="n">
        <v>464765</v>
      </c>
      <c r="EG88" s="85" t="n">
        <v>468133</v>
      </c>
      <c r="EH88" s="85" t="n">
        <v>479685</v>
      </c>
      <c r="EI88" s="85" t="n">
        <v>484798</v>
      </c>
      <c r="EJ88" s="85" t="n">
        <v>486184</v>
      </c>
      <c r="EK88" s="85" t="n">
        <v>491380</v>
      </c>
      <c r="EL88" s="85" t="n">
        <v>506486</v>
      </c>
      <c r="EM88" s="85" t="n">
        <v>512872</v>
      </c>
      <c r="EN88" s="85" t="n">
        <v>514043</v>
      </c>
      <c r="EO88" s="85" t="n">
        <v>517512</v>
      </c>
      <c r="EP88" s="85" t="n">
        <v>538042</v>
      </c>
      <c r="EQ88" s="85" t="n">
        <v>543660</v>
      </c>
      <c r="ER88" s="85" t="n">
        <v>546105</v>
      </c>
      <c r="ES88" s="85" t="n">
        <v>548576</v>
      </c>
      <c r="ET88" s="85" t="n">
        <v>568277</v>
      </c>
      <c r="EU88" s="85" t="n">
        <v>575021</v>
      </c>
      <c r="EV88" s="85" t="n">
        <v>578227</v>
      </c>
      <c r="EW88" s="85" t="n">
        <v>581089</v>
      </c>
      <c r="EX88" s="85" t="n">
        <v>597326</v>
      </c>
      <c r="EY88" s="85" t="n">
        <v>602859</v>
      </c>
      <c r="EZ88" s="85" t="n">
        <v>608868</v>
      </c>
      <c r="FA88" s="85" t="n">
        <v>613115</v>
      </c>
      <c r="FB88" s="85" t="n">
        <v>651871</v>
      </c>
      <c r="FC88" s="85" t="n">
        <v>662422</v>
      </c>
      <c r="FD88" s="85" t="n">
        <v>667932</v>
      </c>
      <c r="FE88" s="85" t="n">
        <v>675654</v>
      </c>
      <c r="FF88" s="85" t="n">
        <v>678854</v>
      </c>
      <c r="FG88" s="85" t="n">
        <v>689251</v>
      </c>
      <c r="FH88" s="85" t="n">
        <v>693594</v>
      </c>
      <c r="FI88" s="85" t="n">
        <v>698996</v>
      </c>
      <c r="FJ88" s="85" t="n">
        <v>703143</v>
      </c>
      <c r="FK88" s="85" t="n">
        <v>712039</v>
      </c>
      <c r="FL88" s="85" t="n">
        <v>716021</v>
      </c>
      <c r="FM88" s="85" t="n">
        <v>721840</v>
      </c>
      <c r="FN88" s="85" t="n">
        <v>753212</v>
      </c>
      <c r="FO88" s="85" t="n">
        <v>759410</v>
      </c>
      <c r="FP88" s="85" t="n">
        <v>765124</v>
      </c>
      <c r="FQ88" s="85" t="n">
        <v>770811</v>
      </c>
      <c r="FR88" s="85" t="n">
        <v>789992</v>
      </c>
      <c r="FS88" s="85" t="n">
        <v>795240</v>
      </c>
      <c r="FT88" s="85" t="n">
        <v>802336</v>
      </c>
      <c r="FU88" s="85" t="n">
        <v>808608</v>
      </c>
      <c r="FV88" s="85" t="n">
        <v>824825</v>
      </c>
      <c r="FW88" s="85" t="n">
        <v>831664</v>
      </c>
      <c r="FX88" s="85" t="n">
        <v>836478</v>
      </c>
      <c r="FY88" s="85" t="n">
        <v>845592</v>
      </c>
      <c r="FZ88" s="85" t="n">
        <v>861827</v>
      </c>
      <c r="GA88" s="85" t="n">
        <v>868501</v>
      </c>
      <c r="GB88" s="85" t="n">
        <v>873921</v>
      </c>
      <c r="GC88" s="85" t="n">
        <v>882925</v>
      </c>
      <c r="GD88" s="85" t="n">
        <v>886054</v>
      </c>
      <c r="GE88" s="85" t="n">
        <v>893200</v>
      </c>
      <c r="GF88" s="85" t="n">
        <v>899396</v>
      </c>
      <c r="GG88" s="85" t="n">
        <v>907237</v>
      </c>
      <c r="GH88" s="85" t="n">
        <v>916306</v>
      </c>
      <c r="GI88" s="85" t="n">
        <v>922033</v>
      </c>
      <c r="GJ88" s="85" t="n">
        <v>929279</v>
      </c>
      <c r="GK88" s="85" t="n">
        <v>936668</v>
      </c>
      <c r="GL88" s="85" t="n">
        <v>960613</v>
      </c>
      <c r="GM88" s="85" t="n">
        <v>968342</v>
      </c>
      <c r="GN88" s="85" t="n">
        <v>976833</v>
      </c>
      <c r="GO88" s="85" t="n">
        <v>983861</v>
      </c>
      <c r="GP88" s="85" t="n">
        <v>1019190</v>
      </c>
      <c r="GQ88" s="85" t="n">
        <v>1026704</v>
      </c>
      <c r="GR88" s="85" t="n">
        <v>1034417</v>
      </c>
      <c r="GS88" s="85" t="n">
        <v>1042661</v>
      </c>
      <c r="GT88" s="85" t="n">
        <v>1068201</v>
      </c>
      <c r="GU88" s="85" t="n">
        <v>1075075</v>
      </c>
      <c r="GV88" s="85" t="n">
        <v>1080441</v>
      </c>
      <c r="GW88" s="85" t="n">
        <v>1087995</v>
      </c>
      <c r="GX88" s="85" t="n">
        <v>1105638</v>
      </c>
      <c r="GY88" s="85" t="n">
        <v>1109640</v>
      </c>
      <c r="GZ88" s="85" t="n">
        <v>1116948</v>
      </c>
      <c r="HA88" s="85" t="n">
        <v>1126174</v>
      </c>
      <c r="HB88" s="85" t="n">
        <v>1198452</v>
      </c>
      <c r="HC88" t="n">
        <v>1207163</v>
      </c>
      <c r="HD88" t="n">
        <v>1214781</v>
      </c>
      <c r="HE88" t="n">
        <v>1225619</v>
      </c>
      <c r="HF88" t="n">
        <v>1339904</v>
      </c>
      <c r="HG88" t="n">
        <v>1353283</v>
      </c>
      <c r="HH88" t="n">
        <v>1360723</v>
      </c>
      <c r="HI88" t="n">
        <v>1373982</v>
      </c>
      <c r="HJ88" t="n">
        <v>1426547</v>
      </c>
      <c r="HK88" t="n">
        <v>1439730</v>
      </c>
    </row>
    <row r="89">
      <c r="A89" s="85" t="s">
        <v>2597</v>
      </c>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c r="DL89" s="85"/>
      <c r="DM89" s="85"/>
      <c r="DN89" s="85"/>
      <c r="DO89" s="85"/>
      <c r="DP89" s="85"/>
      <c r="DQ89" s="85"/>
      <c r="DR89" s="85"/>
      <c r="DS89" s="85"/>
      <c r="DT89" s="85"/>
      <c r="DU89" s="85"/>
      <c r="DV89" s="85"/>
      <c r="DW89" s="85"/>
      <c r="DX89" s="85"/>
      <c r="DY89" s="85"/>
      <c r="DZ89" s="85"/>
      <c r="EA89" s="85"/>
      <c r="EB89" s="85"/>
      <c r="EC89" s="85"/>
      <c r="ED89" s="85"/>
      <c r="EE89" s="85"/>
      <c r="EF89" s="85"/>
      <c r="EG89" s="85"/>
      <c r="EH89" s="85"/>
      <c r="EI89" s="85"/>
      <c r="EJ89" s="85"/>
      <c r="EK89" s="85"/>
      <c r="EL89" s="85"/>
      <c r="EM89" s="85"/>
      <c r="EN89" s="85"/>
      <c r="EO89" s="85"/>
      <c r="EP89" s="85"/>
      <c r="EQ89" s="85"/>
      <c r="ER89" s="85"/>
      <c r="ES89" s="85"/>
      <c r="ET89" s="85"/>
      <c r="EU89" s="85"/>
      <c r="EV89" s="85"/>
      <c r="EW89" s="85"/>
      <c r="EX89" s="85"/>
      <c r="EY89" s="85"/>
      <c r="EZ89" s="85"/>
      <c r="FA89" s="85"/>
      <c r="FB89" s="85"/>
      <c r="FC89" s="85"/>
      <c r="FD89" s="85"/>
      <c r="FE89" s="85"/>
      <c r="FF89" s="85"/>
      <c r="FG89" s="85"/>
      <c r="FH89" s="85"/>
      <c r="FI89" s="85"/>
      <c r="FJ89" s="85"/>
      <c r="FK89" s="85"/>
      <c r="FL89" s="85"/>
      <c r="FM89" s="85"/>
      <c r="FN89" s="85"/>
      <c r="FO89" s="85"/>
      <c r="FP89" s="85"/>
      <c r="FQ89" s="85"/>
      <c r="FR89" s="85"/>
      <c r="FS89" s="85"/>
      <c r="FT89" s="85"/>
      <c r="FU89" s="85"/>
      <c r="FV89" s="85"/>
      <c r="FW89" s="85"/>
      <c r="FX89" s="85"/>
      <c r="FY89" s="85"/>
      <c r="FZ89" s="85"/>
      <c r="GA89" s="85"/>
      <c r="GB89" s="85"/>
      <c r="GC89" s="85"/>
      <c r="GD89" s="85"/>
      <c r="GE89" s="85"/>
      <c r="GF89" s="85"/>
      <c r="GG89" s="85"/>
      <c r="GH89" s="85"/>
      <c r="GI89" s="85"/>
      <c r="GJ89" s="85"/>
      <c r="GK89" s="85"/>
      <c r="GL89" s="85"/>
      <c r="GM89" s="85"/>
      <c r="GN89" s="85"/>
      <c r="GO89" s="85"/>
      <c r="GP89" s="85"/>
      <c r="GQ89" s="85"/>
      <c r="GR89" s="85"/>
      <c r="GS89" s="85"/>
      <c r="GT89" s="85"/>
      <c r="GU89" s="85"/>
      <c r="GV89" s="85"/>
      <c r="GW89" s="85"/>
      <c r="GX89" s="85" t="n">
        <v>34.4</v>
      </c>
      <c r="GY89" s="85" t="n">
        <v>34.4</v>
      </c>
      <c r="GZ89" s="85" t="n">
        <v>218.933333333333</v>
      </c>
      <c r="HA89" s="85" t="n">
        <v>223.133333333333</v>
      </c>
      <c r="HB89" s="85" t="n">
        <v>94.3</v>
      </c>
      <c r="HC89" t="n">
        <v>94.3</v>
      </c>
      <c r="HD89" t="n">
        <v>94.3</v>
      </c>
      <c r="HE89" t="n">
        <v>94.3</v>
      </c>
      <c r="HF89"/>
      <c r="HG89"/>
      <c r="HH89"/>
      <c r="HI89"/>
      <c r="HJ89"/>
      <c r="HK89"/>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4" zoomScaleNormal="100" workbookViewId="0">
      <selection activeCell="L89" sqref="L89"/>
    </sheetView>
  </sheetViews>
  <sheetFormatPr defaultRowHeight="15.0" baseColWidth="10"/>
  <cols>
    <col min="2" max="2" width="39.453125" hidden="0" customWidth="1"/>
    <col min="3" max="3" width="20.1796875" hidden="0" customWidth="1"/>
    <col min="4" max="4" width="9.453125" hidden="0" customWidth="1"/>
    <col min="8" max="8" width="12.453125" hidden="0" customWidth="1"/>
  </cols>
  <sheetData>
    <row r="2">
      <c r="B2" s="99" t="s">
        <v>2290</v>
      </c>
      <c r="C2" s="99"/>
      <c r="D2" s="99"/>
      <c r="E2" s="99"/>
      <c r="F2" s="99"/>
      <c r="G2" s="99"/>
      <c r="H2" s="99"/>
      <c r="I2" s="99"/>
      <c r="J2" s="99"/>
      <c r="K2" s="99"/>
      <c r="L2" s="99"/>
    </row>
    <row r="3">
      <c r="B3" t="str">
        <f>forecast!A1</f>
        <v>name</v>
      </c>
      <c r="C3" t="str">
        <f>forecast!B1</f>
        <v>variable</v>
      </c>
      <c r="D3" t="str">
        <f>forecast!C1</f>
        <v>2024 Q2</v>
      </c>
      <c r="E3" t="s">
        <v>175</v>
      </c>
      <c r="F3" t="s">
        <v>176</v>
      </c>
      <c r="G3" t="s">
        <v>177</v>
      </c>
      <c r="H3" t="s">
        <v>765</v>
      </c>
      <c r="I3" t="s">
        <v>766</v>
      </c>
      <c r="J3" t="s">
        <v>767</v>
      </c>
      <c r="K3" t="s">
        <v>1157</v>
      </c>
      <c r="L3" t="s">
        <v>1158</v>
      </c>
    </row>
    <row r="4">
      <c r="B4" t="str">
        <f>forecast!A2</f>
        <v>Consumption Grants</v>
      </c>
      <c r="C4" t="str">
        <f>forecast!B2</f>
        <v>consumption_grants</v>
      </c>
      <c r="D4" s="100" t="n">
        <f>forecast!C2</f>
        <v>433.05410899999998</v>
      </c>
      <c r="E4" s="100" t="n">
        <f>forecast!D2</f>
        <v>437.68235278290689</v>
      </c>
      <c r="F4" s="100" t="n">
        <f>forecast!E2</f>
        <v>442.60315304930305</v>
      </c>
      <c r="G4" s="100" t="n">
        <f>forecast!F2</f>
        <v>425.94367459098942</v>
      </c>
      <c r="H4" s="100" t="n">
        <f>forecast!G2</f>
        <v>421.4434594999999</v>
      </c>
      <c r="I4" s="100" t="n">
        <f>forecast!H2</f>
        <v>424.14651169422308</v>
      </c>
      <c r="J4" s="100" t="n">
        <f>forecast!I2</f>
        <v>422.99049924327517</v>
      </c>
      <c r="K4" s="100" t="n">
        <f>forecast!J2</f>
        <v>425.87322349462897</v>
      </c>
      <c r="L4" s="100" t="n">
        <f>forecast!K2</f>
        <v>425.98135239999993</v>
      </c>
    </row>
    <row r="5">
      <c r="B5" t="str">
        <f>forecast!A3</f>
        <v>Investment Grants</v>
      </c>
      <c r="C5" t="str">
        <f>forecast!B3</f>
        <v>investment_grants</v>
      </c>
      <c r="D5" s="100" t="n">
        <f>forecast!C3</f>
        <v>77.707285714285717</v>
      </c>
      <c r="E5" s="100" t="n">
        <f>forecast!D3</f>
        <v>77.707285714285717</v>
      </c>
      <c r="F5" s="100" t="n">
        <f>forecast!E3</f>
        <v>79.301285714285726</v>
      </c>
      <c r="G5" s="100" t="n">
        <f>forecast!F3</f>
        <v>79.301285714285726</v>
      </c>
      <c r="H5" s="100" t="n">
        <f>forecast!G3</f>
        <v>75.229285714285723</v>
      </c>
      <c r="I5" s="100" t="n">
        <f>forecast!H3</f>
        <v>75.229285714285723</v>
      </c>
      <c r="J5" s="100" t="n">
        <f>forecast!I3</f>
        <v>75.229285714285723</v>
      </c>
      <c r="K5" s="100" t="n">
        <f>forecast!J3</f>
        <v>75.229285714285723</v>
      </c>
      <c r="L5" s="100" t="n">
        <f>forecast!K3</f>
        <v>75.229285714285723</v>
      </c>
    </row>
    <row r="6">
      <c r="B6" t="str">
        <f>forecast!A4</f>
        <v>Federal Purchases (NIPA Consistent)</v>
      </c>
      <c r="C6" t="str">
        <f>forecast!B4</f>
        <v>federal_purchases</v>
      </c>
      <c r="D6" s="100" t="n">
        <f>forecast!C4</f>
        <v>1865.5</v>
      </c>
      <c r="E6" s="100" t="n">
        <f>forecast!D4</f>
        <v>1864.4918130006488</v>
      </c>
      <c r="F6" s="100" t="n">
        <f>forecast!E4</f>
        <v>1882.8996167086359</v>
      </c>
      <c r="G6" s="100" t="n">
        <f>forecast!F4</f>
        <v>1905.112364477146</v>
      </c>
      <c r="H6" s="100" t="n">
        <f>forecast!G4</f>
        <v>1928.207604765124</v>
      </c>
      <c r="I6" s="100" t="n">
        <f>forecast!H4</f>
        <v>1951.8849623051435</v>
      </c>
      <c r="J6" s="100" t="n">
        <f>forecast!I4</f>
        <v>1965.8226933538424</v>
      </c>
      <c r="K6" s="100" t="n">
        <f>forecast!J4</f>
        <v>1978.4103178547402</v>
      </c>
      <c r="L6" s="100" t="n">
        <f>forecast!K4</f>
        <v>1993.3551786387</v>
      </c>
    </row>
    <row r="7">
      <c r="B7" t="str">
        <f>forecast!A5</f>
        <v>State Purchases (NIPA Consistent)</v>
      </c>
      <c r="C7" t="str">
        <f>forecast!B5</f>
        <v>state_purchases</v>
      </c>
      <c r="D7" s="100" t="n">
        <f>forecast!C5</f>
        <v>3134.6</v>
      </c>
      <c r="E7" s="100" t="n">
        <f>forecast!D5</f>
        <v>3163.8873148168473</v>
      </c>
      <c r="F7" s="100" t="n">
        <f>forecast!E5</f>
        <v>3192.8019362053014</v>
      </c>
      <c r="G7" s="100" t="n">
        <f>forecast!F5</f>
        <v>3220.6906932134739</v>
      </c>
      <c r="H7" s="100" t="n">
        <f>forecast!G5</f>
        <v>3248.7132285929556</v>
      </c>
      <c r="I7" s="100" t="n">
        <f>forecast!H5</f>
        <v>3275.7206226401404</v>
      </c>
      <c r="J7" s="100" t="n">
        <f>forecast!I5</f>
        <v>3302.7048675326673</v>
      </c>
      <c r="K7" s="100" t="n">
        <f>forecast!J5</f>
        <v>3330.8133080286152</v>
      </c>
      <c r="L7" s="100" t="n">
        <f>forecast!K5</f>
        <v>3358.5357118757793</v>
      </c>
    </row>
    <row r="8">
      <c r="B8" t="str">
        <f>forecast!A6</f>
        <v>Non-ARP Subsidies + ARP Provider Relief and PPP</v>
      </c>
      <c r="C8" t="str">
        <f>forecast!B6</f>
        <v>federal_subsidies</v>
      </c>
      <c r="D8" s="100" t="n">
        <f>forecast!C6</f>
        <v>92.635000000000005</v>
      </c>
      <c r="E8" s="100" t="n">
        <f>forecast!D6</f>
        <v>92.635000000000005</v>
      </c>
      <c r="F8" s="100" t="n">
        <f>forecast!E6</f>
        <v>99.733999999999995</v>
      </c>
      <c r="G8" s="100" t="n">
        <f>forecast!F6</f>
        <v>99.733999999999995</v>
      </c>
      <c r="H8" s="100" t="n">
        <f>forecast!G6</f>
        <v>91.712000000000003</v>
      </c>
      <c r="I8" s="100" t="n">
        <f>forecast!H6</f>
        <v>91.712000000000003</v>
      </c>
      <c r="J8" s="100" t="n">
        <f>forecast!I6</f>
        <v>96.051000000000002</v>
      </c>
      <c r="K8" s="100" t="n">
        <f>forecast!J6</f>
        <v>93.900999999999996</v>
      </c>
      <c r="L8" s="100" t="n">
        <f>forecast!K6</f>
        <v>93.900999999999996</v>
      </c>
    </row>
    <row r="9">
      <c r="B9" t="str">
        <f>forecast!A7</f>
        <v>ARP Subsidies less Provider Relief and PPP</v>
      </c>
      <c r="C9" t="str">
        <f>forecast!B7</f>
        <v>federal_aid_to_small_businesses_arp</v>
      </c>
      <c r="D9" s="100" t="n">
        <f>forecast!C7</f>
        <v>1.365</v>
      </c>
      <c r="E9" s="100" t="n">
        <f>forecast!D7</f>
        <v>1.365</v>
      </c>
      <c r="F9" s="100" t="n">
        <f>forecast!E7</f>
        <v>-0.90100000000000025</v>
      </c>
      <c r="G9" s="100" t="n">
        <f>forecast!F7</f>
        <v>-0.90100000000000025</v>
      </c>
      <c r="H9" s="100" t="n">
        <f>forecast!G7</f>
        <v>-0.90100000000000025</v>
      </c>
      <c r="I9" s="100" t="n">
        <f>forecast!H7</f>
        <v>-0.90100000000000025</v>
      </c>
      <c r="J9" s="100" t="n">
        <f>forecast!I7</f>
        <v>-2.1500000000000004</v>
      </c>
      <c r="K9" s="100" t="n">
        <f>forecast!J7</f>
        <v>0</v>
      </c>
      <c r="L9" s="100" t="n">
        <f>forecast!K7</f>
        <v>0</v>
      </c>
    </row>
    <row r="10">
      <c r="B10" t="str">
        <f>forecast!A8</f>
        <v>Federal UI</v>
      </c>
      <c r="C10" t="str">
        <f>forecast!B8</f>
        <v>federal_ui</v>
      </c>
      <c r="D10" s="100" t="n">
        <f>forecast!C8</f>
        <v>0.19999999999999929</v>
      </c>
      <c r="E10" s="100" t="n">
        <f>forecast!D8</f>
        <v>0</v>
      </c>
      <c r="F10" s="100" t="n">
        <f>forecast!E8</f>
        <v>0</v>
      </c>
      <c r="G10" s="100" t="n">
        <f>forecast!F8</f>
        <v>0</v>
      </c>
      <c r="H10" s="100" t="n">
        <f>forecast!G8</f>
        <v>0</v>
      </c>
      <c r="I10" s="100" t="n">
        <f>forecast!H8</f>
        <v>0</v>
      </c>
      <c r="J10" s="100" t="n">
        <f>forecast!I8</f>
        <v>0</v>
      </c>
      <c r="K10" s="100" t="n">
        <f>forecast!J8</f>
        <v>0</v>
      </c>
      <c r="L10" s="100" t="n">
        <f>forecast!K8</f>
        <v>0</v>
      </c>
    </row>
    <row r="11">
      <c r="B11" t="str">
        <f>forecast!A9</f>
        <v>State UI</v>
      </c>
      <c r="C11" t="str">
        <f>forecast!B9</f>
        <v>state_ui</v>
      </c>
      <c r="D11" s="100" t="n">
        <f>forecast!C9</f>
        <v>22.5</v>
      </c>
      <c r="E11" s="100" t="n">
        <f>forecast!D9</f>
        <v>22.5</v>
      </c>
      <c r="F11" s="100" t="n">
        <f>forecast!E9</f>
        <v>22.5</v>
      </c>
      <c r="G11" s="100" t="n">
        <f>forecast!F9</f>
        <v>22.5</v>
      </c>
      <c r="H11" s="100" t="n">
        <f>forecast!G9</f>
        <v>22.5</v>
      </c>
      <c r="I11" s="100" t="n">
        <f>forecast!H9</f>
        <v>22.5</v>
      </c>
      <c r="J11" s="100" t="n">
        <f>forecast!I9</f>
        <v>22.5</v>
      </c>
      <c r="K11" s="100" t="n">
        <f>forecast!J9</f>
        <v>22.5</v>
      </c>
      <c r="L11" s="100" t="n">
        <f>forecast!K9</f>
        <v>22.5</v>
      </c>
    </row>
    <row r="12">
      <c r="B12" t="str">
        <f>forecast!A10</f>
        <v>Federal Medicaid</v>
      </c>
      <c r="C12" t="str">
        <f>forecast!B10</f>
        <v>medicaid_grants</v>
      </c>
      <c r="D12" s="100" t="n">
        <f>forecast!C10</f>
        <v>623</v>
      </c>
      <c r="E12" s="100" t="n">
        <f>forecast!D10</f>
        <v>625.34650158908801</v>
      </c>
      <c r="F12" s="100" t="n">
        <f>forecast!E10</f>
        <v>628.13224973035756</v>
      </c>
      <c r="G12" s="100" t="n">
        <f>forecast!F10</f>
        <v>630.93040761996144</v>
      </c>
      <c r="H12" s="100" t="n">
        <f>forecast!G10</f>
        <v>633.74103053994475</v>
      </c>
      <c r="I12" s="100" t="n">
        <f>forecast!H10</f>
        <v>636.56417401861881</v>
      </c>
      <c r="J12" s="100" t="n">
        <f>forecast!I10</f>
        <v>640.74049689325011</v>
      </c>
      <c r="K12" s="100" t="n">
        <f>forecast!J10</f>
        <v>644.94421947629257</v>
      </c>
      <c r="L12" s="100" t="n">
        <f>forecast!K10</f>
        <v>649.17552152971496</v>
      </c>
    </row>
    <row r="13">
      <c r="B13" t="str">
        <f>forecast!A11</f>
        <v>Total Medicaid</v>
      </c>
      <c r="C13" t="str">
        <f>forecast!B11</f>
        <v>medicaid</v>
      </c>
      <c r="D13" s="100" t="n">
        <f>forecast!C11</f>
        <v>942.7</v>
      </c>
      <c r="E13" s="100" t="n">
        <f>forecast!D11</f>
        <v>946.2506373162654</v>
      </c>
      <c r="F13" s="100" t="n">
        <f>forecast!E11</f>
        <v>950.46592587609643</v>
      </c>
      <c r="G13" s="100" t="n">
        <f>forecast!F11</f>
        <v>954.69999239701076</v>
      </c>
      <c r="H13" s="100" t="n">
        <f>forecast!G11</f>
        <v>958.95292052970467</v>
      </c>
      <c r="I13" s="100" t="n">
        <f>forecast!H11</f>
        <v>963.22479429751525</v>
      </c>
      <c r="J13" s="100" t="n">
        <f>forecast!I11</f>
        <v>969.5442478672021</v>
      </c>
      <c r="K13" s="100" t="n">
        <f>forecast!J11</f>
        <v>975.90516163772247</v>
      </c>
      <c r="L13" s="100" t="n">
        <f>forecast!K11</f>
        <v>982.30780761807762</v>
      </c>
    </row>
    <row r="14">
      <c r="B14" t="str">
        <f>forecast!A12</f>
        <v>Medicare</v>
      </c>
      <c r="C14" t="str">
        <f>forecast!B12</f>
        <v>medicare</v>
      </c>
      <c r="D14" s="100" t="n">
        <f>forecast!C12</f>
        <v>983.2</v>
      </c>
      <c r="E14" s="100" t="n">
        <f>forecast!D12</f>
        <v>1004.8913543635854</v>
      </c>
      <c r="F14" s="100" t="n">
        <f>forecast!E12</f>
        <v>1017.6261860902274</v>
      </c>
      <c r="G14" s="100" t="n">
        <f>forecast!F12</f>
        <v>1030.5224043572171</v>
      </c>
      <c r="H14" s="100" t="n">
        <f>forecast!G12</f>
        <v>1043.5820543910609</v>
      </c>
      <c r="I14" s="100" t="n">
        <f>forecast!H12</f>
        <v>1056.8072073371027</v>
      </c>
      <c r="J14" s="100" t="n">
        <f>forecast!I12</f>
        <v>1073.4409624197474</v>
      </c>
      <c r="K14" s="100" t="n">
        <f>forecast!J12</f>
        <v>1090.3365266632575</v>
      </c>
      <c r="L14" s="100" t="n">
        <f>forecast!K12</f>
        <v>1107.4980208471184</v>
      </c>
    </row>
    <row r="15">
      <c r="B15" t="str">
        <f>forecast!A13</f>
        <v>Non-ARP Rebate Checks</v>
      </c>
      <c r="C15" t="str">
        <f>forecast!B13</f>
        <v>rebate_checks</v>
      </c>
      <c r="D15" s="100" t="n">
        <f>forecast!C13</f>
        <v>0</v>
      </c>
      <c r="E15" s="100" t="n">
        <f>forecast!D13</f>
        <v>0</v>
      </c>
      <c r="F15" s="100" t="n">
        <f>forecast!E13</f>
        <v>0</v>
      </c>
      <c r="G15" s="100" t="n">
        <f>forecast!F13</f>
        <v>0</v>
      </c>
      <c r="H15" s="100" t="n">
        <f>forecast!G13</f>
        <v>0</v>
      </c>
      <c r="I15" s="100" t="n">
        <f>forecast!H13</f>
        <v>0</v>
      </c>
      <c r="J15" s="100" t="n">
        <f>forecast!I13</f>
        <v>0</v>
      </c>
      <c r="K15" s="100" t="n">
        <f>forecast!J13</f>
        <v>0</v>
      </c>
      <c r="L15" s="100" t="n">
        <f>forecast!K13</f>
        <v>0</v>
      </c>
    </row>
    <row r="16">
      <c r="B16" t="str">
        <f>forecast!A14</f>
        <v>ARP Rebate Checks</v>
      </c>
      <c r="C16" t="str">
        <f>forecast!B14</f>
        <v>rebate_checks_arp</v>
      </c>
      <c r="D16" s="100" t="n">
        <f>forecast!C14</f>
        <v>0</v>
      </c>
      <c r="E16" s="100" t="n">
        <f>forecast!D14</f>
        <v>0</v>
      </c>
      <c r="F16" s="100" t="n">
        <f>forecast!E14</f>
        <v>0</v>
      </c>
      <c r="G16" s="100" t="n">
        <f>forecast!F14</f>
        <v>0</v>
      </c>
      <c r="H16" s="100" t="n">
        <f>forecast!G14</f>
        <v>0</v>
      </c>
      <c r="I16" s="100" t="n">
        <f>forecast!H14</f>
        <v>0</v>
      </c>
      <c r="J16" s="100" t="n">
        <f>forecast!I14</f>
        <v>0</v>
      </c>
      <c r="K16" s="100" t="n">
        <f>forecast!J14</f>
        <v>0</v>
      </c>
      <c r="L16" s="100" t="n">
        <f>forecast!K14</f>
        <v>0</v>
      </c>
    </row>
    <row r="17">
      <c r="B17" t="str">
        <f>forecast!A15</f>
        <v>ARP Other Vulnerable</v>
      </c>
      <c r="C17" t="str">
        <f>forecast!B15</f>
        <v>federal_other_vulnerable_arp</v>
      </c>
      <c r="D17" s="100" t="n">
        <f>forecast!C15</f>
        <v>4.2219999999999995</v>
      </c>
      <c r="E17" s="100" t="n">
        <f>forecast!D15</f>
        <v>4.2219999999999995</v>
      </c>
      <c r="F17" s="100" t="n">
        <f>forecast!E15</f>
        <v>2.3719999999999999</v>
      </c>
      <c r="G17" s="100" t="n">
        <f>forecast!F15</f>
        <v>2.3719999999999999</v>
      </c>
      <c r="H17" s="100" t="n">
        <f>forecast!G15</f>
        <v>2.3719999999999999</v>
      </c>
      <c r="I17" s="100" t="n">
        <f>forecast!H15</f>
        <v>2.3719999999999999</v>
      </c>
      <c r="J17" s="100" t="n">
        <f>forecast!I15</f>
        <v>0.49</v>
      </c>
      <c r="K17" s="100" t="n">
        <f>forecast!J15</f>
        <v>0</v>
      </c>
      <c r="L17" s="100" t="n">
        <f>forecast!K15</f>
        <v>0</v>
      </c>
    </row>
    <row r="18">
      <c r="B18" t="str">
        <f>forecast!A16</f>
        <v>ARP Other Direct Aid plus Provider Relief </v>
      </c>
      <c r="C18" t="str">
        <f>forecast!B16</f>
        <v>federal_other_direct_aid_arp</v>
      </c>
      <c r="D18" s="100" t="n">
        <f>forecast!C16</f>
        <v>1.4790000000000001</v>
      </c>
      <c r="E18" s="100" t="n">
        <f>forecast!D16</f>
        <v>1.4790000000000001</v>
      </c>
      <c r="F18" s="100" t="n">
        <f>forecast!E16</f>
        <v>1.63</v>
      </c>
      <c r="G18" s="100" t="n">
        <f>forecast!F16</f>
        <v>1.63</v>
      </c>
      <c r="H18" s="100" t="n">
        <f>forecast!G16</f>
        <v>1.63</v>
      </c>
      <c r="I18" s="100" t="n">
        <f>forecast!H16</f>
        <v>1.63</v>
      </c>
      <c r="J18" s="100" t="n">
        <f>forecast!I16</f>
        <v>1.671</v>
      </c>
      <c r="K18" s="100" t="n">
        <f>forecast!J16</f>
        <v>0</v>
      </c>
      <c r="L18" s="100" t="n">
        <f>forecast!K16</f>
        <v>0</v>
      </c>
    </row>
    <row r="19">
      <c r="B19" t="str">
        <f>forecast!A17</f>
        <v>Other Federal Social Benefits (including all SNAP)</v>
      </c>
      <c r="C19" t="str">
        <f>forecast!B17</f>
        <v>federal_social_benefits</v>
      </c>
      <c r="D19" s="100" t="n">
        <f>forecast!C17</f>
        <v>2069.3989999999999</v>
      </c>
      <c r="E19" s="100" t="n">
        <f>forecast!D17</f>
        <v>2076.3323333333333</v>
      </c>
      <c r="F19" s="100" t="n">
        <f>forecast!E17</f>
        <v>2084.7936666666669</v>
      </c>
      <c r="G19" s="100" t="n">
        <f>forecast!F17</f>
        <v>2126.5286675860002</v>
      </c>
      <c r="H19" s="100" t="n">
        <f>forecast!G17</f>
        <v>2133.4620009193336</v>
      </c>
      <c r="I19" s="100" t="n">
        <f>forecast!H17</f>
        <v>2140.395334252667</v>
      </c>
      <c r="J19" s="100" t="n">
        <f>forecast!I17</f>
        <v>2131.0896675860004</v>
      </c>
      <c r="K19" s="100" t="n">
        <f>forecast!J17</f>
        <v>2175.0289118598116</v>
      </c>
      <c r="L19" s="100" t="n">
        <f>forecast!K17</f>
        <v>2181.2342451931449</v>
      </c>
    </row>
    <row r="20">
      <c r="B20" t="str">
        <f>forecast!A18</f>
        <v>State Social Benefits ex Medicaid</v>
      </c>
      <c r="C20" t="str">
        <f>forecast!B18</f>
        <v>state_social_benefits</v>
      </c>
      <c r="D20" s="100" t="n">
        <f>forecast!C18</f>
        <v>199.52477289205825</v>
      </c>
      <c r="E20" s="100" t="n">
        <f>forecast!D18</f>
        <v>202.80426544959073</v>
      </c>
      <c r="F20" s="100" t="n">
        <f>forecast!E18</f>
        <v>206.137661446175</v>
      </c>
      <c r="G20" s="100" t="n">
        <f>forecast!F18</f>
        <v>209.52584686666717</v>
      </c>
      <c r="H20" s="100" t="n">
        <f>forecast!G18</f>
        <v>212.9697222584295</v>
      </c>
      <c r="I20" s="100" t="n">
        <f>forecast!H18</f>
        <v>216.47020297068735</v>
      </c>
      <c r="J20" s="100" t="n">
        <f>forecast!I18</f>
        <v>220.02821939782032</v>
      </c>
      <c r="K20" s="100" t="n">
        <f>forecast!J18</f>
        <v>223.64471722665206</v>
      </c>
      <c r="L20" s="100" t="n">
        <f>forecast!K18</f>
        <v>227.32065768780498</v>
      </c>
    </row>
    <row r="21">
      <c r="B21" t="str">
        <f>forecast!A19</f>
        <v>Federal Non-Corporate Taxes</v>
      </c>
      <c r="C21" t="str">
        <f>forecast!B19</f>
        <v>federal_non_corporate_taxes</v>
      </c>
      <c r="D21" s="100" t="n">
        <f>forecast!C19</f>
        <v>4433.3999999999996</v>
      </c>
      <c r="E21" s="100" t="n">
        <f>forecast!D19</f>
        <v>4489.7713883870456</v>
      </c>
      <c r="F21" s="100" t="n">
        <f>forecast!E19</f>
        <v>4538.5469751658384</v>
      </c>
      <c r="G21" s="100" t="n">
        <f>forecast!F19</f>
        <v>4612.4270713244514</v>
      </c>
      <c r="H21" s="100" t="n">
        <f>forecast!G19</f>
        <v>4644.0864887445623</v>
      </c>
      <c r="I21" s="100" t="n">
        <f>forecast!H19</f>
        <v>4675.9902837778927</v>
      </c>
      <c r="J21" s="100" t="n">
        <f>forecast!I19</f>
        <v>4708.1405975032039</v>
      </c>
      <c r="K21" s="100" t="n">
        <f>forecast!J19</f>
        <v>4791.4510358579109</v>
      </c>
      <c r="L21" s="100" t="n">
        <f>forecast!K19</f>
        <v>4824.3535656118838</v>
      </c>
    </row>
    <row r="22">
      <c r="B22" t="str">
        <f>forecast!A20</f>
        <v>State Non-Corporate Taxes</v>
      </c>
      <c r="C22" t="str">
        <f>forecast!B20</f>
        <v>state_non_corporate_taxes</v>
      </c>
      <c r="D22" s="100" t="n">
        <f>forecast!C20</f>
        <v>2334.8000000000002</v>
      </c>
      <c r="E22" s="100" t="n">
        <f>forecast!D20</f>
        <v>2370.4934691362682</v>
      </c>
      <c r="F22" s="100" t="n">
        <f>forecast!E20</f>
        <v>2394.4737296945541</v>
      </c>
      <c r="G22" s="100" t="n">
        <f>forecast!F20</f>
        <v>2419.1819686234739</v>
      </c>
      <c r="H22" s="100" t="n">
        <f>forecast!G20</f>
        <v>2443.8279877221571</v>
      </c>
      <c r="I22" s="100" t="n">
        <f>forecast!H20</f>
        <v>2467.5122332493233</v>
      </c>
      <c r="J22" s="100" t="n">
        <f>forecast!I20</f>
        <v>2490.887019004148</v>
      </c>
      <c r="K22" s="100" t="n">
        <f>forecast!J20</f>
        <v>2511.8002577188468</v>
      </c>
      <c r="L22" s="100" t="n">
        <f>forecast!K20</f>
        <v>2533.5609851387253</v>
      </c>
    </row>
    <row r="23">
      <c r="B23" t="str">
        <f>forecast!A21</f>
        <v>Federal Corporate Taxes</v>
      </c>
      <c r="C23" t="str">
        <f>forecast!B21</f>
        <v>federal_corporate_taxes</v>
      </c>
      <c r="D23" s="100" t="n">
        <f>forecast!C21</f>
        <v>470.1</v>
      </c>
      <c r="E23" s="100" t="n">
        <f>forecast!D21</f>
        <v>481.67610036716962</v>
      </c>
      <c r="F23" s="100" t="n">
        <f>forecast!E21</f>
        <v>491.34941698295808</v>
      </c>
      <c r="G23" s="100" t="n">
        <f>forecast!F21</f>
        <v>501.21699911094026</v>
      </c>
      <c r="H23" s="100" t="n">
        <f>forecast!G21</f>
        <v>511.28274811098333</v>
      </c>
      <c r="I23" s="100" t="n">
        <f>forecast!H21</f>
        <v>521.55064369247032</v>
      </c>
      <c r="J23" s="100" t="n">
        <f>forecast!I21</f>
        <v>520.23365660978743</v>
      </c>
      <c r="K23" s="100" t="n">
        <f>forecast!J21</f>
        <v>518.91999510055928</v>
      </c>
      <c r="L23" s="100" t="n">
        <f>forecast!K21</f>
        <v>517.60965076725563</v>
      </c>
    </row>
    <row r="24">
      <c r="B24" t="str">
        <f>forecast!A22</f>
        <v>State Corporate Taxes</v>
      </c>
      <c r="C24" s="85" t="str">
        <f>forecast!B22</f>
        <v>state_corporate_taxes</v>
      </c>
      <c r="D24" s="100" t="n">
        <f>forecast!C22</f>
        <v>162.69999999999999</v>
      </c>
      <c r="E24" s="100" t="n">
        <f>forecast!D22</f>
        <v>164.47905347684949</v>
      </c>
      <c r="F24" s="100" t="n">
        <f>forecast!E22</f>
        <v>165.71883136852895</v>
      </c>
      <c r="G24" s="100" t="n">
        <f>forecast!F22</f>
        <v>167.23658636596619</v>
      </c>
      <c r="H24" s="100" t="n">
        <f>forecast!G22</f>
        <v>168.74878182128822</v>
      </c>
      <c r="I24" s="100" t="n">
        <f>forecast!H22</f>
        <v>169.71058260720997</v>
      </c>
      <c r="J24" s="100" t="n">
        <f>forecast!I22</f>
        <v>169.79397573893729</v>
      </c>
      <c r="K24" s="100" t="n">
        <f>forecast!J22</f>
        <v>169.04899709550656</v>
      </c>
      <c r="L24" s="100" t="n">
        <f>forecast!K22</f>
        <v>168.92668716897319</v>
      </c>
    </row>
    <row r="25">
      <c r="B25" s="85" t="str">
        <f>forecast!A23</f>
        <v>Federal Student Loans</v>
      </c>
      <c r="C25" s="85" t="str">
        <f>forecast!B23</f>
        <v>federal_student_loans</v>
      </c>
      <c r="D25" s="100" t="n">
        <f>forecast!C23</f>
        <v>2.6040450000000002</v>
      </c>
      <c r="E25" s="100" t="n">
        <f>forecast!D23</f>
        <v>2.626465</v>
      </c>
      <c r="F25" s="100" t="n">
        <f>forecast!E23</f>
        <v>2.6498349999999999</v>
      </c>
      <c r="G25" s="100" t="n">
        <f>forecast!F23</f>
        <v>2.6454420000000001</v>
      </c>
      <c r="H25" s="100" t="n">
        <f>forecast!G23</f>
        <v>2.6696</v>
      </c>
      <c r="I25" s="100" t="n">
        <f>forecast!H23</f>
        <v>2.693006</v>
      </c>
      <c r="J25" s="100" t="n">
        <f>forecast!I23</f>
        <v>2.7175400000000001</v>
      </c>
      <c r="K25" s="100" t="n">
        <f>forecast!J23</f>
        <v>2.7175400000000001</v>
      </c>
      <c r="L25" s="100" t="n">
        <f>forecast!K23</f>
        <v>2.7175400000000001</v>
      </c>
    </row>
    <row r="26">
      <c r="B26" s="85"/>
      <c r="C26" s="85"/>
      <c r="D26" s="100"/>
      <c r="E26" s="100"/>
      <c r="F26" s="100"/>
      <c r="G26" s="100"/>
      <c r="H26" s="100"/>
    </row>
    <row r="27">
      <c r="B27" s="105" t="s">
        <v>1897</v>
      </c>
      <c r="C27" s="85"/>
      <c r="D27" s="100"/>
      <c r="E27" s="100"/>
      <c r="F27" s="100"/>
      <c r="G27" s="100"/>
      <c r="H27" s="100"/>
    </row>
    <row r="28">
      <c r="B28" s="85" t="s">
        <v>1710</v>
      </c>
      <c r="C28" s="85"/>
      <c r="D28" s="106" t="n">
        <f>Deflators!Z45</f>
        <v>2.5174782394791206E-2</v>
      </c>
      <c r="E28" s="106" t="n">
        <f>Deflators!AA45</f>
        <v>2.2474645472145172E-2</v>
      </c>
      <c r="F28" s="106" t="n">
        <f>Deflators!AB45</f>
        <v>2.0485836297992499E-2</v>
      </c>
      <c r="G28" s="106" t="n">
        <f>Deflators!AC45</f>
        <v>2.1796033645922641E-2</v>
      </c>
      <c r="H28" s="106" t="n">
        <f>Deflators!AD45</f>
        <v>2.1576747995004641E-2</v>
      </c>
      <c r="I28" s="106" t="n">
        <f>Deflators!AE45</f>
        <v>2.0708760783051394E-2</v>
      </c>
      <c r="J28" s="106" t="n">
        <f>Deflators!AF45</f>
        <v>2.0110814282412459E-2</v>
      </c>
      <c r="K28" s="106" t="n">
        <f>Deflators!AG45</f>
        <v>1.9760549063349009E-2</v>
      </c>
      <c r="L28" s="106" t="n">
        <f>Deflators!AH45</f>
        <v>1.9516602813602013E-2</v>
      </c>
    </row>
    <row r="29">
      <c r="B29" s="85" t="s">
        <v>1711</v>
      </c>
      <c r="C29" s="85"/>
      <c r="D29" s="106" t="n">
        <f>Deflators!Z48</f>
        <v>2.9112295464471361E-2</v>
      </c>
      <c r="E29" s="106" t="n">
        <f>Deflators!AA48</f>
        <v>2.5505871693797699E-2</v>
      </c>
      <c r="F29" s="106" t="n">
        <f>Deflators!AB48</f>
        <v>2.3438723088733626E-2</v>
      </c>
      <c r="G29" s="106" t="n">
        <f>Deflators!AC48</f>
        <v>2.2377163912874476E-2</v>
      </c>
      <c r="H29" s="106" t="n">
        <f>Deflators!AD46</f>
        <v>2.1576747995004641E-2</v>
      </c>
      <c r="I29" s="106" t="n">
        <f>Deflators!AE46</f>
        <v>2.0708760783051394E-2</v>
      </c>
      <c r="J29" s="106" t="n">
        <f>Deflators!AF46</f>
        <v>2.0110814282412459E-2</v>
      </c>
      <c r="K29" s="106" t="n">
        <f>Deflators!AG46</f>
        <v>1.9760549063349009E-2</v>
      </c>
      <c r="L29" s="106" t="n">
        <f>Deflators!AH46</f>
        <v>1.9516602813602013E-2</v>
      </c>
    </row>
    <row r="30">
      <c r="B30" s="85" t="s">
        <v>1712</v>
      </c>
      <c r="C30" s="85"/>
      <c r="D30" s="106" t="n">
        <f>Deflators!Z49</f>
        <v>1.680091994223365E-2</v>
      </c>
      <c r="E30" s="106" t="n">
        <f>Deflators!AA49</f>
        <v>2.2724337980433162E-2</v>
      </c>
      <c r="F30" s="106" t="n">
        <f>Deflators!AB49</f>
        <v>2.1533565330379201E-2</v>
      </c>
      <c r="G30" s="106" t="n">
        <f>Deflators!AC49</f>
        <v>2.3821649071183115E-2</v>
      </c>
      <c r="H30" s="106" t="n">
        <f>Deflators!AD47</f>
        <v>0</v>
      </c>
      <c r="I30" s="106" t="n">
        <f>Deflators!AE47</f>
        <v>0</v>
      </c>
      <c r="J30" s="106" t="n">
        <f>Deflators!AF47</f>
        <v>0</v>
      </c>
      <c r="K30" s="106" t="n">
        <f>Deflators!AG47</f>
        <v>0</v>
      </c>
      <c r="L30" s="106" t="n">
        <f>Deflators!AH47</f>
        <v>0</v>
      </c>
    </row>
    <row r="31">
      <c r="B31" s="85" t="s">
        <v>1713</v>
      </c>
      <c r="C31" s="85"/>
      <c r="D31" s="106" t="n">
        <f>Deflators!Z51</f>
        <v>2.0014336228912244E-2</v>
      </c>
      <c r="E31" s="106" t="n">
        <f>Deflators!AA51</f>
        <v>2.2724337980433162E-2</v>
      </c>
      <c r="F31" s="106" t="n">
        <f>Deflators!AB51</f>
        <v>2.1533565330379201E-2</v>
      </c>
      <c r="G31" s="106" t="n">
        <f>Deflators!AC51</f>
        <v>2.3821649071183115E-2</v>
      </c>
      <c r="H31" s="106" t="n">
        <f>Deflators!AD48</f>
        <v>2.1708971853545922E-2</v>
      </c>
      <c r="I31" s="106" t="n">
        <f>Deflators!AE48</f>
        <v>2.1471980846518912E-2</v>
      </c>
      <c r="J31" s="106" t="n">
        <f>Deflators!AF48</f>
        <v>2.1530345294352937E-2</v>
      </c>
      <c r="K31" s="106" t="n">
        <f>Deflators!AG48</f>
        <v>1.5936865457563565E-2</v>
      </c>
      <c r="L31" s="106" t="n">
        <f>Deflators!AH48</f>
        <v>1.6813069627471089E-2</v>
      </c>
    </row>
    <row r="32">
      <c r="B32" s="85" t="s">
        <v>1714</v>
      </c>
      <c r="C32" s="85"/>
      <c r="D32" s="106" t="n">
        <f>Deflators!Z52</f>
        <v>3.6501030492672726E-3</v>
      </c>
      <c r="E32" s="106" t="n">
        <f>Deflators!AA52</f>
        <v>2.2724337980433162E-2</v>
      </c>
      <c r="F32" s="106" t="n">
        <f>Deflators!AB52</f>
        <v>2.1533565330379201E-2</v>
      </c>
      <c r="G32" s="106" t="n">
        <f>Deflators!AC52</f>
        <v>2.3821649071183115E-2</v>
      </c>
      <c r="H32" s="106" t="n">
        <f>Deflators!AD49</f>
        <v>2.3493967451795994E-2</v>
      </c>
      <c r="I32" s="106" t="n">
        <f>Deflators!AE49</f>
        <v>2.3095343044312822E-2</v>
      </c>
      <c r="J32" s="106" t="n">
        <f>Deflators!AF49</f>
        <v>2.2877364391311605E-2</v>
      </c>
      <c r="K32" s="106" t="n">
        <f>Deflators!AG49</f>
        <v>2.2926764441147718E-2</v>
      </c>
      <c r="L32" s="106" t="n">
        <f>Deflators!AH49</f>
        <v>2.3049272742582838E-2</v>
      </c>
    </row>
    <row r="34">
      <c r="B34" s="99" t="s">
        <v>1952</v>
      </c>
      <c r="C34" s="99"/>
      <c r="D34" s="99"/>
      <c r="E34" s="99"/>
      <c r="F34" s="99"/>
      <c r="G34" s="99"/>
      <c r="H34" s="99"/>
      <c r="I34" s="99"/>
      <c r="J34" s="99"/>
      <c r="K34" s="99"/>
      <c r="L34" s="99"/>
    </row>
    <row r="35">
      <c r="B35" t="s">
        <v>178</v>
      </c>
      <c r="C35" t="s">
        <v>179</v>
      </c>
      <c r="D35" t="s">
        <v>191</v>
      </c>
      <c r="E35" t="s">
        <v>175</v>
      </c>
      <c r="F35" t="s">
        <v>176</v>
      </c>
      <c r="G35" t="s">
        <v>177</v>
      </c>
      <c r="H35" t="s">
        <v>765</v>
      </c>
      <c r="I35" t="s">
        <v>766</v>
      </c>
      <c r="J35" t="s">
        <v>767</v>
      </c>
      <c r="K35" t="s">
        <v>1157</v>
      </c>
      <c r="L35" t="s">
        <v>1158</v>
      </c>
    </row>
    <row r="36">
      <c r="B36" t="s">
        <v>192</v>
      </c>
      <c r="C36" t="s">
        <v>193</v>
      </c>
      <c r="D36" s="100" t="n">
        <v>433.05410899999998</v>
      </c>
      <c r="E36" s="100" t="n">
        <v>437.68235278290689</v>
      </c>
      <c r="F36" s="100" t="n">
        <v>442.60315304930305</v>
      </c>
      <c r="G36" s="100" t="n">
        <v>425.94367459098942</v>
      </c>
      <c r="H36" s="100" t="n">
        <v>421.4434594999999</v>
      </c>
      <c r="I36" t="n">
        <v>424.14651169422308</v>
      </c>
      <c r="J36" t="n">
        <v>422.99049924327517</v>
      </c>
      <c r="K36" t="n">
        <v>425.87322349462897</v>
      </c>
      <c r="L36" t="n">
        <v>425.98135239999993</v>
      </c>
    </row>
    <row r="37">
      <c r="B37" t="s">
        <v>134</v>
      </c>
      <c r="C37" t="s">
        <v>194</v>
      </c>
      <c r="D37" s="100" t="n">
        <v>77.707285714285717</v>
      </c>
      <c r="E37" s="100" t="n">
        <v>77.707285714285717</v>
      </c>
      <c r="F37" s="100" t="n">
        <v>79.301285714285726</v>
      </c>
      <c r="G37" s="100" t="n">
        <v>79.301285714285726</v>
      </c>
      <c r="H37" s="100" t="n">
        <v>75.229285714285723</v>
      </c>
      <c r="I37" t="n">
        <v>75.229285714285723</v>
      </c>
      <c r="J37" t="n">
        <v>75.229285714285723</v>
      </c>
      <c r="K37" t="n">
        <v>75.229285714285723</v>
      </c>
      <c r="L37" t="n">
        <v>75.229285714285723</v>
      </c>
    </row>
    <row r="38">
      <c r="B38" t="s">
        <v>195</v>
      </c>
      <c r="C38" t="s">
        <v>196</v>
      </c>
      <c r="D38" s="100" t="n">
        <v>1865.5</v>
      </c>
      <c r="E38" s="100" t="n">
        <v>1864.4918130006488</v>
      </c>
      <c r="F38" s="100" t="n">
        <v>1882.8996167086359</v>
      </c>
      <c r="G38" s="100" t="n">
        <v>1905.112364477146</v>
      </c>
      <c r="H38" s="100" t="n">
        <v>1928.207604765124</v>
      </c>
      <c r="I38" t="n">
        <v>1951.8849623051435</v>
      </c>
      <c r="J38" t="n">
        <v>1965.8226933538424</v>
      </c>
      <c r="K38" t="n">
        <v>1978.4103178547402</v>
      </c>
      <c r="L38" t="n">
        <v>1993.3551786387</v>
      </c>
    </row>
    <row r="39">
      <c r="B39" t="s">
        <v>197</v>
      </c>
      <c r="C39" t="s">
        <v>198</v>
      </c>
      <c r="D39" s="100" t="n">
        <v>3134.6</v>
      </c>
      <c r="E39" s="100" t="n">
        <v>3163.8873148168473</v>
      </c>
      <c r="F39" s="100" t="n">
        <v>3192.8019362053014</v>
      </c>
      <c r="G39" s="100" t="n">
        <v>3220.6906932134739</v>
      </c>
      <c r="H39" s="100" t="n">
        <v>3248.7132285929556</v>
      </c>
      <c r="I39" t="n">
        <v>3275.7206226401404</v>
      </c>
      <c r="J39" t="n">
        <v>3302.7048675326673</v>
      </c>
      <c r="K39" t="n">
        <v>3330.8133080286152</v>
      </c>
      <c r="L39" t="n">
        <v>3358.5357118757793</v>
      </c>
    </row>
    <row r="40">
      <c r="B40" t="s">
        <v>199</v>
      </c>
      <c r="C40" t="s">
        <v>200</v>
      </c>
      <c r="D40" s="100" t="n">
        <v>92.635000000000005</v>
      </c>
      <c r="E40" s="100" t="n">
        <v>92.635000000000005</v>
      </c>
      <c r="F40" s="100" t="n">
        <v>99.733999999999995</v>
      </c>
      <c r="G40" s="100" t="n">
        <v>99.733999999999995</v>
      </c>
      <c r="H40" s="100" t="n">
        <v>91.712000000000003</v>
      </c>
      <c r="I40" t="n">
        <v>91.712000000000003</v>
      </c>
      <c r="J40" t="n">
        <v>96.051000000000002</v>
      </c>
      <c r="K40" t="n">
        <v>93.900999999999996</v>
      </c>
      <c r="L40" t="n">
        <v>93.900999999999996</v>
      </c>
    </row>
    <row r="41">
      <c r="B41" t="s">
        <v>201</v>
      </c>
      <c r="C41" t="s">
        <v>202</v>
      </c>
      <c r="D41" s="100" t="n">
        <v>1.365</v>
      </c>
      <c r="E41" s="100" t="n">
        <v>1.365</v>
      </c>
      <c r="F41" s="100" t="n">
        <v>-0.90100000000000025</v>
      </c>
      <c r="G41" s="100" t="n">
        <v>-0.90100000000000025</v>
      </c>
      <c r="H41" s="100" t="n">
        <v>-0.90100000000000025</v>
      </c>
      <c r="I41" t="n">
        <v>-0.90100000000000025</v>
      </c>
      <c r="J41" t="n">
        <v>-2.1500000000000004</v>
      </c>
      <c r="K41" t="n">
        <v>0</v>
      </c>
      <c r="L41" t="n">
        <v>0</v>
      </c>
    </row>
    <row r="42">
      <c r="B42" t="s">
        <v>203</v>
      </c>
      <c r="C42" t="s">
        <v>204</v>
      </c>
      <c r="D42" s="100" t="n">
        <v>0.19999999999999929</v>
      </c>
      <c r="E42" s="100" t="n">
        <v>0</v>
      </c>
      <c r="F42" s="100" t="n">
        <v>0</v>
      </c>
      <c r="G42" s="100" t="n">
        <v>0</v>
      </c>
      <c r="H42" s="100" t="n">
        <v>0</v>
      </c>
      <c r="I42" t="n">
        <v>0</v>
      </c>
      <c r="J42" t="n">
        <v>0</v>
      </c>
      <c r="K42" t="n">
        <v>0</v>
      </c>
      <c r="L42" t="n">
        <v>0</v>
      </c>
    </row>
    <row r="43">
      <c r="B43" t="s">
        <v>205</v>
      </c>
      <c r="C43" t="s">
        <v>206</v>
      </c>
      <c r="D43" s="100" t="n">
        <v>22.5</v>
      </c>
      <c r="E43" s="100" t="n">
        <v>22.5</v>
      </c>
      <c r="F43" s="100" t="n">
        <v>22.5</v>
      </c>
      <c r="G43" s="100" t="n">
        <v>22.5</v>
      </c>
      <c r="H43" s="100" t="n">
        <v>22.5</v>
      </c>
      <c r="I43" t="n">
        <v>22.5</v>
      </c>
      <c r="J43" t="n">
        <v>22.5</v>
      </c>
      <c r="K43" t="n">
        <v>22.5</v>
      </c>
      <c r="L43" t="n">
        <v>22.5</v>
      </c>
    </row>
    <row r="44">
      <c r="B44" t="s">
        <v>207</v>
      </c>
      <c r="C44" t="s">
        <v>208</v>
      </c>
      <c r="D44" s="100" t="n">
        <v>623</v>
      </c>
      <c r="E44" s="100" t="n">
        <v>625.34650158908801</v>
      </c>
      <c r="F44" s="100" t="n">
        <v>628.13224973035756</v>
      </c>
      <c r="G44" s="100" t="n">
        <v>630.93040761996144</v>
      </c>
      <c r="H44" s="100" t="n">
        <v>633.74103053994475</v>
      </c>
      <c r="I44" t="n">
        <v>636.56417401861881</v>
      </c>
      <c r="J44" t="n">
        <v>640.74049689325011</v>
      </c>
      <c r="K44" t="n">
        <v>644.94421947629257</v>
      </c>
      <c r="L44" t="n">
        <v>649.17552152971496</v>
      </c>
    </row>
    <row r="45">
      <c r="B45" t="s">
        <v>209</v>
      </c>
      <c r="C45" t="s">
        <v>210</v>
      </c>
      <c r="D45" s="100" t="n">
        <v>942.7</v>
      </c>
      <c r="E45" s="100" t="n">
        <v>946.2506373162654</v>
      </c>
      <c r="F45" s="100" t="n">
        <v>950.46592587609643</v>
      </c>
      <c r="G45" s="100" t="n">
        <v>954.69999239701076</v>
      </c>
      <c r="H45" s="100" t="n">
        <v>958.95292052970467</v>
      </c>
      <c r="I45" t="n">
        <v>963.22479429751525</v>
      </c>
      <c r="J45" t="n">
        <v>969.5442478672021</v>
      </c>
      <c r="K45" t="n">
        <v>975.90516163772247</v>
      </c>
      <c r="L45" t="n">
        <v>982.30780761807762</v>
      </c>
    </row>
    <row r="46">
      <c r="B46" t="s">
        <v>55</v>
      </c>
      <c r="C46" t="s">
        <v>211</v>
      </c>
      <c r="D46" s="100" t="n">
        <v>983.2</v>
      </c>
      <c r="E46" s="100" t="n">
        <v>1004.8913543635854</v>
      </c>
      <c r="F46" s="100" t="n">
        <v>1017.6261860902274</v>
      </c>
      <c r="G46" s="100" t="n">
        <v>1030.5224043572171</v>
      </c>
      <c r="H46" s="100" t="n">
        <v>1043.5820543910609</v>
      </c>
      <c r="I46" t="n">
        <v>1056.8072073371027</v>
      </c>
      <c r="J46" t="n">
        <v>1073.4409624197474</v>
      </c>
      <c r="K46" t="n">
        <v>1090.3365266632575</v>
      </c>
      <c r="L46" t="n">
        <v>1107.4980208471184</v>
      </c>
    </row>
    <row r="47">
      <c r="B47" t="s">
        <v>212</v>
      </c>
      <c r="C47" t="s">
        <v>213</v>
      </c>
      <c r="D47" s="100" t="n">
        <v>0</v>
      </c>
      <c r="E47" s="100" t="n">
        <v>0</v>
      </c>
      <c r="F47" s="100" t="n">
        <v>0</v>
      </c>
      <c r="G47" s="100" t="n">
        <v>0</v>
      </c>
      <c r="H47" s="100" t="n">
        <v>0</v>
      </c>
      <c r="I47" t="n">
        <v>0</v>
      </c>
      <c r="J47" t="n">
        <v>0</v>
      </c>
      <c r="K47" t="n">
        <v>0</v>
      </c>
      <c r="L47" t="n">
        <v>0</v>
      </c>
    </row>
    <row r="48">
      <c r="B48" t="s">
        <v>214</v>
      </c>
      <c r="C48" t="s">
        <v>215</v>
      </c>
      <c r="D48" s="100" t="n">
        <v>0</v>
      </c>
      <c r="E48" s="100" t="n">
        <v>0</v>
      </c>
      <c r="F48" s="100" t="n">
        <v>0</v>
      </c>
      <c r="G48" s="100" t="n">
        <v>0</v>
      </c>
      <c r="H48" s="100" t="n">
        <v>0</v>
      </c>
      <c r="I48" t="n">
        <v>0</v>
      </c>
      <c r="J48" t="n">
        <v>0</v>
      </c>
      <c r="K48" t="n">
        <v>0</v>
      </c>
      <c r="L48" t="n">
        <v>0</v>
      </c>
    </row>
    <row r="49">
      <c r="B49" t="s">
        <v>216</v>
      </c>
      <c r="C49" t="s">
        <v>217</v>
      </c>
      <c r="D49" s="100" t="n">
        <v>4.2219999999999995</v>
      </c>
      <c r="E49" s="100" t="n">
        <v>4.2219999999999995</v>
      </c>
      <c r="F49" s="100" t="n">
        <v>2.3719999999999999</v>
      </c>
      <c r="G49" s="100" t="n">
        <v>2.3719999999999999</v>
      </c>
      <c r="H49" s="100" t="n">
        <v>2.3719999999999999</v>
      </c>
      <c r="I49" t="n">
        <v>2.3719999999999999</v>
      </c>
      <c r="J49" t="n">
        <v>0.49</v>
      </c>
      <c r="K49" t="n">
        <v>0</v>
      </c>
      <c r="L49" t="n">
        <v>0</v>
      </c>
    </row>
    <row r="50">
      <c r="B50" t="s">
        <v>797</v>
      </c>
      <c r="C50" t="s">
        <v>219</v>
      </c>
      <c r="D50" s="100" t="n">
        <v>1.4790000000000001</v>
      </c>
      <c r="E50" s="100" t="n">
        <v>1.4790000000000001</v>
      </c>
      <c r="F50" s="100" t="n">
        <v>1.63</v>
      </c>
      <c r="G50" s="100" t="n">
        <v>1.63</v>
      </c>
      <c r="H50" s="100" t="n">
        <v>1.63</v>
      </c>
      <c r="I50" t="n">
        <v>1.63</v>
      </c>
      <c r="J50" t="n">
        <v>1.671</v>
      </c>
      <c r="K50" t="n">
        <v>0</v>
      </c>
      <c r="L50" t="n">
        <v>0</v>
      </c>
    </row>
    <row r="51">
      <c r="B51" t="s">
        <v>220</v>
      </c>
      <c r="C51" t="s">
        <v>221</v>
      </c>
      <c r="D51" s="100" t="n">
        <v>2069.3989999999999</v>
      </c>
      <c r="E51" s="100" t="n">
        <v>2076.3323333333333</v>
      </c>
      <c r="F51" s="100" t="n">
        <v>2084.7936666666669</v>
      </c>
      <c r="G51" s="100" t="n">
        <v>2126.5286675860002</v>
      </c>
      <c r="H51" s="100" t="n">
        <v>2133.4620009193336</v>
      </c>
      <c r="I51" t="n">
        <v>2140.395334252667</v>
      </c>
      <c r="J51" t="n">
        <v>2131.0896675860004</v>
      </c>
      <c r="K51" t="n">
        <v>2175.0289118598116</v>
      </c>
      <c r="L51" t="n">
        <v>2181.2342451931449</v>
      </c>
    </row>
    <row r="52">
      <c r="B52" t="s">
        <v>222</v>
      </c>
      <c r="C52" t="s">
        <v>223</v>
      </c>
      <c r="D52" s="100" t="n">
        <v>199.52477289205825</v>
      </c>
      <c r="E52" s="100" t="n">
        <v>202.80426544959073</v>
      </c>
      <c r="F52" s="100" t="n">
        <v>206.137661446175</v>
      </c>
      <c r="G52" s="100" t="n">
        <v>209.52584686666717</v>
      </c>
      <c r="H52" s="100" t="n">
        <v>212.9697222584295</v>
      </c>
      <c r="I52" t="n">
        <v>216.47020297068735</v>
      </c>
      <c r="J52" t="n">
        <v>220.02821939782032</v>
      </c>
      <c r="K52" t="n">
        <v>223.64471722665206</v>
      </c>
      <c r="L52" t="n">
        <v>227.32065768780498</v>
      </c>
    </row>
    <row r="53">
      <c r="B53" t="s">
        <v>224</v>
      </c>
      <c r="C53" t="s">
        <v>225</v>
      </c>
      <c r="D53" s="100" t="n">
        <v>4433.3999999999996</v>
      </c>
      <c r="E53" s="100" t="n">
        <v>4489.7713883870456</v>
      </c>
      <c r="F53" s="100" t="n">
        <v>4538.5469751658384</v>
      </c>
      <c r="G53" s="100" t="n">
        <v>4612.4270713244514</v>
      </c>
      <c r="H53" s="100" t="n">
        <v>4644.0864887445623</v>
      </c>
      <c r="I53" t="n">
        <v>4675.9902837778927</v>
      </c>
      <c r="J53" t="n">
        <v>4708.1405975032039</v>
      </c>
      <c r="K53" t="n">
        <v>4791.4510358579109</v>
      </c>
      <c r="L53" t="n">
        <v>4824.3535656118838</v>
      </c>
    </row>
    <row r="54">
      <c r="B54" t="s">
        <v>226</v>
      </c>
      <c r="C54" t="s">
        <v>227</v>
      </c>
      <c r="D54" s="100" t="n">
        <v>2334.8000000000002</v>
      </c>
      <c r="E54" s="100" t="n">
        <v>2370.4934691362682</v>
      </c>
      <c r="F54" s="100" t="n">
        <v>2394.4737296945541</v>
      </c>
      <c r="G54" s="100" t="n">
        <v>2419.1819686234739</v>
      </c>
      <c r="H54" s="100" t="n">
        <v>2443.8279877221571</v>
      </c>
      <c r="I54" t="n">
        <v>2467.5122332493233</v>
      </c>
      <c r="J54" t="n">
        <v>2490.887019004148</v>
      </c>
      <c r="K54" t="n">
        <v>2511.8002577188468</v>
      </c>
      <c r="L54" t="n">
        <v>2533.5609851387253</v>
      </c>
    </row>
    <row r="55">
      <c r="B55" t="s">
        <v>228</v>
      </c>
      <c r="C55" t="s">
        <v>229</v>
      </c>
      <c r="D55" s="100" t="n">
        <v>470.1</v>
      </c>
      <c r="E55" s="100" t="n">
        <v>481.67610036716962</v>
      </c>
      <c r="F55" s="100" t="n">
        <v>491.34941698295808</v>
      </c>
      <c r="G55" s="100" t="n">
        <v>501.21699911094026</v>
      </c>
      <c r="H55" s="100" t="n">
        <v>511.28274811098333</v>
      </c>
      <c r="I55" t="n">
        <v>521.55064369247032</v>
      </c>
      <c r="J55" t="n">
        <v>520.23365660978743</v>
      </c>
      <c r="K55" t="n">
        <v>518.91999510055928</v>
      </c>
      <c r="L55" t="n">
        <v>517.60965076725563</v>
      </c>
    </row>
    <row r="56">
      <c r="B56" t="s">
        <v>230</v>
      </c>
      <c r="C56" s="85" t="s">
        <v>231</v>
      </c>
      <c r="D56" s="100" t="n">
        <v>162.69999999999999</v>
      </c>
      <c r="E56" s="100" t="n">
        <v>164.47905347684949</v>
      </c>
      <c r="F56" s="100" t="n">
        <v>165.71883136852895</v>
      </c>
      <c r="G56" s="100" t="n">
        <v>167.23658636596619</v>
      </c>
      <c r="H56" s="100" t="n">
        <v>168.74878182128822</v>
      </c>
      <c r="I56" t="n">
        <v>169.71058260720997</v>
      </c>
      <c r="J56" t="n">
        <v>169.79397573893729</v>
      </c>
      <c r="K56" t="n">
        <v>169.04899709550656</v>
      </c>
      <c r="L56" t="n">
        <v>168.92668716897319</v>
      </c>
    </row>
    <row r="57">
      <c r="B57" s="85" t="s">
        <v>1385</v>
      </c>
      <c r="C57" s="85" t="s">
        <v>1384</v>
      </c>
      <c r="D57" s="100" t="n">
        <v>2.6040450000000002</v>
      </c>
      <c r="E57" s="100" t="n">
        <v>2.626465</v>
      </c>
      <c r="F57" s="100" t="n">
        <v>2.6498349999999999</v>
      </c>
      <c r="G57" s="100" t="n">
        <v>2.6454420000000001</v>
      </c>
      <c r="H57" s="100" t="n">
        <v>2.6696</v>
      </c>
      <c r="I57" t="n">
        <v>2.693006</v>
      </c>
      <c r="J57" t="n">
        <v>2.7175400000000001</v>
      </c>
      <c r="K57" t="n">
        <v>2.7175400000000001</v>
      </c>
      <c r="L57" t="n">
        <v>2.7175400000000001</v>
      </c>
    </row>
    <row r="58">
      <c r="B58" s="85"/>
      <c r="C58" s="85"/>
      <c r="D58" s="100"/>
      <c r="E58" s="100"/>
      <c r="F58" s="100"/>
      <c r="G58" s="100"/>
    </row>
    <row r="59">
      <c r="B59" s="105" t="s">
        <v>1897</v>
      </c>
      <c r="C59" s="85"/>
    </row>
    <row r="60">
      <c r="B60" s="85" t="s">
        <v>1710</v>
      </c>
      <c r="C60" s="85"/>
      <c r="D60" s="106" t="n">
        <v>2.5174782394791206E-2</v>
      </c>
      <c r="E60" s="106" t="n">
        <v>2.2474645472145172E-2</v>
      </c>
      <c r="F60" s="106" t="n">
        <v>2.0485836297992499E-2</v>
      </c>
      <c r="G60" s="106" t="n">
        <v>2.1796033645922641E-2</v>
      </c>
      <c r="H60" s="101" t="n">
        <v>2.1576747995004641E-2</v>
      </c>
      <c r="I60" s="101" t="n">
        <v>2.0708760783051394E-2</v>
      </c>
      <c r="J60" s="101" t="n">
        <v>2.0110814282412459E-2</v>
      </c>
      <c r="K60" t="n">
        <v>1.9760549063349009E-2</v>
      </c>
      <c r="L60" t="n">
        <v>1.9516602813602013E-2</v>
      </c>
    </row>
    <row r="61">
      <c r="B61" s="85" t="s">
        <v>1711</v>
      </c>
      <c r="C61" s="85"/>
      <c r="D61" s="106" t="n">
        <v>2.9112295464471361E-2</v>
      </c>
      <c r="E61" s="106" t="n">
        <v>2.5505871693797699E-2</v>
      </c>
      <c r="F61" s="106" t="n">
        <v>2.3438723088733626E-2</v>
      </c>
      <c r="G61" s="106" t="n">
        <v>2.2377163912874476E-2</v>
      </c>
      <c r="H61" s="101" t="n">
        <v>2.1576747995004641E-2</v>
      </c>
      <c r="I61" s="101" t="n">
        <v>2.0708760783051394E-2</v>
      </c>
      <c r="J61" s="101" t="n">
        <v>2.0110814282412459E-2</v>
      </c>
      <c r="K61" t="n">
        <v>1.9760549063349009E-2</v>
      </c>
      <c r="L61" t="n">
        <v>1.9516602813602013E-2</v>
      </c>
    </row>
    <row r="62">
      <c r="B62" s="85" t="s">
        <v>1712</v>
      </c>
      <c r="C62" s="85"/>
      <c r="D62" s="106" t="n">
        <v>1.680091994223365E-2</v>
      </c>
      <c r="E62" s="106" t="n">
        <v>2.2724337980433162E-2</v>
      </c>
      <c r="F62" s="106" t="n">
        <v>2.1533565330379201E-2</v>
      </c>
      <c r="G62" s="106" t="n">
        <v>2.3821649071183115E-2</v>
      </c>
      <c r="H62" s="101" t="n">
        <v>0</v>
      </c>
      <c r="I62" s="101" t="n">
        <v>0</v>
      </c>
      <c r="J62" s="101" t="n">
        <v>0</v>
      </c>
      <c r="K62" t="n">
        <v>0</v>
      </c>
      <c r="L62" t="n">
        <v>0</v>
      </c>
    </row>
    <row r="63">
      <c r="B63" s="85" t="s">
        <v>1713</v>
      </c>
      <c r="C63" s="85"/>
      <c r="D63" s="106" t="n">
        <v>2.0014336228912244E-2</v>
      </c>
      <c r="E63" s="106" t="n">
        <v>2.2724337980433162E-2</v>
      </c>
      <c r="F63" s="106" t="n">
        <v>2.1533565330379201E-2</v>
      </c>
      <c r="G63" s="106" t="n">
        <v>2.3821649071183115E-2</v>
      </c>
      <c r="H63" s="101" t="n">
        <v>2.1708971853545922E-2</v>
      </c>
      <c r="I63" s="101" t="n">
        <v>2.1471980846518912E-2</v>
      </c>
      <c r="J63" s="101" t="n">
        <v>2.1530345294352937E-2</v>
      </c>
      <c r="K63" t="n">
        <v>1.5936865457563565E-2</v>
      </c>
      <c r="L63" t="n">
        <v>1.6813069627471089E-2</v>
      </c>
    </row>
    <row r="64">
      <c r="B64" s="85" t="s">
        <v>1714</v>
      </c>
      <c r="C64" s="85"/>
      <c r="D64" s="106" t="n">
        <v>3.6501030492672726E-3</v>
      </c>
      <c r="E64" s="106" t="n">
        <v>2.2724337980433162E-2</v>
      </c>
      <c r="F64" s="106" t="n">
        <v>2.1533565330379201E-2</v>
      </c>
      <c r="G64" s="106" t="n">
        <v>2.3821649071183115E-2</v>
      </c>
      <c r="H64" s="101" t="n">
        <v>2.3493967451795994E-2</v>
      </c>
      <c r="I64" s="101" t="n">
        <v>2.3095343044312822E-2</v>
      </c>
      <c r="J64" s="101" t="n">
        <v>2.2877364391311605E-2</v>
      </c>
      <c r="K64" t="n">
        <v>2.2926764441147718E-2</v>
      </c>
      <c r="L64" t="n">
        <v>2.3049272742582838E-2</v>
      </c>
    </row>
    <row r="65">
      <c r="D65" s="104"/>
      <c r="E65" s="104"/>
      <c r="F65" s="104"/>
      <c r="G65" s="104"/>
    </row>
    <row r="66">
      <c r="B66" s="99" t="s">
        <v>232</v>
      </c>
      <c r="C66" s="99"/>
      <c r="D66" s="99"/>
      <c r="E66" s="99"/>
      <c r="F66" s="99"/>
      <c r="G66" s="99"/>
      <c r="H66" s="99"/>
      <c r="I66" s="99"/>
      <c r="J66" s="99"/>
      <c r="K66" s="99"/>
      <c r="L66" s="99"/>
    </row>
    <row r="67">
      <c r="B67" t="s">
        <v>178</v>
      </c>
      <c r="C67" t="s">
        <v>179</v>
      </c>
      <c r="D67" t="s">
        <v>191</v>
      </c>
      <c r="E67" t="s">
        <v>175</v>
      </c>
      <c r="F67" t="s">
        <v>176</v>
      </c>
      <c r="G67" t="s">
        <v>177</v>
      </c>
      <c r="H67" t="s">
        <v>765</v>
      </c>
      <c r="I67" t="s">
        <v>766</v>
      </c>
      <c r="J67" t="s">
        <v>767</v>
      </c>
      <c r="K67" t="s">
        <v>1157</v>
      </c>
      <c r="L67" t="s">
        <v>1158</v>
      </c>
    </row>
    <row r="68">
      <c r="B68" s="85" t="s">
        <v>192</v>
      </c>
      <c r="C68" s="85" t="s">
        <v>193</v>
      </c>
      <c r="D68" s="100" t="n">
        <f t="shared" ref="D68:G68" si="0">D4-D36</f>
        <v>0</v>
      </c>
      <c r="E68" s="100" t="n">
        <f t="shared" si="0"/>
        <v>0</v>
      </c>
      <c r="F68" s="100" t="n">
        <f t="shared" si="0"/>
        <v>0</v>
      </c>
      <c r="G68" s="100" t="n">
        <f t="shared" si="0"/>
        <v>0</v>
      </c>
      <c r="H68" s="100" t="n">
        <f t="shared" ref="H68:L68" si="1">H4-H36</f>
        <v>0</v>
      </c>
      <c r="I68" s="100" t="n">
        <f t="shared" si="1"/>
        <v>0</v>
      </c>
      <c r="J68" s="100" t="n">
        <f t="shared" si="1"/>
        <v>0</v>
      </c>
      <c r="K68" s="100" t="n">
        <f t="shared" si="1"/>
        <v>0</v>
      </c>
      <c r="L68" s="100" t="n">
        <f t="shared" si="1"/>
        <v>0</v>
      </c>
    </row>
    <row r="69">
      <c r="B69" s="85" t="s">
        <v>134</v>
      </c>
      <c r="C69" s="85" t="s">
        <v>194</v>
      </c>
      <c r="D69" s="100" t="n">
        <f t="shared" ref="D69:G69" si="2">D5-D37</f>
        <v>0</v>
      </c>
      <c r="E69" s="100" t="n">
        <f t="shared" si="2"/>
        <v>0</v>
      </c>
      <c r="F69" s="100" t="n">
        <f t="shared" si="2"/>
        <v>0</v>
      </c>
      <c r="G69" s="100" t="n">
        <f t="shared" si="2"/>
        <v>0</v>
      </c>
      <c r="H69" s="100" t="n">
        <f t="shared" ref="H69:L69" si="3">H5-H37</f>
        <v>0</v>
      </c>
      <c r="I69" s="100" t="n">
        <f t="shared" si="3"/>
        <v>0</v>
      </c>
      <c r="J69" s="100" t="n">
        <f t="shared" si="3"/>
        <v>0</v>
      </c>
      <c r="K69" s="100" t="n">
        <f t="shared" si="3"/>
        <v>0</v>
      </c>
      <c r="L69" s="100" t="n">
        <f t="shared" si="3"/>
        <v>0</v>
      </c>
    </row>
    <row r="70">
      <c r="B70" s="85" t="s">
        <v>195</v>
      </c>
      <c r="C70" s="85" t="s">
        <v>196</v>
      </c>
      <c r="D70" s="100" t="n">
        <f>D6-D38</f>
        <v>0</v>
      </c>
      <c r="E70" s="100" t="n">
        <f t="shared" ref="E70:G70" si="4">E6-E38</f>
        <v>0</v>
      </c>
      <c r="F70" s="100" t="n">
        <f t="shared" si="4"/>
        <v>0</v>
      </c>
      <c r="G70" s="100" t="n">
        <f t="shared" si="4"/>
        <v>0</v>
      </c>
      <c r="H70" s="100" t="n">
        <f t="shared" ref="H70:L70" si="5">H6-H38</f>
        <v>0</v>
      </c>
      <c r="I70" s="100" t="n">
        <f t="shared" si="5"/>
        <v>0</v>
      </c>
      <c r="J70" s="100" t="n">
        <f t="shared" si="5"/>
        <v>0</v>
      </c>
      <c r="K70" s="100" t="n">
        <f t="shared" si="5"/>
        <v>0</v>
      </c>
      <c r="L70" s="100" t="n">
        <f t="shared" si="5"/>
        <v>0</v>
      </c>
    </row>
    <row r="71">
      <c r="B71" s="85" t="s">
        <v>197</v>
      </c>
      <c r="C71" s="85" t="s">
        <v>198</v>
      </c>
      <c r="D71" s="100" t="n">
        <f t="shared" ref="D71:G71" si="6">D7-D39</f>
        <v>0</v>
      </c>
      <c r="E71" s="100" t="n">
        <f t="shared" si="6"/>
        <v>0</v>
      </c>
      <c r="F71" s="100" t="n">
        <f t="shared" si="6"/>
        <v>0</v>
      </c>
      <c r="G71" s="100" t="n">
        <f t="shared" si="6"/>
        <v>0</v>
      </c>
      <c r="H71" s="100" t="n">
        <f t="shared" ref="H71:L71" si="7">H7-H39</f>
        <v>0</v>
      </c>
      <c r="I71" s="100" t="n">
        <f t="shared" si="7"/>
        <v>0</v>
      </c>
      <c r="J71" s="100" t="n">
        <f t="shared" si="7"/>
        <v>0</v>
      </c>
      <c r="K71" s="100" t="n">
        <f t="shared" si="7"/>
        <v>0</v>
      </c>
      <c r="L71" s="100" t="n">
        <f t="shared" si="7"/>
        <v>0</v>
      </c>
    </row>
    <row r="72">
      <c r="B72" s="85" t="s">
        <v>199</v>
      </c>
      <c r="C72" s="85" t="s">
        <v>200</v>
      </c>
      <c r="D72" s="100" t="n">
        <f t="shared" ref="D72:G72" si="8">D8-D40</f>
        <v>0</v>
      </c>
      <c r="E72" s="100" t="n">
        <f t="shared" si="8"/>
        <v>0</v>
      </c>
      <c r="F72" s="100" t="n">
        <f t="shared" si="8"/>
        <v>0</v>
      </c>
      <c r="G72" s="100" t="n">
        <f t="shared" si="8"/>
        <v>0</v>
      </c>
      <c r="H72" s="100" t="n">
        <f t="shared" ref="H72:L72" si="9">H8-H40</f>
        <v>0</v>
      </c>
      <c r="I72" s="100" t="n">
        <f t="shared" si="9"/>
        <v>0</v>
      </c>
      <c r="J72" s="100" t="n">
        <f t="shared" si="9"/>
        <v>0</v>
      </c>
      <c r="K72" s="100" t="n">
        <f t="shared" si="9"/>
        <v>0</v>
      </c>
      <c r="L72" s="100" t="n">
        <f t="shared" si="9"/>
        <v>0</v>
      </c>
    </row>
    <row r="73">
      <c r="B73" s="85" t="s">
        <v>201</v>
      </c>
      <c r="C73" s="85" t="s">
        <v>202</v>
      </c>
      <c r="D73" s="100" t="n">
        <f t="shared" ref="D73:G73" si="10">D9-D41</f>
        <v>0</v>
      </c>
      <c r="E73" s="100" t="n">
        <f t="shared" si="10"/>
        <v>0</v>
      </c>
      <c r="F73" s="100" t="n">
        <f t="shared" si="10"/>
        <v>0</v>
      </c>
      <c r="G73" s="100" t="n">
        <f t="shared" si="10"/>
        <v>0</v>
      </c>
      <c r="H73" s="100" t="n">
        <f t="shared" ref="H73:L73" si="11">H9-H41</f>
        <v>0</v>
      </c>
      <c r="I73" s="100" t="n">
        <f t="shared" si="11"/>
        <v>0</v>
      </c>
      <c r="J73" s="100" t="n">
        <f t="shared" si="11"/>
        <v>0</v>
      </c>
      <c r="K73" s="100" t="n">
        <f t="shared" si="11"/>
        <v>0</v>
      </c>
      <c r="L73" s="100" t="n">
        <f t="shared" si="11"/>
        <v>0</v>
      </c>
    </row>
    <row r="74">
      <c r="B74" s="85" t="s">
        <v>203</v>
      </c>
      <c r="C74" s="85" t="s">
        <v>204</v>
      </c>
      <c r="D74" s="100" t="n">
        <f t="shared" ref="D74:G74" si="12">D10-D42</f>
        <v>0</v>
      </c>
      <c r="E74" s="100" t="n">
        <f t="shared" si="12"/>
        <v>0</v>
      </c>
      <c r="F74" s="100" t="n">
        <f t="shared" si="12"/>
        <v>0</v>
      </c>
      <c r="G74" s="100" t="n">
        <f t="shared" si="12"/>
        <v>0</v>
      </c>
      <c r="H74" s="100" t="n">
        <f t="shared" ref="H74:L74" si="13">H10-H42</f>
        <v>0</v>
      </c>
      <c r="I74" s="100" t="n">
        <f t="shared" si="13"/>
        <v>0</v>
      </c>
      <c r="J74" s="100" t="n">
        <f t="shared" si="13"/>
        <v>0</v>
      </c>
      <c r="K74" s="100" t="n">
        <f t="shared" si="13"/>
        <v>0</v>
      </c>
      <c r="L74" s="100" t="n">
        <f t="shared" si="13"/>
        <v>0</v>
      </c>
    </row>
    <row r="75">
      <c r="B75" s="85" t="s">
        <v>205</v>
      </c>
      <c r="C75" s="85" t="s">
        <v>206</v>
      </c>
      <c r="D75" s="100" t="n">
        <f t="shared" ref="D75:G75" si="14">D11-D43</f>
        <v>0</v>
      </c>
      <c r="E75" s="100" t="n">
        <f t="shared" si="14"/>
        <v>0</v>
      </c>
      <c r="F75" s="100" t="n">
        <f t="shared" si="14"/>
        <v>0</v>
      </c>
      <c r="G75" s="100" t="n">
        <f t="shared" si="14"/>
        <v>0</v>
      </c>
      <c r="H75" s="100" t="n">
        <f t="shared" ref="H75:L75" si="15">H11-H43</f>
        <v>0</v>
      </c>
      <c r="I75" s="100" t="n">
        <f t="shared" si="15"/>
        <v>0</v>
      </c>
      <c r="J75" s="100" t="n">
        <f t="shared" si="15"/>
        <v>0</v>
      </c>
      <c r="K75" s="100" t="n">
        <f t="shared" si="15"/>
        <v>0</v>
      </c>
      <c r="L75" s="100" t="n">
        <f t="shared" si="15"/>
        <v>0</v>
      </c>
    </row>
    <row r="76">
      <c r="B76" s="85" t="s">
        <v>207</v>
      </c>
      <c r="C76" s="85" t="s">
        <v>208</v>
      </c>
      <c r="D76" s="100" t="n">
        <f t="shared" ref="D76:G76" si="16">D12-D44</f>
        <v>0</v>
      </c>
      <c r="E76" s="100" t="n">
        <f t="shared" si="16"/>
        <v>0</v>
      </c>
      <c r="F76" s="100" t="n">
        <f t="shared" si="16"/>
        <v>0</v>
      </c>
      <c r="G76" s="100" t="n">
        <f t="shared" si="16"/>
        <v>0</v>
      </c>
      <c r="H76" s="100" t="n">
        <f t="shared" ref="H76:L76" si="17">H12-H44</f>
        <v>0</v>
      </c>
      <c r="I76" s="100" t="n">
        <f t="shared" si="17"/>
        <v>0</v>
      </c>
      <c r="J76" s="100" t="n">
        <f t="shared" si="17"/>
        <v>0</v>
      </c>
      <c r="K76" s="100" t="n">
        <f t="shared" si="17"/>
        <v>0</v>
      </c>
      <c r="L76" s="100" t="n">
        <f t="shared" si="17"/>
        <v>0</v>
      </c>
    </row>
    <row r="77">
      <c r="B77" s="85" t="s">
        <v>209</v>
      </c>
      <c r="C77" s="85" t="s">
        <v>210</v>
      </c>
      <c r="D77" s="100" t="n">
        <f t="shared" ref="D77:G77" si="18">D13-D45</f>
        <v>0</v>
      </c>
      <c r="E77" s="100" t="n">
        <f t="shared" si="18"/>
        <v>0</v>
      </c>
      <c r="F77" s="100" t="n">
        <f t="shared" si="18"/>
        <v>0</v>
      </c>
      <c r="G77" s="100" t="n">
        <f t="shared" si="18"/>
        <v>0</v>
      </c>
      <c r="H77" s="100" t="n">
        <f t="shared" ref="H77:L77" si="19">H13-H45</f>
        <v>0</v>
      </c>
      <c r="I77" s="100" t="n">
        <f t="shared" si="19"/>
        <v>0</v>
      </c>
      <c r="J77" s="100" t="n">
        <f t="shared" si="19"/>
        <v>0</v>
      </c>
      <c r="K77" s="100" t="n">
        <f t="shared" si="19"/>
        <v>0</v>
      </c>
      <c r="L77" s="100" t="n">
        <f t="shared" si="19"/>
        <v>0</v>
      </c>
    </row>
    <row r="78">
      <c r="B78" s="85" t="s">
        <v>55</v>
      </c>
      <c r="C78" s="85" t="s">
        <v>211</v>
      </c>
      <c r="D78" s="100" t="n">
        <f t="shared" ref="D78:G78" si="20">D14-D46</f>
        <v>0</v>
      </c>
      <c r="E78" s="100" t="n">
        <f t="shared" si="20"/>
        <v>0</v>
      </c>
      <c r="F78" s="100" t="n">
        <f t="shared" si="20"/>
        <v>0</v>
      </c>
      <c r="G78" s="100" t="n">
        <f t="shared" si="20"/>
        <v>0</v>
      </c>
      <c r="H78" s="100" t="n">
        <f t="shared" ref="H78:L78" si="21">H14-H46</f>
        <v>0</v>
      </c>
      <c r="I78" s="100" t="n">
        <f t="shared" si="21"/>
        <v>0</v>
      </c>
      <c r="J78" s="100" t="n">
        <f t="shared" si="21"/>
        <v>0</v>
      </c>
      <c r="K78" s="100" t="n">
        <f t="shared" si="21"/>
        <v>0</v>
      </c>
      <c r="L78" s="100" t="n">
        <f t="shared" si="21"/>
        <v>0</v>
      </c>
    </row>
    <row r="79">
      <c r="B79" s="85" t="s">
        <v>212</v>
      </c>
      <c r="C79" s="85" t="s">
        <v>213</v>
      </c>
      <c r="D79" s="100" t="n">
        <f t="shared" ref="D79:G79" si="22">D15-D47</f>
        <v>0</v>
      </c>
      <c r="E79" s="100" t="n">
        <f t="shared" si="22"/>
        <v>0</v>
      </c>
      <c r="F79" s="100" t="n">
        <f t="shared" si="22"/>
        <v>0</v>
      </c>
      <c r="G79" s="100" t="n">
        <f t="shared" si="22"/>
        <v>0</v>
      </c>
      <c r="H79" s="100" t="n">
        <f t="shared" ref="H79:L79" si="23">H15-H47</f>
        <v>0</v>
      </c>
      <c r="I79" s="100" t="n">
        <f t="shared" si="23"/>
        <v>0</v>
      </c>
      <c r="J79" s="100" t="n">
        <f t="shared" si="23"/>
        <v>0</v>
      </c>
      <c r="K79" s="100" t="n">
        <f t="shared" si="23"/>
        <v>0</v>
      </c>
      <c r="L79" s="100" t="n">
        <f t="shared" si="23"/>
        <v>0</v>
      </c>
    </row>
    <row r="80">
      <c r="B80" s="85" t="s">
        <v>214</v>
      </c>
      <c r="C80" s="85" t="s">
        <v>215</v>
      </c>
      <c r="D80" s="100" t="n">
        <f t="shared" ref="D80:G80" si="24">D16-D48</f>
        <v>0</v>
      </c>
      <c r="E80" s="100" t="n">
        <f t="shared" si="24"/>
        <v>0</v>
      </c>
      <c r="F80" s="100" t="n">
        <f t="shared" si="24"/>
        <v>0</v>
      </c>
      <c r="G80" s="100" t="n">
        <f t="shared" si="24"/>
        <v>0</v>
      </c>
      <c r="H80" s="100" t="n">
        <f t="shared" ref="H80:L80" si="25">H16-H48</f>
        <v>0</v>
      </c>
      <c r="I80" s="100" t="n">
        <f t="shared" si="25"/>
        <v>0</v>
      </c>
      <c r="J80" s="100" t="n">
        <f t="shared" si="25"/>
        <v>0</v>
      </c>
      <c r="K80" s="100" t="n">
        <f t="shared" si="25"/>
        <v>0</v>
      </c>
      <c r="L80" s="100" t="n">
        <f t="shared" si="25"/>
        <v>0</v>
      </c>
    </row>
    <row r="81">
      <c r="B81" s="85" t="s">
        <v>216</v>
      </c>
      <c r="C81" s="85" t="s">
        <v>217</v>
      </c>
      <c r="D81" s="100" t="n">
        <f t="shared" ref="D81:G81" si="26">D17-D49</f>
        <v>0</v>
      </c>
      <c r="E81" s="100" t="n">
        <f t="shared" si="26"/>
        <v>0</v>
      </c>
      <c r="F81" s="100" t="n">
        <f t="shared" si="26"/>
        <v>0</v>
      </c>
      <c r="G81" s="100" t="n">
        <f t="shared" si="26"/>
        <v>0</v>
      </c>
      <c r="H81" s="100" t="n">
        <f t="shared" ref="H81:L81" si="27">H17-H49</f>
        <v>0</v>
      </c>
      <c r="I81" s="100" t="n">
        <f t="shared" si="27"/>
        <v>0</v>
      </c>
      <c r="J81" s="100" t="n">
        <f t="shared" si="27"/>
        <v>0</v>
      </c>
      <c r="K81" s="100" t="n">
        <f t="shared" si="27"/>
        <v>0</v>
      </c>
      <c r="L81" s="100" t="n">
        <f t="shared" si="27"/>
        <v>0</v>
      </c>
    </row>
    <row r="82">
      <c r="B82" s="85" t="s">
        <v>822</v>
      </c>
      <c r="C82" s="85" t="s">
        <v>219</v>
      </c>
      <c r="D82" s="100" t="n">
        <f t="shared" ref="D82:G82" si="28">D18-D50</f>
        <v>0</v>
      </c>
      <c r="E82" s="100" t="n">
        <f t="shared" si="28"/>
        <v>0</v>
      </c>
      <c r="F82" s="100" t="n">
        <f t="shared" si="28"/>
        <v>0</v>
      </c>
      <c r="G82" s="100" t="n">
        <f t="shared" si="28"/>
        <v>0</v>
      </c>
      <c r="H82" s="100" t="n">
        <f t="shared" ref="H82:L82" si="29">H18-H50</f>
        <v>0</v>
      </c>
      <c r="I82" s="100" t="n">
        <f t="shared" si="29"/>
        <v>0</v>
      </c>
      <c r="J82" s="100" t="n">
        <f t="shared" si="29"/>
        <v>0</v>
      </c>
      <c r="K82" s="100" t="n">
        <f t="shared" si="29"/>
        <v>0</v>
      </c>
      <c r="L82" s="100" t="n">
        <f t="shared" si="29"/>
        <v>0</v>
      </c>
    </row>
    <row r="83">
      <c r="B83" s="85" t="s">
        <v>220</v>
      </c>
      <c r="C83" s="85" t="s">
        <v>221</v>
      </c>
      <c r="D83" s="100" t="n">
        <f t="shared" ref="D83:G83" si="30">D19-D51</f>
        <v>0</v>
      </c>
      <c r="E83" s="100" t="n">
        <f t="shared" si="30"/>
        <v>0</v>
      </c>
      <c r="F83" s="100" t="n">
        <f t="shared" si="30"/>
        <v>0</v>
      </c>
      <c r="G83" s="100" t="n">
        <f t="shared" si="30"/>
        <v>0</v>
      </c>
      <c r="H83" s="100" t="n">
        <f t="shared" ref="H83:L83" si="31">H19-H51</f>
        <v>0</v>
      </c>
      <c r="I83" s="100" t="n">
        <f t="shared" si="31"/>
        <v>0</v>
      </c>
      <c r="J83" s="100" t="n">
        <f t="shared" si="31"/>
        <v>0</v>
      </c>
      <c r="K83" s="100" t="n">
        <f t="shared" si="31"/>
        <v>0</v>
      </c>
      <c r="L83" s="100" t="n">
        <f t="shared" si="31"/>
        <v>0</v>
      </c>
    </row>
    <row r="84">
      <c r="B84" s="85" t="s">
        <v>222</v>
      </c>
      <c r="C84" s="85" t="s">
        <v>223</v>
      </c>
      <c r="D84" s="100" t="n">
        <f t="shared" ref="D84:G84" si="32">D20-D52</f>
        <v>0</v>
      </c>
      <c r="E84" s="100" t="n">
        <f t="shared" si="32"/>
        <v>0</v>
      </c>
      <c r="F84" s="100" t="n">
        <f t="shared" si="32"/>
        <v>0</v>
      </c>
      <c r="G84" s="100" t="n">
        <f t="shared" si="32"/>
        <v>0</v>
      </c>
      <c r="H84" s="100" t="n">
        <f t="shared" ref="H84:L84" si="33">H20-H52</f>
        <v>0</v>
      </c>
      <c r="I84" s="100" t="n">
        <f t="shared" si="33"/>
        <v>0</v>
      </c>
      <c r="J84" s="100" t="n">
        <f t="shared" si="33"/>
        <v>0</v>
      </c>
      <c r="K84" s="100" t="n">
        <f t="shared" si="33"/>
        <v>0</v>
      </c>
      <c r="L84" s="100" t="n">
        <f t="shared" si="33"/>
        <v>0</v>
      </c>
    </row>
    <row r="85">
      <c r="B85" s="85" t="s">
        <v>224</v>
      </c>
      <c r="C85" s="85" t="s">
        <v>225</v>
      </c>
      <c r="D85" s="100" t="n">
        <f t="shared" ref="D85:G85" si="34">D21-D53</f>
        <v>0</v>
      </c>
      <c r="E85" s="100" t="n">
        <f t="shared" si="34"/>
        <v>0</v>
      </c>
      <c r="F85" s="100" t="n">
        <f t="shared" si="34"/>
        <v>0</v>
      </c>
      <c r="G85" s="100" t="n">
        <f t="shared" si="34"/>
        <v>0</v>
      </c>
      <c r="H85" s="100" t="n">
        <f t="shared" ref="H85:L85" si="35">H21-H53</f>
        <v>0</v>
      </c>
      <c r="I85" s="100" t="n">
        <f t="shared" si="35"/>
        <v>0</v>
      </c>
      <c r="J85" s="100" t="n">
        <f t="shared" si="35"/>
        <v>0</v>
      </c>
      <c r="K85" s="100" t="n">
        <f t="shared" si="35"/>
        <v>0</v>
      </c>
      <c r="L85" s="100" t="n">
        <f t="shared" si="35"/>
        <v>0</v>
      </c>
      <c r="M85" s="103"/>
      <c r="N85" s="103"/>
      <c r="O85" s="103"/>
    </row>
    <row r="86">
      <c r="B86" s="85" t="s">
        <v>226</v>
      </c>
      <c r="C86" s="85" t="s">
        <v>227</v>
      </c>
      <c r="D86" s="100" t="n">
        <f t="shared" ref="D86:G86" si="36">D22-D54</f>
        <v>0</v>
      </c>
      <c r="E86" s="100" t="n">
        <f t="shared" si="36"/>
        <v>0</v>
      </c>
      <c r="F86" s="100" t="n">
        <f t="shared" si="36"/>
        <v>0</v>
      </c>
      <c r="G86" s="100" t="n">
        <f t="shared" si="36"/>
        <v>0</v>
      </c>
      <c r="H86" s="100" t="n">
        <f t="shared" ref="H86:L86" si="37">H22-H54</f>
        <v>0</v>
      </c>
      <c r="I86" s="100" t="n">
        <f t="shared" si="37"/>
        <v>0</v>
      </c>
      <c r="J86" s="100" t="n">
        <f t="shared" si="37"/>
        <v>0</v>
      </c>
      <c r="K86" s="100" t="n">
        <f t="shared" si="37"/>
        <v>0</v>
      </c>
      <c r="L86" s="100" t="n">
        <f t="shared" si="37"/>
        <v>0</v>
      </c>
    </row>
    <row r="87">
      <c r="B87" s="85" t="s">
        <v>228</v>
      </c>
      <c r="C87" s="85" t="s">
        <v>229</v>
      </c>
      <c r="D87" s="100" t="n">
        <f t="shared" ref="D87:G87" si="38">D23-D55</f>
        <v>0</v>
      </c>
      <c r="E87" s="100" t="n">
        <f t="shared" si="38"/>
        <v>0</v>
      </c>
      <c r="F87" s="100" t="n">
        <f t="shared" si="38"/>
        <v>0</v>
      </c>
      <c r="G87" s="100" t="n">
        <f t="shared" si="38"/>
        <v>0</v>
      </c>
      <c r="H87" s="100" t="n">
        <f t="shared" ref="H87:L87" si="39">H23-H55</f>
        <v>0</v>
      </c>
      <c r="I87" s="100" t="n">
        <f t="shared" si="39"/>
        <v>0</v>
      </c>
      <c r="J87" s="100" t="n">
        <f t="shared" si="39"/>
        <v>0</v>
      </c>
      <c r="K87" s="100" t="n">
        <f t="shared" si="39"/>
        <v>0</v>
      </c>
      <c r="L87" s="100" t="n">
        <f t="shared" si="39"/>
        <v>0</v>
      </c>
    </row>
    <row r="88">
      <c r="B88" s="85" t="s">
        <v>230</v>
      </c>
      <c r="C88" s="85" t="s">
        <v>231</v>
      </c>
      <c r="D88" s="100" t="n">
        <f t="shared" ref="D88:G88" si="40">D24-D56</f>
        <v>0</v>
      </c>
      <c r="E88" s="100" t="n">
        <f t="shared" si="40"/>
        <v>0</v>
      </c>
      <c r="F88" s="100" t="n">
        <f t="shared" si="40"/>
        <v>0</v>
      </c>
      <c r="G88" s="100" t="n">
        <f t="shared" si="40"/>
        <v>0</v>
      </c>
      <c r="H88" s="100" t="n">
        <f t="shared" ref="H88:L88" si="41">H24-H56</f>
        <v>0</v>
      </c>
      <c r="I88" s="100" t="n">
        <f t="shared" si="41"/>
        <v>0</v>
      </c>
      <c r="J88" s="100" t="n">
        <f t="shared" si="41"/>
        <v>0</v>
      </c>
      <c r="K88" s="100" t="n">
        <f t="shared" si="41"/>
        <v>0</v>
      </c>
      <c r="L88" s="100" t="n">
        <f t="shared" si="41"/>
        <v>0</v>
      </c>
    </row>
    <row r="89">
      <c r="B89" s="85" t="s">
        <v>1385</v>
      </c>
      <c r="C89" s="85" t="s">
        <v>1384</v>
      </c>
      <c r="D89" s="100" t="n">
        <f t="shared" ref="D89:G89" si="42">D25-D57</f>
        <v>0</v>
      </c>
      <c r="E89" s="100" t="n">
        <f t="shared" si="42"/>
        <v>0</v>
      </c>
      <c r="F89" s="100" t="n">
        <f t="shared" si="42"/>
        <v>0</v>
      </c>
      <c r="G89" s="100" t="n">
        <f t="shared" si="42"/>
        <v>0</v>
      </c>
      <c r="H89" s="100" t="n">
        <f t="shared" ref="H89:L89" si="43">H25-H57</f>
        <v>0</v>
      </c>
      <c r="I89" s="100" t="n">
        <f t="shared" si="43"/>
        <v>0</v>
      </c>
      <c r="J89" s="100" t="n">
        <f t="shared" si="43"/>
        <v>0</v>
      </c>
      <c r="K89" s="100" t="n">
        <f t="shared" si="43"/>
        <v>0</v>
      </c>
      <c r="L89" s="100" t="n">
        <f t="shared" si="43"/>
        <v>0</v>
      </c>
    </row>
    <row r="90">
      <c r="B90" s="85"/>
      <c r="C90" s="85"/>
      <c r="D90" s="100"/>
      <c r="E90" s="100"/>
      <c r="F90" s="100"/>
      <c r="G90" s="100"/>
      <c r="H90" s="100"/>
      <c r="I90" s="100"/>
      <c r="J90" s="100"/>
      <c r="K90" s="100"/>
      <c r="L90" s="100"/>
    </row>
    <row r="91">
      <c r="B91" s="105" t="s">
        <v>1897</v>
      </c>
      <c r="C91" s="85"/>
      <c r="D91" s="100"/>
      <c r="E91" s="100"/>
      <c r="F91" s="100"/>
      <c r="G91" s="100"/>
      <c r="H91" s="100"/>
      <c r="I91" s="100"/>
      <c r="J91" s="100"/>
      <c r="K91" s="100"/>
      <c r="L91" s="100"/>
    </row>
    <row r="92">
      <c r="B92" s="85" t="s">
        <v>1710</v>
      </c>
      <c r="C92" s="85" t="s">
        <v>1898</v>
      </c>
      <c r="D92" s="102" t="n">
        <f t="shared" ref="D92:H92" si="44">D28-D60</f>
        <v>0</v>
      </c>
      <c r="E92" s="102" t="n">
        <f t="shared" si="44"/>
        <v>0</v>
      </c>
      <c r="F92" s="102" t="n">
        <f t="shared" si="44"/>
        <v>0</v>
      </c>
      <c r="G92" s="102" t="n">
        <f t="shared" si="44"/>
        <v>0</v>
      </c>
      <c r="H92" s="102" t="n">
        <f t="shared" si="44"/>
        <v>0</v>
      </c>
      <c r="I92" s="102" t="n">
        <f t="shared" ref="I92:J92" si="45">I28-I60</f>
        <v>0</v>
      </c>
      <c r="J92" s="102" t="n">
        <f t="shared" si="45"/>
        <v>0</v>
      </c>
      <c r="K92" s="102" t="n">
        <f t="shared" ref="K92:L92" si="46">K28-K60</f>
        <v>0</v>
      </c>
      <c r="L92" s="102" t="n">
        <f t="shared" si="46"/>
        <v>0</v>
      </c>
    </row>
    <row r="93">
      <c r="B93" s="85" t="s">
        <v>1711</v>
      </c>
      <c r="C93" s="85"/>
      <c r="D93" s="102" t="n">
        <f t="shared" ref="D93:H96" si="47">D29-D61</f>
        <v>0</v>
      </c>
      <c r="E93" s="102" t="n">
        <f t="shared" si="47"/>
        <v>0</v>
      </c>
      <c r="F93" s="102" t="n">
        <f t="shared" si="47"/>
        <v>0</v>
      </c>
      <c r="G93" s="102" t="n">
        <f t="shared" si="47"/>
        <v>0</v>
      </c>
      <c r="H93" s="102" t="n">
        <f t="shared" si="47"/>
        <v>0</v>
      </c>
      <c r="I93" s="102" t="n">
        <f t="shared" ref="I93:J93" si="48">I29-I61</f>
        <v>0</v>
      </c>
      <c r="J93" s="102" t="n">
        <f t="shared" si="48"/>
        <v>0</v>
      </c>
      <c r="K93" s="102" t="n">
        <f t="shared" ref="K93:L93" si="49">K29-K61</f>
        <v>0</v>
      </c>
      <c r="L93" s="102" t="n">
        <f t="shared" si="49"/>
        <v>0</v>
      </c>
    </row>
    <row r="94">
      <c r="B94" s="85" t="s">
        <v>1712</v>
      </c>
      <c r="C94" s="85"/>
      <c r="D94" s="102" t="n">
        <f t="shared" si="47"/>
        <v>0</v>
      </c>
      <c r="E94" s="102" t="n">
        <f t="shared" si="47"/>
        <v>0</v>
      </c>
      <c r="F94" s="102" t="n">
        <f t="shared" si="47"/>
        <v>0</v>
      </c>
      <c r="G94" s="102" t="n">
        <f t="shared" si="47"/>
        <v>0</v>
      </c>
      <c r="H94" s="102" t="n">
        <f t="shared" si="47"/>
        <v>0</v>
      </c>
      <c r="I94" s="102" t="n">
        <f t="shared" ref="I94:J94" si="50">I30-I62</f>
        <v>0</v>
      </c>
      <c r="J94" s="102" t="n">
        <f t="shared" si="50"/>
        <v>0</v>
      </c>
      <c r="K94" s="102" t="n">
        <f t="shared" ref="K94:L94" si="51">K30-K62</f>
        <v>0</v>
      </c>
      <c r="L94" s="102" t="n">
        <f t="shared" si="51"/>
        <v>0</v>
      </c>
    </row>
    <row r="95">
      <c r="B95" s="85" t="s">
        <v>1713</v>
      </c>
      <c r="C95" s="85"/>
      <c r="D95" s="102" t="n">
        <f t="shared" si="47"/>
        <v>0</v>
      </c>
      <c r="E95" s="102" t="n">
        <f t="shared" si="47"/>
        <v>0</v>
      </c>
      <c r="F95" s="102" t="n">
        <f t="shared" si="47"/>
        <v>0</v>
      </c>
      <c r="G95" s="102" t="n">
        <f t="shared" si="47"/>
        <v>0</v>
      </c>
      <c r="H95" s="102" t="n">
        <f t="shared" si="47"/>
        <v>0</v>
      </c>
      <c r="I95" s="102" t="n">
        <f t="shared" ref="I95:J95" si="52">I31-I63</f>
        <v>0</v>
      </c>
      <c r="J95" s="102" t="n">
        <f t="shared" si="52"/>
        <v>0</v>
      </c>
      <c r="K95" s="102" t="n">
        <f t="shared" ref="K95:L95" si="53">K31-K63</f>
        <v>0</v>
      </c>
      <c r="L95" s="102" t="n">
        <f t="shared" si="53"/>
        <v>0</v>
      </c>
    </row>
    <row r="96">
      <c r="B96" s="85" t="s">
        <v>1714</v>
      </c>
      <c r="C96" s="85"/>
      <c r="D96" s="102" t="n">
        <f t="shared" si="47"/>
        <v>0</v>
      </c>
      <c r="E96" s="102" t="n">
        <f t="shared" si="47"/>
        <v>0</v>
      </c>
      <c r="F96" s="102" t="n">
        <f t="shared" si="47"/>
        <v>0</v>
      </c>
      <c r="G96" s="102" t="n">
        <f t="shared" si="47"/>
        <v>0</v>
      </c>
      <c r="H96" s="102" t="n">
        <f t="shared" si="47"/>
        <v>0</v>
      </c>
      <c r="I96" s="102" t="n">
        <f t="shared" ref="I96:J96" si="54">I32-I64</f>
        <v>0</v>
      </c>
      <c r="J96" s="102" t="n">
        <f t="shared" si="54"/>
        <v>0</v>
      </c>
      <c r="K96" s="102" t="n">
        <f t="shared" ref="K96:L96" si="55">K32-K64</f>
        <v>0</v>
      </c>
      <c r="L96" s="102" t="n">
        <f t="shared" si="55"/>
        <v>0</v>
      </c>
    </row>
    <row r="98">
      <c r="B98" s="99" t="s">
        <v>233</v>
      </c>
      <c r="C98" s="99"/>
      <c r="D98" s="99"/>
      <c r="E98" s="99"/>
      <c r="F98" s="99"/>
      <c r="G98" s="99"/>
      <c r="H98" s="99"/>
      <c r="I98" s="99"/>
      <c r="J98" s="99"/>
      <c r="K98" s="99"/>
      <c r="L98" s="99"/>
    </row>
    <row r="99">
      <c r="B99" t="s">
        <v>178</v>
      </c>
      <c r="C99" t="s">
        <v>179</v>
      </c>
      <c r="D99" t="s">
        <v>191</v>
      </c>
      <c r="E99" t="s">
        <v>175</v>
      </c>
      <c r="F99" t="s">
        <v>176</v>
      </c>
      <c r="G99" t="s">
        <v>177</v>
      </c>
      <c r="H99" t="s">
        <v>765</v>
      </c>
      <c r="I99" t="s">
        <v>766</v>
      </c>
      <c r="J99" t="s">
        <v>767</v>
      </c>
      <c r="K99" t="s">
        <v>1157</v>
      </c>
      <c r="L99" t="s">
        <v>1158</v>
      </c>
    </row>
    <row r="100">
      <c r="B100" t="s">
        <v>192</v>
      </c>
      <c r="C100" t="s">
        <v>193</v>
      </c>
      <c r="D100" s="104" t="n">
        <f t="shared" ref="D100:G100" si="56">(D4/D36-1)</f>
        <v>0</v>
      </c>
      <c r="E100" s="104" t="n">
        <f t="shared" si="56"/>
        <v>0</v>
      </c>
      <c r="F100" s="104" t="n">
        <f t="shared" si="56"/>
        <v>0</v>
      </c>
      <c r="G100" s="104" t="n">
        <f t="shared" si="56"/>
        <v>0</v>
      </c>
      <c r="H100" s="104" t="n">
        <f t="shared" ref="H100:L100" si="57">(H4/H36-1)</f>
        <v>0</v>
      </c>
      <c r="I100" s="104" t="n">
        <f t="shared" si="57"/>
        <v>0</v>
      </c>
      <c r="J100" s="104" t="n">
        <f t="shared" si="57"/>
        <v>0</v>
      </c>
      <c r="K100" s="104" t="n">
        <f t="shared" si="57"/>
        <v>0</v>
      </c>
      <c r="L100" s="104" t="n">
        <f t="shared" si="57"/>
        <v>0</v>
      </c>
    </row>
    <row r="101">
      <c r="B101" t="s">
        <v>134</v>
      </c>
      <c r="C101" t="s">
        <v>194</v>
      </c>
      <c r="D101" s="104" t="n">
        <f t="shared" ref="D101:G101" si="58">(D5/D37-1)</f>
        <v>0</v>
      </c>
      <c r="E101" s="104" t="n">
        <f t="shared" si="58"/>
        <v>0</v>
      </c>
      <c r="F101" s="104" t="n">
        <f t="shared" si="58"/>
        <v>0</v>
      </c>
      <c r="G101" s="104" t="n">
        <f t="shared" si="58"/>
        <v>0</v>
      </c>
      <c r="H101" s="104" t="n">
        <f t="shared" ref="H101:L101" si="59">(H5/H37-1)</f>
        <v>0</v>
      </c>
      <c r="I101" s="104" t="n">
        <f t="shared" si="59"/>
        <v>0</v>
      </c>
      <c r="J101" s="104" t="n">
        <f t="shared" si="59"/>
        <v>0</v>
      </c>
      <c r="K101" s="104" t="n">
        <f t="shared" si="59"/>
        <v>0</v>
      </c>
      <c r="L101" s="104" t="n">
        <f t="shared" si="59"/>
        <v>0</v>
      </c>
    </row>
    <row r="102">
      <c r="B102" t="s">
        <v>195</v>
      </c>
      <c r="C102" t="s">
        <v>196</v>
      </c>
      <c r="D102" s="104" t="n">
        <f t="shared" ref="D102:G102" si="60">(D6/D38-1)</f>
        <v>0</v>
      </c>
      <c r="E102" s="104" t="n">
        <f t="shared" si="60"/>
        <v>0</v>
      </c>
      <c r="F102" s="104" t="n">
        <f t="shared" si="60"/>
        <v>0</v>
      </c>
      <c r="G102" s="104" t="n">
        <f t="shared" si="60"/>
        <v>0</v>
      </c>
      <c r="H102" s="104" t="n">
        <f t="shared" ref="H102:L102" si="61">(H6/H38-1)</f>
        <v>0</v>
      </c>
      <c r="I102" s="104" t="n">
        <f t="shared" si="61"/>
        <v>0</v>
      </c>
      <c r="J102" s="104" t="n">
        <f t="shared" si="61"/>
        <v>0</v>
      </c>
      <c r="K102" s="104" t="n">
        <f t="shared" si="61"/>
        <v>0</v>
      </c>
      <c r="L102" s="104" t="n">
        <f t="shared" si="61"/>
        <v>0</v>
      </c>
    </row>
    <row r="103">
      <c r="B103" t="s">
        <v>197</v>
      </c>
      <c r="C103" t="s">
        <v>198</v>
      </c>
      <c r="D103" s="104" t="n">
        <f t="shared" ref="D103:G103" si="62">(D7/D39-1)</f>
        <v>0</v>
      </c>
      <c r="E103" s="104" t="n">
        <f t="shared" si="62"/>
        <v>0</v>
      </c>
      <c r="F103" s="104" t="n">
        <f t="shared" si="62"/>
        <v>0</v>
      </c>
      <c r="G103" s="104" t="n">
        <f t="shared" si="62"/>
        <v>0</v>
      </c>
      <c r="H103" s="104" t="n">
        <f t="shared" ref="H103:L103" si="63">(H7/H39-1)</f>
        <v>0</v>
      </c>
      <c r="I103" s="104" t="n">
        <f t="shared" si="63"/>
        <v>0</v>
      </c>
      <c r="J103" s="104" t="n">
        <f t="shared" si="63"/>
        <v>0</v>
      </c>
      <c r="K103" s="104" t="n">
        <f t="shared" si="63"/>
        <v>0</v>
      </c>
      <c r="L103" s="104" t="n">
        <f t="shared" si="63"/>
        <v>0</v>
      </c>
    </row>
    <row r="104">
      <c r="B104" t="s">
        <v>199</v>
      </c>
      <c r="C104" t="s">
        <v>200</v>
      </c>
      <c r="D104" s="104" t="n">
        <f t="shared" ref="D104:G104" si="64">(D8/D40-1)</f>
        <v>0</v>
      </c>
      <c r="E104" s="104" t="n">
        <f t="shared" si="64"/>
        <v>0</v>
      </c>
      <c r="F104" s="104" t="n">
        <f t="shared" si="64"/>
        <v>0</v>
      </c>
      <c r="G104" s="104" t="n">
        <f t="shared" si="64"/>
        <v>0</v>
      </c>
      <c r="H104" s="104" t="n">
        <f t="shared" ref="H104:L104" si="65">(H8/H40-1)</f>
        <v>0</v>
      </c>
      <c r="I104" s="104" t="n">
        <f t="shared" si="65"/>
        <v>0</v>
      </c>
      <c r="J104" s="104" t="n">
        <f t="shared" si="65"/>
        <v>0</v>
      </c>
      <c r="K104" s="104" t="n">
        <f t="shared" si="65"/>
        <v>0</v>
      </c>
      <c r="L104" s="104" t="n">
        <f t="shared" si="65"/>
        <v>0</v>
      </c>
    </row>
    <row r="105">
      <c r="B105" t="s">
        <v>201</v>
      </c>
      <c r="C105" t="s">
        <v>202</v>
      </c>
      <c r="D105" s="104" t="n">
        <f t="shared" ref="D105:G105" si="66">(D9/D41-1)</f>
        <v>0</v>
      </c>
      <c r="E105" s="104" t="n">
        <f t="shared" si="66"/>
        <v>0</v>
      </c>
      <c r="F105" s="104" t="n">
        <f t="shared" si="66"/>
        <v>0</v>
      </c>
      <c r="G105" s="104" t="n">
        <f t="shared" si="66"/>
        <v>0</v>
      </c>
      <c r="H105" s="104" t="n">
        <f t="shared" ref="H105:L105" si="67">(H9/H41-1)</f>
        <v>0</v>
      </c>
      <c r="I105" s="104" t="n">
        <f t="shared" si="67"/>
        <v>0</v>
      </c>
      <c r="J105" s="104" t="n">
        <f t="shared" si="67"/>
        <v>0</v>
      </c>
      <c r="K105" s="104" t="e">
        <f t="shared" si="67"/>
        <v>#DIV/0!</v>
      </c>
      <c r="L105" s="104" t="e">
        <f t="shared" si="67"/>
        <v>#DIV/0!</v>
      </c>
    </row>
    <row r="106">
      <c r="B106" t="s">
        <v>203</v>
      </c>
      <c r="C106" t="s">
        <v>204</v>
      </c>
      <c r="D106" s="104" t="n">
        <f t="shared" ref="D106:G106" si="68">(D10/D42-1)</f>
        <v>0</v>
      </c>
      <c r="E106" s="104" t="e">
        <f t="shared" si="68"/>
        <v>#DIV/0!</v>
      </c>
      <c r="F106" s="104" t="e">
        <f t="shared" si="68"/>
        <v>#DIV/0!</v>
      </c>
      <c r="G106" s="104" t="e">
        <f t="shared" si="68"/>
        <v>#DIV/0!</v>
      </c>
      <c r="H106" s="104" t="e">
        <f t="shared" ref="H106:L106" si="69">(H10/H42-1)</f>
        <v>#DIV/0!</v>
      </c>
      <c r="I106" s="104" t="e">
        <f t="shared" si="69"/>
        <v>#DIV/0!</v>
      </c>
      <c r="J106" s="104" t="e">
        <f t="shared" si="69"/>
        <v>#DIV/0!</v>
      </c>
      <c r="K106" s="104" t="e">
        <f t="shared" si="69"/>
        <v>#DIV/0!</v>
      </c>
      <c r="L106" s="104" t="e">
        <f t="shared" si="69"/>
        <v>#DIV/0!</v>
      </c>
    </row>
    <row r="107">
      <c r="B107" t="s">
        <v>205</v>
      </c>
      <c r="C107" t="s">
        <v>206</v>
      </c>
      <c r="D107" s="104" t="n">
        <f t="shared" ref="D107:G107" si="70">(D11/D43-1)</f>
        <v>0</v>
      </c>
      <c r="E107" s="104" t="n">
        <f t="shared" si="70"/>
        <v>0</v>
      </c>
      <c r="F107" s="104" t="n">
        <f t="shared" si="70"/>
        <v>0</v>
      </c>
      <c r="G107" s="104" t="n">
        <f t="shared" si="70"/>
        <v>0</v>
      </c>
      <c r="H107" s="104" t="n">
        <f t="shared" ref="H107:L107" si="71">(H11/H43-1)</f>
        <v>0</v>
      </c>
      <c r="I107" s="104" t="n">
        <f t="shared" si="71"/>
        <v>0</v>
      </c>
      <c r="J107" s="104" t="n">
        <f t="shared" si="71"/>
        <v>0</v>
      </c>
      <c r="K107" s="104" t="n">
        <f t="shared" si="71"/>
        <v>0</v>
      </c>
      <c r="L107" s="104" t="n">
        <f t="shared" si="71"/>
        <v>0</v>
      </c>
    </row>
    <row r="108">
      <c r="B108" t="s">
        <v>207</v>
      </c>
      <c r="C108" t="s">
        <v>208</v>
      </c>
      <c r="D108" s="104" t="n">
        <f t="shared" ref="D108:G108" si="72">(D12/D44-1)</f>
        <v>0</v>
      </c>
      <c r="E108" s="104" t="n">
        <f t="shared" si="72"/>
        <v>0</v>
      </c>
      <c r="F108" s="104" t="n">
        <f t="shared" si="72"/>
        <v>0</v>
      </c>
      <c r="G108" s="104" t="n">
        <f t="shared" si="72"/>
        <v>0</v>
      </c>
      <c r="H108" s="104" t="n">
        <f t="shared" ref="H108:L108" si="73">(H12/H44-1)</f>
        <v>0</v>
      </c>
      <c r="I108" s="104" t="n">
        <f t="shared" si="73"/>
        <v>0</v>
      </c>
      <c r="J108" s="104" t="n">
        <f t="shared" si="73"/>
        <v>0</v>
      </c>
      <c r="K108" s="104" t="n">
        <f t="shared" si="73"/>
        <v>0</v>
      </c>
      <c r="L108" s="104" t="n">
        <f t="shared" si="73"/>
        <v>0</v>
      </c>
    </row>
    <row r="109">
      <c r="B109" t="s">
        <v>209</v>
      </c>
      <c r="C109" t="s">
        <v>210</v>
      </c>
      <c r="D109" s="104" t="n">
        <f t="shared" ref="D109:G109" si="74">(D13/D45-1)</f>
        <v>0</v>
      </c>
      <c r="E109" s="104" t="n">
        <f t="shared" si="74"/>
        <v>0</v>
      </c>
      <c r="F109" s="104" t="n">
        <f t="shared" si="74"/>
        <v>0</v>
      </c>
      <c r="G109" s="104" t="n">
        <f t="shared" si="74"/>
        <v>0</v>
      </c>
      <c r="H109" s="104" t="n">
        <f t="shared" ref="H109:L109" si="75">(H13/H45-1)</f>
        <v>0</v>
      </c>
      <c r="I109" s="104" t="n">
        <f t="shared" si="75"/>
        <v>0</v>
      </c>
      <c r="J109" s="104" t="n">
        <f t="shared" si="75"/>
        <v>0</v>
      </c>
      <c r="K109" s="104" t="n">
        <f t="shared" si="75"/>
        <v>0</v>
      </c>
      <c r="L109" s="104" t="n">
        <f t="shared" si="75"/>
        <v>0</v>
      </c>
    </row>
    <row r="110">
      <c r="B110" t="s">
        <v>55</v>
      </c>
      <c r="C110" t="s">
        <v>211</v>
      </c>
      <c r="D110" s="104" t="n">
        <f t="shared" ref="D110:G110" si="76">(D14/D46-1)</f>
        <v>0</v>
      </c>
      <c r="E110" s="104" t="n">
        <f t="shared" si="76"/>
        <v>0</v>
      </c>
      <c r="F110" s="104" t="n">
        <f t="shared" si="76"/>
        <v>0</v>
      </c>
      <c r="G110" s="104" t="n">
        <f t="shared" si="76"/>
        <v>0</v>
      </c>
      <c r="H110" s="104" t="n">
        <f t="shared" ref="H110:L110" si="77">(H14/H46-1)</f>
        <v>0</v>
      </c>
      <c r="I110" s="104" t="n">
        <f t="shared" si="77"/>
        <v>0</v>
      </c>
      <c r="J110" s="104" t="n">
        <f t="shared" si="77"/>
        <v>0</v>
      </c>
      <c r="K110" s="104" t="n">
        <f t="shared" si="77"/>
        <v>0</v>
      </c>
      <c r="L110" s="104" t="n">
        <f t="shared" si="77"/>
        <v>0</v>
      </c>
    </row>
    <row r="111">
      <c r="B111" t="s">
        <v>212</v>
      </c>
      <c r="C111" t="s">
        <v>213</v>
      </c>
      <c r="D111" s="104" t="e">
        <f t="shared" ref="D111:G111" si="78">(D15/D47-1)</f>
        <v>#DIV/0!</v>
      </c>
      <c r="E111" s="104" t="e">
        <f t="shared" si="78"/>
        <v>#DIV/0!</v>
      </c>
      <c r="F111" s="104" t="e">
        <f t="shared" si="78"/>
        <v>#DIV/0!</v>
      </c>
      <c r="G111" s="104" t="e">
        <f t="shared" si="78"/>
        <v>#DIV/0!</v>
      </c>
      <c r="H111" s="104" t="e">
        <f t="shared" ref="H111:L111" si="79">(H15/H47-1)</f>
        <v>#DIV/0!</v>
      </c>
      <c r="I111" s="104" t="e">
        <f t="shared" si="79"/>
        <v>#DIV/0!</v>
      </c>
      <c r="J111" s="104" t="e">
        <f t="shared" si="79"/>
        <v>#DIV/0!</v>
      </c>
      <c r="K111" s="104" t="e">
        <f t="shared" si="79"/>
        <v>#DIV/0!</v>
      </c>
      <c r="L111" s="104" t="e">
        <f t="shared" si="79"/>
        <v>#DIV/0!</v>
      </c>
    </row>
    <row r="112">
      <c r="B112" t="s">
        <v>214</v>
      </c>
      <c r="C112" t="s">
        <v>215</v>
      </c>
      <c r="D112" s="104" t="e">
        <f t="shared" ref="D112:G112" si="80">(D16/D48-1)</f>
        <v>#DIV/0!</v>
      </c>
      <c r="E112" s="104" t="e">
        <f t="shared" si="80"/>
        <v>#DIV/0!</v>
      </c>
      <c r="F112" s="104" t="e">
        <f t="shared" si="80"/>
        <v>#DIV/0!</v>
      </c>
      <c r="G112" s="104" t="e">
        <f t="shared" si="80"/>
        <v>#DIV/0!</v>
      </c>
      <c r="H112" s="104" t="e">
        <f t="shared" ref="H112:L112" si="81">(H16/H48-1)</f>
        <v>#DIV/0!</v>
      </c>
      <c r="I112" s="104" t="e">
        <f t="shared" si="81"/>
        <v>#DIV/0!</v>
      </c>
      <c r="J112" s="104" t="e">
        <f t="shared" si="81"/>
        <v>#DIV/0!</v>
      </c>
      <c r="K112" s="104" t="e">
        <f t="shared" si="81"/>
        <v>#DIV/0!</v>
      </c>
      <c r="L112" s="104" t="e">
        <f t="shared" si="81"/>
        <v>#DIV/0!</v>
      </c>
    </row>
    <row r="113">
      <c r="B113" t="s">
        <v>216</v>
      </c>
      <c r="C113" t="s">
        <v>217</v>
      </c>
      <c r="D113" s="104" t="n">
        <f t="shared" ref="D113:G113" si="82">(D17/D49-1)</f>
        <v>0</v>
      </c>
      <c r="E113" s="104" t="n">
        <f t="shared" si="82"/>
        <v>0</v>
      </c>
      <c r="F113" s="104" t="n">
        <f t="shared" si="82"/>
        <v>0</v>
      </c>
      <c r="G113" s="104" t="n">
        <f t="shared" si="82"/>
        <v>0</v>
      </c>
      <c r="H113" s="104" t="n">
        <f t="shared" ref="H113:L113" si="83">(H17/H49-1)</f>
        <v>0</v>
      </c>
      <c r="I113" s="104" t="n">
        <f t="shared" si="83"/>
        <v>0</v>
      </c>
      <c r="J113" s="104" t="n">
        <f t="shared" si="83"/>
        <v>0</v>
      </c>
      <c r="K113" s="104" t="e">
        <f t="shared" si="83"/>
        <v>#DIV/0!</v>
      </c>
      <c r="L113" s="104" t="e">
        <f t="shared" si="83"/>
        <v>#DIV/0!</v>
      </c>
    </row>
    <row r="114">
      <c r="B114" t="s">
        <v>218</v>
      </c>
      <c r="C114" t="s">
        <v>219</v>
      </c>
      <c r="D114" s="104" t="n">
        <f t="shared" ref="D114:G114" si="84">(D18/D50-1)</f>
        <v>0</v>
      </c>
      <c r="E114" s="104" t="n">
        <f t="shared" si="84"/>
        <v>0</v>
      </c>
      <c r="F114" s="104" t="n">
        <f t="shared" si="84"/>
        <v>0</v>
      </c>
      <c r="G114" s="104" t="n">
        <f t="shared" si="84"/>
        <v>0</v>
      </c>
      <c r="H114" s="104" t="n">
        <f t="shared" ref="H114:L114" si="85">(H18/H50-1)</f>
        <v>0</v>
      </c>
      <c r="I114" s="104" t="n">
        <f t="shared" si="85"/>
        <v>0</v>
      </c>
      <c r="J114" s="104" t="n">
        <f t="shared" si="85"/>
        <v>0</v>
      </c>
      <c r="K114" s="104" t="e">
        <f t="shared" si="85"/>
        <v>#DIV/0!</v>
      </c>
      <c r="L114" s="104" t="e">
        <f t="shared" si="85"/>
        <v>#DIV/0!</v>
      </c>
    </row>
    <row r="115">
      <c r="B115" t="s">
        <v>220</v>
      </c>
      <c r="C115" t="s">
        <v>221</v>
      </c>
      <c r="D115" s="104" t="n">
        <f t="shared" ref="D115:G115" si="86">(D19/D51-1)</f>
        <v>0</v>
      </c>
      <c r="E115" s="104" t="n">
        <f t="shared" si="86"/>
        <v>0</v>
      </c>
      <c r="F115" s="104" t="n">
        <f t="shared" si="86"/>
        <v>0</v>
      </c>
      <c r="G115" s="104" t="n">
        <f t="shared" si="86"/>
        <v>0</v>
      </c>
      <c r="H115" s="104" t="n">
        <f t="shared" ref="H115:L115" si="87">(H19/H51-1)</f>
        <v>0</v>
      </c>
      <c r="I115" s="104" t="n">
        <f t="shared" si="87"/>
        <v>0</v>
      </c>
      <c r="J115" s="104" t="n">
        <f t="shared" si="87"/>
        <v>0</v>
      </c>
      <c r="K115" s="104" t="n">
        <f t="shared" si="87"/>
        <v>0</v>
      </c>
      <c r="L115" s="104" t="n">
        <f t="shared" si="87"/>
        <v>0</v>
      </c>
    </row>
    <row r="116">
      <c r="B116" t="s">
        <v>222</v>
      </c>
      <c r="C116" t="s">
        <v>223</v>
      </c>
      <c r="D116" s="104" t="n">
        <f t="shared" ref="D116:G116" si="88">(D20/D52-1)</f>
        <v>0</v>
      </c>
      <c r="E116" s="104" t="n">
        <f t="shared" si="88"/>
        <v>0</v>
      </c>
      <c r="F116" s="104" t="n">
        <f t="shared" si="88"/>
        <v>0</v>
      </c>
      <c r="G116" s="104" t="n">
        <f t="shared" si="88"/>
        <v>0</v>
      </c>
      <c r="H116" s="104" t="n">
        <f t="shared" ref="H116:L116" si="89">(H20/H52-1)</f>
        <v>0</v>
      </c>
      <c r="I116" s="104" t="n">
        <f t="shared" si="89"/>
        <v>0</v>
      </c>
      <c r="J116" s="104" t="n">
        <f t="shared" si="89"/>
        <v>0</v>
      </c>
      <c r="K116" s="104" t="n">
        <f t="shared" si="89"/>
        <v>0</v>
      </c>
      <c r="L116" s="104" t="n">
        <f t="shared" si="89"/>
        <v>0</v>
      </c>
    </row>
    <row r="117">
      <c r="B117" t="s">
        <v>224</v>
      </c>
      <c r="C117" t="s">
        <v>225</v>
      </c>
      <c r="D117" s="104" t="n">
        <f t="shared" ref="D117:G117" si="90">(D21/D53-1)</f>
        <v>0</v>
      </c>
      <c r="E117" s="104" t="n">
        <f t="shared" si="90"/>
        <v>0</v>
      </c>
      <c r="F117" s="104" t="n">
        <f t="shared" si="90"/>
        <v>0</v>
      </c>
      <c r="G117" s="104" t="n">
        <f t="shared" si="90"/>
        <v>0</v>
      </c>
      <c r="H117" s="104" t="n">
        <f t="shared" ref="H117:L117" si="91">(H21/H53-1)</f>
        <v>0</v>
      </c>
      <c r="I117" s="104" t="n">
        <f t="shared" si="91"/>
        <v>0</v>
      </c>
      <c r="J117" s="104" t="n">
        <f t="shared" si="91"/>
        <v>0</v>
      </c>
      <c r="K117" s="104" t="n">
        <f t="shared" si="91"/>
        <v>0</v>
      </c>
      <c r="L117" s="104" t="n">
        <f t="shared" si="91"/>
        <v>0</v>
      </c>
    </row>
    <row r="118">
      <c r="B118" t="s">
        <v>226</v>
      </c>
      <c r="C118" t="s">
        <v>227</v>
      </c>
      <c r="D118" s="104" t="n">
        <f t="shared" ref="D118:G118" si="92">(D22/D54-1)</f>
        <v>0</v>
      </c>
      <c r="E118" s="104" t="n">
        <f t="shared" si="92"/>
        <v>0</v>
      </c>
      <c r="F118" s="104" t="n">
        <f t="shared" si="92"/>
        <v>0</v>
      </c>
      <c r="G118" s="104" t="n">
        <f t="shared" si="92"/>
        <v>0</v>
      </c>
      <c r="H118" s="104" t="n">
        <f t="shared" ref="H118:L118" si="93">(H22/H54-1)</f>
        <v>0</v>
      </c>
      <c r="I118" s="104" t="n">
        <f t="shared" si="93"/>
        <v>0</v>
      </c>
      <c r="J118" s="104" t="n">
        <f t="shared" si="93"/>
        <v>0</v>
      </c>
      <c r="K118" s="104" t="n">
        <f t="shared" si="93"/>
        <v>0</v>
      </c>
      <c r="L118" s="104" t="n">
        <f t="shared" si="93"/>
        <v>0</v>
      </c>
    </row>
    <row r="119">
      <c r="B119" t="s">
        <v>228</v>
      </c>
      <c r="C119" t="s">
        <v>229</v>
      </c>
      <c r="D119" s="104" t="n">
        <f t="shared" ref="D119:G119" si="94">(D23/D55-1)</f>
        <v>0</v>
      </c>
      <c r="E119" s="104" t="n">
        <f t="shared" si="94"/>
        <v>0</v>
      </c>
      <c r="F119" s="104" t="n">
        <f t="shared" si="94"/>
        <v>0</v>
      </c>
      <c r="G119" s="104" t="n">
        <f t="shared" si="94"/>
        <v>0</v>
      </c>
      <c r="H119" s="104" t="n">
        <f t="shared" ref="H119:L119" si="95">(H23/H55-1)</f>
        <v>0</v>
      </c>
      <c r="I119" s="104" t="n">
        <f t="shared" si="95"/>
        <v>0</v>
      </c>
      <c r="J119" s="104" t="n">
        <f t="shared" si="95"/>
        <v>0</v>
      </c>
      <c r="K119" s="104" t="n">
        <f t="shared" si="95"/>
        <v>0</v>
      </c>
      <c r="L119" s="104" t="n">
        <f t="shared" si="95"/>
        <v>0</v>
      </c>
    </row>
    <row r="120">
      <c r="B120" t="s">
        <v>230</v>
      </c>
      <c r="C120" t="s">
        <v>231</v>
      </c>
      <c r="D120" s="104" t="n">
        <f t="shared" ref="D120:G120" si="96">(D24/D56-1)</f>
        <v>0</v>
      </c>
      <c r="E120" s="104" t="n">
        <f t="shared" si="96"/>
        <v>0</v>
      </c>
      <c r="F120" s="104" t="n">
        <f t="shared" si="96"/>
        <v>0</v>
      </c>
      <c r="G120" s="104" t="n">
        <f t="shared" si="96"/>
        <v>0</v>
      </c>
      <c r="H120" s="104" t="n">
        <f t="shared" ref="H120:L120" si="97">(H24/H56-1)</f>
        <v>0</v>
      </c>
      <c r="I120" s="104" t="n">
        <f t="shared" si="97"/>
        <v>0</v>
      </c>
      <c r="J120" s="104" t="n">
        <f t="shared" si="97"/>
        <v>0</v>
      </c>
      <c r="K120" s="104" t="n">
        <f t="shared" si="97"/>
        <v>0</v>
      </c>
      <c r="L120" s="104" t="n">
        <f t="shared" si="97"/>
        <v>0</v>
      </c>
    </row>
    <row r="121">
      <c r="B121" s="85" t="s">
        <v>1385</v>
      </c>
      <c r="C121" s="85" t="s">
        <v>1384</v>
      </c>
      <c r="D121" s="104" t="n">
        <f t="shared" ref="D121:G121" si="98">(D25/D57-1)</f>
        <v>0</v>
      </c>
      <c r="E121" s="104" t="n">
        <f t="shared" si="98"/>
        <v>0</v>
      </c>
      <c r="F121" s="104" t="n">
        <f t="shared" si="98"/>
        <v>0</v>
      </c>
      <c r="G121" s="104" t="n">
        <f t="shared" si="98"/>
        <v>0</v>
      </c>
      <c r="H121" s="104" t="n">
        <f t="shared" ref="H121:L121" si="99">(H25/H57-1)</f>
        <v>0</v>
      </c>
      <c r="I121" s="104" t="n">
        <f t="shared" si="99"/>
        <v>0</v>
      </c>
      <c r="J121" s="104" t="n">
        <f t="shared" si="99"/>
        <v>0</v>
      </c>
      <c r="K121" s="104" t="n">
        <f t="shared" si="99"/>
        <v>0</v>
      </c>
      <c r="L121" s="104" t="n">
        <f t="shared" si="99"/>
        <v>0</v>
      </c>
    </row>
    <row r="122">
      <c r="B122" s="85"/>
      <c r="D122" s="104"/>
      <c r="E122" s="104"/>
      <c r="F122" s="104"/>
      <c r="G122" s="104"/>
    </row>
    <row r="123">
      <c r="B123" s="105" t="s">
        <v>1897</v>
      </c>
      <c r="D123" s="104"/>
      <c r="E123" s="104"/>
      <c r="F123" s="104"/>
      <c r="G123" s="104"/>
    </row>
    <row r="124">
      <c r="B124" s="85" t="s">
        <v>1710</v>
      </c>
      <c r="D124" s="104" t="n">
        <f>(D28/D60-1)</f>
        <v>0</v>
      </c>
      <c r="E124" s="104" t="n">
        <f t="shared" ref="E124:H124" si="100">(E28/E60-1)</f>
        <v>0</v>
      </c>
      <c r="F124" s="104" t="n">
        <f t="shared" si="100"/>
        <v>0</v>
      </c>
      <c r="G124" s="104" t="n">
        <f t="shared" si="100"/>
        <v>0</v>
      </c>
      <c r="H124" s="104" t="n">
        <f t="shared" si="100"/>
        <v>0</v>
      </c>
      <c r="I124" s="104" t="n">
        <f t="shared" ref="I124:L124" si="101">(I28/I60-1)</f>
        <v>0</v>
      </c>
      <c r="J124" s="104" t="n">
        <f t="shared" si="101"/>
        <v>0</v>
      </c>
      <c r="K124" s="104" t="n">
        <f t="shared" si="101"/>
        <v>0</v>
      </c>
      <c r="L124" s="104" t="n">
        <f t="shared" si="101"/>
        <v>0</v>
      </c>
    </row>
    <row r="125">
      <c r="B125" s="85" t="s">
        <v>1711</v>
      </c>
      <c r="D125" s="104" t="n">
        <f t="shared" ref="D125:H125" si="102">(D29/D61-1)</f>
        <v>0</v>
      </c>
      <c r="E125" s="104" t="n">
        <f t="shared" si="102"/>
        <v>0</v>
      </c>
      <c r="F125" s="104" t="n">
        <f t="shared" si="102"/>
        <v>0</v>
      </c>
      <c r="G125" s="104" t="n">
        <f t="shared" si="102"/>
        <v>0</v>
      </c>
      <c r="H125" s="104" t="n">
        <f t="shared" si="102"/>
        <v>0</v>
      </c>
      <c r="I125" s="104" t="n">
        <f t="shared" ref="I125:L125" si="103">(I29/I61-1)</f>
        <v>0</v>
      </c>
      <c r="J125" s="104" t="n">
        <f t="shared" si="103"/>
        <v>0</v>
      </c>
      <c r="K125" s="104" t="n">
        <f t="shared" si="103"/>
        <v>0</v>
      </c>
      <c r="L125" s="104" t="n">
        <f t="shared" si="103"/>
        <v>0</v>
      </c>
    </row>
    <row r="126">
      <c r="B126" s="85" t="s">
        <v>1712</v>
      </c>
      <c r="D126" s="104" t="n">
        <f t="shared" ref="D126:H126" si="104">(D30/D62-1)</f>
        <v>0</v>
      </c>
      <c r="E126" s="104" t="n">
        <f t="shared" si="104"/>
        <v>0</v>
      </c>
      <c r="F126" s="104" t="n">
        <f t="shared" si="104"/>
        <v>0</v>
      </c>
      <c r="G126" s="104" t="n">
        <f t="shared" si="104"/>
        <v>0</v>
      </c>
      <c r="H126" s="104" t="e">
        <f t="shared" si="104"/>
        <v>#DIV/0!</v>
      </c>
      <c r="I126" s="104" t="e">
        <f t="shared" ref="I126:L126" si="105">(I30/I62-1)</f>
        <v>#DIV/0!</v>
      </c>
      <c r="J126" s="104" t="e">
        <f t="shared" si="105"/>
        <v>#DIV/0!</v>
      </c>
      <c r="K126" s="104" t="e">
        <f t="shared" si="105"/>
        <v>#DIV/0!</v>
      </c>
      <c r="L126" s="104" t="e">
        <f t="shared" si="105"/>
        <v>#DIV/0!</v>
      </c>
    </row>
    <row r="127">
      <c r="B127" s="85" t="s">
        <v>1713</v>
      </c>
      <c r="D127" s="104" t="n">
        <f t="shared" ref="D127:H127" si="106">(D31/D63-1)</f>
        <v>0</v>
      </c>
      <c r="E127" s="104" t="n">
        <f t="shared" si="106"/>
        <v>0</v>
      </c>
      <c r="F127" s="104" t="n">
        <f t="shared" si="106"/>
        <v>0</v>
      </c>
      <c r="G127" s="104" t="n">
        <f t="shared" si="106"/>
        <v>0</v>
      </c>
      <c r="H127" s="104" t="n">
        <f t="shared" si="106"/>
        <v>0</v>
      </c>
      <c r="I127" s="104" t="n">
        <f t="shared" ref="I127:L127" si="107">(I31/I63-1)</f>
        <v>0</v>
      </c>
      <c r="J127" s="104" t="n">
        <f t="shared" si="107"/>
        <v>0</v>
      </c>
      <c r="K127" s="104" t="n">
        <f t="shared" si="107"/>
        <v>0</v>
      </c>
      <c r="L127" s="104" t="n">
        <f t="shared" si="107"/>
        <v>0</v>
      </c>
    </row>
    <row r="128">
      <c r="B128" s="85" t="s">
        <v>1714</v>
      </c>
      <c r="D128" s="104" t="n">
        <f t="shared" ref="D128:H128" si="108">(D32/D64-1)</f>
        <v>0</v>
      </c>
      <c r="E128" s="104" t="n">
        <f t="shared" si="108"/>
        <v>0</v>
      </c>
      <c r="F128" s="104" t="n">
        <f t="shared" si="108"/>
        <v>0</v>
      </c>
      <c r="G128" s="104" t="n">
        <f t="shared" si="108"/>
        <v>0</v>
      </c>
      <c r="H128" s="104" t="n">
        <f t="shared" si="108"/>
        <v>0</v>
      </c>
      <c r="I128" s="104" t="n">
        <f t="shared" ref="I128:L128" si="109">(I32/I64-1)</f>
        <v>0</v>
      </c>
      <c r="J128" s="104" t="n">
        <f t="shared" si="109"/>
        <v>0</v>
      </c>
      <c r="K128" s="104" t="n">
        <f t="shared" si="109"/>
        <v>0</v>
      </c>
      <c r="L128" s="104" t="n">
        <f t="shared" si="109"/>
        <v>0</v>
      </c>
    </row>
  </sheetData>
  <mergeCells count="4">
    <mergeCell ref="B2:L2"/>
    <mergeCell ref="B34:L34"/>
    <mergeCell ref="B66:L66"/>
    <mergeCell ref="B98:L98"/>
  </mergeCells>
  <conditionalFormatting sqref="D68:L96 H100:L121 D100:G123 D124:L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D12" sqref="D12"/>
    </sheetView>
  </sheetViews>
  <sheetFormatPr defaultRowHeight="15.0" baseColWidth="10"/>
  <cols>
    <col min="1" max="1" width="41.1796875" hidden="0" customWidth="1"/>
    <col min="2" max="2" width="23.453125" hidden="0" customWidth="1"/>
  </cols>
  <sheetData>
    <row r="1">
      <c r="A1" s="105" t="s">
        <v>178</v>
      </c>
      <c r="B1" s="105" t="s">
        <v>179</v>
      </c>
      <c r="C1" s="108" t="s">
        <v>191</v>
      </c>
      <c r="D1" s="108" t="s">
        <v>175</v>
      </c>
      <c r="E1" s="108" t="s">
        <v>176</v>
      </c>
      <c r="F1" s="108" t="s">
        <v>177</v>
      </c>
      <c r="G1" s="108" t="s">
        <v>765</v>
      </c>
      <c r="H1" s="108" t="s">
        <v>766</v>
      </c>
      <c r="I1" s="108" t="s">
        <v>767</v>
      </c>
      <c r="J1" s="108" t="s">
        <v>1157</v>
      </c>
      <c r="K1" s="108" t="s">
        <v>1158</v>
      </c>
    </row>
    <row r="2">
      <c r="A2" t="s">
        <v>192</v>
      </c>
      <c r="B2" t="s">
        <v>193</v>
      </c>
      <c r="C2" s="100" t="n">
        <f>Grants!Z73</f>
        <v>433.05410899999998</v>
      </c>
      <c r="D2" s="100" t="n">
        <f>Grants!AA73</f>
        <v>437.68235278290689</v>
      </c>
      <c r="E2" s="100" t="n">
        <f>Grants!AB73</f>
        <v>442.60315304930305</v>
      </c>
      <c r="F2" s="100" t="n">
        <f>Grants!AC73</f>
        <v>425.94367459098942</v>
      </c>
      <c r="G2" s="100" t="n">
        <f>Grants!AD73</f>
        <v>421.4434594999999</v>
      </c>
      <c r="H2" s="100" t="n">
        <f>Grants!AE73</f>
        <v>424.14651169422308</v>
      </c>
      <c r="I2" s="100" t="n">
        <f>Grants!AF73</f>
        <v>422.99049924327517</v>
      </c>
      <c r="J2" s="100" t="n">
        <f>Grants!AG73</f>
        <v>425.87322349462897</v>
      </c>
      <c r="K2" s="100" t="n">
        <f>Grants!AH73</f>
        <v>425.98135239999993</v>
      </c>
    </row>
    <row r="3">
      <c r="A3" t="s">
        <v>134</v>
      </c>
      <c r="B3" t="s">
        <v>194</v>
      </c>
      <c r="C3" s="100" t="n">
        <f>Grants!Z94</f>
        <v>77.707285714285717</v>
      </c>
      <c r="D3" s="100" t="n">
        <f>Grants!AA94</f>
        <v>77.707285714285717</v>
      </c>
      <c r="E3" s="100" t="n">
        <f>Grants!AB94</f>
        <v>79.301285714285726</v>
      </c>
      <c r="F3" s="100" t="n">
        <f>Grants!AC94</f>
        <v>79.301285714285726</v>
      </c>
      <c r="G3" s="100" t="n">
        <f>Grants!AD94</f>
        <v>75.229285714285723</v>
      </c>
      <c r="H3" s="100" t="n">
        <f>Grants!AE94</f>
        <v>75.229285714285723</v>
      </c>
      <c r="I3" s="100" t="n">
        <f>Grants!AF94</f>
        <v>75.229285714285723</v>
      </c>
      <c r="J3" s="100" t="n">
        <f>Grants!AG94</f>
        <v>75.229285714285723</v>
      </c>
      <c r="K3" s="100" t="n">
        <f>Grants!AH94</f>
        <v>75.229285714285723</v>
      </c>
    </row>
    <row r="4">
      <c r="A4" t="s">
        <v>195</v>
      </c>
      <c r="B4" t="s">
        <v>196</v>
      </c>
      <c r="C4" s="100" t="n">
        <f>'Federal and State Purchases'!Z11</f>
        <v>1865.5</v>
      </c>
      <c r="D4" s="100" t="n">
        <f>'Federal and State Purchases'!AA11</f>
        <v>1864.4918130006488</v>
      </c>
      <c r="E4" s="100" t="n">
        <f>'Federal and State Purchases'!AB11</f>
        <v>1882.8996167086359</v>
      </c>
      <c r="F4" s="100" t="n">
        <f>'Federal and State Purchases'!AC11</f>
        <v>1905.112364477146</v>
      </c>
      <c r="G4" s="100" t="n">
        <f>'Federal and State Purchases'!AD11</f>
        <v>1928.207604765124</v>
      </c>
      <c r="H4" s="100" t="n">
        <f>'Federal and State Purchases'!AE11</f>
        <v>1951.8849623051435</v>
      </c>
      <c r="I4" s="100" t="n">
        <f>'Federal and State Purchases'!AF11</f>
        <v>1965.8226933538424</v>
      </c>
      <c r="J4" s="100" t="n">
        <f>'Federal and State Purchases'!AG11</f>
        <v>1978.4103178547402</v>
      </c>
      <c r="K4" s="100" t="n">
        <f>'Federal and State Purchases'!AH11</f>
        <v>1993.3551786387</v>
      </c>
    </row>
    <row r="5">
      <c r="A5" t="s">
        <v>197</v>
      </c>
      <c r="B5" t="s">
        <v>198</v>
      </c>
      <c r="C5" s="100" t="n">
        <f>'Federal and State Purchases'!Z27</f>
        <v>3134.6</v>
      </c>
      <c r="D5" s="100" t="n">
        <f>'Federal and State Purchases'!AA27</f>
        <v>3163.8873148168473</v>
      </c>
      <c r="E5" s="100" t="n">
        <f>'Federal and State Purchases'!AB27</f>
        <v>3192.8019362053014</v>
      </c>
      <c r="F5" s="100" t="n">
        <f>'Federal and State Purchases'!AC27</f>
        <v>3220.6906932134739</v>
      </c>
      <c r="G5" s="100" t="n">
        <f>'Federal and State Purchases'!AD27</f>
        <v>3248.7132285929556</v>
      </c>
      <c r="H5" s="100" t="n">
        <f>'Federal and State Purchases'!AE27</f>
        <v>3275.7206226401404</v>
      </c>
      <c r="I5" s="100" t="n">
        <f>'Federal and State Purchases'!AF27</f>
        <v>3302.7048675326673</v>
      </c>
      <c r="J5" s="100" t="n">
        <f>'Federal and State Purchases'!AG27</f>
        <v>3330.8133080286152</v>
      </c>
      <c r="K5" s="100" t="n">
        <f>'Federal and State Purchases'!AH27</f>
        <v>3358.5357118757793</v>
      </c>
    </row>
    <row r="6">
      <c r="A6" t="s">
        <v>199</v>
      </c>
      <c r="B6" t="s">
        <v>200</v>
      </c>
      <c r="C6" s="100" t="n">
        <f>Subsidies!Z46</f>
        <v>92.635000000000005</v>
      </c>
      <c r="D6" s="100" t="n">
        <f>Subsidies!AA46</f>
        <v>92.635000000000005</v>
      </c>
      <c r="E6" s="100" t="n">
        <f>Subsidies!AB46</f>
        <v>99.733999999999995</v>
      </c>
      <c r="F6" s="100" t="n">
        <f>Subsidies!AC46</f>
        <v>99.733999999999995</v>
      </c>
      <c r="G6" s="100" t="n">
        <f>Subsidies!AD46</f>
        <v>91.712000000000003</v>
      </c>
      <c r="H6" s="100" t="n">
        <f>Subsidies!AE46</f>
        <v>91.712000000000003</v>
      </c>
      <c r="I6" s="100" t="n">
        <f>Subsidies!AF46</f>
        <v>96.051000000000002</v>
      </c>
      <c r="J6" s="100" t="n">
        <f>Subsidies!AG46</f>
        <v>93.900999999999996</v>
      </c>
      <c r="K6" s="100" t="n">
        <f>Subsidies!AH46</f>
        <v>93.900999999999996</v>
      </c>
    </row>
    <row r="7">
      <c r="A7" t="s">
        <v>201</v>
      </c>
      <c r="B7" t="s">
        <v>202</v>
      </c>
      <c r="C7" s="100" t="n">
        <f>Subsidies!Z45</f>
        <v>1.365</v>
      </c>
      <c r="D7" s="100" t="n">
        <f>Subsidies!AA45</f>
        <v>1.365</v>
      </c>
      <c r="E7" s="100" t="n">
        <f>Subsidies!AB45</f>
        <v>-0.90100000000000025</v>
      </c>
      <c r="F7" s="100" t="n">
        <f>Subsidies!AC45</f>
        <v>-0.90100000000000025</v>
      </c>
      <c r="G7" s="100" t="n">
        <f>Subsidies!AD45</f>
        <v>-0.90100000000000025</v>
      </c>
      <c r="H7" s="100" t="n">
        <f>Subsidies!AE45</f>
        <v>-0.90100000000000025</v>
      </c>
      <c r="I7" s="100" t="n">
        <f>Subsidies!AF45</f>
        <v>-2.1500000000000004</v>
      </c>
      <c r="J7" s="100" t="n">
        <f>Subsidies!AG45</f>
        <v>0</v>
      </c>
      <c r="K7" s="100" t="n">
        <f>Subsidies!AH45</f>
        <v>0</v>
      </c>
    </row>
    <row r="8">
      <c r="A8" t="s">
        <v>203</v>
      </c>
      <c r="B8" t="s">
        <v>204</v>
      </c>
      <c r="C8" s="100" t="n">
        <f>'Unemployment Insurance'!Z19</f>
        <v>0.19999999999999929</v>
      </c>
      <c r="D8" s="100" t="n">
        <f>'Unemployment Insurance'!AA19</f>
        <v>0</v>
      </c>
      <c r="E8" s="100" t="n">
        <f>'Unemployment Insurance'!AB19</f>
        <v>0</v>
      </c>
      <c r="F8" s="100" t="n">
        <f>'Unemployment Insurance'!AC19</f>
        <v>0</v>
      </c>
      <c r="G8" s="100" t="n">
        <f>'Unemployment Insurance'!AD19</f>
        <v>0</v>
      </c>
      <c r="H8" s="100" t="n">
        <f>'Unemployment Insurance'!AE19</f>
        <v>0</v>
      </c>
      <c r="I8" s="100" t="n">
        <f>'Unemployment Insurance'!AF19</f>
        <v>0</v>
      </c>
      <c r="J8" s="100" t="n">
        <f>'Unemployment Insurance'!AG19</f>
        <v>0</v>
      </c>
      <c r="K8" s="100" t="n">
        <f>'Unemployment Insurance'!AH19</f>
        <v>0</v>
      </c>
    </row>
    <row r="9">
      <c r="A9" t="s">
        <v>205</v>
      </c>
      <c r="B9" t="s">
        <v>206</v>
      </c>
      <c r="C9" s="100" t="n">
        <f>'Unemployment Insurance'!Z20</f>
        <v>22.5</v>
      </c>
      <c r="D9" s="100" t="n">
        <f>'Unemployment Insurance'!AA20</f>
        <v>22.5</v>
      </c>
      <c r="E9" s="100" t="n">
        <f>'Unemployment Insurance'!AB20</f>
        <v>22.5</v>
      </c>
      <c r="F9" s="100" t="n">
        <f>'Unemployment Insurance'!AC20</f>
        <v>22.5</v>
      </c>
      <c r="G9" s="100" t="n">
        <f>'Unemployment Insurance'!AD20</f>
        <v>22.5</v>
      </c>
      <c r="H9" s="100" t="n">
        <f>'Unemployment Insurance'!AE20</f>
        <v>22.5</v>
      </c>
      <c r="I9" s="100" t="n">
        <f>'Unemployment Insurance'!AF20</f>
        <v>22.5</v>
      </c>
      <c r="J9" s="100" t="n">
        <f>'Unemployment Insurance'!AG20</f>
        <v>22.5</v>
      </c>
      <c r="K9" s="100" t="n">
        <f>'Unemployment Insurance'!AH20</f>
        <v>22.5</v>
      </c>
    </row>
    <row r="10">
      <c r="A10" s="85" t="s">
        <v>207</v>
      </c>
      <c r="B10" s="85" t="s">
        <v>208</v>
      </c>
      <c r="C10" s="100" t="n">
        <f>Medicaid!Z29</f>
        <v>623</v>
      </c>
      <c r="D10" s="100" t="n">
        <f>Medicaid!AA29</f>
        <v>625.34650158908801</v>
      </c>
      <c r="E10" s="100" t="n">
        <f>Medicaid!AB29</f>
        <v>628.13224973035756</v>
      </c>
      <c r="F10" s="100" t="n">
        <f>Medicaid!AC29</f>
        <v>630.93040761996144</v>
      </c>
      <c r="G10" s="100" t="n">
        <f>Medicaid!AD29</f>
        <v>633.74103053994475</v>
      </c>
      <c r="H10" s="100" t="n">
        <f>Medicaid!AE29</f>
        <v>636.56417401861881</v>
      </c>
      <c r="I10" s="100" t="n">
        <f>Medicaid!AF29</f>
        <v>640.74049689325011</v>
      </c>
      <c r="J10" s="100" t="n">
        <f>Medicaid!AG29</f>
        <v>644.94421947629257</v>
      </c>
      <c r="K10" s="100" t="n">
        <f>Medicaid!AH29</f>
        <v>649.17552152971496</v>
      </c>
    </row>
    <row r="11">
      <c r="A11" s="85" t="s">
        <v>209</v>
      </c>
      <c r="B11" s="85" t="s">
        <v>210</v>
      </c>
      <c r="C11" s="100" t="n">
        <f>Medicaid!Z27</f>
        <v>942.7</v>
      </c>
      <c r="D11" s="100" t="n">
        <f>Medicaid!AA27</f>
        <v>946.2506373162654</v>
      </c>
      <c r="E11" s="100" t="n">
        <f>Medicaid!AB27</f>
        <v>950.46592587609643</v>
      </c>
      <c r="F11" s="100" t="n">
        <f>Medicaid!AC27</f>
        <v>954.69999239701076</v>
      </c>
      <c r="G11" s="100" t="n">
        <f>Medicaid!AD27</f>
        <v>958.95292052970467</v>
      </c>
      <c r="H11" s="100" t="n">
        <f>Medicaid!AE27</f>
        <v>963.22479429751525</v>
      </c>
      <c r="I11" s="100" t="n">
        <f>Medicaid!AF27</f>
        <v>969.5442478672021</v>
      </c>
      <c r="J11" s="100" t="n">
        <f>Medicaid!AG27</f>
        <v>975.90516163772247</v>
      </c>
      <c r="K11" s="100" t="n">
        <f>Medicaid!AH27</f>
        <v>982.30780761807762</v>
      </c>
    </row>
    <row r="12">
      <c r="A12" t="s">
        <v>55</v>
      </c>
      <c r="B12" t="s">
        <v>211</v>
      </c>
      <c r="C12" s="100" t="n">
        <f>Medicare!Z10</f>
        <v>983.2</v>
      </c>
      <c r="D12" s="100" t="n">
        <f>Medicare!AA10</f>
        <v>1004.8913543635854</v>
      </c>
      <c r="E12" s="100" t="n">
        <f>Medicare!AB10</f>
        <v>1017.6261860902274</v>
      </c>
      <c r="F12" s="100" t="n">
        <f>Medicare!AC10</f>
        <v>1030.5224043572171</v>
      </c>
      <c r="G12" s="100" t="n">
        <f>Medicare!AD10</f>
        <v>1043.5820543910609</v>
      </c>
      <c r="H12" s="100" t="n">
        <f>Medicare!AE10</f>
        <v>1056.8072073371027</v>
      </c>
      <c r="I12" s="100" t="n">
        <f>Medicare!AF10</f>
        <v>1073.4409624197474</v>
      </c>
      <c r="J12" s="100" t="n">
        <f>Medicare!AG10</f>
        <v>1090.3365266632575</v>
      </c>
      <c r="K12" s="100" t="n">
        <f>Medicare!AH10</f>
        <v>1107.4980208471184</v>
      </c>
    </row>
    <row r="13">
      <c r="A13" t="s">
        <v>212</v>
      </c>
      <c r="B13" t="s">
        <v>213</v>
      </c>
      <c r="C13" s="100" t="n">
        <f>'Rebate Checks (expired)'!Z11</f>
        <v>0</v>
      </c>
      <c r="D13" s="100" t="n">
        <f>'Rebate Checks (expired)'!AA11</f>
        <v>0</v>
      </c>
      <c r="E13" s="100" t="n">
        <f>'Rebate Checks (expired)'!AB11</f>
        <v>0</v>
      </c>
      <c r="F13" s="100" t="n">
        <f>'Rebate Checks (expired)'!AC11</f>
        <v>0</v>
      </c>
      <c r="G13" s="100" t="n">
        <f>'Rebate Checks (expired)'!AD11</f>
        <v>0</v>
      </c>
      <c r="H13" s="100" t="n">
        <f>'Rebate Checks (expired)'!AE11</f>
        <v>0</v>
      </c>
      <c r="I13" s="100" t="n">
        <f>'Rebate Checks (expired)'!AF11</f>
        <v>0</v>
      </c>
      <c r="J13" s="100" t="n">
        <f>'Rebate Checks (expired)'!AG11</f>
        <v>0</v>
      </c>
      <c r="K13" s="100" t="n">
        <f>'Rebate Checks (expired)'!AH11</f>
        <v>0</v>
      </c>
    </row>
    <row r="14">
      <c r="A14" t="s">
        <v>214</v>
      </c>
      <c r="B14" t="s">
        <v>215</v>
      </c>
      <c r="C14" s="100" t="n">
        <f>'Rebate Checks (expired)'!Z10</f>
        <v>0</v>
      </c>
      <c r="D14" s="100" t="n">
        <f>'Rebate Checks (expired)'!AA10</f>
        <v>0</v>
      </c>
      <c r="E14" s="100" t="n">
        <f>'Rebate Checks (expired)'!AB10</f>
        <v>0</v>
      </c>
      <c r="F14" s="100" t="n">
        <f>'Rebate Checks (expired)'!AC10</f>
        <v>0</v>
      </c>
      <c r="G14" s="100" t="n">
        <f>'Rebate Checks (expired)'!AD10</f>
        <v>0</v>
      </c>
      <c r="H14" s="100" t="n">
        <f>'Rebate Checks (expired)'!AE10</f>
        <v>0</v>
      </c>
      <c r="I14" s="100" t="n">
        <f>'Rebate Checks (expired)'!AF10</f>
        <v>0</v>
      </c>
      <c r="J14" s="100" t="n">
        <f>'Rebate Checks (expired)'!AG10</f>
        <v>0</v>
      </c>
      <c r="K14" s="100" t="n">
        <f>'Rebate Checks (expired)'!AH10</f>
        <v>0</v>
      </c>
    </row>
    <row r="15">
      <c r="A15" t="s">
        <v>216</v>
      </c>
      <c r="B15" t="s">
        <v>217</v>
      </c>
      <c r="C15" s="100" t="n">
        <f>'Social Benefits'!Z24</f>
        <v>4.2219999999999995</v>
      </c>
      <c r="D15" s="100" t="n">
        <f>'Social Benefits'!AA24</f>
        <v>4.2219999999999995</v>
      </c>
      <c r="E15" s="100" t="n">
        <f>'Social Benefits'!AB24</f>
        <v>2.3719999999999999</v>
      </c>
      <c r="F15" s="100" t="n">
        <f>'Social Benefits'!AC24</f>
        <v>2.3719999999999999</v>
      </c>
      <c r="G15" s="100" t="n">
        <f>'Social Benefits'!AD24</f>
        <v>2.3719999999999999</v>
      </c>
      <c r="H15" s="100" t="n">
        <f>'Social Benefits'!AE24</f>
        <v>2.3719999999999999</v>
      </c>
      <c r="I15" s="100" t="n">
        <f>'Social Benefits'!AF24</f>
        <v>0.49</v>
      </c>
      <c r="J15" s="100" t="n">
        <f>'Social Benefits'!AG24</f>
        <v>0</v>
      </c>
      <c r="K15" s="100" t="n">
        <f>'Social Benefits'!AH24</f>
        <v>0</v>
      </c>
    </row>
    <row r="16">
      <c r="A16" t="s">
        <v>797</v>
      </c>
      <c r="B16" t="s">
        <v>219</v>
      </c>
      <c r="C16" s="100" t="n">
        <f>'Social Benefits'!Z30</f>
        <v>1.4790000000000001</v>
      </c>
      <c r="D16" s="100" t="n">
        <f>'Social Benefits'!AA30</f>
        <v>1.4790000000000001</v>
      </c>
      <c r="E16" s="100" t="n">
        <f>'Social Benefits'!AB30</f>
        <v>1.63</v>
      </c>
      <c r="F16" s="100" t="n">
        <f>'Social Benefits'!AC30</f>
        <v>1.63</v>
      </c>
      <c r="G16" s="100" t="n">
        <f>'Social Benefits'!AD30</f>
        <v>1.63</v>
      </c>
      <c r="H16" s="100" t="n">
        <f>'Social Benefits'!AE30</f>
        <v>1.63</v>
      </c>
      <c r="I16" s="100" t="n">
        <f>'Social Benefits'!AF30</f>
        <v>1.671</v>
      </c>
      <c r="J16" s="100" t="n">
        <f>'Social Benefits'!AG30</f>
        <v>0</v>
      </c>
      <c r="K16" s="100" t="n">
        <f>'Social Benefits'!AH30</f>
        <v>0</v>
      </c>
    </row>
    <row r="17">
      <c r="A17" t="s">
        <v>220</v>
      </c>
      <c r="B17" t="s">
        <v>221</v>
      </c>
      <c r="C17" s="100" t="n">
        <f>'Social Benefits'!Z33</f>
        <v>2069.3989999999999</v>
      </c>
      <c r="D17" s="100" t="n">
        <f>'Social Benefits'!AA33</f>
        <v>2076.3323333333333</v>
      </c>
      <c r="E17" s="100" t="n">
        <f>'Social Benefits'!AB33</f>
        <v>2084.7936666666669</v>
      </c>
      <c r="F17" s="100" t="n">
        <f>'Social Benefits'!AC33</f>
        <v>2126.5286675860002</v>
      </c>
      <c r="G17" s="100" t="n">
        <f>'Social Benefits'!AD33</f>
        <v>2133.4620009193336</v>
      </c>
      <c r="H17" s="100" t="n">
        <f>'Social Benefits'!AE33</f>
        <v>2140.395334252667</v>
      </c>
      <c r="I17" s="100" t="n">
        <f>'Social Benefits'!AF33</f>
        <v>2131.0896675860004</v>
      </c>
      <c r="J17" s="100" t="n">
        <f>'Social Benefits'!AG33</f>
        <v>2175.0289118598116</v>
      </c>
      <c r="K17" s="100" t="n">
        <f>'Social Benefits'!AH33</f>
        <v>2181.2342451931449</v>
      </c>
    </row>
    <row r="18">
      <c r="A18" t="s">
        <v>222</v>
      </c>
      <c r="B18" t="s">
        <v>223</v>
      </c>
      <c r="C18" s="100" t="n">
        <f>'Social Benefits'!Z38</f>
        <v>199.52477289205825</v>
      </c>
      <c r="D18" s="100" t="n">
        <f>'Social Benefits'!AA38</f>
        <v>202.80426544959073</v>
      </c>
      <c r="E18" s="100" t="n">
        <f>'Social Benefits'!AB38</f>
        <v>206.137661446175</v>
      </c>
      <c r="F18" s="100" t="n">
        <f>'Social Benefits'!AC38</f>
        <v>209.52584686666717</v>
      </c>
      <c r="G18" s="100" t="n">
        <f>'Social Benefits'!AD38</f>
        <v>212.9697222584295</v>
      </c>
      <c r="H18" s="100" t="n">
        <f>'Social Benefits'!AE38</f>
        <v>216.47020297068735</v>
      </c>
      <c r="I18" s="100" t="n">
        <f>'Social Benefits'!AF38</f>
        <v>220.02821939782032</v>
      </c>
      <c r="J18" s="100" t="n">
        <f>'Social Benefits'!AG38</f>
        <v>223.64471722665206</v>
      </c>
      <c r="K18" s="100" t="n">
        <f>'Social Benefits'!AH38</f>
        <v>227.32065768780498</v>
      </c>
    </row>
    <row r="19">
      <c r="A19" t="s">
        <v>224</v>
      </c>
      <c r="B19" t="s">
        <v>225</v>
      </c>
      <c r="C19" s="100" t="n">
        <f>Taxes!Z9</f>
        <v>4433.3999999999996</v>
      </c>
      <c r="D19" s="100" t="n">
        <f>Taxes!AA9</f>
        <v>4489.7713883870456</v>
      </c>
      <c r="E19" s="100" t="n">
        <f>Taxes!AB9</f>
        <v>4538.5469751658384</v>
      </c>
      <c r="F19" s="100" t="n">
        <f>Taxes!AC9</f>
        <v>4612.4270713244514</v>
      </c>
      <c r="G19" s="100" t="n">
        <f>Taxes!AD9</f>
        <v>4644.0864887445623</v>
      </c>
      <c r="H19" s="100" t="n">
        <f>Taxes!AE9</f>
        <v>4675.9902837778927</v>
      </c>
      <c r="I19" s="100" t="n">
        <f>Taxes!AF9</f>
        <v>4708.1405975032039</v>
      </c>
      <c r="J19" s="100" t="n">
        <f>Taxes!AG9</f>
        <v>4791.4510358579109</v>
      </c>
      <c r="K19" s="100" t="n">
        <f>Taxes!AH9</f>
        <v>4824.3535656118838</v>
      </c>
    </row>
    <row r="20">
      <c r="A20" t="s">
        <v>226</v>
      </c>
      <c r="B20" t="s">
        <v>227</v>
      </c>
      <c r="C20" s="100" t="n">
        <f>Taxes!Z19</f>
        <v>2334.8000000000002</v>
      </c>
      <c r="D20" s="100" t="n">
        <f>Taxes!AA19</f>
        <v>2370.4934691362682</v>
      </c>
      <c r="E20" s="100" t="n">
        <f>Taxes!AB19</f>
        <v>2394.4737296945541</v>
      </c>
      <c r="F20" s="100" t="n">
        <f>Taxes!AC19</f>
        <v>2419.1819686234739</v>
      </c>
      <c r="G20" s="100" t="n">
        <f>Taxes!AD19</f>
        <v>2443.8279877221571</v>
      </c>
      <c r="H20" s="100" t="n">
        <f>Taxes!AE19</f>
        <v>2467.5122332493233</v>
      </c>
      <c r="I20" s="100" t="n">
        <f>Taxes!AF19</f>
        <v>2490.887019004148</v>
      </c>
      <c r="J20" s="100" t="n">
        <f>Taxes!AG19</f>
        <v>2511.8002577188468</v>
      </c>
      <c r="K20" s="100" t="n">
        <f>Taxes!AH19</f>
        <v>2533.5609851387253</v>
      </c>
    </row>
    <row r="21">
      <c r="A21" t="s">
        <v>228</v>
      </c>
      <c r="B21" t="s">
        <v>229</v>
      </c>
      <c r="C21" s="100" t="n">
        <f>Taxes!Z16</f>
        <v>470.1</v>
      </c>
      <c r="D21" s="100" t="n">
        <f>Taxes!AA16</f>
        <v>481.67610036716962</v>
      </c>
      <c r="E21" s="100" t="n">
        <f>Taxes!AB16</f>
        <v>491.34941698295808</v>
      </c>
      <c r="F21" s="100" t="n">
        <f>Taxes!AC16</f>
        <v>501.21699911094026</v>
      </c>
      <c r="G21" s="100" t="n">
        <f>Taxes!AD16</f>
        <v>511.28274811098333</v>
      </c>
      <c r="H21" s="100" t="n">
        <f>Taxes!AE16</f>
        <v>521.55064369247032</v>
      </c>
      <c r="I21" s="100" t="n">
        <f>Taxes!AF16</f>
        <v>520.23365660978743</v>
      </c>
      <c r="J21" s="100" t="n">
        <f>Taxes!AG16</f>
        <v>518.91999510055928</v>
      </c>
      <c r="K21" s="100" t="n">
        <f>Taxes!AH16</f>
        <v>517.60965076725563</v>
      </c>
    </row>
    <row r="22">
      <c r="A22" t="s">
        <v>230</v>
      </c>
      <c r="B22" t="s">
        <v>231</v>
      </c>
      <c r="C22" s="100" t="n">
        <f>Taxes!Z25</f>
        <v>162.69999999999999</v>
      </c>
      <c r="D22" s="100" t="n">
        <f>Taxes!AA25</f>
        <v>164.47905347684949</v>
      </c>
      <c r="E22" s="100" t="n">
        <f>Taxes!AB25</f>
        <v>165.71883136852895</v>
      </c>
      <c r="F22" s="100" t="n">
        <f>Taxes!AC25</f>
        <v>167.23658636596619</v>
      </c>
      <c r="G22" s="100" t="n">
        <f>Taxes!AD25</f>
        <v>168.74878182128822</v>
      </c>
      <c r="H22" s="100" t="n">
        <f>Taxes!AE25</f>
        <v>169.71058260720997</v>
      </c>
      <c r="I22" s="100" t="n">
        <f>Taxes!AF25</f>
        <v>169.79397573893729</v>
      </c>
      <c r="J22" s="100" t="n">
        <f>Taxes!AG25</f>
        <v>169.04899709550656</v>
      </c>
      <c r="K22" s="100" t="n">
        <f>Taxes!AH25</f>
        <v>168.92668716897319</v>
      </c>
    </row>
    <row r="23">
      <c r="A23" s="85" t="s">
        <v>1385</v>
      </c>
      <c r="B23" t="s">
        <v>1384</v>
      </c>
      <c r="C23" s="100" t="n">
        <f>'Student loans'!Z11</f>
        <v>2.6040450000000002</v>
      </c>
      <c r="D23" s="100" t="n">
        <f>'Student loans'!AA11</f>
        <v>2.626465</v>
      </c>
      <c r="E23" s="100" t="n">
        <f>'Student loans'!AB11</f>
        <v>2.6498349999999999</v>
      </c>
      <c r="F23" s="100" t="n">
        <f>'Student loans'!AC11</f>
        <v>2.6454420000000001</v>
      </c>
      <c r="G23" s="100" t="n">
        <f>'Student loans'!AD11</f>
        <v>2.6696</v>
      </c>
      <c r="H23" s="100" t="n">
        <f>'Student loans'!AE11</f>
        <v>2.693006</v>
      </c>
      <c r="I23" s="100" t="n">
        <f>'Student loans'!AF11</f>
        <v>2.7175400000000001</v>
      </c>
      <c r="J23" s="100" t="n">
        <f>'Student loans'!AG11</f>
        <v>2.7175400000000001</v>
      </c>
      <c r="K23" s="100" t="n">
        <f>'Student loans'!AH11</f>
        <v>2.7175400000000001</v>
      </c>
    </row>
    <row r="24">
      <c r="A24" s="107" t="s">
        <v>2267</v>
      </c>
      <c r="B24" t="s">
        <v>1886</v>
      </c>
      <c r="C24" s="100" t="n">
        <f>'Supply Side IRA'!Z14</f>
        <v>85.479458631542002</v>
      </c>
      <c r="D24" s="100" t="n">
        <f>'Supply Side IRA'!AA14</f>
        <v>79.813256511764848</v>
      </c>
      <c r="E24" s="100" t="n">
        <f>'Supply Side IRA'!AB14</f>
        <v>71.273911547282538</v>
      </c>
      <c r="F24" s="100" t="n">
        <f>'Supply Side IRA'!AC14</f>
        <v>74.056247742351616</v>
      </c>
      <c r="G24" s="100" t="n">
        <f>'Supply Side IRA'!AD14</f>
        <v>88.486802161935842</v>
      </c>
      <c r="H24" s="100" t="n">
        <f>'Supply Side IRA'!AE14</f>
        <v>103.1617647413514</v>
      </c>
      <c r="I24" s="100" t="n">
        <f>'Supply Side IRA'!AF14</f>
        <v>109.6909516030525</v>
      </c>
      <c r="J24" s="100" t="n">
        <f>'Supply Side IRA'!AG14</f>
        <v>134.69219639112575</v>
      </c>
      <c r="K24" s="100" t="n">
        <f>'Supply Side IRA'!AH14</f>
        <v>155.1546813780385</v>
      </c>
    </row>
    <row r="25">
      <c r="A25" s="97"/>
      <c r="C25" s="102"/>
      <c r="D25" s="102"/>
      <c r="E25" s="102"/>
      <c r="F25" s="102"/>
    </row>
    <row r="26">
      <c r="A26" s="97"/>
      <c r="C26" s="102"/>
      <c r="D26" s="102"/>
      <c r="E26" s="102"/>
      <c r="F26" s="102"/>
    </row>
    <row r="27">
      <c r="A27" s="97"/>
      <c r="C27" s="102"/>
      <c r="D27" s="102"/>
      <c r="E27" s="102"/>
      <c r="F27" s="102"/>
    </row>
    <row r="28">
      <c r="A28" s="85"/>
      <c r="C28" s="102"/>
      <c r="D28" s="102"/>
      <c r="E28" s="102"/>
      <c r="F28" s="10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0" zoomScaleNormal="120" workbookViewId="0">
      <pane xSplit="2" ySplit="7" topLeftCell="R25" activePane="bottomRight" state="frozen"/>
      <selection pane="topRight" activeCell="C1" sqref="C1"/>
      <selection pane="bottomLeft" activeCell="A8" sqref="A8"/>
      <selection pane="bottomRight" activeCell="AC43" sqref="AC43"/>
    </sheetView>
  </sheetViews>
  <sheetFormatPr defaultRowHeight="15.0" baseColWidth="10"/>
  <cols>
    <col min="1" max="1" width="6.54296875" hidden="0" customWidth="1"/>
    <col min="2" max="2" width="65" hidden="0" customWidth="1"/>
    <col min="3" max="3" width="11.54296875" hidden="0" customWidth="1"/>
    <col min="4" max="4" width="11.54296875" hidden="0" customWidth="1"/>
    <col min="5" max="5" width="11.54296875" hidden="0" customWidth="1"/>
    <col min="6" max="6" width="11.54296875" hidden="0" customWidth="1"/>
    <col min="7" max="7" width="11.54296875" hidden="0" customWidth="1"/>
    <col min="8" max="8" width="11.54296875" hidden="0" customWidth="1"/>
    <col min="9" max="9" width="11.54296875" hidden="0" customWidth="1"/>
    <col min="10" max="10" width="11.54296875" hidden="0" customWidth="1"/>
    <col min="11" max="11" width="11.54296875" hidden="0" customWidth="1"/>
    <col min="12" max="12" width="11.54296875" hidden="0" customWidth="1"/>
    <col min="13" max="13" width="11.54296875" hidden="0" customWidth="1"/>
    <col min="14" max="14" width="11.54296875" hidden="0" customWidth="1"/>
    <col min="15" max="15" width="11.54296875" hidden="0" customWidth="1"/>
    <col min="16" max="16" width="11.54296875" hidden="0" customWidth="1"/>
    <col min="17" max="17" width="11.54296875" hidden="0" customWidth="1"/>
    <col min="18" max="18" width="11.54296875" hidden="0" customWidth="1"/>
    <col min="19" max="19" width="11.542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s>
  <sheetData>
    <row r="2" ht="21" customHeight="1">
      <c r="A2" s="164" t="s">
        <v>1812</v>
      </c>
      <c r="B2" s="164"/>
      <c r="C2" s="164"/>
      <c r="D2" s="164"/>
      <c r="E2" s="164"/>
      <c r="F2" s="164"/>
      <c r="G2" s="164"/>
      <c r="H2" s="164"/>
      <c r="I2" s="164"/>
      <c r="J2" s="164"/>
      <c r="K2" s="164"/>
      <c r="L2" s="116"/>
      <c r="M2" s="128"/>
      <c r="N2" s="234"/>
      <c r="O2" s="116"/>
      <c r="P2" s="128"/>
      <c r="Q2" s="234"/>
      <c r="R2" s="116"/>
      <c r="S2" s="128"/>
      <c r="T2" s="234"/>
      <c r="U2" s="116"/>
      <c r="V2" s="128"/>
      <c r="W2" s="234"/>
      <c r="X2" s="116"/>
      <c r="Y2" s="128"/>
      <c r="Z2" s="234"/>
      <c r="AA2" s="116"/>
      <c r="AB2" s="105"/>
    </row>
    <row r="3">
      <c r="A3" s="105" t="s">
        <v>884</v>
      </c>
      <c r="B3" s="105"/>
      <c r="C3" s="105"/>
      <c r="D3" s="105"/>
      <c r="E3" s="105"/>
      <c r="F3" s="105"/>
      <c r="G3" s="105"/>
      <c r="H3" s="105"/>
      <c r="I3" s="105"/>
      <c r="J3" s="105"/>
      <c r="K3" s="105"/>
      <c r="L3" s="117"/>
      <c r="M3" s="134"/>
      <c r="N3" s="235"/>
      <c r="O3" s="117"/>
      <c r="P3" s="134"/>
      <c r="Q3" s="235"/>
      <c r="R3" s="117"/>
      <c r="S3" s="134"/>
      <c r="T3" s="235"/>
      <c r="U3" s="117"/>
      <c r="V3" s="134"/>
      <c r="W3" s="235"/>
      <c r="X3" s="117"/>
      <c r="Y3" s="134"/>
      <c r="Z3" s="235"/>
      <c r="AA3" s="117"/>
      <c r="AB3" s="105"/>
    </row>
    <row r="4" ht="15" customHeight="1">
      <c r="A4" s="166"/>
      <c r="B4" s="166"/>
      <c r="C4" s="166"/>
      <c r="D4" s="212"/>
      <c r="E4" s="212"/>
      <c r="F4" s="212"/>
      <c r="G4" s="212"/>
      <c r="H4" s="212"/>
      <c r="I4" s="212"/>
      <c r="J4" s="212"/>
      <c r="K4" s="212"/>
      <c r="L4" s="118"/>
      <c r="M4" s="145"/>
      <c r="N4" s="237"/>
      <c r="O4" s="118"/>
      <c r="P4" s="145"/>
      <c r="Q4" s="237"/>
      <c r="R4" s="118"/>
      <c r="S4" s="145"/>
      <c r="T4" s="237"/>
      <c r="U4" s="118"/>
      <c r="V4" s="145"/>
      <c r="W4" s="237"/>
      <c r="X4" s="118"/>
      <c r="Y4" s="145"/>
      <c r="Z4" s="237"/>
      <c r="AA4" s="118"/>
    </row>
    <row r="5">
      <c r="A5" s="167" t="s">
        <v>815</v>
      </c>
      <c r="B5" s="170"/>
      <c r="C5" s="173" t="s">
        <v>896</v>
      </c>
      <c r="D5" s="173" t="s">
        <v>896</v>
      </c>
      <c r="E5" s="173" t="s">
        <v>896</v>
      </c>
      <c r="F5" s="173" t="s">
        <v>896</v>
      </c>
      <c r="G5" s="173" t="s">
        <v>896</v>
      </c>
      <c r="H5" s="173" t="s">
        <v>896</v>
      </c>
      <c r="I5" s="173" t="s">
        <v>896</v>
      </c>
      <c r="J5" s="174" t="s">
        <v>896</v>
      </c>
      <c r="K5" s="198"/>
      <c r="L5" s="119"/>
      <c r="M5" s="159"/>
      <c r="N5" s="238"/>
      <c r="O5" s="119"/>
      <c r="P5" s="159"/>
      <c r="Q5" s="238"/>
      <c r="R5" s="119"/>
      <c r="S5" s="159"/>
      <c r="T5" s="238"/>
      <c r="U5" s="119"/>
      <c r="V5" s="159"/>
      <c r="W5" s="238"/>
      <c r="X5" s="119"/>
      <c r="Y5" s="159"/>
      <c r="Z5" s="238"/>
      <c r="AA5" s="119"/>
    </row>
    <row r="6">
      <c r="A6" s="168" t="s">
        <v>815</v>
      </c>
      <c r="B6" s="171"/>
      <c r="C6" s="175" t="n">
        <v>2022</v>
      </c>
      <c r="D6" s="177"/>
      <c r="E6" s="177"/>
      <c r="F6" s="177"/>
      <c r="G6" s="177"/>
      <c r="H6" s="178"/>
      <c r="I6" s="175" t="n">
        <v>2023</v>
      </c>
      <c r="J6" s="177" t="n">
        <v>2023</v>
      </c>
      <c r="K6" s="178" t="n">
        <v>2023</v>
      </c>
      <c r="L6" s="120"/>
      <c r="M6" s="160"/>
      <c r="N6" s="239"/>
      <c r="O6" s="120"/>
      <c r="P6" s="160"/>
      <c r="Q6" s="239"/>
      <c r="R6" s="120"/>
      <c r="S6" s="160"/>
      <c r="T6" s="239"/>
      <c r="U6" s="120"/>
      <c r="V6" s="160"/>
      <c r="W6" s="239"/>
      <c r="X6" s="120"/>
      <c r="Y6" s="160"/>
      <c r="Z6" s="239"/>
      <c r="AA6" s="120"/>
    </row>
    <row r="7" ht="32.5" customHeight="1">
      <c r="A7" s="169" t="s">
        <v>815</v>
      </c>
      <c r="B7" s="172"/>
      <c r="C7" s="201" t="s">
        <v>1754</v>
      </c>
      <c r="D7" s="201" t="s">
        <v>1832</v>
      </c>
      <c r="E7" s="201" t="s">
        <v>1833</v>
      </c>
      <c r="F7" s="201" t="s">
        <v>1837</v>
      </c>
      <c r="G7" s="201" t="s">
        <v>1838</v>
      </c>
      <c r="H7" s="201" t="s">
        <v>1839</v>
      </c>
      <c r="I7" s="201" t="s">
        <v>234</v>
      </c>
      <c r="J7" s="201" t="s">
        <v>235</v>
      </c>
      <c r="K7" s="201" t="s">
        <v>1887</v>
      </c>
      <c r="L7" s="129" t="s">
        <v>1895</v>
      </c>
      <c r="M7" s="136" t="s">
        <v>1896</v>
      </c>
      <c r="N7" s="142" t="s">
        <v>1901</v>
      </c>
      <c r="O7" s="129" t="s">
        <v>1902</v>
      </c>
      <c r="P7" s="136" t="s">
        <v>1832</v>
      </c>
      <c r="Q7" s="142" t="s">
        <v>1833</v>
      </c>
      <c r="R7" s="129" t="s">
        <v>1837</v>
      </c>
      <c r="S7" s="136" t="s">
        <v>1950</v>
      </c>
      <c r="T7" s="142" t="s">
        <v>1943</v>
      </c>
      <c r="U7" s="129" t="s">
        <v>234</v>
      </c>
      <c r="V7" s="136" t="s">
        <v>235</v>
      </c>
      <c r="W7" s="142" t="s">
        <v>1887</v>
      </c>
      <c r="X7" s="129" t="s">
        <v>1895</v>
      </c>
      <c r="Y7" s="136" t="s">
        <v>1896</v>
      </c>
      <c r="Z7" s="142" t="s">
        <v>2260</v>
      </c>
      <c r="AA7" s="129" t="s">
        <v>2261</v>
      </c>
    </row>
    <row r="8">
      <c r="A8" s="188" t="n">
        <v>1</v>
      </c>
      <c r="B8" s="75" t="s">
        <v>239</v>
      </c>
      <c r="C8" s="202" t="n">
        <v>21852.3</v>
      </c>
      <c r="D8" s="202" t="n">
        <v>21975.8</v>
      </c>
      <c r="E8" s="203" t="n">
        <v>22080.400000000001</v>
      </c>
      <c r="F8" s="203" t="n">
        <v>22201.9</v>
      </c>
      <c r="G8" s="203" t="n">
        <v>22240.1</v>
      </c>
      <c r="H8" s="203" t="n">
        <v>22281.9</v>
      </c>
      <c r="I8" s="202" t="n">
        <v>22525.3</v>
      </c>
      <c r="J8" s="203" t="n">
        <v>22648.400000000001</v>
      </c>
      <c r="K8" s="202" t="n">
        <v>22757.9</v>
      </c>
      <c r="L8" s="130" t="n">
        <v>22806.1</v>
      </c>
      <c r="M8" s="137" t="n">
        <v>22876.6</v>
      </c>
      <c r="N8" s="219" t="n">
        <v>22921.4</v>
      </c>
      <c r="O8" s="192" t="n">
        <v>22986.400000000001</v>
      </c>
      <c r="P8" s="137" t="n">
        <v>23094.5</v>
      </c>
      <c r="Q8" s="219" t="n">
        <v>23176.2</v>
      </c>
      <c r="R8" s="130" t="n">
        <v>23189.4</v>
      </c>
      <c r="S8" s="137" t="n">
        <v>23241.5</v>
      </c>
      <c r="T8" s="143" t="n">
        <v>23311.599999999999</v>
      </c>
      <c r="U8" s="130" t="n">
        <v>23560</v>
      </c>
      <c r="V8" s="137" t="n">
        <v>23626.3</v>
      </c>
      <c r="W8" s="143" t="n">
        <v>23746.6</v>
      </c>
      <c r="X8" s="130" t="n">
        <v>23800.799999999999</v>
      </c>
      <c r="Y8" s="137" t="n">
        <v>23892.5</v>
      </c>
      <c r="Z8" s="143" t="n">
        <v>23940.400000000001</v>
      </c>
      <c r="AA8" s="149" t="n">
        <v>24015.4</v>
      </c>
    </row>
    <row r="9">
      <c r="A9" s="189" t="n">
        <v>2</v>
      </c>
      <c r="B9" s="230" t="s">
        <v>1755</v>
      </c>
      <c r="C9" s="204" t="n">
        <v>13654.1</v>
      </c>
      <c r="D9" s="204" t="n">
        <v>13754.9</v>
      </c>
      <c r="E9" s="205" t="n">
        <v>13856.1</v>
      </c>
      <c r="F9" s="205" t="n">
        <v>13828.8</v>
      </c>
      <c r="G9" s="205" t="n">
        <v>13822.8</v>
      </c>
      <c r="H9" s="205" t="n">
        <v>13832.7</v>
      </c>
      <c r="I9" s="204" t="n">
        <v>13885.2</v>
      </c>
      <c r="J9" s="205" t="n">
        <v>13968.7</v>
      </c>
      <c r="K9" s="204" t="n">
        <v>14041.7</v>
      </c>
      <c r="L9" s="131" t="n">
        <v>14092.7</v>
      </c>
      <c r="M9" s="138" t="n">
        <v>14151.1</v>
      </c>
      <c r="N9" s="221" t="n">
        <v>14218.6</v>
      </c>
      <c r="O9" s="193" t="n">
        <v>14296.4</v>
      </c>
      <c r="P9" s="138" t="n">
        <v>14372.7</v>
      </c>
      <c r="Q9" s="221" t="n">
        <v>14437.1</v>
      </c>
      <c r="R9" s="131" t="n">
        <v>14416.2</v>
      </c>
      <c r="S9" s="138" t="n">
        <v>14436.6</v>
      </c>
      <c r="T9" s="144" t="n">
        <v>14491.6</v>
      </c>
      <c r="U9" s="131" t="n">
        <v>14555.2</v>
      </c>
      <c r="V9" s="138" t="n">
        <v>14649.5</v>
      </c>
      <c r="W9" s="144" t="n">
        <v>14729.9</v>
      </c>
      <c r="X9" s="131" t="n">
        <v>14755.4</v>
      </c>
      <c r="Y9" s="138" t="n">
        <v>14834.5</v>
      </c>
      <c r="Z9" s="144" t="n">
        <v>14872.3</v>
      </c>
      <c r="AA9" s="150" t="n">
        <v>14923.2</v>
      </c>
    </row>
    <row r="10">
      <c r="A10" s="189" t="n">
        <v>3</v>
      </c>
      <c r="B10" s="231" t="s">
        <v>1756</v>
      </c>
      <c r="C10" s="204" t="n">
        <v>11271.8</v>
      </c>
      <c r="D10" s="204" t="n">
        <v>11360.7</v>
      </c>
      <c r="E10" s="205" t="n">
        <v>11450.6</v>
      </c>
      <c r="F10" s="205" t="n">
        <v>11420.4</v>
      </c>
      <c r="G10" s="205" t="n">
        <v>11408.7</v>
      </c>
      <c r="H10" s="205" t="n">
        <v>11412.7</v>
      </c>
      <c r="I10" s="204" t="n">
        <v>11494.7</v>
      </c>
      <c r="J10" s="205" t="n">
        <v>11568.5</v>
      </c>
      <c r="K10" s="204" t="n">
        <v>11633.1</v>
      </c>
      <c r="L10" s="131" t="n">
        <v>11680.1</v>
      </c>
      <c r="M10" s="138" t="n">
        <v>11730.8</v>
      </c>
      <c r="N10" s="221" t="n">
        <v>11788.9</v>
      </c>
      <c r="O10" s="193" t="n">
        <v>11855.6</v>
      </c>
      <c r="P10" s="138" t="n">
        <v>11921.2</v>
      </c>
      <c r="Q10" s="221" t="n">
        <v>11975.7</v>
      </c>
      <c r="R10" s="131" t="n">
        <v>11950.9</v>
      </c>
      <c r="S10" s="138" t="n">
        <v>11965.4</v>
      </c>
      <c r="T10" s="144" t="n">
        <v>12011.8</v>
      </c>
      <c r="U10" s="131" t="n">
        <v>12059.7</v>
      </c>
      <c r="V10" s="138" t="n">
        <v>12143.3</v>
      </c>
      <c r="W10" s="144" t="n">
        <v>12213.8</v>
      </c>
      <c r="X10" s="131" t="n">
        <v>12233.5</v>
      </c>
      <c r="Y10" s="138" t="n">
        <v>12303</v>
      </c>
      <c r="Z10" s="144" t="n">
        <v>12333.4</v>
      </c>
      <c r="AA10" s="150" t="n">
        <v>12376.4</v>
      </c>
    </row>
    <row r="11">
      <c r="A11" s="189" t="n">
        <v>4</v>
      </c>
      <c r="B11" s="236" t="s">
        <v>1757</v>
      </c>
      <c r="C11" s="206" t="n">
        <v>9656.4</v>
      </c>
      <c r="D11" s="206" t="n">
        <v>9735.9</v>
      </c>
      <c r="E11" s="207" t="n">
        <v>9819.5</v>
      </c>
      <c r="F11" s="207" t="n">
        <v>9785.7999999999993</v>
      </c>
      <c r="G11" s="207" t="n">
        <v>9763.9</v>
      </c>
      <c r="H11" s="207" t="n">
        <v>9762.2999999999993</v>
      </c>
      <c r="I11" s="206" t="n">
        <v>9818.2999999999993</v>
      </c>
      <c r="J11" s="207" t="n">
        <v>9882.7999999999993</v>
      </c>
      <c r="K11" s="206" t="n">
        <v>9937.7000000000007</v>
      </c>
      <c r="L11" s="132" t="n">
        <v>9976.9</v>
      </c>
      <c r="M11" s="139" t="n">
        <v>10019.799999999999</v>
      </c>
      <c r="N11" s="222" t="n">
        <v>10070.4</v>
      </c>
      <c r="O11" s="194" t="n">
        <v>10117.4</v>
      </c>
      <c r="P11" s="139" t="n">
        <v>10167.9</v>
      </c>
      <c r="Q11" s="222" t="n">
        <v>10207.1</v>
      </c>
      <c r="R11" s="132" t="n">
        <v>10171.700000000001</v>
      </c>
      <c r="S11" s="139" t="n">
        <v>10179.4</v>
      </c>
      <c r="T11" s="146" t="n">
        <v>10214.799999999999</v>
      </c>
      <c r="U11" s="132" t="n">
        <v>10247.799999999999</v>
      </c>
      <c r="V11" s="139" t="n">
        <v>10318.1</v>
      </c>
      <c r="W11" s="146" t="n">
        <v>10374.299999999999</v>
      </c>
      <c r="X11" s="132" t="n">
        <v>10388</v>
      </c>
      <c r="Y11" s="139" t="n">
        <v>10450.5</v>
      </c>
      <c r="Z11" s="146" t="n">
        <v>10471.299999999999</v>
      </c>
      <c r="AA11" s="151" t="n">
        <v>10506.9</v>
      </c>
    </row>
    <row r="12">
      <c r="A12" s="189" t="n">
        <v>5</v>
      </c>
      <c r="B12" s="232" t="s">
        <v>1758</v>
      </c>
      <c r="C12" s="206" t="n">
        <v>1767.7</v>
      </c>
      <c r="D12" s="206" t="n">
        <v>1780.1</v>
      </c>
      <c r="E12" s="207" t="n">
        <v>1797.4</v>
      </c>
      <c r="F12" s="207" t="n">
        <v>1795.8</v>
      </c>
      <c r="G12" s="207" t="n">
        <v>1793.7</v>
      </c>
      <c r="H12" s="207" t="n">
        <v>1789.6</v>
      </c>
      <c r="I12" s="206" t="n">
        <v>1804.5</v>
      </c>
      <c r="J12" s="207" t="n">
        <v>1806.7</v>
      </c>
      <c r="K12" s="206" t="n">
        <v>1818.5</v>
      </c>
      <c r="L12" s="132" t="n">
        <v>1828.4</v>
      </c>
      <c r="M12" s="139" t="n">
        <v>1836.7</v>
      </c>
      <c r="N12" s="222" t="n">
        <v>1847.2</v>
      </c>
      <c r="O12" s="194" t="n">
        <v>1859</v>
      </c>
      <c r="P12" s="139" t="n">
        <v>1867.1</v>
      </c>
      <c r="Q12" s="222" t="n">
        <v>1876.1</v>
      </c>
      <c r="R12" s="132" t="n">
        <v>1875.9</v>
      </c>
      <c r="S12" s="139" t="n">
        <v>1879.8</v>
      </c>
      <c r="T12" s="146" t="n">
        <v>1881.1</v>
      </c>
      <c r="U12" s="132" t="n">
        <v>1887.9</v>
      </c>
      <c r="V12" s="139" t="n">
        <v>1903.8</v>
      </c>
      <c r="W12" s="146" t="n">
        <v>1921.6</v>
      </c>
      <c r="X12" s="132" t="n">
        <v>1925.4</v>
      </c>
      <c r="Y12" s="139" t="n">
        <v>1937</v>
      </c>
      <c r="Z12" s="146" t="n">
        <v>1946.1</v>
      </c>
      <c r="AA12" s="151" t="n">
        <v>1945.1</v>
      </c>
    </row>
    <row r="13">
      <c r="A13" s="189" t="n">
        <v>6</v>
      </c>
      <c r="B13" s="115" t="s">
        <v>1759</v>
      </c>
      <c r="C13" s="206" t="n">
        <v>1046.3</v>
      </c>
      <c r="D13" s="206" t="n">
        <v>1054.4000000000001</v>
      </c>
      <c r="E13" s="207" t="n">
        <v>1064.8</v>
      </c>
      <c r="F13" s="207" t="n">
        <v>1061.4000000000001</v>
      </c>
      <c r="G13" s="207" t="n">
        <v>1055.5</v>
      </c>
      <c r="H13" s="207" t="n">
        <v>1046.9000000000001</v>
      </c>
      <c r="I13" s="206" t="n">
        <v>1066</v>
      </c>
      <c r="J13" s="207" t="n">
        <v>1064.3</v>
      </c>
      <c r="K13" s="206" t="n">
        <v>1071.2</v>
      </c>
      <c r="L13" s="132" t="n">
        <v>1077.3</v>
      </c>
      <c r="M13" s="139" t="n">
        <v>1079.5</v>
      </c>
      <c r="N13" s="222" t="n">
        <v>1088.5999999999999</v>
      </c>
      <c r="O13" s="194" t="n">
        <v>1096.9000000000001</v>
      </c>
      <c r="P13" s="139" t="n">
        <v>1102.2</v>
      </c>
      <c r="Q13" s="222" t="n">
        <v>1108.5999999999999</v>
      </c>
      <c r="R13" s="132" t="n">
        <v>1103.3</v>
      </c>
      <c r="S13" s="139" t="n">
        <v>1103.3</v>
      </c>
      <c r="T13" s="146" t="n">
        <v>1101</v>
      </c>
      <c r="U13" s="132" t="n">
        <v>1103.5999999999999</v>
      </c>
      <c r="V13" s="139" t="n">
        <v>1114.8</v>
      </c>
      <c r="W13" s="146" t="n">
        <v>1125.3</v>
      </c>
      <c r="X13" s="132" t="n">
        <v>1126.2</v>
      </c>
      <c r="Y13" s="139" t="n">
        <v>1137</v>
      </c>
      <c r="Z13" s="146" t="n">
        <v>1141.8</v>
      </c>
      <c r="AA13" s="151" t="n">
        <v>1139.5</v>
      </c>
    </row>
    <row r="14">
      <c r="A14" s="189" t="n">
        <v>7</v>
      </c>
      <c r="B14" s="232" t="s">
        <v>1760</v>
      </c>
      <c r="C14" s="206" t="n">
        <v>7888.7</v>
      </c>
      <c r="D14" s="206" t="n">
        <v>7955.8</v>
      </c>
      <c r="E14" s="207" t="n">
        <v>8022.1</v>
      </c>
      <c r="F14" s="207" t="n">
        <v>7990</v>
      </c>
      <c r="G14" s="207" t="n">
        <v>7970.1</v>
      </c>
      <c r="H14" s="207" t="n">
        <v>7972.7</v>
      </c>
      <c r="I14" s="206" t="n">
        <v>8013.8</v>
      </c>
      <c r="J14" s="207" t="n">
        <v>8076.2</v>
      </c>
      <c r="K14" s="206" t="n">
        <v>8119.2</v>
      </c>
      <c r="L14" s="132" t="n">
        <v>8148.5</v>
      </c>
      <c r="M14" s="139" t="n">
        <v>8183.1</v>
      </c>
      <c r="N14" s="222" t="n">
        <v>8223.2000000000007</v>
      </c>
      <c r="O14" s="194" t="n">
        <v>8258.4</v>
      </c>
      <c r="P14" s="139" t="n">
        <v>8300.7999999999993</v>
      </c>
      <c r="Q14" s="222" t="n">
        <v>8331</v>
      </c>
      <c r="R14" s="132" t="n">
        <v>8295.7000000000007</v>
      </c>
      <c r="S14" s="139" t="n">
        <v>8299.6</v>
      </c>
      <c r="T14" s="146" t="n">
        <v>8333.7000000000007</v>
      </c>
      <c r="U14" s="132" t="n">
        <v>8360</v>
      </c>
      <c r="V14" s="139" t="n">
        <v>8414.2999999999993</v>
      </c>
      <c r="W14" s="146" t="n">
        <v>8452.7000000000007</v>
      </c>
      <c r="X14" s="132" t="n">
        <v>8462.6</v>
      </c>
      <c r="Y14" s="139" t="n">
        <v>8513.5</v>
      </c>
      <c r="Z14" s="146" t="n">
        <v>8525.2000000000007</v>
      </c>
      <c r="AA14" s="151" t="n">
        <v>8561.7999999999993</v>
      </c>
    </row>
    <row r="15">
      <c r="A15" s="189" t="n">
        <v>8</v>
      </c>
      <c r="B15" s="121" t="s">
        <v>1761</v>
      </c>
      <c r="C15" s="206" t="n">
        <v>1734</v>
      </c>
      <c r="D15" s="206" t="n">
        <v>1748.4</v>
      </c>
      <c r="E15" s="207" t="n">
        <v>1762.3</v>
      </c>
      <c r="F15" s="207" t="n">
        <v>1757.7</v>
      </c>
      <c r="G15" s="207" t="n">
        <v>1749.7</v>
      </c>
      <c r="H15" s="207" t="n">
        <v>1745.6</v>
      </c>
      <c r="I15" s="206" t="n">
        <v>1778.8</v>
      </c>
      <c r="J15" s="207" t="n">
        <v>1795.8</v>
      </c>
      <c r="K15" s="206" t="n">
        <v>1796</v>
      </c>
      <c r="L15" s="132" t="n">
        <v>1797.8</v>
      </c>
      <c r="M15" s="139" t="n">
        <v>1793.1</v>
      </c>
      <c r="N15" s="222" t="n">
        <v>1804.5</v>
      </c>
      <c r="O15" s="194" t="n">
        <v>1816.7</v>
      </c>
      <c r="P15" s="139" t="n">
        <v>1828</v>
      </c>
      <c r="Q15" s="222" t="n">
        <v>1837.3</v>
      </c>
      <c r="R15" s="132" t="n">
        <v>1825.7</v>
      </c>
      <c r="S15" s="139" t="n">
        <v>1822.5</v>
      </c>
      <c r="T15" s="146" t="n">
        <v>1833.5</v>
      </c>
      <c r="U15" s="132" t="n">
        <v>1833.8</v>
      </c>
      <c r="V15" s="139" t="n">
        <v>1851</v>
      </c>
      <c r="W15" s="146" t="n">
        <v>1850.9</v>
      </c>
      <c r="X15" s="132" t="n">
        <v>1850</v>
      </c>
      <c r="Y15" s="139" t="n">
        <v>1862.1</v>
      </c>
      <c r="Z15" s="146" t="n">
        <v>1867.3</v>
      </c>
      <c r="AA15" s="151" t="n">
        <v>1874.1</v>
      </c>
    </row>
    <row r="16">
      <c r="A16" s="189" t="n">
        <v>9</v>
      </c>
      <c r="B16" s="121" t="s">
        <v>1762</v>
      </c>
      <c r="C16" s="206" t="n">
        <v>6154.8</v>
      </c>
      <c r="D16" s="206" t="n">
        <v>6207.4</v>
      </c>
      <c r="E16" s="207" t="n">
        <v>6259.8</v>
      </c>
      <c r="F16" s="207" t="n">
        <v>6232.2</v>
      </c>
      <c r="G16" s="207" t="n">
        <v>6220.4</v>
      </c>
      <c r="H16" s="207" t="n">
        <v>6227.2</v>
      </c>
      <c r="I16" s="206" t="n">
        <v>6235</v>
      </c>
      <c r="J16" s="207" t="n">
        <v>6280.4</v>
      </c>
      <c r="K16" s="206" t="n">
        <v>6323.1</v>
      </c>
      <c r="L16" s="132" t="n">
        <v>6350.7</v>
      </c>
      <c r="M16" s="139" t="n">
        <v>6390</v>
      </c>
      <c r="N16" s="222" t="n">
        <v>6418.7</v>
      </c>
      <c r="O16" s="194" t="n">
        <v>6441.7</v>
      </c>
      <c r="P16" s="139" t="n">
        <v>6472.8</v>
      </c>
      <c r="Q16" s="222" t="n">
        <v>6493.8</v>
      </c>
      <c r="R16" s="132" t="n">
        <v>6470.1</v>
      </c>
      <c r="S16" s="139" t="n">
        <v>6477.1</v>
      </c>
      <c r="T16" s="146" t="n">
        <v>6500.2</v>
      </c>
      <c r="U16" s="132" t="n">
        <v>6526.2</v>
      </c>
      <c r="V16" s="139" t="n">
        <v>6563.3</v>
      </c>
      <c r="W16" s="146" t="n">
        <v>6601.8</v>
      </c>
      <c r="X16" s="132" t="n">
        <v>6612.6</v>
      </c>
      <c r="Y16" s="139" t="n">
        <v>6651.4</v>
      </c>
      <c r="Z16" s="146" t="n">
        <v>6657.9</v>
      </c>
      <c r="AA16" s="151" t="n">
        <v>6687.7</v>
      </c>
    </row>
    <row r="17" ht="16.399999999999999" customHeight="1">
      <c r="A17" s="189" t="n">
        <v>10</v>
      </c>
      <c r="B17" s="236" t="s">
        <v>1763</v>
      </c>
      <c r="C17" s="206" t="n">
        <v>1615.4</v>
      </c>
      <c r="D17" s="206" t="n">
        <v>1624.8</v>
      </c>
      <c r="E17" s="207" t="n">
        <v>1631.1</v>
      </c>
      <c r="F17" s="207" t="n">
        <v>1634.6</v>
      </c>
      <c r="G17" s="207" t="n">
        <v>1644.8</v>
      </c>
      <c r="H17" s="207" t="n">
        <v>1650.4</v>
      </c>
      <c r="I17" s="206" t="n">
        <v>1676.4</v>
      </c>
      <c r="J17" s="207" t="n">
        <v>1685.7</v>
      </c>
      <c r="K17" s="206" t="n">
        <v>1695.5</v>
      </c>
      <c r="L17" s="132" t="n">
        <v>1703.2</v>
      </c>
      <c r="M17" s="139" t="n">
        <v>1711</v>
      </c>
      <c r="N17" s="222" t="n">
        <v>1718.6</v>
      </c>
      <c r="O17" s="194" t="n">
        <v>1738.2</v>
      </c>
      <c r="P17" s="139" t="n">
        <v>1753.3</v>
      </c>
      <c r="Q17" s="222" t="n">
        <v>1768.6</v>
      </c>
      <c r="R17" s="132" t="n">
        <v>1779.3</v>
      </c>
      <c r="S17" s="139" t="n">
        <v>1786</v>
      </c>
      <c r="T17" s="146" t="n">
        <v>1797</v>
      </c>
      <c r="U17" s="132" t="n">
        <v>1811.9</v>
      </c>
      <c r="V17" s="139" t="n">
        <v>1825.2</v>
      </c>
      <c r="W17" s="146" t="n">
        <v>1839.5</v>
      </c>
      <c r="X17" s="132" t="n">
        <v>1845.5</v>
      </c>
      <c r="Y17" s="139" t="n">
        <v>1852.5</v>
      </c>
      <c r="Z17" s="146" t="n">
        <v>1862.1</v>
      </c>
      <c r="AA17" s="151" t="n">
        <v>1869.5</v>
      </c>
    </row>
    <row r="18" ht="16.399999999999999" customHeight="1">
      <c r="A18" s="189" t="n">
        <v>11</v>
      </c>
      <c r="B18" s="231" t="s">
        <v>1764</v>
      </c>
      <c r="C18" s="204" t="n">
        <v>2382.3000000000002</v>
      </c>
      <c r="D18" s="204" t="n">
        <v>2394.1</v>
      </c>
      <c r="E18" s="205" t="n">
        <v>2405.5</v>
      </c>
      <c r="F18" s="205" t="n">
        <v>2408.5</v>
      </c>
      <c r="G18" s="205" t="n">
        <v>2414.1</v>
      </c>
      <c r="H18" s="205" t="n">
        <v>2420</v>
      </c>
      <c r="I18" s="204" t="n">
        <v>2390.6</v>
      </c>
      <c r="J18" s="205" t="n">
        <v>2400.1999999999998</v>
      </c>
      <c r="K18" s="204" t="n">
        <v>2408.6</v>
      </c>
      <c r="L18" s="131" t="n">
        <v>2412.6</v>
      </c>
      <c r="M18" s="138" t="n">
        <v>2420.3000000000002</v>
      </c>
      <c r="N18" s="221" t="n">
        <v>2429.6</v>
      </c>
      <c r="O18" s="193" t="n">
        <v>2440.8000000000002</v>
      </c>
      <c r="P18" s="138" t="n">
        <v>2451.5</v>
      </c>
      <c r="Q18" s="221" t="n">
        <v>2461.4</v>
      </c>
      <c r="R18" s="131" t="n">
        <v>2465.3000000000002</v>
      </c>
      <c r="S18" s="138" t="n">
        <v>2471.1999999999998</v>
      </c>
      <c r="T18" s="144" t="n">
        <v>2479.8000000000002</v>
      </c>
      <c r="U18" s="131" t="n">
        <v>2495.5</v>
      </c>
      <c r="V18" s="138" t="n">
        <v>2506.1999999999998</v>
      </c>
      <c r="W18" s="144" t="n">
        <v>2516.1999999999998</v>
      </c>
      <c r="X18" s="131" t="n">
        <v>2521.9</v>
      </c>
      <c r="Y18" s="138" t="n">
        <v>2531.5</v>
      </c>
      <c r="Z18" s="144" t="n">
        <v>2538.9</v>
      </c>
      <c r="AA18" s="150" t="n">
        <v>2546.8000000000002</v>
      </c>
    </row>
    <row r="19" ht="16.5" customHeight="1">
      <c r="A19" s="190" t="n">
        <v>12</v>
      </c>
      <c r="B19" s="165" t="s">
        <v>1765</v>
      </c>
      <c r="C19" s="206" t="n">
        <v>1614.2</v>
      </c>
      <c r="D19" s="206" t="n">
        <v>1620.2</v>
      </c>
      <c r="E19" s="207" t="n">
        <v>1625.6</v>
      </c>
      <c r="F19" s="207" t="n">
        <v>1630.6</v>
      </c>
      <c r="G19" s="207" t="n">
        <v>1637.1</v>
      </c>
      <c r="H19" s="207" t="n">
        <v>1642.9</v>
      </c>
      <c r="I19" s="206" t="n">
        <v>1594</v>
      </c>
      <c r="J19" s="207" t="n">
        <v>1599</v>
      </c>
      <c r="K19" s="206" t="n">
        <v>1603.5</v>
      </c>
      <c r="L19" s="132" t="n">
        <v>1604.7</v>
      </c>
      <c r="M19" s="139" t="n">
        <v>1609.4</v>
      </c>
      <c r="N19" s="222" t="n">
        <v>1615</v>
      </c>
      <c r="O19" s="194" t="n">
        <v>1622</v>
      </c>
      <c r="P19" s="139" t="n">
        <v>1628.6</v>
      </c>
      <c r="Q19" s="222" t="n">
        <v>1635</v>
      </c>
      <c r="R19" s="132" t="n">
        <v>1640.6</v>
      </c>
      <c r="S19" s="139" t="n">
        <v>1645.5</v>
      </c>
      <c r="T19" s="146" t="n">
        <v>1650.9</v>
      </c>
      <c r="U19" s="132" t="n">
        <v>1659.5</v>
      </c>
      <c r="V19" s="139" t="n">
        <v>1664.5</v>
      </c>
      <c r="W19" s="146" t="n">
        <v>1669.7</v>
      </c>
      <c r="X19" s="132" t="n">
        <v>1674.5</v>
      </c>
      <c r="Y19" s="139" t="n">
        <v>1679.5</v>
      </c>
      <c r="Z19" s="146" t="n">
        <v>1685.2</v>
      </c>
      <c r="AA19" s="151" t="n">
        <v>1690.8</v>
      </c>
    </row>
    <row r="20">
      <c r="A20" s="190" t="n">
        <v>13</v>
      </c>
      <c r="B20" s="165" t="s">
        <v>1766</v>
      </c>
      <c r="C20" s="206" t="n">
        <v>768.1</v>
      </c>
      <c r="D20" s="206" t="n">
        <v>774</v>
      </c>
      <c r="E20" s="207" t="n">
        <v>779.9</v>
      </c>
      <c r="F20" s="207" t="n">
        <v>777.9</v>
      </c>
      <c r="G20" s="207" t="n">
        <v>777</v>
      </c>
      <c r="H20" s="207" t="n">
        <v>777.1</v>
      </c>
      <c r="I20" s="206" t="n">
        <v>796.6</v>
      </c>
      <c r="J20" s="207" t="n">
        <v>801.1</v>
      </c>
      <c r="K20" s="206" t="n">
        <v>805.1</v>
      </c>
      <c r="L20" s="132" t="n">
        <v>807.9</v>
      </c>
      <c r="M20" s="139" t="n">
        <v>811</v>
      </c>
      <c r="N20" s="222" t="n">
        <v>814.6</v>
      </c>
      <c r="O20" s="194" t="n">
        <v>818.7</v>
      </c>
      <c r="P20" s="139" t="n">
        <v>822.9</v>
      </c>
      <c r="Q20" s="222" t="n">
        <v>826.4</v>
      </c>
      <c r="R20" s="132" t="n">
        <v>824.7</v>
      </c>
      <c r="S20" s="139" t="n">
        <v>825.7</v>
      </c>
      <c r="T20" s="146" t="n">
        <v>828.9</v>
      </c>
      <c r="U20" s="132" t="n">
        <v>836</v>
      </c>
      <c r="V20" s="139" t="n">
        <v>841.7</v>
      </c>
      <c r="W20" s="146" t="n">
        <v>846.4</v>
      </c>
      <c r="X20" s="132" t="n">
        <v>847.4</v>
      </c>
      <c r="Y20" s="139" t="n">
        <v>852</v>
      </c>
      <c r="Z20" s="146" t="n">
        <v>853.6</v>
      </c>
      <c r="AA20" s="151" t="n">
        <v>856.1</v>
      </c>
    </row>
    <row r="21" ht="16.399999999999999" customHeight="1">
      <c r="A21" s="190" t="n">
        <v>14</v>
      </c>
      <c r="B21" s="156" t="s">
        <v>1767</v>
      </c>
      <c r="C21" s="204" t="n">
        <v>1846.5</v>
      </c>
      <c r="D21" s="204" t="n">
        <v>1869.7</v>
      </c>
      <c r="E21" s="205" t="n">
        <v>1874.4</v>
      </c>
      <c r="F21" s="205" t="n">
        <v>1877.2</v>
      </c>
      <c r="G21" s="205" t="n">
        <v>1882.7</v>
      </c>
      <c r="H21" s="205" t="n">
        <v>1888.6</v>
      </c>
      <c r="I21" s="204" t="n">
        <v>1832.2</v>
      </c>
      <c r="J21" s="205" t="n">
        <v>1828.6</v>
      </c>
      <c r="K21" s="204" t="n">
        <v>1821.5</v>
      </c>
      <c r="L21" s="131" t="n">
        <v>1821.1</v>
      </c>
      <c r="M21" s="138" t="n">
        <v>1821.3</v>
      </c>
      <c r="N21" s="221" t="n">
        <v>1829.9</v>
      </c>
      <c r="O21" s="193" t="n">
        <v>1839.7</v>
      </c>
      <c r="P21" s="138" t="n">
        <v>1861.1</v>
      </c>
      <c r="Q21" s="221" t="n">
        <v>1877.8</v>
      </c>
      <c r="R21" s="131" t="n">
        <v>1880.2</v>
      </c>
      <c r="S21" s="138" t="n">
        <v>1886.2</v>
      </c>
      <c r="T21" s="144" t="n">
        <v>1881.5</v>
      </c>
      <c r="U21" s="131" t="n">
        <v>1885.1</v>
      </c>
      <c r="V21" s="138" t="n">
        <v>1891.8</v>
      </c>
      <c r="W21" s="144" t="n">
        <v>1894.4</v>
      </c>
      <c r="X21" s="131" t="n">
        <v>1898.1</v>
      </c>
      <c r="Y21" s="138" t="n">
        <v>1901.2</v>
      </c>
      <c r="Z21" s="144" t="n">
        <v>1901.7</v>
      </c>
      <c r="AA21" s="150" t="n">
        <v>1913.4</v>
      </c>
    </row>
    <row r="22">
      <c r="A22" s="189" t="n">
        <v>15</v>
      </c>
      <c r="B22" s="73" t="s">
        <v>1768</v>
      </c>
      <c r="C22" s="206" t="n">
        <v>94.8</v>
      </c>
      <c r="D22" s="206" t="n">
        <v>95.9</v>
      </c>
      <c r="E22" s="207" t="n">
        <v>97.1</v>
      </c>
      <c r="F22" s="207" t="n">
        <v>99</v>
      </c>
      <c r="G22" s="207" t="n">
        <v>100.9</v>
      </c>
      <c r="H22" s="207" t="n">
        <v>102.8</v>
      </c>
      <c r="I22" s="206" t="n">
        <v>78.7</v>
      </c>
      <c r="J22" s="207" t="n">
        <v>71.2</v>
      </c>
      <c r="K22" s="206" t="n">
        <v>63.8</v>
      </c>
      <c r="L22" s="132" t="n">
        <v>61</v>
      </c>
      <c r="M22" s="139" t="n">
        <v>58.2</v>
      </c>
      <c r="N22" s="222" t="n">
        <v>55.5</v>
      </c>
      <c r="O22" s="194" t="n">
        <v>52.7</v>
      </c>
      <c r="P22" s="139" t="n">
        <v>49.9</v>
      </c>
      <c r="Q22" s="222" t="n">
        <v>47.2</v>
      </c>
      <c r="R22" s="132" t="n">
        <v>42.6</v>
      </c>
      <c r="S22" s="139" t="n">
        <v>38</v>
      </c>
      <c r="T22" s="146" t="n">
        <v>33.4</v>
      </c>
      <c r="U22" s="132" t="n">
        <v>34.5</v>
      </c>
      <c r="V22" s="139" t="n">
        <v>35.6</v>
      </c>
      <c r="W22" s="146" t="n">
        <v>36.700000000000003</v>
      </c>
      <c r="X22" s="132" t="n">
        <v>32.299999999999997</v>
      </c>
      <c r="Y22" s="139" t="n">
        <v>28</v>
      </c>
      <c r="Z22" s="146" t="n">
        <v>23.6</v>
      </c>
      <c r="AA22" s="151" t="n">
        <v>25.6</v>
      </c>
    </row>
    <row r="23">
      <c r="A23" s="189" t="n">
        <v>16</v>
      </c>
      <c r="B23" s="73" t="s">
        <v>1769</v>
      </c>
      <c r="C23" s="206" t="n">
        <v>1751.7</v>
      </c>
      <c r="D23" s="206" t="n">
        <v>1773.7</v>
      </c>
      <c r="E23" s="207" t="n">
        <v>1777.4</v>
      </c>
      <c r="F23" s="207" t="n">
        <v>1778.3</v>
      </c>
      <c r="G23" s="207" t="n">
        <v>1781.9</v>
      </c>
      <c r="H23" s="207" t="n">
        <v>1785.8</v>
      </c>
      <c r="I23" s="206" t="n">
        <v>1753.5</v>
      </c>
      <c r="J23" s="207" t="n">
        <v>1757.4</v>
      </c>
      <c r="K23" s="206" t="n">
        <v>1757.7</v>
      </c>
      <c r="L23" s="132" t="n">
        <v>1760.1</v>
      </c>
      <c r="M23" s="139" t="n">
        <v>1763.1</v>
      </c>
      <c r="N23" s="222" t="n">
        <v>1774.4</v>
      </c>
      <c r="O23" s="194" t="n">
        <v>1787</v>
      </c>
      <c r="P23" s="139" t="n">
        <v>1811.2</v>
      </c>
      <c r="Q23" s="222" t="n">
        <v>1830.6</v>
      </c>
      <c r="R23" s="132" t="n">
        <v>1837.6</v>
      </c>
      <c r="S23" s="139" t="n">
        <v>1848.2</v>
      </c>
      <c r="T23" s="146" t="n">
        <v>1848.1</v>
      </c>
      <c r="U23" s="132" t="n">
        <v>1850.6</v>
      </c>
      <c r="V23" s="139" t="n">
        <v>1856.3</v>
      </c>
      <c r="W23" s="146" t="n">
        <v>1857.7</v>
      </c>
      <c r="X23" s="132" t="n">
        <v>1865.8</v>
      </c>
      <c r="Y23" s="139" t="n">
        <v>1873.3</v>
      </c>
      <c r="Z23" s="146" t="n">
        <v>1878.2</v>
      </c>
      <c r="AA23" s="151" t="n">
        <v>1887.7</v>
      </c>
    </row>
    <row r="24">
      <c r="A24" s="190" t="n">
        <v>17</v>
      </c>
      <c r="B24" s="156" t="s">
        <v>1770</v>
      </c>
      <c r="C24" s="204" t="n">
        <v>792.9</v>
      </c>
      <c r="D24" s="204" t="n">
        <v>794.9</v>
      </c>
      <c r="E24" s="205" t="n">
        <v>797</v>
      </c>
      <c r="F24" s="205" t="n">
        <v>804.7</v>
      </c>
      <c r="G24" s="205" t="n">
        <v>810.6</v>
      </c>
      <c r="H24" s="205" t="n">
        <v>820</v>
      </c>
      <c r="I24" s="204" t="n">
        <v>930.9</v>
      </c>
      <c r="J24" s="205" t="n">
        <v>945.7</v>
      </c>
      <c r="K24" s="204" t="n">
        <v>960.7</v>
      </c>
      <c r="L24" s="131" t="n">
        <v>960.6</v>
      </c>
      <c r="M24" s="138" t="n">
        <v>960.8</v>
      </c>
      <c r="N24" s="221" t="n">
        <v>961.8</v>
      </c>
      <c r="O24" s="193" t="n">
        <v>967.2</v>
      </c>
      <c r="P24" s="138" t="n">
        <v>974.5</v>
      </c>
      <c r="Q24" s="221" t="n">
        <v>981.5</v>
      </c>
      <c r="R24" s="131" t="n">
        <v>985.3</v>
      </c>
      <c r="S24" s="138" t="n">
        <v>988.1</v>
      </c>
      <c r="T24" s="144" t="n">
        <v>991</v>
      </c>
      <c r="U24" s="131" t="n">
        <v>1007.5</v>
      </c>
      <c r="V24" s="138" t="n">
        <v>1024.2</v>
      </c>
      <c r="W24" s="144" t="n">
        <v>1040.2</v>
      </c>
      <c r="X24" s="131" t="n">
        <v>1033.0999999999999</v>
      </c>
      <c r="Y24" s="138" t="n">
        <v>1026.3</v>
      </c>
      <c r="Z24" s="144" t="n">
        <v>1019.2</v>
      </c>
      <c r="AA24" s="150" t="n">
        <v>1028.9000000000001</v>
      </c>
    </row>
    <row r="25">
      <c r="A25" s="189" t="n">
        <v>18</v>
      </c>
      <c r="B25" s="230" t="s">
        <v>1771</v>
      </c>
      <c r="C25" s="204" t="n">
        <v>3350.6</v>
      </c>
      <c r="D25" s="204" t="n">
        <v>3358.1</v>
      </c>
      <c r="E25" s="205" t="n">
        <v>3367.7</v>
      </c>
      <c r="F25" s="205" t="n">
        <v>3413.8</v>
      </c>
      <c r="G25" s="205" t="n">
        <v>3424.7</v>
      </c>
      <c r="H25" s="205" t="n">
        <v>3433.5</v>
      </c>
      <c r="I25" s="204" t="n">
        <v>3559.3</v>
      </c>
      <c r="J25" s="205" t="n">
        <v>3570.9</v>
      </c>
      <c r="K25" s="204" t="n">
        <v>3600.9</v>
      </c>
      <c r="L25" s="131" t="n">
        <v>3606.8</v>
      </c>
      <c r="M25" s="138" t="n">
        <v>3610.2</v>
      </c>
      <c r="N25" s="221" t="n">
        <v>3590.7</v>
      </c>
      <c r="O25" s="193" t="n">
        <v>3594.4</v>
      </c>
      <c r="P25" s="138" t="n">
        <v>3607.3</v>
      </c>
      <c r="Q25" s="221" t="n">
        <v>3617.9</v>
      </c>
      <c r="R25" s="131" t="n">
        <v>3645.6</v>
      </c>
      <c r="S25" s="138" t="n">
        <v>3672.7</v>
      </c>
      <c r="T25" s="144" t="n">
        <v>3683.6</v>
      </c>
      <c r="U25" s="131" t="n">
        <v>3751.1</v>
      </c>
      <c r="V25" s="138" t="n">
        <v>3673.7</v>
      </c>
      <c r="W25" s="144" t="n">
        <v>3673.7</v>
      </c>
      <c r="X25" s="131" t="n">
        <v>3687.5</v>
      </c>
      <c r="Y25" s="138" t="n">
        <v>3700.4</v>
      </c>
      <c r="Z25" s="144" t="n">
        <v>3703</v>
      </c>
      <c r="AA25" s="150" t="n">
        <v>3698.2</v>
      </c>
    </row>
    <row r="26">
      <c r="A26" s="189" t="n">
        <v>19</v>
      </c>
      <c r="B26" s="73" t="s">
        <v>1772</v>
      </c>
      <c r="C26" s="206" t="n">
        <v>1731.1</v>
      </c>
      <c r="D26" s="206" t="n">
        <v>1738</v>
      </c>
      <c r="E26" s="207" t="n">
        <v>1745.2</v>
      </c>
      <c r="F26" s="207" t="n">
        <v>1766.6</v>
      </c>
      <c r="G26" s="207" t="n">
        <v>1788.7</v>
      </c>
      <c r="H26" s="207" t="n">
        <v>1811.6</v>
      </c>
      <c r="I26" s="206" t="n">
        <v>1736.2</v>
      </c>
      <c r="J26" s="207" t="n">
        <v>1744.3</v>
      </c>
      <c r="K26" s="206" t="n">
        <v>1752.6</v>
      </c>
      <c r="L26" s="132" t="n">
        <v>1753.6</v>
      </c>
      <c r="M26" s="139" t="n">
        <v>1754.7</v>
      </c>
      <c r="N26" s="222" t="n">
        <v>1756.1</v>
      </c>
      <c r="O26" s="194" t="n">
        <v>1766.1</v>
      </c>
      <c r="P26" s="139" t="n">
        <v>1776.3</v>
      </c>
      <c r="Q26" s="222" t="n">
        <v>1786.7</v>
      </c>
      <c r="R26" s="132" t="n">
        <v>1801</v>
      </c>
      <c r="S26" s="139" t="n">
        <v>1815.5</v>
      </c>
      <c r="T26" s="146" t="n">
        <v>1830.2</v>
      </c>
      <c r="U26" s="132" t="n">
        <v>1821.9</v>
      </c>
      <c r="V26" s="139" t="n">
        <v>1813.9</v>
      </c>
      <c r="W26" s="146" t="n">
        <v>1806.8</v>
      </c>
      <c r="X26" s="132" t="n">
        <v>1810.7</v>
      </c>
      <c r="Y26" s="139" t="n">
        <v>1814.4</v>
      </c>
      <c r="Z26" s="146" t="n">
        <v>1818</v>
      </c>
      <c r="AA26" s="151" t="n">
        <v>1812</v>
      </c>
    </row>
    <row r="27">
      <c r="A27" s="189" t="n">
        <v>20</v>
      </c>
      <c r="B27" s="73" t="s">
        <v>1773</v>
      </c>
      <c r="C27" s="206" t="n">
        <v>1619.5</v>
      </c>
      <c r="D27" s="206" t="n">
        <v>1620.1</v>
      </c>
      <c r="E27" s="207" t="n">
        <v>1622.6</v>
      </c>
      <c r="F27" s="207" t="n">
        <v>1647.2</v>
      </c>
      <c r="G27" s="207" t="n">
        <v>1636</v>
      </c>
      <c r="H27" s="207" t="n">
        <v>1622</v>
      </c>
      <c r="I27" s="206" t="n">
        <v>1823.1</v>
      </c>
      <c r="J27" s="207" t="n">
        <v>1826.6</v>
      </c>
      <c r="K27" s="206" t="n">
        <v>1848.3</v>
      </c>
      <c r="L27" s="132" t="n">
        <v>1853.3</v>
      </c>
      <c r="M27" s="139" t="n">
        <v>1855.5</v>
      </c>
      <c r="N27" s="222" t="n">
        <v>1834.7</v>
      </c>
      <c r="O27" s="194" t="n">
        <v>1828.3</v>
      </c>
      <c r="P27" s="139" t="n">
        <v>1831</v>
      </c>
      <c r="Q27" s="222" t="n">
        <v>1831.2</v>
      </c>
      <c r="R27" s="132" t="n">
        <v>1844.6</v>
      </c>
      <c r="S27" s="139" t="n">
        <v>1857.2</v>
      </c>
      <c r="T27" s="146" t="n">
        <v>1853.4</v>
      </c>
      <c r="U27" s="132" t="n">
        <v>1929.2</v>
      </c>
      <c r="V27" s="139" t="n">
        <v>1859.8</v>
      </c>
      <c r="W27" s="146" t="n">
        <v>1866.9</v>
      </c>
      <c r="X27" s="132" t="n">
        <v>1876.8</v>
      </c>
      <c r="Y27" s="139" t="n">
        <v>1886</v>
      </c>
      <c r="Z27" s="146" t="n">
        <v>1885</v>
      </c>
      <c r="AA27" s="151" t="n">
        <v>1886.2</v>
      </c>
    </row>
    <row r="28">
      <c r="A28" s="189" t="n">
        <v>21</v>
      </c>
      <c r="B28" s="230" t="s">
        <v>1774</v>
      </c>
      <c r="C28" s="204" t="n">
        <v>3891.7</v>
      </c>
      <c r="D28" s="204" t="n">
        <v>3893.9</v>
      </c>
      <c r="E28" s="205" t="n">
        <v>3892.9</v>
      </c>
      <c r="F28" s="205" t="n">
        <v>3981.6</v>
      </c>
      <c r="G28" s="205" t="n">
        <v>4002.2</v>
      </c>
      <c r="H28" s="205" t="n">
        <v>4010.8</v>
      </c>
      <c r="I28" s="204" t="n">
        <v>4083.3</v>
      </c>
      <c r="J28" s="205" t="n">
        <v>4108.8</v>
      </c>
      <c r="K28" s="204" t="n">
        <v>4115.1000000000004</v>
      </c>
      <c r="L28" s="131" t="n">
        <v>4112.3</v>
      </c>
      <c r="M28" s="138" t="n">
        <v>4126.8</v>
      </c>
      <c r="N28" s="221" t="n">
        <v>4121.3</v>
      </c>
      <c r="O28" s="193" t="n">
        <v>4097.8999999999996</v>
      </c>
      <c r="P28" s="138" t="n">
        <v>4096.5</v>
      </c>
      <c r="Q28" s="221" t="n">
        <v>4086.6</v>
      </c>
      <c r="R28" s="131" t="n">
        <v>4083.8</v>
      </c>
      <c r="S28" s="138" t="n">
        <v>4082</v>
      </c>
      <c r="T28" s="144" t="n">
        <v>4094.6</v>
      </c>
      <c r="U28" s="131" t="n">
        <v>4213.5</v>
      </c>
      <c r="V28" s="138" t="n">
        <v>4251</v>
      </c>
      <c r="W28" s="144" t="n">
        <v>4282</v>
      </c>
      <c r="X28" s="131" t="n">
        <v>4303</v>
      </c>
      <c r="Y28" s="138" t="n">
        <v>4315.8999999999996</v>
      </c>
      <c r="Z28" s="144" t="n">
        <v>4333.8999999999996</v>
      </c>
      <c r="AA28" s="150" t="n">
        <v>4346.8999999999996</v>
      </c>
    </row>
    <row r="29">
      <c r="A29" s="189" t="n">
        <v>22</v>
      </c>
      <c r="B29" s="73" t="s">
        <v>1775</v>
      </c>
      <c r="C29" s="206" t="n">
        <v>3821.1</v>
      </c>
      <c r="D29" s="206" t="n">
        <v>3824.5</v>
      </c>
      <c r="E29" s="207" t="n">
        <v>3823.5</v>
      </c>
      <c r="F29" s="207" t="n">
        <v>3912.2</v>
      </c>
      <c r="G29" s="207" t="n">
        <v>3932.8</v>
      </c>
      <c r="H29" s="207" t="n">
        <v>3941.2</v>
      </c>
      <c r="I29" s="206" t="n">
        <v>3983.1</v>
      </c>
      <c r="J29" s="207" t="n">
        <v>4007.9</v>
      </c>
      <c r="K29" s="206" t="n">
        <v>4013.6</v>
      </c>
      <c r="L29" s="132" t="n">
        <v>4010.1</v>
      </c>
      <c r="M29" s="139" t="n">
        <v>4024</v>
      </c>
      <c r="N29" s="222" t="n">
        <v>4017.8</v>
      </c>
      <c r="O29" s="194" t="n">
        <v>3993.8</v>
      </c>
      <c r="P29" s="139" t="n">
        <v>3991.8</v>
      </c>
      <c r="Q29" s="222" t="n">
        <v>3977.7</v>
      </c>
      <c r="R29" s="132" t="n">
        <v>3977.9</v>
      </c>
      <c r="S29" s="139" t="n">
        <v>3972.1</v>
      </c>
      <c r="T29" s="146" t="n">
        <v>3987.7</v>
      </c>
      <c r="U29" s="132" t="n">
        <v>4091.3</v>
      </c>
      <c r="V29" s="139" t="n">
        <v>4141.6000000000004</v>
      </c>
      <c r="W29" s="146" t="n">
        <v>4172.1000000000004</v>
      </c>
      <c r="X29" s="132" t="n">
        <v>4185.2</v>
      </c>
      <c r="Y29" s="139" t="n">
        <v>4205.1000000000004</v>
      </c>
      <c r="Z29" s="146" t="n">
        <v>4222.6000000000004</v>
      </c>
      <c r="AA29" s="151" t="n">
        <v>4235.1000000000004</v>
      </c>
      <c r="AB29" s="197"/>
    </row>
    <row r="30" ht="16.5" customHeight="1">
      <c r="A30" s="213" t="n">
        <v>23</v>
      </c>
      <c r="B30" s="215" t="s">
        <v>1776</v>
      </c>
      <c r="C30" s="216" t="n">
        <v>1211.0999999999999</v>
      </c>
      <c r="D30" s="216" t="n">
        <v>1215.9000000000001</v>
      </c>
      <c r="E30" s="217" t="n">
        <v>1216.9000000000001</v>
      </c>
      <c r="F30" s="207" t="n">
        <v>1229.0999999999999</v>
      </c>
      <c r="G30" s="207" t="n">
        <v>1224.3</v>
      </c>
      <c r="H30" s="207" t="n">
        <v>1223.5999999999999</v>
      </c>
      <c r="I30" s="206" t="n">
        <v>1335.4</v>
      </c>
      <c r="J30" s="207" t="n">
        <v>1340.1</v>
      </c>
      <c r="K30" s="206" t="n">
        <v>1344.5</v>
      </c>
      <c r="L30" s="132" t="n">
        <v>1349.9</v>
      </c>
      <c r="M30" s="139" t="n">
        <v>1354.7</v>
      </c>
      <c r="N30" s="222" t="n">
        <v>1356.7</v>
      </c>
      <c r="O30" s="194" t="n">
        <v>1358.3</v>
      </c>
      <c r="P30" s="139" t="n">
        <v>1362.1</v>
      </c>
      <c r="Q30" s="222" t="n">
        <v>1363.4</v>
      </c>
      <c r="R30" s="132" t="n">
        <v>1378.6</v>
      </c>
      <c r="S30" s="139" t="n">
        <v>1370.3</v>
      </c>
      <c r="T30" s="146" t="n">
        <v>1373.8</v>
      </c>
      <c r="U30" s="132" t="n">
        <v>1421.7</v>
      </c>
      <c r="V30" s="139" t="n">
        <v>1425.2</v>
      </c>
      <c r="W30" s="146" t="n">
        <v>1432.4</v>
      </c>
      <c r="X30" s="132" t="n">
        <v>1435.7</v>
      </c>
      <c r="Y30" s="139" t="n">
        <v>1438.7</v>
      </c>
      <c r="Z30" s="146" t="n">
        <v>1443.9</v>
      </c>
      <c r="AA30" s="151" t="n">
        <v>1447.6</v>
      </c>
      <c r="AB30" s="218" t="n">
        <f>'Social Benefits'!AA70</f>
        <v>1450.434</v>
      </c>
    </row>
    <row r="31" ht="16.399999999999999" customHeight="1">
      <c r="A31" s="213" t="n">
        <v>24</v>
      </c>
      <c r="B31" s="215" t="s">
        <v>1777</v>
      </c>
      <c r="C31" s="216" t="n">
        <v>914.1</v>
      </c>
      <c r="D31" s="216" t="n">
        <v>920.1</v>
      </c>
      <c r="E31" s="217" t="n">
        <v>926.7</v>
      </c>
      <c r="F31" s="207" t="n">
        <v>933.8</v>
      </c>
      <c r="G31" s="207" t="n">
        <v>941.5</v>
      </c>
      <c r="H31" s="207" t="n">
        <v>949.7</v>
      </c>
      <c r="I31" s="206" t="n">
        <v>936.9</v>
      </c>
      <c r="J31" s="207" t="n">
        <v>938.1</v>
      </c>
      <c r="K31" s="206" t="n">
        <v>939.3</v>
      </c>
      <c r="L31" s="132" t="n">
        <v>940.6</v>
      </c>
      <c r="M31" s="139" t="n">
        <v>941.9</v>
      </c>
      <c r="N31" s="222" t="n">
        <v>943.3</v>
      </c>
      <c r="O31" s="194" t="n">
        <v>944.8</v>
      </c>
      <c r="P31" s="139" t="n">
        <v>946.3</v>
      </c>
      <c r="Q31" s="222" t="n">
        <v>947.9</v>
      </c>
      <c r="R31" s="132" t="n">
        <v>949.6</v>
      </c>
      <c r="S31" s="139" t="n">
        <v>951.3</v>
      </c>
      <c r="T31" s="146" t="n">
        <v>953.1</v>
      </c>
      <c r="U31" s="132" t="n">
        <v>960.2</v>
      </c>
      <c r="V31" s="139" t="n">
        <v>965.1</v>
      </c>
      <c r="W31" s="146" t="n">
        <v>970.5</v>
      </c>
      <c r="X31" s="132" t="n">
        <v>976.5</v>
      </c>
      <c r="Y31" s="139" t="n">
        <v>983</v>
      </c>
      <c r="Z31" s="146" t="n">
        <v>990.1</v>
      </c>
      <c r="AA31" s="151" t="n">
        <v>997.8</v>
      </c>
      <c r="AB31" s="220" t="n">
        <f>Medicare!AA10</f>
        <v>1004.8913543635854</v>
      </c>
    </row>
    <row r="32">
      <c r="A32" s="213" t="n">
        <v>25</v>
      </c>
      <c r="B32" s="215" t="s">
        <v>54</v>
      </c>
      <c r="C32" s="216" t="n">
        <v>790.3</v>
      </c>
      <c r="D32" s="216" t="n">
        <v>785.3</v>
      </c>
      <c r="E32" s="217" t="n">
        <v>782.8</v>
      </c>
      <c r="F32" s="207" t="n">
        <v>791.2</v>
      </c>
      <c r="G32" s="207" t="n">
        <v>796.9</v>
      </c>
      <c r="H32" s="207" t="n">
        <v>800.6</v>
      </c>
      <c r="I32" s="206" t="n">
        <v>856.7</v>
      </c>
      <c r="J32" s="207" t="n">
        <v>871.5</v>
      </c>
      <c r="K32" s="206" t="n">
        <v>886.1</v>
      </c>
      <c r="L32" s="132" t="n">
        <v>908.2</v>
      </c>
      <c r="M32" s="139" t="n">
        <v>916.2</v>
      </c>
      <c r="N32" s="222" t="n">
        <v>909.8</v>
      </c>
      <c r="O32" s="194" t="n">
        <v>893.4</v>
      </c>
      <c r="P32" s="139" t="n">
        <v>879.5</v>
      </c>
      <c r="Q32" s="222" t="n">
        <v>868.8</v>
      </c>
      <c r="R32" s="132" t="n">
        <v>863.5</v>
      </c>
      <c r="S32" s="139" t="n">
        <v>865.8</v>
      </c>
      <c r="T32" s="146" t="n">
        <v>875.6</v>
      </c>
      <c r="U32" s="132" t="n">
        <v>900.4</v>
      </c>
      <c r="V32" s="139" t="n">
        <v>918.6</v>
      </c>
      <c r="W32" s="146" t="n">
        <v>931.7</v>
      </c>
      <c r="X32" s="132" t="n">
        <v>938.8</v>
      </c>
      <c r="Y32" s="139" t="n">
        <v>943.6</v>
      </c>
      <c r="Z32" s="146" t="n">
        <v>945.8</v>
      </c>
      <c r="AA32" s="151" t="n">
        <v>945</v>
      </c>
      <c r="AB32" s="220" t="n">
        <f>forecast!D11</f>
        <v>946.2506373162654</v>
      </c>
      <c r="AC32" t="s">
        <v>2264</v>
      </c>
    </row>
    <row r="33">
      <c r="A33" s="213" t="n">
        <v>26</v>
      </c>
      <c r="B33" s="215" t="s">
        <v>263</v>
      </c>
      <c r="C33" s="216" t="n">
        <v>18.7</v>
      </c>
      <c r="D33" s="216" t="n">
        <v>18.899999999999999</v>
      </c>
      <c r="E33" s="217" t="n">
        <v>18</v>
      </c>
      <c r="F33" s="207" t="n">
        <v>18.899999999999999</v>
      </c>
      <c r="G33" s="207" t="n">
        <v>20.6</v>
      </c>
      <c r="H33" s="207" t="n">
        <v>21.6</v>
      </c>
      <c r="I33" s="206" t="n">
        <v>21.1</v>
      </c>
      <c r="J33" s="207" t="n">
        <v>22</v>
      </c>
      <c r="K33" s="206" t="n">
        <v>22.8</v>
      </c>
      <c r="L33" s="132" t="n">
        <v>22.8</v>
      </c>
      <c r="M33" s="139" t="n">
        <v>22.3</v>
      </c>
      <c r="N33" s="222" t="n">
        <v>21.6</v>
      </c>
      <c r="O33" s="194" t="n">
        <v>21.1</v>
      </c>
      <c r="P33" s="139" t="n">
        <v>21.1</v>
      </c>
      <c r="Q33" s="222" t="n">
        <v>20.8</v>
      </c>
      <c r="R33" s="132" t="n">
        <v>22.1</v>
      </c>
      <c r="S33" s="139" t="n">
        <v>23.1</v>
      </c>
      <c r="T33" s="146" t="n">
        <v>22.9</v>
      </c>
      <c r="U33" s="132" t="n">
        <v>22.6</v>
      </c>
      <c r="V33" s="139" t="n">
        <v>22.8</v>
      </c>
      <c r="W33" s="146" t="n">
        <v>22.8</v>
      </c>
      <c r="X33" s="132" t="n">
        <v>22.3</v>
      </c>
      <c r="Y33" s="139" t="n">
        <v>22.5</v>
      </c>
      <c r="Z33" s="146" t="n">
        <v>23.4</v>
      </c>
      <c r="AA33" s="151" t="n">
        <v>23.7</v>
      </c>
      <c r="AB33" s="220" t="n">
        <f>forecast!D9+forecast!D8</f>
        <v>22.5</v>
      </c>
    </row>
    <row r="34" ht="16.399999999999999" customHeight="1">
      <c r="A34" s="189" t="n">
        <v>27</v>
      </c>
      <c r="B34" s="236" t="s">
        <v>1778</v>
      </c>
      <c r="C34" s="206" t="n">
        <v>161.1</v>
      </c>
      <c r="D34" s="206" t="n">
        <v>161.6</v>
      </c>
      <c r="E34" s="207" t="n">
        <v>162.5</v>
      </c>
      <c r="F34" s="207" t="n">
        <v>163.19999999999999</v>
      </c>
      <c r="G34" s="207" t="n">
        <v>164</v>
      </c>
      <c r="H34" s="207" t="n">
        <v>164.8</v>
      </c>
      <c r="I34" s="206" t="n">
        <v>173.1</v>
      </c>
      <c r="J34" s="207" t="n">
        <v>172.9</v>
      </c>
      <c r="K34" s="206" t="n">
        <v>172.7</v>
      </c>
      <c r="L34" s="132" t="n">
        <v>172.7</v>
      </c>
      <c r="M34" s="139" t="n">
        <v>172.4</v>
      </c>
      <c r="N34" s="222" t="n">
        <v>172.5</v>
      </c>
      <c r="O34" s="194" t="n">
        <v>172.7</v>
      </c>
      <c r="P34" s="139" t="n">
        <v>172.9</v>
      </c>
      <c r="Q34" s="222" t="n">
        <v>173</v>
      </c>
      <c r="R34" s="132" t="n">
        <v>173.3</v>
      </c>
      <c r="S34" s="139" t="n">
        <v>173.6</v>
      </c>
      <c r="T34" s="146" t="n">
        <v>173.9</v>
      </c>
      <c r="U34" s="132" t="n">
        <v>174.3</v>
      </c>
      <c r="V34" s="139" t="n">
        <v>174.7</v>
      </c>
      <c r="W34" s="146" t="n">
        <v>175.1</v>
      </c>
      <c r="X34" s="132" t="n">
        <v>176.8</v>
      </c>
      <c r="Y34" s="139" t="n">
        <v>178.5</v>
      </c>
      <c r="Z34" s="146" t="n">
        <v>180.1</v>
      </c>
      <c r="AA34" s="151" t="n">
        <v>181.6</v>
      </c>
    </row>
    <row r="35">
      <c r="A35" s="189" t="n">
        <v>28</v>
      </c>
      <c r="B35" s="236" t="s">
        <v>532</v>
      </c>
      <c r="C35" s="206" t="n">
        <v>725.8</v>
      </c>
      <c r="D35" s="206" t="n">
        <v>722.7</v>
      </c>
      <c r="E35" s="207" t="n">
        <v>716.6</v>
      </c>
      <c r="F35" s="207" t="n">
        <v>776</v>
      </c>
      <c r="G35" s="207" t="n">
        <v>785.4</v>
      </c>
      <c r="H35" s="207" t="n">
        <v>780.9</v>
      </c>
      <c r="I35" s="206" t="n">
        <v>659.8</v>
      </c>
      <c r="J35" s="207" t="n">
        <v>663.3</v>
      </c>
      <c r="K35" s="206" t="n">
        <v>648.20000000000005</v>
      </c>
      <c r="L35" s="132" t="n">
        <v>615.9</v>
      </c>
      <c r="M35" s="139" t="n">
        <v>616.4</v>
      </c>
      <c r="N35" s="222" t="n">
        <v>613.79999999999995</v>
      </c>
      <c r="O35" s="194" t="n">
        <v>603.5</v>
      </c>
      <c r="P35" s="139" t="n">
        <v>610</v>
      </c>
      <c r="Q35" s="222" t="n">
        <v>603.79999999999995</v>
      </c>
      <c r="R35" s="132" t="n">
        <v>590.79999999999995</v>
      </c>
      <c r="S35" s="139" t="n">
        <v>588.1</v>
      </c>
      <c r="T35" s="146" t="n">
        <v>588.29999999999995</v>
      </c>
      <c r="U35" s="132" t="n">
        <v>612</v>
      </c>
      <c r="V35" s="139" t="n">
        <v>635.29999999999995</v>
      </c>
      <c r="W35" s="146" t="n">
        <v>639.6</v>
      </c>
      <c r="X35" s="132" t="n">
        <v>635.29999999999995</v>
      </c>
      <c r="Y35" s="139" t="n">
        <v>638.70000000000005</v>
      </c>
      <c r="Z35" s="146" t="n">
        <v>639.29999999999995</v>
      </c>
      <c r="AA35" s="151" t="n">
        <v>639.29999999999995</v>
      </c>
    </row>
    <row r="36">
      <c r="A36" s="189" t="n">
        <v>29</v>
      </c>
      <c r="B36" s="233" t="s">
        <v>1779</v>
      </c>
      <c r="C36" s="206" t="n">
        <v>70.7</v>
      </c>
      <c r="D36" s="206" t="n">
        <v>69.400000000000006</v>
      </c>
      <c r="E36" s="207" t="n">
        <v>69.400000000000006</v>
      </c>
      <c r="F36" s="207" t="n">
        <v>69.400000000000006</v>
      </c>
      <c r="G36" s="207" t="n">
        <v>69.5</v>
      </c>
      <c r="H36" s="207" t="n">
        <v>69.599999999999994</v>
      </c>
      <c r="I36" s="206" t="n">
        <v>100.2</v>
      </c>
      <c r="J36" s="207" t="n">
        <v>100.9</v>
      </c>
      <c r="K36" s="206" t="n">
        <v>101.6</v>
      </c>
      <c r="L36" s="132" t="n">
        <v>102.2</v>
      </c>
      <c r="M36" s="139" t="n">
        <v>102.8</v>
      </c>
      <c r="N36" s="222" t="n">
        <v>103.5</v>
      </c>
      <c r="O36" s="194" t="n">
        <v>104.1</v>
      </c>
      <c r="P36" s="139" t="n">
        <v>104.7</v>
      </c>
      <c r="Q36" s="222" t="n">
        <v>108.9</v>
      </c>
      <c r="R36" s="132" t="n">
        <v>105.8</v>
      </c>
      <c r="S36" s="139" t="n">
        <v>109.9</v>
      </c>
      <c r="T36" s="146" t="n">
        <v>106.9</v>
      </c>
      <c r="U36" s="132" t="n">
        <v>122.2</v>
      </c>
      <c r="V36" s="139" t="n">
        <v>109.4</v>
      </c>
      <c r="W36" s="146" t="n">
        <v>109.9</v>
      </c>
      <c r="X36" s="132" t="n">
        <v>117.7</v>
      </c>
      <c r="Y36" s="139" t="n">
        <v>110.8</v>
      </c>
      <c r="Z36" s="146" t="n">
        <v>111.3</v>
      </c>
      <c r="AA36" s="151" t="n">
        <v>111.8</v>
      </c>
    </row>
    <row r="37" ht="42" customHeight="1">
      <c r="A37" s="213" t="n">
        <v>30</v>
      </c>
      <c r="B37" s="225" t="s">
        <v>1780</v>
      </c>
      <c r="C37" s="226" t="n">
        <v>1683.6</v>
      </c>
      <c r="D37" s="226" t="n">
        <v>1695.6</v>
      </c>
      <c r="E37" s="227" t="n">
        <v>1707.7</v>
      </c>
      <c r="F37" s="205" t="n">
        <v>1704.3</v>
      </c>
      <c r="G37" s="205" t="n">
        <v>1703.1</v>
      </c>
      <c r="H37" s="205" t="n">
        <v>1703.8</v>
      </c>
      <c r="I37" s="204" t="n">
        <v>1765.5</v>
      </c>
      <c r="J37" s="205" t="n">
        <v>1774.3</v>
      </c>
      <c r="K37" s="204" t="n">
        <v>1782</v>
      </c>
      <c r="L37" s="131" t="n">
        <v>1787.4</v>
      </c>
      <c r="M37" s="138" t="n">
        <v>1793.6</v>
      </c>
      <c r="N37" s="221" t="n">
        <v>1800.9</v>
      </c>
      <c r="O37" s="193" t="n">
        <v>1809.2</v>
      </c>
      <c r="P37" s="138" t="n">
        <v>1817.6</v>
      </c>
      <c r="Q37" s="221" t="n">
        <v>1824.6</v>
      </c>
      <c r="R37" s="131" t="n">
        <v>1821.7</v>
      </c>
      <c r="S37" s="138" t="n">
        <v>1824.1</v>
      </c>
      <c r="T37" s="144" t="n">
        <v>1830.7</v>
      </c>
      <c r="U37" s="131" t="n">
        <v>1852.4</v>
      </c>
      <c r="V37" s="138" t="n">
        <v>1863.9</v>
      </c>
      <c r="W37" s="144" t="n">
        <v>1873.5</v>
      </c>
      <c r="X37" s="131" t="n">
        <v>1876.3</v>
      </c>
      <c r="Y37" s="138" t="n">
        <v>1885.8</v>
      </c>
      <c r="Z37" s="144" t="n">
        <v>1889.8</v>
      </c>
      <c r="AA37" s="150" t="n">
        <v>1895.1</v>
      </c>
      <c r="AB37" s="218" t="n">
        <f>Taxes!AA12+Taxes!AA23</f>
        <v>1898.9661823311055</v>
      </c>
      <c r="AC37" t="s">
        <v>2265</v>
      </c>
    </row>
    <row r="38">
      <c r="A38" s="213" t="n">
        <v>31</v>
      </c>
      <c r="B38" s="228" t="s">
        <v>242</v>
      </c>
      <c r="C38" s="226" t="n">
        <v>3224.2</v>
      </c>
      <c r="D38" s="226" t="n">
        <v>3236.7</v>
      </c>
      <c r="E38" s="227" t="n">
        <v>3248.6</v>
      </c>
      <c r="F38" s="205" t="n">
        <v>3232.7</v>
      </c>
      <c r="G38" s="205" t="n">
        <v>3213.6</v>
      </c>
      <c r="H38" s="205" t="n">
        <v>3202.1</v>
      </c>
      <c r="I38" s="204" t="n">
        <v>2767.2</v>
      </c>
      <c r="J38" s="205" t="n">
        <v>2763.4</v>
      </c>
      <c r="K38" s="204" t="n">
        <v>2760.4</v>
      </c>
      <c r="L38" s="131" t="n">
        <v>2707.4</v>
      </c>
      <c r="M38" s="138" t="n">
        <v>2691.2</v>
      </c>
      <c r="N38" s="221" t="n">
        <v>2712.9</v>
      </c>
      <c r="O38" s="193" t="n">
        <v>2744.1</v>
      </c>
      <c r="P38" s="138" t="n">
        <v>2768.2</v>
      </c>
      <c r="Q38" s="221" t="n">
        <v>2783.7</v>
      </c>
      <c r="R38" s="131" t="n">
        <v>2785.6</v>
      </c>
      <c r="S38" s="138" t="n">
        <v>2791.7</v>
      </c>
      <c r="T38" s="144" t="n">
        <v>2800.1</v>
      </c>
      <c r="U38" s="131" t="n">
        <v>2930.6</v>
      </c>
      <c r="V38" s="138" t="n">
        <v>2949.7</v>
      </c>
      <c r="W38" s="144" t="n">
        <v>2966.9</v>
      </c>
      <c r="X38" s="131" t="n">
        <v>2979</v>
      </c>
      <c r="Y38" s="138" t="n">
        <v>3001.5</v>
      </c>
      <c r="Z38" s="144" t="n">
        <v>3018.5</v>
      </c>
      <c r="AA38" s="150" t="n">
        <v>3038.7</v>
      </c>
      <c r="AB38" s="218" t="n">
        <f>Taxes!AA10+Taxes!AA21</f>
        <v>3055.9860887697455</v>
      </c>
      <c r="AC38" t="s">
        <v>2266</v>
      </c>
    </row>
    <row r="39">
      <c r="A39" s="189" t="n">
        <v>32</v>
      </c>
      <c r="B39" s="75" t="s">
        <v>1781</v>
      </c>
      <c r="C39" s="204" t="n">
        <v>18628.099999999999</v>
      </c>
      <c r="D39" s="204" t="n">
        <v>18739.099999999999</v>
      </c>
      <c r="E39" s="205" t="n">
        <v>18831.7</v>
      </c>
      <c r="F39" s="205" t="n">
        <v>18969.2</v>
      </c>
      <c r="G39" s="205" t="n">
        <v>19026.5</v>
      </c>
      <c r="H39" s="205" t="n">
        <v>19079.7</v>
      </c>
      <c r="I39" s="204" t="n">
        <v>19758.099999999999</v>
      </c>
      <c r="J39" s="205" t="n">
        <v>19885</v>
      </c>
      <c r="K39" s="204" t="n">
        <v>19997.5</v>
      </c>
      <c r="L39" s="131" t="n">
        <v>20098.7</v>
      </c>
      <c r="M39" s="138" t="n">
        <v>20185.400000000001</v>
      </c>
      <c r="N39" s="221" t="n">
        <v>20208.400000000001</v>
      </c>
      <c r="O39" s="193" t="n">
        <v>20242.2</v>
      </c>
      <c r="P39" s="138" t="n">
        <v>20326.400000000001</v>
      </c>
      <c r="Q39" s="221" t="n">
        <v>20392.5</v>
      </c>
      <c r="R39" s="131" t="n">
        <v>20403.8</v>
      </c>
      <c r="S39" s="138" t="n">
        <v>20449.8</v>
      </c>
      <c r="T39" s="144" t="n">
        <v>20511.5</v>
      </c>
      <c r="U39" s="131" t="n">
        <v>20629.3</v>
      </c>
      <c r="V39" s="138" t="n">
        <v>20676.599999999999</v>
      </c>
      <c r="W39" s="144" t="n">
        <v>20779.7</v>
      </c>
      <c r="X39" s="131" t="n">
        <v>20821.8</v>
      </c>
      <c r="Y39" s="138" t="n">
        <v>20891</v>
      </c>
      <c r="Z39" s="144" t="n">
        <v>20921.900000000001</v>
      </c>
      <c r="AA39" s="150" t="n">
        <v>20976.799999999999</v>
      </c>
    </row>
    <row r="40">
      <c r="A40" s="189" t="n">
        <v>33</v>
      </c>
      <c r="B40" s="75" t="s">
        <v>243</v>
      </c>
      <c r="C40" s="204" t="n">
        <v>17983.400000000001</v>
      </c>
      <c r="D40" s="204" t="n">
        <v>18132.7</v>
      </c>
      <c r="E40" s="205" t="n">
        <v>18257.400000000001</v>
      </c>
      <c r="F40" s="205" t="n">
        <v>18391.8</v>
      </c>
      <c r="G40" s="205" t="n">
        <v>18362.3</v>
      </c>
      <c r="H40" s="205" t="n">
        <v>18377.400000000001</v>
      </c>
      <c r="I40" s="204" t="n">
        <v>18887</v>
      </c>
      <c r="J40" s="205" t="n">
        <v>18959</v>
      </c>
      <c r="K40" s="204" t="n">
        <v>18950</v>
      </c>
      <c r="L40" s="131" t="n">
        <v>19056.2</v>
      </c>
      <c r="M40" s="138" t="n">
        <v>19125.400000000001</v>
      </c>
      <c r="N40" s="221" t="n">
        <v>19228.3</v>
      </c>
      <c r="O40" s="193" t="n">
        <v>19351.5</v>
      </c>
      <c r="P40" s="138" t="n">
        <v>19417</v>
      </c>
      <c r="Q40" s="221" t="n">
        <v>19600.900000000001</v>
      </c>
      <c r="R40" s="131" t="n">
        <v>19622.8</v>
      </c>
      <c r="S40" s="138" t="n">
        <v>19683.8</v>
      </c>
      <c r="T40" s="144" t="n">
        <v>19779.3</v>
      </c>
      <c r="U40" s="131" t="n">
        <v>19799.3</v>
      </c>
      <c r="V40" s="138" t="n">
        <v>19911.3</v>
      </c>
      <c r="W40" s="144" t="n">
        <v>20043</v>
      </c>
      <c r="X40" s="131" t="n">
        <v>20095.2</v>
      </c>
      <c r="Y40" s="138" t="n">
        <v>20205.599999999999</v>
      </c>
      <c r="Z40" s="144" t="n">
        <v>20274.599999999999</v>
      </c>
      <c r="AA40" s="150" t="n">
        <v>20378</v>
      </c>
    </row>
    <row r="41">
      <c r="A41" s="189" t="n">
        <v>34</v>
      </c>
      <c r="B41" s="184" t="s">
        <v>1715</v>
      </c>
      <c r="C41" s="206" t="n">
        <v>17420.3</v>
      </c>
      <c r="D41" s="206" t="n">
        <v>17550.900000000001</v>
      </c>
      <c r="E41" s="207" t="n">
        <v>17656.8</v>
      </c>
      <c r="F41" s="207" t="n">
        <v>17778.2</v>
      </c>
      <c r="G41" s="207" t="n">
        <v>17735</v>
      </c>
      <c r="H41" s="207" t="n">
        <v>17736.5</v>
      </c>
      <c r="I41" s="206" t="n">
        <v>18229.599999999999</v>
      </c>
      <c r="J41" s="207" t="n">
        <v>18296.5</v>
      </c>
      <c r="K41" s="206" t="n">
        <v>18282.599999999999</v>
      </c>
      <c r="L41" s="132" t="n">
        <v>18363.8</v>
      </c>
      <c r="M41" s="139" t="n">
        <v>18407.8</v>
      </c>
      <c r="N41" s="222" t="n">
        <v>18485.400000000001</v>
      </c>
      <c r="O41" s="194" t="n">
        <v>18595.400000000001</v>
      </c>
      <c r="P41" s="139" t="n">
        <v>18651.599999999999</v>
      </c>
      <c r="Q41" s="222" t="n">
        <v>18791.5</v>
      </c>
      <c r="R41" s="132" t="n">
        <v>18826.8</v>
      </c>
      <c r="S41" s="139" t="n">
        <v>18903</v>
      </c>
      <c r="T41" s="146" t="n">
        <v>19013.7</v>
      </c>
      <c r="U41" s="132" t="n">
        <v>19028</v>
      </c>
      <c r="V41" s="139" t="n">
        <v>19136</v>
      </c>
      <c r="W41" s="146" t="n">
        <v>19263.7</v>
      </c>
      <c r="X41" s="132" t="n">
        <v>19309.3</v>
      </c>
      <c r="Y41" s="139" t="n">
        <v>19413.7</v>
      </c>
      <c r="Z41" s="146" t="n">
        <v>19476.7</v>
      </c>
      <c r="AA41" s="151" t="n">
        <v>19580.5</v>
      </c>
    </row>
    <row r="42" ht="16.399999999999999" customHeight="1">
      <c r="A42" s="189" t="n">
        <v>35</v>
      </c>
      <c r="B42" s="73" t="s">
        <v>1738</v>
      </c>
      <c r="C42" s="206" t="n">
        <v>5988.2</v>
      </c>
      <c r="D42" s="206" t="n">
        <v>5981.9</v>
      </c>
      <c r="E42" s="207" t="n">
        <v>5995.6</v>
      </c>
      <c r="F42" s="207" t="n">
        <v>6064.4</v>
      </c>
      <c r="G42" s="207" t="n">
        <v>5974.1</v>
      </c>
      <c r="H42" s="207" t="n">
        <v>5901.5</v>
      </c>
      <c r="I42" s="206" t="n">
        <v>6148.2</v>
      </c>
      <c r="J42" s="207" t="n">
        <v>6164.2</v>
      </c>
      <c r="K42" s="206" t="n">
        <v>6089.2</v>
      </c>
      <c r="L42" s="132" t="n">
        <v>6139.1</v>
      </c>
      <c r="M42" s="139" t="n">
        <v>6144.7</v>
      </c>
      <c r="N42" s="222" t="n">
        <v>6150.1</v>
      </c>
      <c r="O42" s="194" t="n">
        <v>6188.2</v>
      </c>
      <c r="P42" s="139" t="n">
        <v>6228.7</v>
      </c>
      <c r="Q42" s="222" t="n">
        <v>6278.4</v>
      </c>
      <c r="R42" s="132" t="n">
        <v>6250.7</v>
      </c>
      <c r="S42" s="139" t="n">
        <v>6242.4</v>
      </c>
      <c r="T42" s="146" t="n">
        <v>6273.8</v>
      </c>
      <c r="U42" s="132" t="n">
        <v>6178.9</v>
      </c>
      <c r="V42" s="139" t="n">
        <v>6202.9</v>
      </c>
      <c r="W42" s="146" t="n">
        <v>6253.3</v>
      </c>
      <c r="X42" s="132" t="n">
        <v>6237.9</v>
      </c>
      <c r="Y42" s="139" t="n">
        <v>6280.5</v>
      </c>
      <c r="Z42" s="146" t="n">
        <v>6286.4</v>
      </c>
      <c r="AA42" s="151" t="n">
        <v>6330.9</v>
      </c>
    </row>
    <row r="43" ht="16.399999999999999" customHeight="1">
      <c r="A43" s="189" t="n">
        <v>36</v>
      </c>
      <c r="B43" s="236" t="s">
        <v>1782</v>
      </c>
      <c r="C43" s="206" t="n">
        <v>2189.5</v>
      </c>
      <c r="D43" s="206" t="n">
        <v>2197.8000000000002</v>
      </c>
      <c r="E43" s="207" t="n">
        <v>2200.1999999999998</v>
      </c>
      <c r="F43" s="207" t="n">
        <v>2238.9</v>
      </c>
      <c r="G43" s="207" t="n">
        <v>2167.3000000000002</v>
      </c>
      <c r="H43" s="207" t="n">
        <v>2134.9</v>
      </c>
      <c r="I43" s="206" t="n">
        <v>2213.6999999999998</v>
      </c>
      <c r="J43" s="207" t="n">
        <v>2203.6</v>
      </c>
      <c r="K43" s="206" t="n">
        <v>2167.3000000000002</v>
      </c>
      <c r="L43" s="132" t="n">
        <v>2183.6999999999998</v>
      </c>
      <c r="M43" s="139" t="n">
        <v>2202.8000000000002</v>
      </c>
      <c r="N43" s="222" t="n">
        <v>2194.1999999999998</v>
      </c>
      <c r="O43" s="194" t="n">
        <v>2206.9</v>
      </c>
      <c r="P43" s="139" t="n">
        <v>2193.1</v>
      </c>
      <c r="Q43" s="222" t="n">
        <v>2213.4</v>
      </c>
      <c r="R43" s="132" t="n">
        <v>2191.1</v>
      </c>
      <c r="S43" s="139" t="n">
        <v>2195.6999999999998</v>
      </c>
      <c r="T43" s="146" t="n">
        <v>2219.8000000000002</v>
      </c>
      <c r="U43" s="132" t="n">
        <v>2160.6</v>
      </c>
      <c r="V43" s="139" t="n">
        <v>2181</v>
      </c>
      <c r="W43" s="146" t="n">
        <v>2182.4</v>
      </c>
      <c r="X43" s="132" t="n">
        <v>2164.9</v>
      </c>
      <c r="Y43" s="139" t="n">
        <v>2198.1999999999998</v>
      </c>
      <c r="Z43" s="146" t="n">
        <v>2196.5</v>
      </c>
      <c r="AA43" s="151" t="n">
        <v>2226.6</v>
      </c>
    </row>
    <row r="44" ht="16.399999999999999" customHeight="1">
      <c r="A44" s="189" t="n">
        <v>37</v>
      </c>
      <c r="B44" s="236" t="s">
        <v>1783</v>
      </c>
      <c r="C44" s="206" t="n">
        <v>3798.7</v>
      </c>
      <c r="D44" s="206" t="n">
        <v>3784.1</v>
      </c>
      <c r="E44" s="207" t="n">
        <v>3795.4</v>
      </c>
      <c r="F44" s="207" t="n">
        <v>3825.6</v>
      </c>
      <c r="G44" s="207" t="n">
        <v>3806.8</v>
      </c>
      <c r="H44" s="207" t="n">
        <v>3766.5</v>
      </c>
      <c r="I44" s="206" t="n">
        <v>3934.5</v>
      </c>
      <c r="J44" s="207" t="n">
        <v>3960.6</v>
      </c>
      <c r="K44" s="206" t="n">
        <v>3921.9</v>
      </c>
      <c r="L44" s="132" t="n">
        <v>3955.4</v>
      </c>
      <c r="M44" s="139" t="n">
        <v>3941.9</v>
      </c>
      <c r="N44" s="222" t="n">
        <v>3955.9</v>
      </c>
      <c r="O44" s="194" t="n">
        <v>3981.3</v>
      </c>
      <c r="P44" s="139" t="n">
        <v>4035.5</v>
      </c>
      <c r="Q44" s="222" t="n">
        <v>4065</v>
      </c>
      <c r="R44" s="132" t="n">
        <v>4059.7</v>
      </c>
      <c r="S44" s="139" t="n">
        <v>4046.7</v>
      </c>
      <c r="T44" s="146" t="n">
        <v>4054</v>
      </c>
      <c r="U44" s="132" t="n">
        <v>4018.3</v>
      </c>
      <c r="V44" s="139" t="n">
        <v>4022</v>
      </c>
      <c r="W44" s="146" t="n">
        <v>4070.9</v>
      </c>
      <c r="X44" s="132" t="n">
        <v>4073</v>
      </c>
      <c r="Y44" s="139" t="n">
        <v>4082.3</v>
      </c>
      <c r="Z44" s="146" t="n">
        <v>4089.9</v>
      </c>
      <c r="AA44" s="151" t="n">
        <v>4104.3</v>
      </c>
      <c r="AB44" s="197"/>
    </row>
    <row r="45" ht="16.399999999999999" customHeight="1">
      <c r="A45" s="189" t="n">
        <v>38</v>
      </c>
      <c r="B45" s="73" t="s">
        <v>1739</v>
      </c>
      <c r="C45" s="206" t="n">
        <v>11432.1</v>
      </c>
      <c r="D45" s="206" t="n">
        <v>11568.9</v>
      </c>
      <c r="E45" s="207" t="n">
        <v>11661.2</v>
      </c>
      <c r="F45" s="207" t="n">
        <v>11713.7</v>
      </c>
      <c r="G45" s="207" t="n">
        <v>11760.9</v>
      </c>
      <c r="H45" s="207" t="n">
        <v>11835</v>
      </c>
      <c r="I45" s="206" t="n">
        <v>12081.4</v>
      </c>
      <c r="J45" s="207" t="n">
        <v>12132.4</v>
      </c>
      <c r="K45" s="206" t="n">
        <v>12193.4</v>
      </c>
      <c r="L45" s="132" t="n">
        <v>12224.7</v>
      </c>
      <c r="M45" s="139" t="n">
        <v>12263</v>
      </c>
      <c r="N45" s="222" t="n">
        <v>12335.3</v>
      </c>
      <c r="O45" s="194" t="n">
        <v>12407.2</v>
      </c>
      <c r="P45" s="139" t="n">
        <v>12422.9</v>
      </c>
      <c r="Q45" s="222" t="n">
        <v>12513</v>
      </c>
      <c r="R45" s="132" t="n">
        <v>12576.1</v>
      </c>
      <c r="S45" s="139" t="n">
        <v>12660.5</v>
      </c>
      <c r="T45" s="146" t="n">
        <v>12739.9</v>
      </c>
      <c r="U45" s="132" t="n">
        <v>12849</v>
      </c>
      <c r="V45" s="139" t="n">
        <v>12933.1</v>
      </c>
      <c r="W45" s="146" t="n">
        <v>13010.4</v>
      </c>
      <c r="X45" s="132" t="n">
        <v>13071.4</v>
      </c>
      <c r="Y45" s="139" t="n">
        <v>13133.2</v>
      </c>
      <c r="Z45" s="146" t="n">
        <v>13190.3</v>
      </c>
      <c r="AA45" s="151" t="n">
        <v>13249.6</v>
      </c>
      <c r="AB45" s="197"/>
    </row>
    <row r="46" ht="16.399999999999999" customHeight="1">
      <c r="A46" s="189" t="n">
        <v>39</v>
      </c>
      <c r="B46" s="184" t="s">
        <v>1784</v>
      </c>
      <c r="C46" s="206" t="n">
        <v>338.7</v>
      </c>
      <c r="D46" s="206" t="n">
        <v>357.1</v>
      </c>
      <c r="E46" s="207" t="n">
        <v>375.6</v>
      </c>
      <c r="F46" s="207" t="n">
        <v>389.1</v>
      </c>
      <c r="G46" s="207" t="n">
        <v>402.6</v>
      </c>
      <c r="H46" s="207" t="n">
        <v>416.1</v>
      </c>
      <c r="I46" s="206" t="n">
        <v>415</v>
      </c>
      <c r="J46" s="207" t="n">
        <v>419.8</v>
      </c>
      <c r="K46" s="206" t="n">
        <v>424.7</v>
      </c>
      <c r="L46" s="132" t="n">
        <v>449.7</v>
      </c>
      <c r="M46" s="139" t="n">
        <v>474.7</v>
      </c>
      <c r="N46" s="222" t="n">
        <v>499.8</v>
      </c>
      <c r="O46" s="194" t="n">
        <v>510</v>
      </c>
      <c r="P46" s="139" t="n">
        <v>519</v>
      </c>
      <c r="Q46" s="222" t="n">
        <v>562.79999999999995</v>
      </c>
      <c r="R46" s="132" t="n">
        <v>547.29999999999995</v>
      </c>
      <c r="S46" s="139" t="n">
        <v>531.70000000000005</v>
      </c>
      <c r="T46" s="146" t="n">
        <v>516.1</v>
      </c>
      <c r="U46" s="132" t="n">
        <v>519.79999999999995</v>
      </c>
      <c r="V46" s="139" t="n">
        <v>523.5</v>
      </c>
      <c r="W46" s="146" t="n">
        <v>527.20000000000005</v>
      </c>
      <c r="X46" s="132" t="n">
        <v>532.79999999999995</v>
      </c>
      <c r="Y46" s="139" t="n">
        <v>538.4</v>
      </c>
      <c r="Z46" s="146" t="n">
        <v>544</v>
      </c>
      <c r="AA46" s="151" t="n">
        <v>543.1</v>
      </c>
      <c r="AB46" s="197"/>
    </row>
    <row r="47">
      <c r="A47" s="189" t="n">
        <v>40</v>
      </c>
      <c r="B47" s="184" t="s">
        <v>1785</v>
      </c>
      <c r="C47" s="206" t="n">
        <v>224.4</v>
      </c>
      <c r="D47" s="206" t="n">
        <v>224.7</v>
      </c>
      <c r="E47" s="207" t="n">
        <v>225</v>
      </c>
      <c r="F47" s="207" t="n">
        <v>224.5</v>
      </c>
      <c r="G47" s="207" t="n">
        <v>224.7</v>
      </c>
      <c r="H47" s="207" t="n">
        <v>224.8</v>
      </c>
      <c r="I47" s="206" t="n">
        <v>242.4</v>
      </c>
      <c r="J47" s="207" t="n">
        <v>242.6</v>
      </c>
      <c r="K47" s="206" t="n">
        <v>242.8</v>
      </c>
      <c r="L47" s="132" t="n">
        <v>242.6</v>
      </c>
      <c r="M47" s="139" t="n">
        <v>242.9</v>
      </c>
      <c r="N47" s="222" t="n">
        <v>243.1</v>
      </c>
      <c r="O47" s="194" t="n">
        <v>246.1</v>
      </c>
      <c r="P47" s="139" t="n">
        <v>246.4</v>
      </c>
      <c r="Q47" s="222" t="n">
        <v>246.7</v>
      </c>
      <c r="R47" s="132" t="n">
        <v>248.8</v>
      </c>
      <c r="S47" s="139" t="n">
        <v>249.1</v>
      </c>
      <c r="T47" s="146" t="n">
        <v>249.5</v>
      </c>
      <c r="U47" s="132" t="n">
        <v>251.4</v>
      </c>
      <c r="V47" s="139" t="n">
        <v>251.8</v>
      </c>
      <c r="W47" s="146" t="n">
        <v>252.1</v>
      </c>
      <c r="X47" s="132" t="n">
        <v>253.1</v>
      </c>
      <c r="Y47" s="139" t="n">
        <v>253.5</v>
      </c>
      <c r="Z47" s="146" t="n">
        <v>253.9</v>
      </c>
      <c r="AA47" s="151" t="n">
        <v>254.3</v>
      </c>
      <c r="AB47" s="197"/>
    </row>
    <row r="48">
      <c r="A48" s="189" t="n">
        <v>41</v>
      </c>
      <c r="B48" s="73" t="s">
        <v>1786</v>
      </c>
      <c r="C48" s="206" t="n">
        <v>116.1</v>
      </c>
      <c r="D48" s="206" t="n">
        <v>116.4</v>
      </c>
      <c r="E48" s="207" t="n">
        <v>116.7</v>
      </c>
      <c r="F48" s="207" t="n">
        <v>116.9</v>
      </c>
      <c r="G48" s="207" t="n">
        <v>117.1</v>
      </c>
      <c r="H48" s="207" t="n">
        <v>117.2</v>
      </c>
      <c r="I48" s="206" t="n">
        <v>129.5</v>
      </c>
      <c r="J48" s="207" t="n">
        <v>129.69999999999999</v>
      </c>
      <c r="K48" s="206" t="n">
        <v>129.9</v>
      </c>
      <c r="L48" s="132" t="n">
        <v>130.1</v>
      </c>
      <c r="M48" s="139" t="n">
        <v>130.4</v>
      </c>
      <c r="N48" s="222" t="n">
        <v>130.6</v>
      </c>
      <c r="O48" s="194" t="n">
        <v>130.9</v>
      </c>
      <c r="P48" s="139" t="n">
        <v>131.19999999999999</v>
      </c>
      <c r="Q48" s="222" t="n">
        <v>131.5</v>
      </c>
      <c r="R48" s="132" t="n">
        <v>131.80000000000001</v>
      </c>
      <c r="S48" s="139" t="n">
        <v>132.1</v>
      </c>
      <c r="T48" s="146" t="n">
        <v>132.5</v>
      </c>
      <c r="U48" s="132" t="n">
        <v>132.9</v>
      </c>
      <c r="V48" s="139" t="n">
        <v>133.30000000000001</v>
      </c>
      <c r="W48" s="146" t="n">
        <v>133.6</v>
      </c>
      <c r="X48" s="132" t="n">
        <v>134</v>
      </c>
      <c r="Y48" s="139" t="n">
        <v>134.30000000000001</v>
      </c>
      <c r="Z48" s="146" t="n">
        <v>134.80000000000001</v>
      </c>
      <c r="AA48" s="151" t="n">
        <v>135.19999999999999</v>
      </c>
      <c r="AB48" s="197"/>
    </row>
    <row r="49">
      <c r="A49" s="189" t="n">
        <v>42</v>
      </c>
      <c r="B49" s="73" t="s">
        <v>1787</v>
      </c>
      <c r="C49" s="206" t="n">
        <v>108.3</v>
      </c>
      <c r="D49" s="206" t="n">
        <v>108.3</v>
      </c>
      <c r="E49" s="207" t="n">
        <v>108.3</v>
      </c>
      <c r="F49" s="207" t="n">
        <v>107.6</v>
      </c>
      <c r="G49" s="207" t="n">
        <v>107.6</v>
      </c>
      <c r="H49" s="207" t="n">
        <v>107.6</v>
      </c>
      <c r="I49" s="206" t="n">
        <v>112.9</v>
      </c>
      <c r="J49" s="207" t="n">
        <v>112.9</v>
      </c>
      <c r="K49" s="206" t="n">
        <v>112.9</v>
      </c>
      <c r="L49" s="132" t="n">
        <v>112.5</v>
      </c>
      <c r="M49" s="139" t="n">
        <v>112.5</v>
      </c>
      <c r="N49" s="222" t="n">
        <v>112.5</v>
      </c>
      <c r="O49" s="194" t="n">
        <v>115.2</v>
      </c>
      <c r="P49" s="139" t="n">
        <v>115.2</v>
      </c>
      <c r="Q49" s="222" t="n">
        <v>115.2</v>
      </c>
      <c r="R49" s="132" t="n">
        <v>117</v>
      </c>
      <c r="S49" s="139" t="n">
        <v>117</v>
      </c>
      <c r="T49" s="146" t="n">
        <v>117</v>
      </c>
      <c r="U49" s="132" t="n">
        <v>118.5</v>
      </c>
      <c r="V49" s="139" t="n">
        <v>118.5</v>
      </c>
      <c r="W49" s="146" t="n">
        <v>118.5</v>
      </c>
      <c r="X49" s="132" t="n">
        <v>119.1</v>
      </c>
      <c r="Y49" s="139" t="n">
        <v>119.1</v>
      </c>
      <c r="Z49" s="146" t="n">
        <v>119.1</v>
      </c>
      <c r="AA49" s="151" t="n">
        <v>119.1</v>
      </c>
      <c r="AB49" s="197"/>
    </row>
    <row r="50">
      <c r="A50" s="189" t="n">
        <v>43</v>
      </c>
      <c r="B50" s="75" t="s">
        <v>244</v>
      </c>
      <c r="C50" s="204" t="n">
        <v>644.70000000000005</v>
      </c>
      <c r="D50" s="204" t="n">
        <v>606.4</v>
      </c>
      <c r="E50" s="205" t="n">
        <v>574.4</v>
      </c>
      <c r="F50" s="205" t="n">
        <v>577.4</v>
      </c>
      <c r="G50" s="205" t="n">
        <v>664.1</v>
      </c>
      <c r="H50" s="205" t="n">
        <v>702.3</v>
      </c>
      <c r="I50" s="204" t="n">
        <v>871.1</v>
      </c>
      <c r="J50" s="205" t="n">
        <v>926</v>
      </c>
      <c r="K50" s="204" t="n">
        <v>1047.5</v>
      </c>
      <c r="L50" s="131" t="n">
        <v>1042.5</v>
      </c>
      <c r="M50" s="138" t="n">
        <v>1060</v>
      </c>
      <c r="N50" s="221" t="n">
        <v>980.1</v>
      </c>
      <c r="O50" s="193" t="n">
        <v>890.7</v>
      </c>
      <c r="P50" s="138" t="n">
        <v>909.4</v>
      </c>
      <c r="Q50" s="221" t="n">
        <v>791.6</v>
      </c>
      <c r="R50" s="131" t="n">
        <v>781</v>
      </c>
      <c r="S50" s="138" t="n">
        <v>766</v>
      </c>
      <c r="T50" s="144" t="n">
        <v>732.3</v>
      </c>
      <c r="U50" s="131" t="n">
        <v>830.1</v>
      </c>
      <c r="V50" s="138" t="n">
        <v>765.3</v>
      </c>
      <c r="W50" s="144" t="n">
        <v>736.7</v>
      </c>
      <c r="X50" s="131" t="n">
        <v>726.5</v>
      </c>
      <c r="Y50" s="138" t="n">
        <v>685.5</v>
      </c>
      <c r="Z50" s="144" t="n">
        <v>647.29999999999995</v>
      </c>
      <c r="AA50" s="150" t="n">
        <v>598.79999999999995</v>
      </c>
    </row>
    <row r="51">
      <c r="A51" s="190" t="n">
        <v>44</v>
      </c>
      <c r="B51" s="156" t="s">
        <v>1788</v>
      </c>
      <c r="C51" s="204" t="n">
        <v>3.5</v>
      </c>
      <c r="D51" s="204" t="n">
        <v>3.2</v>
      </c>
      <c r="E51" s="205" t="n">
        <v>3</v>
      </c>
      <c r="F51" s="205" t="n">
        <v>3</v>
      </c>
      <c r="G51" s="205" t="n">
        <v>3.5</v>
      </c>
      <c r="H51" s="205" t="n">
        <v>3.7</v>
      </c>
      <c r="I51" s="204" t="n">
        <v>4.4000000000000004</v>
      </c>
      <c r="J51" s="205" t="n">
        <v>4.7</v>
      </c>
      <c r="K51" s="204" t="n">
        <v>5.2</v>
      </c>
      <c r="L51" s="131" t="n">
        <v>5.2</v>
      </c>
      <c r="M51" s="138" t="n">
        <v>5.3</v>
      </c>
      <c r="N51" s="221" t="n">
        <v>4.8</v>
      </c>
      <c r="O51" s="193" t="n">
        <v>4.4000000000000004</v>
      </c>
      <c r="P51" s="138" t="n">
        <v>4.5</v>
      </c>
      <c r="Q51" s="221" t="n">
        <v>3.9</v>
      </c>
      <c r="R51" s="131" t="n">
        <v>3.8</v>
      </c>
      <c r="S51" s="138" t="n">
        <v>3.7</v>
      </c>
      <c r="T51" s="144" t="n">
        <v>3.6</v>
      </c>
      <c r="U51" s="131" t="n">
        <v>4</v>
      </c>
      <c r="V51" s="138" t="n">
        <v>3.7</v>
      </c>
      <c r="W51" s="144" t="n">
        <v>3.5</v>
      </c>
      <c r="X51" s="131" t="n">
        <v>3.5</v>
      </c>
      <c r="Y51" s="138" t="n">
        <v>3.3</v>
      </c>
      <c r="Z51" s="144" t="n">
        <v>3.1</v>
      </c>
      <c r="AA51" s="150" t="n">
        <v>2.9</v>
      </c>
    </row>
    <row r="52">
      <c r="A52" s="189"/>
      <c r="B52" s="75" t="s">
        <v>1740</v>
      </c>
      <c r="C52" s="204"/>
      <c r="D52" s="204"/>
      <c r="E52" s="205"/>
      <c r="F52" s="205"/>
      <c r="G52" s="205"/>
      <c r="H52" s="205"/>
      <c r="I52" s="204"/>
      <c r="J52" s="205"/>
      <c r="K52" s="204"/>
      <c r="L52" s="131"/>
      <c r="M52" s="138"/>
      <c r="N52" s="221"/>
      <c r="O52" s="193"/>
      <c r="P52" s="138"/>
      <c r="Q52" s="221"/>
      <c r="R52" s="131"/>
      <c r="S52" s="138"/>
      <c r="T52" s="144"/>
      <c r="U52" s="131"/>
      <c r="V52" s="138"/>
      <c r="W52" s="144"/>
      <c r="X52" s="131"/>
      <c r="Y52" s="138"/>
      <c r="Z52" s="144"/>
      <c r="AA52" s="150"/>
    </row>
    <row r="53" ht="31" customHeight="1">
      <c r="A53" s="190" t="n">
        <v>45</v>
      </c>
      <c r="B53" s="156" t="s">
        <v>1789</v>
      </c>
      <c r="C53" s="204" t="n">
        <v>14559.1</v>
      </c>
      <c r="D53" s="204" t="n">
        <v>14618.2</v>
      </c>
      <c r="E53" s="205" t="n">
        <v>14653.2</v>
      </c>
      <c r="F53" s="205" t="n">
        <v>14618.1</v>
      </c>
      <c r="G53" s="205" t="n">
        <v>14607</v>
      </c>
      <c r="H53" s="205" t="n">
        <v>14604.2</v>
      </c>
      <c r="I53" s="204" t="n">
        <v>15496.1</v>
      </c>
      <c r="J53" s="205" t="n">
        <v>15529.2</v>
      </c>
      <c r="K53" s="204" t="n">
        <v>15596.8</v>
      </c>
      <c r="L53" s="131" t="n">
        <v>15592.2</v>
      </c>
      <c r="M53" s="138" t="n">
        <v>15622.4</v>
      </c>
      <c r="N53" s="221" t="n">
        <v>15638</v>
      </c>
      <c r="O53" s="193" t="n">
        <v>15691.7</v>
      </c>
      <c r="P53" s="138" t="n">
        <v>15726.6</v>
      </c>
      <c r="Q53" s="221" t="n">
        <v>15741.9</v>
      </c>
      <c r="R53" s="131" t="n">
        <v>15749.7</v>
      </c>
      <c r="S53" s="138" t="n">
        <v>15795.9</v>
      </c>
      <c r="T53" s="144" t="n">
        <v>15823.3</v>
      </c>
      <c r="U53" s="131" t="n">
        <v>15862.4</v>
      </c>
      <c r="V53" s="138" t="n">
        <v>15834</v>
      </c>
      <c r="W53" s="144" t="n">
        <v>15853.2</v>
      </c>
      <c r="X53" s="131" t="n">
        <v>15838.7</v>
      </c>
      <c r="Y53" s="138" t="n">
        <v>15901.6</v>
      </c>
      <c r="Z53" s="144" t="n">
        <v>15916</v>
      </c>
      <c r="AA53" s="150" t="n">
        <v>15941.7</v>
      </c>
    </row>
    <row r="54">
      <c r="A54" s="189"/>
      <c r="B54" s="230" t="s">
        <v>1790</v>
      </c>
      <c r="C54" s="204"/>
      <c r="D54" s="204"/>
      <c r="E54" s="205"/>
      <c r="F54" s="205"/>
      <c r="G54" s="205"/>
      <c r="H54" s="205"/>
      <c r="I54" s="204"/>
      <c r="J54" s="205"/>
      <c r="K54" s="204"/>
      <c r="L54" s="131"/>
      <c r="M54" s="138"/>
      <c r="N54" s="221"/>
      <c r="O54" s="193"/>
      <c r="P54" s="138"/>
      <c r="Q54" s="221"/>
      <c r="R54" s="131"/>
      <c r="S54" s="138"/>
      <c r="T54" s="144"/>
      <c r="U54" s="131"/>
      <c r="V54" s="138"/>
      <c r="W54" s="144"/>
      <c r="X54" s="131"/>
      <c r="Y54" s="138"/>
      <c r="Z54" s="144"/>
      <c r="AA54" s="150"/>
    </row>
    <row r="55" ht="16.399999999999999" customHeight="1">
      <c r="A55" s="189" t="n">
        <v>46</v>
      </c>
      <c r="B55" s="233" t="s">
        <v>1791</v>
      </c>
      <c r="C55" s="206" t="n">
        <v>15100.2</v>
      </c>
      <c r="D55" s="206" t="n">
        <v>15149.6</v>
      </c>
      <c r="E55" s="207" t="n">
        <v>15172.2</v>
      </c>
      <c r="F55" s="207" t="n">
        <v>15218.9</v>
      </c>
      <c r="G55" s="207" t="n">
        <v>15238.7</v>
      </c>
      <c r="H55" s="207" t="n">
        <v>15250.6</v>
      </c>
      <c r="I55" s="206" t="n">
        <v>16601.900000000001</v>
      </c>
      <c r="J55" s="207" t="n">
        <v>16656.099999999999</v>
      </c>
      <c r="K55" s="206" t="n">
        <v>16730.2</v>
      </c>
      <c r="L55" s="132" t="n">
        <v>16763.900000000001</v>
      </c>
      <c r="M55" s="139" t="n">
        <v>16818.5</v>
      </c>
      <c r="N55" s="222" t="n">
        <v>16809.5</v>
      </c>
      <c r="O55" s="194" t="n">
        <v>16816.400000000001</v>
      </c>
      <c r="P55" s="139" t="n">
        <v>16826.2</v>
      </c>
      <c r="Q55" s="222" t="n">
        <v>16816.3</v>
      </c>
      <c r="R55" s="132" t="n">
        <v>16819.900000000001</v>
      </c>
      <c r="S55" s="139" t="n">
        <v>16859.599999999999</v>
      </c>
      <c r="T55" s="146" t="n">
        <v>16889.2</v>
      </c>
      <c r="U55" s="132" t="n">
        <v>16914.2</v>
      </c>
      <c r="V55" s="139" t="n">
        <v>16897.400000000001</v>
      </c>
      <c r="W55" s="146" t="n">
        <v>16924.3</v>
      </c>
      <c r="X55" s="132" t="n">
        <v>16914.2</v>
      </c>
      <c r="Y55" s="139" t="n">
        <v>16969.3</v>
      </c>
      <c r="Z55" s="146" t="n">
        <v>16983.900000000001</v>
      </c>
      <c r="AA55" s="151" t="n">
        <v>17002</v>
      </c>
    </row>
    <row r="56">
      <c r="A56" s="189"/>
      <c r="B56" s="73" t="s">
        <v>1792</v>
      </c>
      <c r="C56" s="206"/>
      <c r="D56" s="206"/>
      <c r="E56" s="207"/>
      <c r="F56" s="207"/>
      <c r="G56" s="207"/>
      <c r="H56" s="207"/>
      <c r="I56" s="206"/>
      <c r="J56" s="207"/>
      <c r="K56" s="206"/>
      <c r="L56" s="132"/>
      <c r="M56" s="139"/>
      <c r="N56" s="222"/>
      <c r="O56" s="194"/>
      <c r="P56" s="139"/>
      <c r="Q56" s="222"/>
      <c r="R56" s="132"/>
      <c r="S56" s="139"/>
      <c r="T56" s="146"/>
      <c r="U56" s="132"/>
      <c r="V56" s="139"/>
      <c r="W56" s="146"/>
      <c r="X56" s="132"/>
      <c r="Y56" s="139"/>
      <c r="Z56" s="146"/>
      <c r="AA56" s="151"/>
    </row>
    <row r="57">
      <c r="A57" s="189" t="n">
        <v>47</v>
      </c>
      <c r="B57" s="236" t="s">
        <v>1793</v>
      </c>
      <c r="C57" s="208" t="n">
        <v>55836</v>
      </c>
      <c r="D57" s="208" t="n">
        <v>56139</v>
      </c>
      <c r="E57" s="209" t="n">
        <v>56387</v>
      </c>
      <c r="F57" s="209" t="n">
        <v>56770</v>
      </c>
      <c r="G57" s="209" t="n">
        <v>56917</v>
      </c>
      <c r="H57" s="209" t="n">
        <v>57053</v>
      </c>
      <c r="I57" s="208" t="n">
        <v>59062</v>
      </c>
      <c r="J57" s="209" t="n">
        <v>59423</v>
      </c>
      <c r="K57" s="208" t="n">
        <v>59738</v>
      </c>
      <c r="L57" s="133" t="n">
        <v>60018</v>
      </c>
      <c r="M57" s="140" t="n">
        <v>60253</v>
      </c>
      <c r="N57" s="223" t="n">
        <v>60309</v>
      </c>
      <c r="O57" s="195" t="n">
        <v>60380</v>
      </c>
      <c r="P57" s="140" t="n">
        <v>60598</v>
      </c>
      <c r="Q57" s="223" t="n">
        <v>60762</v>
      </c>
      <c r="R57" s="133" t="n">
        <v>60767</v>
      </c>
      <c r="S57" s="140" t="n">
        <v>60876</v>
      </c>
      <c r="T57" s="147" t="n">
        <v>61033</v>
      </c>
      <c r="U57" s="133" t="n">
        <v>61361</v>
      </c>
      <c r="V57" s="140" t="n">
        <v>61482</v>
      </c>
      <c r="W57" s="147" t="n">
        <v>61766</v>
      </c>
      <c r="X57" s="133" t="n">
        <v>61868</v>
      </c>
      <c r="Y57" s="140" t="n">
        <v>62049</v>
      </c>
      <c r="Z57" s="147" t="n">
        <v>62112</v>
      </c>
      <c r="AA57" s="152" t="n">
        <v>62245</v>
      </c>
    </row>
    <row r="58">
      <c r="A58" s="189" t="n">
        <v>48</v>
      </c>
      <c r="B58" s="236" t="s">
        <v>1794</v>
      </c>
      <c r="C58" s="208" t="n">
        <v>45261</v>
      </c>
      <c r="D58" s="208" t="n">
        <v>45385</v>
      </c>
      <c r="E58" s="209" t="n">
        <v>45429</v>
      </c>
      <c r="F58" s="209" t="n">
        <v>45546</v>
      </c>
      <c r="G58" s="209" t="n">
        <v>45586</v>
      </c>
      <c r="H58" s="209" t="n">
        <v>45603</v>
      </c>
      <c r="I58" s="208" t="n">
        <v>49627</v>
      </c>
      <c r="J58" s="209" t="n">
        <v>49774</v>
      </c>
      <c r="K58" s="208" t="n">
        <v>49978</v>
      </c>
      <c r="L58" s="133" t="n">
        <v>50060</v>
      </c>
      <c r="M58" s="140" t="n">
        <v>50203</v>
      </c>
      <c r="N58" s="223" t="n">
        <v>50166</v>
      </c>
      <c r="O58" s="195" t="n">
        <v>50161</v>
      </c>
      <c r="P58" s="140" t="n">
        <v>50163</v>
      </c>
      <c r="Q58" s="223" t="n">
        <v>50106</v>
      </c>
      <c r="R58" s="133" t="n">
        <v>50093</v>
      </c>
      <c r="S58" s="140" t="n">
        <v>50188</v>
      </c>
      <c r="T58" s="147" t="n">
        <v>50255</v>
      </c>
      <c r="U58" s="133" t="n">
        <v>50311</v>
      </c>
      <c r="V58" s="140" t="n">
        <v>50244</v>
      </c>
      <c r="W58" s="147" t="n">
        <v>50307</v>
      </c>
      <c r="X58" s="133" t="n">
        <v>50258</v>
      </c>
      <c r="Y58" s="140" t="n">
        <v>50401</v>
      </c>
      <c r="Z58" s="147" t="n">
        <v>50421</v>
      </c>
      <c r="AA58" s="152" t="n">
        <v>50450</v>
      </c>
    </row>
    <row r="59" ht="15" customHeight="1">
      <c r="A59" s="191" t="n">
        <v>49</v>
      </c>
      <c r="B59" s="184" t="s">
        <v>1795</v>
      </c>
      <c r="C59" s="210" t="n">
        <v>333624</v>
      </c>
      <c r="D59" s="210" t="n">
        <v>333799</v>
      </c>
      <c r="E59" s="211" t="n">
        <v>333976</v>
      </c>
      <c r="F59" s="211" t="n">
        <v>334141</v>
      </c>
      <c r="G59" s="211" t="n">
        <v>334287</v>
      </c>
      <c r="H59" s="211" t="n">
        <v>334420</v>
      </c>
      <c r="I59" s="210" t="n">
        <v>334533</v>
      </c>
      <c r="J59" s="211" t="n">
        <v>334637</v>
      </c>
      <c r="K59" s="210" t="n">
        <v>334753</v>
      </c>
      <c r="L59" s="135" t="n">
        <v>334880</v>
      </c>
      <c r="M59" s="141" t="n">
        <v>335013</v>
      </c>
      <c r="N59" s="224" t="n">
        <v>335080</v>
      </c>
      <c r="O59" s="196" t="n">
        <v>335248</v>
      </c>
      <c r="P59" s="141" t="n">
        <v>335431</v>
      </c>
      <c r="Q59" s="224" t="n">
        <v>335612</v>
      </c>
      <c r="R59" s="135" t="n">
        <v>335773</v>
      </c>
      <c r="S59" s="141" t="n">
        <v>335925</v>
      </c>
      <c r="T59" s="148" t="n">
        <v>336070</v>
      </c>
      <c r="U59" s="135" t="n">
        <v>336194</v>
      </c>
      <c r="V59" s="141" t="n">
        <v>336306</v>
      </c>
      <c r="W59" s="148" t="n">
        <v>336423</v>
      </c>
      <c r="X59" s="135" t="n">
        <v>336550</v>
      </c>
      <c r="Y59" s="141" t="n">
        <v>336687</v>
      </c>
      <c r="Z59" s="148" t="n">
        <v>336839</v>
      </c>
      <c r="AA59" s="153" t="n">
        <v>337005</v>
      </c>
    </row>
    <row r="60">
      <c r="A60" s="179" t="s">
        <v>1796</v>
      </c>
      <c r="B60" s="179"/>
      <c r="C60" s="179"/>
      <c r="D60" s="179"/>
      <c r="E60" s="179"/>
      <c r="F60" s="179"/>
      <c r="G60" s="179"/>
      <c r="H60" s="179"/>
      <c r="I60" s="179"/>
      <c r="J60" s="179"/>
      <c r="K60" s="200"/>
      <c r="L60" s="122"/>
      <c r="M60" s="161"/>
      <c r="N60" s="109"/>
      <c r="O60" s="122"/>
      <c r="P60" s="161"/>
      <c r="Q60" s="109"/>
      <c r="R60" s="122"/>
      <c r="S60" s="161"/>
      <c r="T60" s="109"/>
      <c r="U60" s="122"/>
      <c r="V60" s="161"/>
      <c r="W60" s="109"/>
      <c r="X60" s="122"/>
      <c r="Y60" s="161"/>
      <c r="Z60" s="109"/>
      <c r="AA60" s="122"/>
    </row>
    <row r="61">
      <c r="A61" s="163" t="s">
        <v>1797</v>
      </c>
      <c r="B61" s="163"/>
      <c r="C61" s="163"/>
      <c r="D61" s="163"/>
      <c r="E61" s="163"/>
      <c r="F61" s="163"/>
      <c r="G61" s="163"/>
      <c r="H61" s="163"/>
      <c r="I61" s="163"/>
      <c r="J61" s="163"/>
      <c r="K61" s="163"/>
      <c r="L61" s="123"/>
      <c r="M61" s="162"/>
      <c r="N61" s="110"/>
      <c r="O61" s="123"/>
      <c r="P61" s="162"/>
      <c r="Q61" s="110"/>
      <c r="R61" s="123"/>
      <c r="S61" s="162"/>
      <c r="T61" s="110"/>
      <c r="U61" s="123"/>
      <c r="V61" s="162"/>
      <c r="W61" s="110"/>
      <c r="X61" s="123"/>
      <c r="Y61" s="162"/>
      <c r="Z61" s="110"/>
      <c r="AA61" s="123"/>
    </row>
    <row r="62">
      <c r="A62" s="163" t="s">
        <v>1798</v>
      </c>
      <c r="B62" s="163"/>
      <c r="C62" s="163"/>
      <c r="D62" s="163"/>
      <c r="E62" s="163"/>
      <c r="F62" s="163"/>
      <c r="G62" s="163"/>
      <c r="H62" s="163"/>
      <c r="I62" s="163"/>
      <c r="J62" s="163"/>
      <c r="K62" s="163"/>
      <c r="L62" s="123"/>
      <c r="M62" s="162"/>
      <c r="N62" s="110"/>
      <c r="O62" s="123"/>
      <c r="P62" s="162"/>
      <c r="Q62" s="110"/>
      <c r="R62" s="123"/>
      <c r="S62" s="162"/>
      <c r="T62" s="110"/>
      <c r="U62" s="123"/>
      <c r="V62" s="162"/>
      <c r="W62" s="110"/>
      <c r="X62" s="123"/>
      <c r="Y62" s="162"/>
      <c r="Z62" s="110"/>
      <c r="AA62" s="123"/>
    </row>
    <row r="63">
      <c r="A63" s="163" t="s">
        <v>1799</v>
      </c>
      <c r="B63" s="163"/>
      <c r="C63" s="163"/>
      <c r="D63" s="163"/>
      <c r="E63" s="163"/>
      <c r="F63" s="163"/>
      <c r="G63" s="163"/>
      <c r="H63" s="163"/>
      <c r="I63" s="163"/>
      <c r="J63" s="163"/>
      <c r="K63" s="163"/>
      <c r="L63" s="123"/>
      <c r="M63" s="162"/>
      <c r="N63" s="110"/>
      <c r="O63" s="123"/>
      <c r="P63" s="162"/>
      <c r="Q63" s="110"/>
      <c r="R63" s="123"/>
      <c r="S63" s="162"/>
      <c r="T63" s="110"/>
      <c r="U63" s="123"/>
      <c r="V63" s="162"/>
      <c r="W63" s="110"/>
      <c r="X63" s="123"/>
      <c r="Y63" s="162"/>
      <c r="Z63" s="110"/>
      <c r="AA63" s="123"/>
    </row>
    <row r="64">
      <c r="A64" s="163" t="s">
        <v>1800</v>
      </c>
      <c r="B64" s="163"/>
      <c r="C64" s="163"/>
      <c r="D64" s="163"/>
      <c r="E64" s="163"/>
      <c r="F64" s="163"/>
      <c r="G64" s="163"/>
      <c r="H64" s="163"/>
      <c r="I64" s="163"/>
      <c r="J64" s="163"/>
      <c r="K64" s="163"/>
      <c r="L64" s="123"/>
      <c r="M64" s="162"/>
      <c r="N64" s="110"/>
      <c r="O64" s="123"/>
      <c r="P64" s="162"/>
      <c r="Q64" s="110"/>
      <c r="R64" s="123"/>
      <c r="S64" s="162"/>
      <c r="T64" s="110"/>
      <c r="U64" s="123"/>
      <c r="V64" s="162"/>
      <c r="W64" s="110"/>
      <c r="X64" s="123"/>
      <c r="Y64" s="162"/>
      <c r="Z64" s="110"/>
      <c r="AA64" s="123"/>
    </row>
    <row r="65">
      <c r="A65" s="163" t="s">
        <v>1801</v>
      </c>
      <c r="B65" s="163"/>
      <c r="C65" s="163"/>
      <c r="D65" s="163"/>
      <c r="E65" s="163"/>
      <c r="F65" s="163"/>
      <c r="G65" s="163"/>
      <c r="H65" s="163"/>
      <c r="I65" s="163"/>
      <c r="J65" s="163"/>
      <c r="K65" s="163"/>
      <c r="L65" s="123"/>
      <c r="M65" s="162"/>
      <c r="N65" s="110"/>
      <c r="O65" s="123"/>
      <c r="P65" s="162"/>
      <c r="Q65" s="110"/>
      <c r="R65" s="123"/>
      <c r="S65" s="162"/>
      <c r="T65" s="110"/>
      <c r="U65" s="123"/>
      <c r="V65" s="162"/>
      <c r="W65" s="110"/>
      <c r="X65" s="123"/>
      <c r="Y65" s="162"/>
      <c r="Z65" s="110"/>
      <c r="AA65" s="123"/>
    </row>
    <row r="66" ht="14.5" customHeight="1">
      <c r="A66" s="163" t="s">
        <v>1802</v>
      </c>
      <c r="B66" s="163"/>
      <c r="C66" s="163"/>
      <c r="D66" s="163"/>
      <c r="E66" s="163"/>
      <c r="F66" s="163"/>
      <c r="G66" s="163"/>
      <c r="H66" s="163"/>
      <c r="I66" s="163"/>
      <c r="J66" s="163"/>
      <c r="K66" s="163"/>
      <c r="L66" s="123"/>
      <c r="M66" s="162"/>
      <c r="N66" s="110"/>
      <c r="O66" s="123"/>
      <c r="P66" s="162"/>
      <c r="Q66" s="110"/>
      <c r="R66" s="123"/>
      <c r="S66" s="162"/>
      <c r="T66" s="110"/>
      <c r="U66" s="123"/>
      <c r="V66" s="162"/>
      <c r="W66" s="110"/>
      <c r="X66" s="123"/>
      <c r="Y66" s="162"/>
      <c r="Z66" s="110"/>
      <c r="AA66" s="123"/>
    </row>
    <row r="67" ht="14.5" customHeight="1">
      <c r="A67" s="183" t="s">
        <v>1803</v>
      </c>
      <c r="B67" s="183"/>
      <c r="C67" s="183"/>
      <c r="D67" s="183"/>
      <c r="E67" s="183"/>
      <c r="F67" s="183"/>
      <c r="G67" s="183"/>
      <c r="H67" s="183"/>
      <c r="I67" s="183"/>
      <c r="J67" s="183"/>
      <c r="K67" s="183"/>
      <c r="L67" s="124"/>
      <c r="M67" s="176"/>
      <c r="N67" s="111"/>
      <c r="O67" s="124"/>
      <c r="P67" s="176"/>
      <c r="Q67" s="111"/>
      <c r="R67" s="124"/>
      <c r="S67" s="176"/>
      <c r="T67" s="111"/>
      <c r="U67" s="124"/>
      <c r="V67" s="176"/>
      <c r="W67" s="111"/>
      <c r="X67" s="124"/>
      <c r="Y67" s="176"/>
      <c r="Z67" s="111"/>
      <c r="AA67" s="124"/>
    </row>
    <row r="68" ht="14.5" customHeight="1">
      <c r="A68" s="184" t="s">
        <v>246</v>
      </c>
      <c r="B68" s="184"/>
      <c r="C68" s="184"/>
      <c r="D68" s="184"/>
      <c r="E68" s="184"/>
      <c r="F68" s="184"/>
      <c r="G68" s="184"/>
      <c r="H68" s="184"/>
      <c r="I68" s="184"/>
      <c r="J68" s="184"/>
      <c r="K68" s="184"/>
      <c r="L68" s="125"/>
      <c r="M68" s="185"/>
      <c r="N68" s="112"/>
      <c r="O68" s="125"/>
      <c r="P68" s="185"/>
      <c r="Q68" s="112"/>
      <c r="R68" s="125"/>
      <c r="S68" s="185"/>
      <c r="T68" s="112"/>
      <c r="U68" s="125"/>
      <c r="V68" s="185"/>
      <c r="W68" s="112"/>
      <c r="X68" s="125"/>
      <c r="Y68" s="185"/>
      <c r="Z68" s="112"/>
      <c r="AA68" s="125"/>
    </row>
    <row r="69">
      <c r="A69" s="182" t="s">
        <v>885</v>
      </c>
      <c r="B69" s="182"/>
      <c r="C69" s="182"/>
      <c r="D69" s="182"/>
      <c r="E69" s="182"/>
      <c r="F69" s="182"/>
      <c r="G69" s="182"/>
    </row>
    <row r="70">
      <c r="A70" s="77" t="s">
        <v>886</v>
      </c>
      <c r="B70" s="77"/>
      <c r="C70" s="77"/>
      <c r="D70" s="77"/>
      <c r="E70" s="77"/>
      <c r="F70" s="77"/>
      <c r="G70" s="77"/>
    </row>
    <row r="71">
      <c r="A71" s="181" t="s">
        <v>887</v>
      </c>
      <c r="B71" s="181"/>
      <c r="C71" s="181"/>
      <c r="D71" s="181"/>
      <c r="E71" s="181"/>
      <c r="F71" s="181"/>
      <c r="G71" s="181"/>
    </row>
    <row r="72">
      <c r="A72" s="180" t="s">
        <v>888</v>
      </c>
      <c r="B72" s="180"/>
      <c r="C72" s="180"/>
      <c r="D72" s="180"/>
      <c r="E72" s="180"/>
      <c r="F72" s="180"/>
      <c r="G72" s="180"/>
    </row>
    <row r="73">
      <c r="A73" s="180" t="s">
        <v>889</v>
      </c>
      <c r="B73" s="180"/>
      <c r="C73" s="180"/>
      <c r="D73" s="180"/>
      <c r="E73" s="180"/>
      <c r="F73" s="180"/>
      <c r="G73" s="180"/>
    </row>
    <row r="74">
      <c r="A74" s="181" t="s">
        <v>890</v>
      </c>
      <c r="B74" s="181"/>
      <c r="C74" s="181"/>
      <c r="D74" s="181"/>
      <c r="E74" s="181"/>
      <c r="F74" s="181"/>
      <c r="G74" s="181"/>
    </row>
    <row r="76">
      <c r="A76" s="182" t="s">
        <v>891</v>
      </c>
      <c r="B76" s="182"/>
      <c r="C76" s="182"/>
      <c r="D76" s="182"/>
      <c r="E76" s="182"/>
      <c r="F76" s="182"/>
      <c r="G76" s="182"/>
    </row>
    <row r="78">
      <c r="A78" s="85" t="s">
        <v>245</v>
      </c>
    </row>
    <row r="80">
      <c r="A80" s="85" t="s">
        <v>246</v>
      </c>
    </row>
    <row r="82">
      <c r="A82" t="s">
        <v>881</v>
      </c>
      <c r="B82" t="s">
        <v>882</v>
      </c>
      <c r="C82" s="199" t="n">
        <v>44743</v>
      </c>
      <c r="D82" s="199" t="n">
        <v>44774</v>
      </c>
      <c r="E82" s="199" t="n">
        <v>44805</v>
      </c>
      <c r="F82" s="199" t="n">
        <v>44835</v>
      </c>
      <c r="G82" s="199" t="n">
        <v>44866</v>
      </c>
      <c r="H82" s="199" t="n">
        <v>44896</v>
      </c>
      <c r="I82" s="199" t="n">
        <v>44927</v>
      </c>
      <c r="J82" s="199" t="n">
        <v>44958</v>
      </c>
      <c r="K82" s="199" t="n">
        <v>44986</v>
      </c>
      <c r="L82" s="127" t="n">
        <v>45017</v>
      </c>
      <c r="M82" s="187" t="n">
        <v>45047</v>
      </c>
      <c r="N82" s="114" t="n">
        <v>45078</v>
      </c>
      <c r="O82" s="127" t="n">
        <v>45108</v>
      </c>
      <c r="P82" s="187" t="n">
        <v>45139</v>
      </c>
      <c r="Q82" s="114" t="n">
        <v>45170</v>
      </c>
      <c r="R82" s="127" t="n">
        <v>45200</v>
      </c>
      <c r="S82" s="187" t="n">
        <v>45231</v>
      </c>
      <c r="T82" s="114" t="n">
        <v>45261</v>
      </c>
      <c r="U82" s="127" t="n">
        <v>45292</v>
      </c>
      <c r="V82" s="187" t="n">
        <v>45323</v>
      </c>
      <c r="W82" s="114" t="n">
        <v>45352</v>
      </c>
      <c r="X82" s="127" t="n">
        <v>45383</v>
      </c>
      <c r="Y82" s="187" t="n">
        <v>45413</v>
      </c>
      <c r="Z82" s="114" t="n">
        <v>45444</v>
      </c>
      <c r="AA82" s="127" t="n">
        <v>45474</v>
      </c>
    </row>
    <row r="83">
      <c r="A83" s="214" t="s">
        <v>1908</v>
      </c>
      <c r="B83" t="s">
        <v>395</v>
      </c>
      <c r="C83" t="n">
        <f>'Federal and State Purchases'!V33</f>
        <v>5129</v>
      </c>
      <c r="D83" t="n">
        <f>'Federal and State Purchases'!W33</f>
        <v>5139</v>
      </c>
      <c r="E83" t="n">
        <f>'Federal and State Purchases'!X33</f>
        <v>5148</v>
      </c>
      <c r="F83" t="n">
        <f>'Federal and State Purchases'!Y33</f>
        <v>5143</v>
      </c>
      <c r="G83" t="n">
        <f>'Federal and State Purchases'!Z33</f>
        <v>5161</v>
      </c>
      <c r="H83" t="n">
        <f>'Federal and State Purchases'!AA33</f>
        <v>5131</v>
      </c>
      <c r="I83" t="n">
        <f>'Federal and State Purchases'!AB33</f>
        <v>5206</v>
      </c>
      <c r="J83" t="n">
        <f>'Federal and State Purchases'!AC33</f>
        <v>5229</v>
      </c>
      <c r="K83" t="n">
        <f>'Federal and State Purchases'!AD33</f>
        <v>5249</v>
      </c>
      <c r="L83" s="126" t="n">
        <f>'Federal and State Purchases'!AE33</f>
        <v>5263</v>
      </c>
      <c r="M83" s="186" t="n">
        <f>'Federal and State Purchases'!AF33</f>
        <v>5280</v>
      </c>
      <c r="N83" s="113" t="n">
        <f>'Federal and State Purchases'!AG33</f>
        <v>5301</v>
      </c>
      <c r="O83" s="126" t="n">
        <f>'Federal and State Purchases'!AH33</f>
        <v>5301</v>
      </c>
      <c r="P83" s="186" t="n">
        <f>'Federal and State Purchases'!AI33</f>
        <v>5329</v>
      </c>
      <c r="Q83" s="113" t="n">
        <f>'Federal and State Purchases'!AJ33</f>
        <v>5346</v>
      </c>
      <c r="R83" s="126" t="n">
        <f>'Federal and State Purchases'!AK33</f>
        <v>5375</v>
      </c>
      <c r="S83" s="186" t="n">
        <f>'Federal and State Purchases'!AL33</f>
        <v>5383</v>
      </c>
      <c r="T83" s="113" t="n">
        <f>'Federal and State Purchases'!AM33</f>
        <v>5404</v>
      </c>
      <c r="U83" s="126" t="n">
        <v>5420</v>
      </c>
      <c r="V83" s="186" t="n">
        <v>5434</v>
      </c>
      <c r="W83" s="113" t="n">
        <v>5444</v>
      </c>
      <c r="X83" s="126" t="n">
        <v>5448</v>
      </c>
      <c r="Y83" s="186" t="n">
        <v>5429</v>
      </c>
      <c r="Z83" s="113" t="n">
        <v>5445</v>
      </c>
      <c r="AA83" s="126" t="n">
        <v>5452</v>
      </c>
    </row>
    <row r="84">
      <c r="A84" t="s">
        <v>398</v>
      </c>
      <c r="B84" t="s">
        <v>397</v>
      </c>
      <c r="C84" t="n">
        <f>'Federal and State Purchases'!V34</f>
        <v>14272</v>
      </c>
      <c r="D84" t="n">
        <f>'Federal and State Purchases'!W34</f>
        <v>14266</v>
      </c>
      <c r="E84" t="n">
        <f>'Federal and State Purchases'!X34</f>
        <v>14260</v>
      </c>
      <c r="F84" t="n">
        <f>'Federal and State Purchases'!Y34</f>
        <v>14287</v>
      </c>
      <c r="G84" t="n">
        <f>'Federal and State Purchases'!Z34</f>
        <v>14328</v>
      </c>
      <c r="H84" t="n">
        <f>'Federal and State Purchases'!AA34</f>
        <v>14360</v>
      </c>
      <c r="I84" t="n">
        <f>'Federal and State Purchases'!AB34</f>
        <v>14402</v>
      </c>
      <c r="J84" t="n">
        <f>'Federal and State Purchases'!AC34</f>
        <v>14430</v>
      </c>
      <c r="K84" t="n">
        <f>'Federal and State Purchases'!AD34</f>
        <v>14457</v>
      </c>
      <c r="L84" s="126" t="n">
        <f>'Federal and State Purchases'!AE34</f>
        <v>14482</v>
      </c>
      <c r="M84" s="186" t="n">
        <f>'Federal and State Purchases'!AF34</f>
        <v>14508</v>
      </c>
      <c r="N84" s="113" t="n">
        <f>'Federal and State Purchases'!AG34</f>
        <v>14536</v>
      </c>
      <c r="O84" s="126" t="n">
        <f>'Federal and State Purchases'!AH34</f>
        <v>14564</v>
      </c>
      <c r="P84" s="186" t="n">
        <f>'Federal and State Purchases'!AI34</f>
        <v>14585</v>
      </c>
      <c r="Q84" s="113" t="n">
        <f>'Federal and State Purchases'!AJ34</f>
        <v>14612</v>
      </c>
      <c r="R84" s="126" t="n">
        <f>'Federal and State Purchases'!AK34</f>
        <v>14642</v>
      </c>
      <c r="S84" s="186" t="n">
        <f>'Federal and State Purchases'!AL34</f>
        <v>14665</v>
      </c>
      <c r="T84" s="113" t="n">
        <f>'Federal and State Purchases'!AM34</f>
        <v>14711</v>
      </c>
      <c r="U84" s="126" t="n">
        <v>14742</v>
      </c>
      <c r="V84" s="186" t="n">
        <v>14776</v>
      </c>
      <c r="W84" s="113" t="n">
        <v>14832</v>
      </c>
      <c r="X84" s="126" t="n">
        <v>14828</v>
      </c>
      <c r="Y84" s="186" t="n">
        <v>14856</v>
      </c>
      <c r="Z84" s="113" t="n">
        <v>14881</v>
      </c>
      <c r="AA84" s="126" t="n">
        <v>14890</v>
      </c>
    </row>
    <row r="85">
      <c r="B85" t="s">
        <v>1900</v>
      </c>
      <c r="C85" t="n">
        <f>'Federal and State Purchases'!V35</f>
        <v>19401</v>
      </c>
      <c r="D85" t="n">
        <f>'Federal and State Purchases'!W35</f>
        <v>19405</v>
      </c>
      <c r="E85" t="n">
        <f>'Federal and State Purchases'!X35</f>
        <v>19408</v>
      </c>
      <c r="F85" t="n">
        <f>'Federal and State Purchases'!Y35</f>
        <v>19430</v>
      </c>
      <c r="G85" t="n">
        <f>'Federal and State Purchases'!Z35</f>
        <v>19489</v>
      </c>
      <c r="H85" t="n">
        <f>'Federal and State Purchases'!AA35</f>
        <v>19491</v>
      </c>
      <c r="I85" t="n">
        <f>'Federal and State Purchases'!AB35</f>
        <v>19608</v>
      </c>
      <c r="J85" t="n">
        <f>'Federal and State Purchases'!AC35</f>
        <v>19659</v>
      </c>
      <c r="K85" t="n">
        <f>'Federal and State Purchases'!AD35</f>
        <v>19706</v>
      </c>
      <c r="L85" s="126" t="n">
        <f>'Federal and State Purchases'!AE35</f>
        <v>19745</v>
      </c>
      <c r="M85" s="186" t="n">
        <f>'Federal and State Purchases'!AF35</f>
        <v>19788</v>
      </c>
      <c r="N85" s="113" t="n">
        <f>'Federal and State Purchases'!AG35</f>
        <v>19837</v>
      </c>
      <c r="O85" s="126" t="n">
        <f>'Federal and State Purchases'!AH35</f>
        <v>19865</v>
      </c>
      <c r="P85" s="186" t="n">
        <f>'Federal and State Purchases'!AI35</f>
        <v>19914</v>
      </c>
      <c r="Q85" s="113" t="n">
        <f>'Federal and State Purchases'!AJ35</f>
        <v>19958</v>
      </c>
      <c r="R85" s="126" t="n">
        <f>'Federal and State Purchases'!AK35</f>
        <v>20017</v>
      </c>
      <c r="S85" s="186" t="n">
        <f>'Federal and State Purchases'!AL35</f>
        <v>20048</v>
      </c>
      <c r="T85" s="113" t="n">
        <f>'Federal and State Purchases'!AM35</f>
        <v>20115</v>
      </c>
      <c r="U85" s="126" t="n">
        <f>'Federal and State Purchases'!AN35</f>
        <v>20162</v>
      </c>
      <c r="V85" s="186" t="n">
        <f>'Federal and State Purchases'!AO35</f>
        <v>20210</v>
      </c>
      <c r="W85" s="113" t="n">
        <f>'Federal and State Purchases'!AP35</f>
        <v>20276</v>
      </c>
      <c r="X85" s="126" t="n">
        <f>'Federal and State Purchases'!AQ35</f>
        <v>20276</v>
      </c>
      <c r="Y85" s="186" t="n">
        <f>'Federal and State Purchases'!AR35</f>
        <v>20285</v>
      </c>
      <c r="Z85" s="113" t="n">
        <f>'Federal and State Purchases'!AS35</f>
        <v>20326</v>
      </c>
      <c r="AA85" s="126" t="n">
        <f>'Federal and State Purchases'!AT35</f>
        <v>20342</v>
      </c>
    </row>
    <row r="86">
      <c r="A86" t="s">
        <v>400</v>
      </c>
      <c r="B86" t="s">
        <v>399</v>
      </c>
      <c r="C86" s="158" t="n">
        <v>389187</v>
      </c>
      <c r="D86" s="158" t="n">
        <v>389811</v>
      </c>
      <c r="E86" s="158" t="n">
        <v>393057</v>
      </c>
      <c r="F86" s="158" t="n">
        <v>394667</v>
      </c>
      <c r="G86" s="158" t="n">
        <v>398105</v>
      </c>
      <c r="H86" s="158" t="n">
        <v>403063</v>
      </c>
      <c r="I86" s="158" t="n">
        <v>411273</v>
      </c>
      <c r="J86" s="158" t="n">
        <v>421310</v>
      </c>
      <c r="K86" s="158" t="n">
        <v>429297</v>
      </c>
      <c r="L86" s="158" t="n">
        <v>437776</v>
      </c>
      <c r="M86" s="158" t="n">
        <v>444607</v>
      </c>
      <c r="N86" s="158" t="n">
        <v>450969</v>
      </c>
      <c r="O86" s="158" t="n">
        <v>447772</v>
      </c>
      <c r="P86" s="158" t="n">
        <v>454126</v>
      </c>
      <c r="Q86" s="158" t="n">
        <v>462829</v>
      </c>
      <c r="R86" s="158" t="n">
        <v>476064</v>
      </c>
      <c r="S86" s="158" t="n">
        <v>479940</v>
      </c>
      <c r="T86" s="158" t="n">
        <v>482887</v>
      </c>
      <c r="U86" s="158" t="n">
        <v>478203</v>
      </c>
      <c r="V86" s="158" t="n">
        <v>480395</v>
      </c>
      <c r="W86" s="158" t="n">
        <v>485488</v>
      </c>
      <c r="X86" s="158" t="n">
        <v>486849</v>
      </c>
      <c r="Y86" s="158" t="n">
        <v>486006</v>
      </c>
      <c r="Z86" s="158" t="n">
        <v>483850</v>
      </c>
      <c r="AA86" s="126"/>
    </row>
    <row r="87">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c r="A88" s="229"/>
    </row>
    <row r="89" ht="16.5" customHeight="1">
      <c r="A89" s="229"/>
      <c r="B89" t="s">
        <v>2263</v>
      </c>
      <c r="I89" s="155" t="n">
        <v>119.011</v>
      </c>
      <c r="J89" s="155" t="n">
        <v>119.386</v>
      </c>
      <c r="K89" s="155" t="n">
        <v>119.53</v>
      </c>
      <c r="L89" s="155" t="n">
        <v>119.893</v>
      </c>
      <c r="M89" s="155" t="n">
        <v>120.02</v>
      </c>
      <c r="N89" s="155" t="n">
        <v>120.221</v>
      </c>
      <c r="O89" s="155" t="n">
        <v>120.373</v>
      </c>
      <c r="P89" s="155" t="n">
        <v>120.803</v>
      </c>
      <c r="Q89" s="155" t="n">
        <v>121.267</v>
      </c>
      <c r="R89" s="155" t="n">
        <v>121.309</v>
      </c>
      <c r="S89" s="155" t="n">
        <v>121.29600000000001</v>
      </c>
      <c r="T89" s="155" t="n">
        <v>121.44799999999999</v>
      </c>
      <c r="U89" s="155" t="n">
        <v>121.96599999999999</v>
      </c>
      <c r="V89" s="155" t="n">
        <v>122.367</v>
      </c>
      <c r="W89" s="155" t="n">
        <v>122.782</v>
      </c>
      <c r="X89" s="155" t="n">
        <v>123.10299999999999</v>
      </c>
      <c r="Y89" s="155" t="n">
        <v>123.11199999999999</v>
      </c>
      <c r="Z89" s="155" t="n">
        <v>123.187</v>
      </c>
      <c r="AA89" s="155" t="n">
        <v>123.378</v>
      </c>
      <c r="AB89" s="157"/>
    </row>
    <row r="90" ht="72.5" customHeight="1">
      <c r="A90" s="229"/>
      <c r="B90" s="154" t="s">
        <v>2262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9" r:id="rId3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4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5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6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71:H71" r:id="rId7h" display="4. Economic impact payments, initially established by the CARES Act, provide direct payments to individuals. For more information, see &quot;How are federal economic impact payments to support individuals during the COVID-19 pandemic recorded in the NIPAs?&quot;."/>
    <hyperlink ref="A83" r:id="rId8h"/>
    <hyperlink ref="B90" r:id="rId9h" display="https://apps.bea.gov/iTable/?reqid=19&amp;step=3&amp;isuri=1&amp;1921=survey&amp;1903=11&amp;_gl=1*1m1fzad*_ga*MjA3ODA2MTA4MS4xNzE3MDcwOTIy*_ga_J4698JNNFT*MTcyMTk5OTU0Mi4xMy4xLjE3MjIwMDEzMTMuMzEuMC4w#eyJhcHBpZCI6MTksInN0ZXBzIjpbMSwyLDNdLCJkYXRhIjpbWyJOSVBBX1RhYmxlX0xpc3QiLCI4MSJdLFsiQ2F0ZWdvcmllcyIsIlN1cnZleSJdXX0=" location="eyJhcHBpZCI6MTksInN0ZXBzIjpbMSwyLDNdLCJkYXRhIjpbWyJOSVBBX1RhYmxlX0xpc3QiLCI4MSJdLFsiQ2F0ZWdvcmllcyIsIlN1cnZleSJdXX0="/>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selection activeCell="G22" sqref="G22"/>
    </sheetView>
  </sheetViews>
  <sheetFormatPr defaultRowHeight="15.0" baseColWidth="10"/>
  <cols>
    <col min="1" max="1" width="33" hidden="0" customWidth="1"/>
    <col min="2" max="2" width="27.1796875" hidden="0" customWidth="1"/>
  </cols>
  <sheetData>
    <row r="1">
      <c r="A1" s="105" t="s">
        <v>178</v>
      </c>
      <c r="B1" s="105" t="s">
        <v>179</v>
      </c>
      <c r="C1" s="212" t="s">
        <v>247</v>
      </c>
      <c r="D1" s="212" t="s">
        <v>248</v>
      </c>
      <c r="E1" s="212" t="s">
        <v>249</v>
      </c>
      <c r="F1" s="212" t="s">
        <v>1947</v>
      </c>
      <c r="G1" s="212" t="s">
        <v>251</v>
      </c>
      <c r="H1" s="212" t="s">
        <v>180</v>
      </c>
      <c r="I1" s="212" t="s">
        <v>181</v>
      </c>
      <c r="J1" s="212" t="s">
        <v>1948</v>
      </c>
      <c r="K1" s="212" t="s">
        <v>183</v>
      </c>
      <c r="L1" s="212" t="s">
        <v>184</v>
      </c>
      <c r="M1" s="212" t="s">
        <v>185</v>
      </c>
      <c r="N1" s="212" t="s">
        <v>1949</v>
      </c>
      <c r="O1" s="212" t="s">
        <v>187</v>
      </c>
      <c r="P1" s="212" t="s">
        <v>188</v>
      </c>
      <c r="Q1" s="212" t="s">
        <v>189</v>
      </c>
      <c r="R1" s="212" t="s">
        <v>1906</v>
      </c>
      <c r="S1" s="212" t="s">
        <v>191</v>
      </c>
      <c r="T1" s="212"/>
      <c r="U1" s="212"/>
      <c r="V1" s="212"/>
    </row>
    <row r="2" ht="29.15" customHeight="1">
      <c r="A2" s="34" t="s">
        <v>252</v>
      </c>
      <c r="B2" t="s">
        <v>253</v>
      </c>
      <c r="C2" t="n">
        <f>Grants!J73</f>
        <v>320.24999999999989</v>
      </c>
      <c r="D2" t="n">
        <f>Grants!K73</f>
        <v>298.13400000000001</v>
      </c>
      <c r="E2" t="n">
        <f>Grants!L73</f>
        <v>289.54399999999998</v>
      </c>
      <c r="F2" t="n">
        <f>Grants!M73</f>
        <v>320.34099999999995</v>
      </c>
      <c r="G2" t="n">
        <f>Grants!N73</f>
        <v>354.35800000000017</v>
      </c>
      <c r="H2" t="n">
        <f>Grants!O73</f>
        <v>375.57600000000008</v>
      </c>
      <c r="I2" s="85" t="n">
        <f>Grants!P73</f>
        <v>396.106852</v>
      </c>
      <c r="J2" s="85" t="n">
        <f>Grants!Q73</f>
        <v>433.66327480000001</v>
      </c>
      <c r="K2" s="85" t="n">
        <f>Grants!R73</f>
        <v>500.88603199999994</v>
      </c>
      <c r="L2" s="85" t="n">
        <f>Grants!S73</f>
        <v>486.87586800000008</v>
      </c>
      <c r="M2" s="85" t="n">
        <f>Grants!T73</f>
        <v>445.45392800000008</v>
      </c>
      <c r="N2" s="85" t="n">
        <f>Grants!U73</f>
        <v>439.61154320000009</v>
      </c>
      <c r="O2" s="85" t="n">
        <f>Grants!V73</f>
        <v>429.15772000000004</v>
      </c>
      <c r="P2" s="240" t="n">
        <f>Grants!W73</f>
        <v>415.61894400000006</v>
      </c>
      <c r="Q2" s="240" t="n">
        <f>Grants!X73</f>
        <v>427.53694400000006</v>
      </c>
      <c r="R2" s="240" t="n">
        <f>Grants!Y73</f>
        <v>427.26494400000001</v>
      </c>
      <c r="S2" s="240" t="n">
        <f>Grants!Z73</f>
        <v>433.05410899999998</v>
      </c>
    </row>
    <row r="3" ht="29.15" customHeight="1">
      <c r="A3" s="34" t="s">
        <v>792</v>
      </c>
      <c r="B3" t="s">
        <v>789</v>
      </c>
      <c r="C3" t="n">
        <f>'Social Benefits'!J33</f>
        <v>1650.6000000000004</v>
      </c>
      <c r="D3" t="n">
        <f>'Social Benefits'!K33</f>
        <v>1808.6</v>
      </c>
      <c r="E3" t="n">
        <f>'Social Benefits'!L33</f>
        <v>1697.9</v>
      </c>
      <c r="F3" t="n">
        <f>'Social Benefits'!M33</f>
        <v>1739.3999999999999</v>
      </c>
      <c r="G3" t="n">
        <f>'Social Benefits'!N33</f>
        <v>1749.07816</v>
      </c>
      <c r="H3" t="n">
        <f>'Social Benefits'!O33</f>
        <v>1919.92984</v>
      </c>
      <c r="I3" s="85" t="n">
        <f>'Social Benefits'!P33</f>
        <v>1894.6239999999998</v>
      </c>
      <c r="J3" s="85" t="n">
        <f>'Social Benefits'!Q33</f>
        <v>1859.424</v>
      </c>
      <c r="K3" s="85" t="n">
        <f>'Social Benefits'!R33</f>
        <v>1856.6239999999998</v>
      </c>
      <c r="L3" s="85" t="n">
        <f>'Social Benefits'!S33</f>
        <v>1840.0239999999999</v>
      </c>
      <c r="M3" s="85" t="n">
        <f>'Social Benefits'!T33</f>
        <v>1904.0839999999996</v>
      </c>
      <c r="N3" s="85" t="n">
        <f>'Social Benefits'!U33</f>
        <v>1972.2840000000003</v>
      </c>
      <c r="O3" s="85" t="n">
        <f>'Social Benefits'!V33</f>
        <v>1951.7554285714286</v>
      </c>
      <c r="P3" s="240" t="n">
        <f>'Social Benefits'!W33</f>
        <v>1947.7554285714286</v>
      </c>
      <c r="Q3" s="240" t="n">
        <f>'Social Benefits'!X33</f>
        <v>1954.2990000000002</v>
      </c>
      <c r="R3" s="240" t="n">
        <f>'Social Benefits'!Y33</f>
        <v>2046.499</v>
      </c>
      <c r="S3" s="240" t="n">
        <f>'Social Benefits'!Z33</f>
        <v>2069.3989999999999</v>
      </c>
    </row>
    <row r="4" ht="29.15" customHeight="1">
      <c r="A4" s="34" t="s">
        <v>794</v>
      </c>
      <c r="B4" t="s">
        <v>790</v>
      </c>
      <c r="C4" t="n">
        <f>'Social Benefits'!J24</f>
        <v>0</v>
      </c>
      <c r="D4" t="n">
        <f>'Social Benefits'!K24</f>
        <v>0</v>
      </c>
      <c r="E4" t="n">
        <f>'Social Benefits'!L24</f>
        <v>0</v>
      </c>
      <c r="F4" t="n">
        <f>'Social Benefits'!M24</f>
        <v>0</v>
      </c>
      <c r="G4" t="n">
        <f>'Social Benefits'!N24</f>
        <v>33.921840000000024</v>
      </c>
      <c r="H4" t="n">
        <f>'Social Benefits'!O24</f>
        <v>44.966160000000031</v>
      </c>
      <c r="I4" s="85" t="n">
        <f>'Social Benefits'!P24</f>
        <v>52.756999999999998</v>
      </c>
      <c r="J4" s="85" t="n">
        <f>'Social Benefits'!Q24</f>
        <v>52.756999999999998</v>
      </c>
      <c r="K4" s="85" t="n">
        <f>'Social Benefits'!R24</f>
        <v>52.756999999999998</v>
      </c>
      <c r="L4" s="85" t="n">
        <f>'Social Benefits'!S24</f>
        <v>52.756999999999998</v>
      </c>
      <c r="M4" s="85" t="n">
        <f>'Social Benefits'!T24</f>
        <v>30</v>
      </c>
      <c r="N4" s="85" t="n">
        <f>'Social Benefits'!U24</f>
        <v>12</v>
      </c>
      <c r="O4" s="85" t="n">
        <f>'Social Benefits'!V24</f>
        <v>12</v>
      </c>
      <c r="P4" s="240" t="n">
        <f>'Social Benefits'!W24</f>
        <v>12</v>
      </c>
      <c r="Q4" s="240" t="n">
        <f>'Social Benefits'!X24</f>
        <v>4.2219999999999995</v>
      </c>
      <c r="R4" s="240" t="n">
        <f>'Social Benefits'!Y24</f>
        <v>4.2219999999999995</v>
      </c>
      <c r="S4" s="240" t="n">
        <f>'Social Benefits'!Z24</f>
        <v>4.2219999999999995</v>
      </c>
    </row>
    <row r="5">
      <c r="A5" s="34" t="s">
        <v>793</v>
      </c>
      <c r="B5" t="s">
        <v>791</v>
      </c>
      <c r="C5" t="n">
        <f>'Social Benefits'!J30</f>
        <v>160.9</v>
      </c>
      <c r="D5" t="n">
        <f>'Social Benefits'!K30</f>
        <v>58.4</v>
      </c>
      <c r="E5" t="n">
        <f>'Social Benefits'!L30</f>
        <v>34.5</v>
      </c>
      <c r="F5" t="n">
        <f>'Social Benefits'!M30</f>
        <v>21.4</v>
      </c>
      <c r="G5" t="n">
        <f>'Social Benefits'!N30</f>
        <v>13.3</v>
      </c>
      <c r="H5" t="n">
        <f>'Social Benefits'!O30</f>
        <v>21.804000000000041</v>
      </c>
      <c r="I5" s="85" t="n">
        <f>'Social Benefits'!P30</f>
        <v>51.919000000000011</v>
      </c>
      <c r="J5" s="85" t="n">
        <f>'Social Benefits'!Q30</f>
        <v>46.619</v>
      </c>
      <c r="K5" s="85" t="n">
        <f>'Social Benefits'!R30</f>
        <v>39.719000000000008</v>
      </c>
      <c r="L5" s="85" t="n">
        <f>'Social Benefits'!S30</f>
        <v>27.819000000000003</v>
      </c>
      <c r="M5" s="85" t="n">
        <f>'Social Benefits'!T30</f>
        <v>6.3160000000000007</v>
      </c>
      <c r="N5" s="85" t="n">
        <f>'Social Benefits'!U30</f>
        <v>1.4159999999999999</v>
      </c>
      <c r="O5" s="85" t="n">
        <f>'Social Benefits'!V30</f>
        <v>1.4159999999999999</v>
      </c>
      <c r="P5" s="240" t="n">
        <f>'Social Benefits'!W30</f>
        <v>1.4159999999999999</v>
      </c>
      <c r="Q5" s="240" t="n">
        <f>'Social Benefits'!X30</f>
        <v>1.4790000000000001</v>
      </c>
      <c r="R5" s="240" t="n">
        <f>'Social Benefits'!Y30</f>
        <v>1.4790000000000001</v>
      </c>
      <c r="S5" s="240" t="n">
        <f>'Social Benefits'!Z30</f>
        <v>1.4790000000000001</v>
      </c>
    </row>
    <row r="6">
      <c r="A6" s="85" t="s">
        <v>201</v>
      </c>
      <c r="B6" s="85" t="s">
        <v>828</v>
      </c>
      <c r="C6" s="243" t="n">
        <f>Subsidies!J45</f>
        <v>0</v>
      </c>
      <c r="D6" s="243" t="n">
        <f>Subsidies!K45</f>
        <v>0</v>
      </c>
      <c r="E6" s="243" t="n">
        <f>Subsidies!L45</f>
        <v>0</v>
      </c>
      <c r="F6" s="243" t="n">
        <f>Subsidies!M45</f>
        <v>0</v>
      </c>
      <c r="G6" s="243" t="n">
        <f>Subsidies!N45</f>
        <v>58.782959999999989</v>
      </c>
      <c r="H6" s="243" t="n">
        <f>Subsidies!O45</f>
        <v>267.78904</v>
      </c>
      <c r="I6" s="243" t="n">
        <f>Subsidies!P45</f>
        <v>110.24799999999999</v>
      </c>
      <c r="J6" s="243" t="n">
        <f>Subsidies!Q45</f>
        <v>110.24799999999999</v>
      </c>
      <c r="K6" s="243" t="n">
        <f>Subsidies!R45</f>
        <v>110.24799999999999</v>
      </c>
      <c r="L6" s="243" t="n">
        <f>Subsidies!S45</f>
        <v>110.24799999999999</v>
      </c>
      <c r="M6" s="243" t="n">
        <f>Subsidies!T45</f>
        <v>12.726000000000001</v>
      </c>
      <c r="N6" s="243" t="n">
        <f>Subsidies!U45</f>
        <v>12.726000000000001</v>
      </c>
      <c r="O6" s="243" t="n">
        <f>Subsidies!V45</f>
        <v>12.726000000000001</v>
      </c>
      <c r="P6" s="241" t="n">
        <f>Subsidies!W45</f>
        <v>12.726000000000001</v>
      </c>
      <c r="Q6" s="241" t="n">
        <f>Subsidies!X45</f>
        <v>1.365</v>
      </c>
      <c r="R6" s="241" t="n">
        <f>Subsidies!Y45</f>
        <v>1.365</v>
      </c>
      <c r="S6" s="241" t="n">
        <f>Subsidies!Z45</f>
        <v>1.365</v>
      </c>
    </row>
    <row r="7" ht="29.15" customHeight="1">
      <c r="A7" s="34" t="s">
        <v>867</v>
      </c>
      <c r="B7" t="s">
        <v>865</v>
      </c>
      <c r="C7" s="85" t="e">
        <f>Taxes!#REF!</f>
        <v>#REF!</v>
      </c>
      <c r="D7" s="85" t="e">
        <f>Taxes!#REF!</f>
        <v>#REF!</v>
      </c>
      <c r="E7" s="85" t="e">
        <f>Taxes!#REF!</f>
        <v>#REF!</v>
      </c>
      <c r="F7" s="85" t="e">
        <f>Taxes!#REF!</f>
        <v>#REF!</v>
      </c>
      <c r="G7" s="85" t="e">
        <f>Taxes!#REF!</f>
        <v>#REF!</v>
      </c>
      <c r="H7" s="85" t="e">
        <f>Taxes!#REF!</f>
        <v>#REF!</v>
      </c>
      <c r="I7" s="85" t="e">
        <f>Taxes!#REF!</f>
        <v>#REF!</v>
      </c>
      <c r="J7" s="85" t="e">
        <f>Taxes!#REF!</f>
        <v>#REF!</v>
      </c>
      <c r="K7" s="85" t="e">
        <f>Taxes!#REF!</f>
        <v>#REF!</v>
      </c>
      <c r="L7" s="85" t="e">
        <f>Taxes!#REF!</f>
        <v>#REF!</v>
      </c>
      <c r="M7" s="85" t="e">
        <f>Taxes!#REF!</f>
        <v>#REF!</v>
      </c>
      <c r="N7" s="85" t="e">
        <f>Taxes!#REF!</f>
        <v>#REF!</v>
      </c>
      <c r="O7" s="85" t="e">
        <f>Taxes!#REF!</f>
        <v>#REF!</v>
      </c>
      <c r="P7" s="240" t="e">
        <f>Taxes!#REF!</f>
        <v>#REF!</v>
      </c>
      <c r="Q7" s="240" t="e">
        <f>Taxes!#REF!</f>
        <v>#REF!</v>
      </c>
      <c r="R7" s="240" t="e">
        <f>Taxes!#REF!</f>
        <v>#REF!</v>
      </c>
      <c r="S7" s="240" t="e">
        <f>Taxes!#REF!</f>
        <v>#REF!</v>
      </c>
    </row>
    <row r="8">
      <c r="A8" t="s">
        <v>868</v>
      </c>
      <c r="B8" t="s">
        <v>866</v>
      </c>
      <c r="C8" s="85"/>
      <c r="D8" s="85"/>
      <c r="E8" s="85"/>
      <c r="F8" s="85"/>
      <c r="G8" s="85"/>
      <c r="H8" s="85"/>
      <c r="J8" s="103"/>
      <c r="K8" s="103"/>
      <c r="L8" s="103"/>
      <c r="M8" s="103"/>
      <c r="N8" s="103" t="e">
        <f>forecast!#REF!</f>
        <v>#REF!</v>
      </c>
      <c r="O8" s="103" t="e">
        <f>forecast!#REF!</f>
        <v>#REF!</v>
      </c>
      <c r="P8" s="242" t="e">
        <f>forecast!#REF!</f>
        <v>#REF!</v>
      </c>
      <c r="Q8" s="242" t="e">
        <f>forecast!#REF!</f>
        <v>#REF!</v>
      </c>
      <c r="R8" s="242" t="e">
        <f>forecast!#REF!</f>
        <v>#REF!</v>
      </c>
      <c r="S8" s="242" t="e">
        <f>forecast!#REF!</f>
        <v>#REF!</v>
      </c>
    </row>
    <row r="9">
      <c r="A9" s="34" t="s">
        <v>923</v>
      </c>
      <c r="B9" t="s">
        <v>924</v>
      </c>
      <c r="C9" t="n">
        <f>Grants!J94</f>
        <v>75.986000000000004</v>
      </c>
      <c r="D9" t="n">
        <f>Grants!K94</f>
        <v>79.650999999999996</v>
      </c>
      <c r="E9" t="n">
        <f>Grants!L94</f>
        <v>75.400999999999996</v>
      </c>
      <c r="F9" t="n">
        <f>Grants!M94</f>
        <v>73.034999999999997</v>
      </c>
      <c r="G9" t="n">
        <f>Grants!N94</f>
        <v>75.13</v>
      </c>
      <c r="H9" t="n">
        <f>Grants!O94</f>
        <v>70.191999999999993</v>
      </c>
      <c r="I9" t="n">
        <f>Grants!P94</f>
        <v>72.266999999999996</v>
      </c>
      <c r="J9" t="n">
        <f>Grants!Q94</f>
        <v>74.974000000000004</v>
      </c>
      <c r="K9" t="n">
        <f>Grants!R94</f>
        <v>75.229285714285723</v>
      </c>
      <c r="L9" t="n">
        <f>Grants!S94</f>
        <v>75.229285714285723</v>
      </c>
      <c r="M9" s="85" t="n">
        <f>Grants!T94</f>
        <v>76.048285714285726</v>
      </c>
      <c r="N9" s="85" t="n">
        <f>Grants!U94</f>
        <v>76.048285714285726</v>
      </c>
      <c r="O9" s="85" t="n">
        <f>Grants!V94</f>
        <v>76.048285714285726</v>
      </c>
      <c r="P9" s="240" t="n">
        <f>Grants!W94</f>
        <v>76.048285714285726</v>
      </c>
      <c r="Q9" s="240" t="n">
        <f>Grants!X94</f>
        <v>77.707285714285717</v>
      </c>
      <c r="R9" s="240" t="n">
        <f>Grants!Y94</f>
        <v>77.707285714285717</v>
      </c>
      <c r="S9" s="240" t="n">
        <f>Grants!Z94</f>
        <v>77.707285714285717</v>
      </c>
    </row>
    <row r="10">
      <c r="A10" t="s">
        <v>1884</v>
      </c>
      <c r="B10" t="s">
        <v>1885</v>
      </c>
      <c r="C10" t="n">
        <v>0</v>
      </c>
      <c r="D10" t="n">
        <v>0</v>
      </c>
      <c r="E10" t="n">
        <v>0</v>
      </c>
      <c r="F10" t="n">
        <v>0</v>
      </c>
      <c r="G10" t="n">
        <v>0</v>
      </c>
      <c r="H10" t="n">
        <v>0</v>
      </c>
      <c r="I10" t="n">
        <v>0</v>
      </c>
      <c r="J10" t="n">
        <v>0</v>
      </c>
      <c r="K10" t="n">
        <f>'Supply Side IRA'!R14</f>
        <v>0</v>
      </c>
      <c r="L10" t="n">
        <f>'Supply Side IRA'!S14</f>
        <v>4.7352669705651733</v>
      </c>
      <c r="M10" t="n">
        <f>'Supply Side IRA'!T14</f>
        <v>7.9728157256563454</v>
      </c>
      <c r="N10" t="n">
        <f>'Supply Side IRA'!U14</f>
        <v>30.338972817320109</v>
      </c>
      <c r="O10" t="n">
        <f>'Supply Side IRA'!V14</f>
        <v>46.194016700244198</v>
      </c>
      <c r="P10" s="240" t="n">
        <f>'Supply Side IRA'!W14</f>
        <v>61.987213658131367</v>
      </c>
      <c r="Q10" s="240" t="n">
        <f>'Supply Side IRA'!X14</f>
        <v>68.242948360645812</v>
      </c>
      <c r="R10" s="240" t="n">
        <f>'Supply Side IRA'!Y14</f>
        <v>77.930141971370887</v>
      </c>
      <c r="S10" s="240" t="n">
        <f>'Supply Side IRA'!Z14</f>
        <v>85.479458631542002</v>
      </c>
    </row>
    <row r="11">
      <c r="A11" s="34" t="s">
        <v>1888</v>
      </c>
      <c r="B11" t="s">
        <v>1889</v>
      </c>
      <c r="C11" t="n">
        <f>'Student loans'!J11</f>
        <v>45</v>
      </c>
      <c r="D11" t="n">
        <f>'Student loans'!K11</f>
        <v>45</v>
      </c>
      <c r="E11" t="n">
        <f>'Student loans'!L11</f>
        <v>45</v>
      </c>
      <c r="F11" t="n">
        <f>'Student loans'!M11</f>
        <v>45</v>
      </c>
      <c r="G11" t="n">
        <f>'Student loans'!N11</f>
        <v>45</v>
      </c>
      <c r="H11" t="n">
        <f>'Student loans'!O11</f>
        <v>45</v>
      </c>
      <c r="I11" t="n">
        <f>'Student loans'!P11</f>
        <v>45</v>
      </c>
      <c r="J11" t="n">
        <f>'Student loans'!Q11</f>
        <v>45</v>
      </c>
      <c r="K11" t="n">
        <f>'Student loans'!R11</f>
        <v>45</v>
      </c>
      <c r="L11" t="n">
        <f>'Student loans'!S11</f>
        <v>45</v>
      </c>
      <c r="M11" t="n">
        <f>'Student loans'!T11</f>
        <v>45</v>
      </c>
      <c r="N11" t="n">
        <f>'Student loans'!U11</f>
        <v>45</v>
      </c>
      <c r="O11" t="n">
        <f>'Student loans'!V11</f>
        <v>45</v>
      </c>
      <c r="P11" s="240" t="n">
        <f>'Student loans'!W11</f>
        <v>2.0815079999999999</v>
      </c>
      <c r="Q11" s="240" t="n">
        <f>'Student loans'!X11</f>
        <v>2.1006180000000003</v>
      </c>
      <c r="R11" s="240" t="n">
        <f>'Student loans'!Y11</f>
        <v>2.5815300000000003</v>
      </c>
      <c r="S11" s="240" t="n">
        <f>'Student loans'!Z11</f>
        <v>2.6040450000000002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4" zoomScaleNormal="124" workbookViewId="0">
      <selection activeCell="J6" sqref="J6"/>
    </sheetView>
  </sheetViews>
  <sheetFormatPr defaultRowHeight="15.0" baseColWidth="10"/>
  <cols>
    <col min="1" max="1" width="32.81640625" hidden="0" customWidth="1"/>
    <col min="2" max="2" width="28.54296875" hidden="0" customWidth="1"/>
  </cols>
  <sheetData>
    <row r="1">
      <c r="A1" s="105" t="s">
        <v>178</v>
      </c>
      <c r="B1" s="105" t="s">
        <v>179</v>
      </c>
      <c r="C1" s="108" t="s">
        <v>175</v>
      </c>
      <c r="D1" s="108" t="s">
        <v>176</v>
      </c>
      <c r="E1" s="108" t="s">
        <v>177</v>
      </c>
      <c r="F1" s="108" t="s">
        <v>765</v>
      </c>
      <c r="G1" s="108" t="s">
        <v>766</v>
      </c>
      <c r="H1" s="108" t="s">
        <v>767</v>
      </c>
      <c r="I1" s="244" t="s">
        <v>1907</v>
      </c>
      <c r="J1" s="108" t="s">
        <v>1158</v>
      </c>
    </row>
    <row r="2">
      <c r="A2" s="107" t="s">
        <v>1708</v>
      </c>
      <c r="B2" t="s">
        <v>1726</v>
      </c>
      <c r="C2" s="102" t="n">
        <f>Deflators!AA23</f>
        <v>5.571918722356628E-3</v>
      </c>
      <c r="D2" s="102" t="n">
        <f>Deflators!AB23</f>
        <v>5.0825787020194468E-3</v>
      </c>
      <c r="E2" s="102" t="n">
        <f>Deflators!AC23</f>
        <v>5.4050287894606974E-3</v>
      </c>
      <c r="F2" s="245" t="n">
        <f>Deflators!AD23</f>
        <v>5.3510824454261474E-3</v>
      </c>
      <c r="G2" s="245" t="n">
        <f>Deflators!AE23</f>
        <v>5.1374641193888682E-3</v>
      </c>
      <c r="H2" s="245" t="n">
        <f>Deflators!AF23</f>
        <v>4.9902256196157069E-3</v>
      </c>
      <c r="I2" s="245" t="n">
        <f>Deflators!AG23</f>
        <v>4.9039461559314823E-3</v>
      </c>
      <c r="J2" s="245" t="n">
        <f>Deflators!AH23</f>
        <v>4.8438426974866111E-3</v>
      </c>
    </row>
    <row r="3">
      <c r="A3" s="97" t="s">
        <v>1722</v>
      </c>
      <c r="B3" t="s">
        <v>1727</v>
      </c>
      <c r="C3" s="102" t="n">
        <f>Deflators!AA24</f>
        <v>6.3163707156588256E-3</v>
      </c>
      <c r="D3" s="102" t="n">
        <f>Deflators!AB24</f>
        <v>5.8088700225948919E-3</v>
      </c>
      <c r="E3" s="102" t="n">
        <f>Deflators!AC24</f>
        <v>5.5479503472453118E-3</v>
      </c>
      <c r="F3" s="245" t="n">
        <f>Deflators!AD24</f>
        <v>5.3836118045782477E-3</v>
      </c>
      <c r="G3" s="245" t="n">
        <f>Deflators!AE24</f>
        <v>5.3253056701454415E-3</v>
      </c>
      <c r="H3" s="245" t="n">
        <f>Deflators!AF24</f>
        <v>5.3396658288893395E-3</v>
      </c>
      <c r="I3" s="245" t="n">
        <f>Deflators!AG24</f>
        <v>3.9606243564216381E-3</v>
      </c>
      <c r="J3" s="245" t="n">
        <f>Deflators!AH24</f>
        <v>4.1770231682358716E-3</v>
      </c>
    </row>
    <row r="4">
      <c r="A4" s="97" t="s">
        <v>1723</v>
      </c>
      <c r="B4" t="s">
        <v>1728</v>
      </c>
      <c r="C4" s="102" t="n">
        <f>Deflators!AA25</f>
        <v>5.6333042994105575E-3</v>
      </c>
      <c r="D4" s="102" t="n">
        <f>Deflators!AB25</f>
        <v>5.3404580780209709E-3</v>
      </c>
      <c r="E4" s="102" t="n">
        <f>Deflators!AC25</f>
        <v>5.9029392406417802E-3</v>
      </c>
      <c r="F4" s="245" t="n">
        <f>Deflators!AD25</f>
        <v>5.8224429274513767E-3</v>
      </c>
      <c r="G4" s="245" t="n">
        <f>Deflators!AE25</f>
        <v>5.7244931689288681E-3</v>
      </c>
      <c r="H4" s="245" t="n">
        <f>Deflators!AF25</f>
        <v>5.6709194747803782E-3</v>
      </c>
      <c r="I4" s="245" t="n">
        <f>Deflators!AG25</f>
        <v>5.6830615202378976E-3</v>
      </c>
      <c r="J4" s="245" t="n">
        <f>Deflators!AH25</f>
        <v>5.7131709559976596E-3</v>
      </c>
    </row>
    <row r="5">
      <c r="A5" s="97" t="s">
        <v>1724</v>
      </c>
      <c r="B5" t="s">
        <v>1729</v>
      </c>
      <c r="C5" s="102" t="n">
        <f>Deflators!AA26</f>
        <v>5.6333042994105575E-3</v>
      </c>
      <c r="D5" s="102" t="n">
        <f>Deflators!AB26</f>
        <v>5.3404580780209709E-3</v>
      </c>
      <c r="E5" s="102" t="n">
        <f>Deflators!AC26</f>
        <v>5.9029392406417802E-3</v>
      </c>
      <c r="F5" s="245" t="n">
        <f>Deflators!AD26</f>
        <v>5.8224429274513767E-3</v>
      </c>
      <c r="G5" s="245" t="n">
        <f>Deflators!AE26</f>
        <v>5.7244931689288681E-3</v>
      </c>
      <c r="H5" s="245" t="n">
        <f>Deflators!AF26</f>
        <v>5.6709194747803782E-3</v>
      </c>
      <c r="I5" s="245" t="n">
        <f>Deflators!AG26</f>
        <v>5.6830615202378976E-3</v>
      </c>
      <c r="J5" s="245" t="n">
        <f>Deflators!AH26</f>
        <v>5.7131709559976596E-3</v>
      </c>
    </row>
    <row r="6">
      <c r="A6" s="85" t="s">
        <v>1725</v>
      </c>
      <c r="B6" t="s">
        <v>1730</v>
      </c>
      <c r="C6" s="102" t="n">
        <f>Deflators!AA27</f>
        <v>5.6333042994105575E-3</v>
      </c>
      <c r="D6" s="102" t="n">
        <f>Deflators!AB27</f>
        <v>5.3404580780209709E-3</v>
      </c>
      <c r="E6" s="102" t="n">
        <f>Deflators!AC27</f>
        <v>5.9029392406417802E-3</v>
      </c>
      <c r="F6" s="245" t="n">
        <f>Deflators!AD27</f>
        <v>5.8224429274513767E-3</v>
      </c>
      <c r="G6" s="245" t="n">
        <f>Deflators!AE27</f>
        <v>5.7244931689288681E-3</v>
      </c>
      <c r="H6" s="245" t="n">
        <f>Deflators!AF27</f>
        <v>5.6709194747803782E-3</v>
      </c>
      <c r="I6" s="245" t="n">
        <f>Deflators!AG27</f>
        <v>5.6830615202378976E-3</v>
      </c>
      <c r="J6" s="245" t="n">
        <f>Deflators!AH27</f>
        <v>5.7131709559976596E-3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10" workbookViewId="0">
      <selection activeCell="A9" sqref="A9"/>
    </sheetView>
  </sheetViews>
  <sheetFormatPr defaultRowHeight="15.0" baseColWidth="10"/>
  <cols>
    <col min="1" max="1" width="70.81640625" hidden="0" customWidth="1"/>
    <col min="2" max="2" width="70.81640625" hidden="0" customWidth="1"/>
  </cols>
  <sheetData>
    <row r="1" ht="15.65" customHeight="1">
      <c r="A1" s="246" t="s">
        <v>254</v>
      </c>
      <c r="B1" s="246"/>
      <c r="C1" s="246"/>
      <c r="D1" s="246"/>
      <c r="E1" s="246"/>
      <c r="F1" s="246"/>
      <c r="G1" s="246"/>
      <c r="H1" s="246"/>
      <c r="I1" s="246"/>
      <c r="J1" s="246"/>
      <c r="K1" s="246"/>
      <c r="L1" s="246"/>
      <c r="M1" s="246"/>
      <c r="N1" s="246"/>
      <c r="O1" s="246"/>
    </row>
    <row r="2" ht="31.4" customHeight="1">
      <c r="A2" s="247"/>
      <c r="B2" s="247" t="s">
        <v>179</v>
      </c>
      <c r="C2" s="253" t="n">
        <v>1</v>
      </c>
      <c r="D2" s="253" t="n">
        <f>C2+1</f>
        <v>2</v>
      </c>
      <c r="E2" s="253" t="n">
        <f t="shared" ref="E2:N2" si="0">D2+1</f>
        <v>3</v>
      </c>
      <c r="F2" s="253" t="n">
        <f t="shared" si="0"/>
        <v>4</v>
      </c>
      <c r="G2" s="253" t="n">
        <f t="shared" si="0"/>
        <v>5</v>
      </c>
      <c r="H2" s="253" t="n">
        <f t="shared" si="0"/>
        <v>6</v>
      </c>
      <c r="I2" s="253" t="n">
        <f t="shared" si="0"/>
        <v>7</v>
      </c>
      <c r="J2" s="253" t="n">
        <f t="shared" si="0"/>
        <v>8</v>
      </c>
      <c r="K2" s="253" t="n">
        <f t="shared" si="0"/>
        <v>9</v>
      </c>
      <c r="L2" s="253" t="n">
        <f t="shared" si="0"/>
        <v>10</v>
      </c>
      <c r="M2" s="253" t="n">
        <f t="shared" si="0"/>
        <v>11</v>
      </c>
      <c r="N2" s="253" t="n">
        <f t="shared" si="0"/>
        <v>12</v>
      </c>
      <c r="O2" s="251" t="s">
        <v>255</v>
      </c>
    </row>
    <row r="3" ht="15.65" customHeight="1">
      <c r="A3" s="248" t="s">
        <v>256</v>
      </c>
      <c r="B3" s="248" t="s">
        <v>257</v>
      </c>
      <c r="C3" s="102" t="n">
        <v>0.22500000000000001</v>
      </c>
      <c r="D3" s="102" t="n">
        <v>0.22500000000000001</v>
      </c>
      <c r="E3" s="102" t="n">
        <v>0.22500000000000001</v>
      </c>
      <c r="F3" s="102" t="n">
        <v>0.22500000000000001</v>
      </c>
      <c r="G3" s="254" t="n">
        <v>0</v>
      </c>
      <c r="H3" s="254" t="n">
        <v>0</v>
      </c>
      <c r="I3" s="254" t="n">
        <v>0</v>
      </c>
      <c r="J3" s="254" t="n">
        <v>0</v>
      </c>
      <c r="K3" s="254" t="n">
        <v>0</v>
      </c>
      <c r="L3" s="254" t="n">
        <v>0</v>
      </c>
      <c r="M3" s="254" t="n">
        <v>0</v>
      </c>
      <c r="N3" s="254" t="n">
        <v>0</v>
      </c>
      <c r="O3" s="252" t="n">
        <f>SUM(C3:N3)</f>
        <v>0.9</v>
      </c>
      <c r="P3" s="102"/>
      <c r="Q3" s="102"/>
      <c r="R3" s="102"/>
      <c r="S3" s="102"/>
      <c r="T3" s="254"/>
      <c r="U3" s="254"/>
      <c r="V3" s="254"/>
      <c r="W3" s="254"/>
      <c r="X3" s="254"/>
      <c r="Y3" s="254"/>
      <c r="Z3" s="254"/>
      <c r="AA3" s="254"/>
      <c r="AC3" s="104"/>
      <c r="AD3" s="104"/>
      <c r="AE3" s="104"/>
      <c r="AF3" s="104"/>
      <c r="AG3" s="104"/>
      <c r="AH3" s="104"/>
      <c r="AI3" s="104"/>
      <c r="AJ3" s="104"/>
      <c r="AK3" s="104"/>
      <c r="AL3" s="104"/>
      <c r="AM3" s="104"/>
      <c r="AN3" s="104"/>
      <c r="AO3" s="104"/>
      <c r="AP3" s="104"/>
      <c r="AQ3" s="104"/>
      <c r="AR3" s="104"/>
      <c r="AS3" s="104"/>
    </row>
    <row r="4" ht="15.65" customHeight="1">
      <c r="A4" s="250" t="s">
        <v>258</v>
      </c>
      <c r="B4" s="250" t="s">
        <v>259</v>
      </c>
      <c r="C4" s="102" t="n">
        <v>-3.3333333333333333E-2</v>
      </c>
      <c r="D4" s="102" t="n">
        <v>-3.3333333333333333E-2</v>
      </c>
      <c r="E4" s="102" t="n">
        <v>-3.3333333333333333E-2</v>
      </c>
      <c r="F4" s="102" t="n">
        <v>-3.3333333333333333E-2</v>
      </c>
      <c r="G4" s="102" t="n">
        <v>-3.3333333333333333E-2</v>
      </c>
      <c r="H4" s="102" t="n">
        <v>-3.3333333333333333E-2</v>
      </c>
      <c r="I4" s="102" t="n">
        <v>-3.3333333333333333E-2</v>
      </c>
      <c r="J4" s="102" t="n">
        <v>-3.3333333333333333E-2</v>
      </c>
      <c r="K4" s="102" t="n">
        <v>-3.3333333333333333E-2</v>
      </c>
      <c r="L4" s="102" t="n">
        <v>-3.3333333333333333E-2</v>
      </c>
      <c r="M4" s="102" t="n">
        <v>-3.3333333333333333E-2</v>
      </c>
      <c r="N4" s="102" t="n">
        <v>-3.3333333333333333E-2</v>
      </c>
      <c r="O4" s="252" t="n">
        <f>SUM(C4:N4)</f>
        <v>-0.39999999999999997</v>
      </c>
      <c r="P4" s="102"/>
      <c r="Q4" s="102"/>
      <c r="R4" s="102"/>
      <c r="S4" s="102"/>
      <c r="T4" s="102"/>
      <c r="U4" s="102"/>
      <c r="V4" s="102"/>
      <c r="W4" s="102"/>
      <c r="X4" s="102"/>
      <c r="Y4" s="102"/>
      <c r="Z4" s="102"/>
      <c r="AA4" s="102"/>
      <c r="AC4" s="104"/>
      <c r="AD4" s="104"/>
      <c r="AE4" s="104"/>
      <c r="AF4" s="104"/>
      <c r="AG4" s="104"/>
      <c r="AH4" s="104"/>
      <c r="AI4" s="104"/>
      <c r="AJ4" s="104"/>
      <c r="AK4" s="104"/>
      <c r="AL4" s="104"/>
      <c r="AM4" s="104"/>
      <c r="AN4" s="104"/>
    </row>
    <row r="5" ht="15.65" customHeight="1">
      <c r="A5" s="250" t="s">
        <v>260</v>
      </c>
      <c r="B5" s="250" t="s">
        <v>261</v>
      </c>
      <c r="C5" s="102" t="n">
        <v>-0.12</v>
      </c>
      <c r="D5" s="102" t="n">
        <v>-0.12</v>
      </c>
      <c r="E5" s="102" t="n">
        <v>-0.06</v>
      </c>
      <c r="F5" s="102" t="n">
        <v>-0.06</v>
      </c>
      <c r="G5" s="102" t="n">
        <v>-0.06</v>
      </c>
      <c r="H5" s="102" t="n">
        <v>-0.06</v>
      </c>
      <c r="I5" s="102" t="n">
        <v>-0.06</v>
      </c>
      <c r="J5" s="102" t="n">
        <v>-0.06</v>
      </c>
      <c r="K5" s="102" t="n">
        <v>0</v>
      </c>
      <c r="L5" s="102" t="n">
        <v>0</v>
      </c>
      <c r="M5" s="102" t="n">
        <v>0</v>
      </c>
      <c r="N5" s="102" t="n">
        <v>0</v>
      </c>
      <c r="O5" s="252" t="n">
        <f t="shared" ref="O5:O13" si="1">SUM(C5:N5)</f>
        <v>-0.60000000000000009</v>
      </c>
      <c r="P5" s="102"/>
      <c r="Q5" s="102"/>
      <c r="R5" s="102"/>
      <c r="S5" s="102"/>
      <c r="T5" s="102"/>
      <c r="U5" s="102"/>
      <c r="V5" s="102"/>
      <c r="W5" s="102"/>
      <c r="X5" s="102"/>
      <c r="Y5" s="102"/>
      <c r="Z5" s="102"/>
      <c r="AA5" s="102"/>
      <c r="AC5" s="104"/>
      <c r="AD5" s="104"/>
      <c r="AE5" s="104"/>
      <c r="AF5" s="104"/>
      <c r="AG5" s="104"/>
      <c r="AH5" s="104"/>
      <c r="AI5" s="104"/>
      <c r="AJ5" s="104"/>
      <c r="AK5" s="104"/>
      <c r="AL5" s="104"/>
      <c r="AM5" s="104"/>
      <c r="AN5" s="104"/>
    </row>
    <row r="6" ht="15.65" customHeight="1">
      <c r="A6" s="248" t="s">
        <v>262</v>
      </c>
      <c r="B6" s="248" t="s">
        <v>213</v>
      </c>
      <c r="C6" s="102" t="n">
        <v>0.24499999999999997</v>
      </c>
      <c r="D6" s="102" t="n">
        <v>0.105</v>
      </c>
      <c r="E6" s="102" t="n">
        <v>5.5999999999999994E-2</v>
      </c>
      <c r="F6" s="102" t="n">
        <v>5.5999999999999994E-2</v>
      </c>
      <c r="G6" s="102" t="n">
        <v>5.5999999999999994E-2</v>
      </c>
      <c r="H6" s="102" t="n">
        <v>5.5999999999999994E-2</v>
      </c>
      <c r="I6" s="102" t="n">
        <v>5.5999999999999994E-2</v>
      </c>
      <c r="J6" s="102" t="n">
        <v>5.5999999999999994E-2</v>
      </c>
      <c r="K6" s="102" t="n">
        <v>0</v>
      </c>
      <c r="L6" s="102" t="n">
        <v>0</v>
      </c>
      <c r="M6" s="102" t="n">
        <v>0</v>
      </c>
      <c r="N6" s="102" t="n">
        <v>0</v>
      </c>
      <c r="O6" s="252" t="n">
        <f t="shared" si="1"/>
        <v>0.68600000000000017</v>
      </c>
      <c r="P6" s="102"/>
      <c r="Q6" s="102"/>
      <c r="R6" s="102"/>
      <c r="S6" s="102"/>
      <c r="T6" s="102"/>
      <c r="U6" s="102"/>
      <c r="V6" s="102"/>
      <c r="W6" s="102"/>
      <c r="X6" s="102"/>
      <c r="Y6" s="102"/>
      <c r="Z6" s="102"/>
      <c r="AA6" s="102"/>
      <c r="AC6" s="104"/>
      <c r="AD6" s="104"/>
      <c r="AE6" s="104"/>
      <c r="AF6" s="104"/>
      <c r="AG6" s="104"/>
      <c r="AH6" s="104"/>
      <c r="AI6" s="104"/>
      <c r="AJ6" s="104"/>
      <c r="AK6" s="104"/>
      <c r="AL6" s="104"/>
      <c r="AM6" s="104"/>
      <c r="AN6" s="104"/>
    </row>
    <row r="7" ht="15.65" customHeight="1">
      <c r="A7" s="248" t="s">
        <v>263</v>
      </c>
      <c r="B7" s="248" t="s">
        <v>264</v>
      </c>
      <c r="C7" s="102" t="n">
        <v>0.315</v>
      </c>
      <c r="D7" s="102" t="n">
        <v>0.315</v>
      </c>
      <c r="E7" s="102" t="n">
        <v>9.0000000000000011E-2</v>
      </c>
      <c r="F7" s="102" t="n">
        <v>9.0000000000000011E-2</v>
      </c>
      <c r="G7" s="102" t="n">
        <v>4.5000000000000005E-2</v>
      </c>
      <c r="H7" s="102" t="n">
        <v>4.5000000000000005E-2</v>
      </c>
      <c r="I7" s="102" t="n">
        <v>0</v>
      </c>
      <c r="J7" s="102" t="n">
        <v>0</v>
      </c>
      <c r="K7" s="102" t="n">
        <v>0</v>
      </c>
      <c r="L7" s="102" t="n">
        <v>0</v>
      </c>
      <c r="M7" s="102" t="n">
        <v>0</v>
      </c>
      <c r="N7" s="102" t="n">
        <v>0</v>
      </c>
      <c r="O7" s="252" t="n">
        <f t="shared" si="1"/>
        <v>0.9</v>
      </c>
      <c r="P7" s="102"/>
      <c r="Q7" s="102"/>
      <c r="R7" s="102"/>
      <c r="S7" s="102"/>
      <c r="T7" s="102"/>
      <c r="U7" s="102"/>
      <c r="V7" s="102"/>
      <c r="W7" s="102"/>
      <c r="X7" s="102"/>
      <c r="Y7" s="102"/>
      <c r="Z7" s="102"/>
      <c r="AA7" s="102"/>
      <c r="AC7" s="104"/>
      <c r="AD7" s="104"/>
      <c r="AE7" s="104"/>
      <c r="AF7" s="104"/>
      <c r="AG7" s="104"/>
      <c r="AH7" s="104"/>
      <c r="AI7" s="104"/>
      <c r="AJ7" s="104"/>
      <c r="AK7" s="104"/>
      <c r="AL7" s="104"/>
      <c r="AM7" s="104"/>
      <c r="AN7" s="104"/>
    </row>
    <row r="8" ht="15.65" customHeight="1">
      <c r="A8" s="248" t="s">
        <v>265</v>
      </c>
      <c r="B8" s="248" t="s">
        <v>266</v>
      </c>
      <c r="C8" s="102" t="n">
        <v>0.22500000000000001</v>
      </c>
      <c r="D8" s="102" t="n">
        <v>0.22500000000000001</v>
      </c>
      <c r="E8" s="102" t="n">
        <v>0.22500000000000001</v>
      </c>
      <c r="F8" s="102" t="n">
        <v>0.22500000000000001</v>
      </c>
      <c r="G8" s="102" t="n">
        <v>0</v>
      </c>
      <c r="H8" s="102" t="n">
        <v>0</v>
      </c>
      <c r="I8" s="102" t="n">
        <v>0</v>
      </c>
      <c r="J8" s="102" t="n">
        <v>0</v>
      </c>
      <c r="K8" s="102" t="n">
        <v>0</v>
      </c>
      <c r="L8" s="102" t="n">
        <v>0</v>
      </c>
      <c r="M8" s="102" t="n">
        <v>0</v>
      </c>
      <c r="N8" s="102" t="n">
        <v>0</v>
      </c>
      <c r="O8" s="252" t="n">
        <f t="shared" si="1"/>
        <v>0.9</v>
      </c>
      <c r="P8" s="102"/>
      <c r="Q8" s="102"/>
      <c r="R8" s="102"/>
      <c r="S8" s="102"/>
      <c r="T8" s="102"/>
      <c r="U8" s="102"/>
      <c r="V8" s="102"/>
      <c r="W8" s="102"/>
      <c r="X8" s="102"/>
      <c r="Y8" s="102"/>
      <c r="Z8" s="102"/>
      <c r="AA8" s="102"/>
      <c r="AC8" s="104"/>
      <c r="AD8" s="104"/>
      <c r="AE8" s="104"/>
      <c r="AF8" s="104"/>
      <c r="AG8" s="104"/>
      <c r="AH8" s="104"/>
      <c r="AI8" s="104"/>
      <c r="AJ8" s="104"/>
      <c r="AK8" s="104"/>
      <c r="AL8" s="104"/>
      <c r="AM8" s="104"/>
      <c r="AN8" s="104"/>
    </row>
    <row r="9" ht="15.65" customHeight="1">
      <c r="A9" s="248" t="s">
        <v>267</v>
      </c>
      <c r="B9" s="248" t="s">
        <v>268</v>
      </c>
      <c r="C9" s="102" t="n">
        <v>4.9500000000000002E-2</v>
      </c>
      <c r="D9" s="102" t="n">
        <v>4.2750000000000003E-2</v>
      </c>
      <c r="E9" s="102" t="n">
        <v>4.0500000000000001E-2</v>
      </c>
      <c r="F9" s="102" t="n">
        <v>3.8250000000000006E-2</v>
      </c>
      <c r="G9" s="102" t="n">
        <v>3.6000000000000004E-2</v>
      </c>
      <c r="H9" s="102" t="n">
        <v>3.6000000000000004E-2</v>
      </c>
      <c r="I9" s="102" t="n">
        <v>3.6000000000000004E-2</v>
      </c>
      <c r="J9" s="102" t="n">
        <v>3.6000000000000004E-2</v>
      </c>
      <c r="K9" s="102" t="n">
        <v>3.3750000000000002E-2</v>
      </c>
      <c r="L9" s="102" t="n">
        <v>3.3750000000000002E-2</v>
      </c>
      <c r="M9" s="102" t="n">
        <v>3.3750000000000002E-2</v>
      </c>
      <c r="N9" s="102" t="n">
        <v>3.3750000000000002E-2</v>
      </c>
      <c r="O9" s="252" t="n">
        <f t="shared" si="1"/>
        <v>0.45000000000000007</v>
      </c>
      <c r="P9" s="102"/>
      <c r="Q9" s="102"/>
      <c r="R9" s="102"/>
      <c r="S9" s="102"/>
      <c r="T9" s="102"/>
      <c r="U9" s="102"/>
      <c r="V9" s="102"/>
      <c r="W9" s="102"/>
      <c r="X9" s="102"/>
      <c r="Y9" s="102"/>
      <c r="Z9" s="102"/>
      <c r="AA9" s="102"/>
      <c r="AC9" s="104"/>
      <c r="AD9" s="104"/>
      <c r="AE9" s="104"/>
      <c r="AF9" s="104"/>
      <c r="AG9" s="104"/>
      <c r="AH9" s="104"/>
      <c r="AI9" s="104"/>
      <c r="AJ9" s="104"/>
      <c r="AK9" s="104"/>
      <c r="AL9" s="104"/>
      <c r="AM9" s="104"/>
      <c r="AN9" s="104"/>
    </row>
    <row r="10" ht="15.65" customHeight="1">
      <c r="A10" s="248" t="s">
        <v>269</v>
      </c>
      <c r="B10" s="248" t="s">
        <v>215</v>
      </c>
      <c r="C10" s="102" t="n">
        <v>0.14000000000000001</v>
      </c>
      <c r="D10" s="102" t="n">
        <v>0.1</v>
      </c>
      <c r="E10" s="102" t="n">
        <v>0.1</v>
      </c>
      <c r="F10" s="102" t="n">
        <v>0.05</v>
      </c>
      <c r="G10" s="102" t="n">
        <v>0.05</v>
      </c>
      <c r="H10" s="102" t="n">
        <v>0.05</v>
      </c>
      <c r="I10" s="102" t="n">
        <v>0.05</v>
      </c>
      <c r="J10" s="102" t="n">
        <v>0.05</v>
      </c>
      <c r="K10" s="102" t="n">
        <v>0.05</v>
      </c>
      <c r="L10" s="102" t="n">
        <v>0.03</v>
      </c>
      <c r="M10" s="102" t="n">
        <v>0.03</v>
      </c>
      <c r="N10" s="102" t="n">
        <v>0.03</v>
      </c>
      <c r="O10" s="252" t="n">
        <f>SUM(C10:N10)</f>
        <v>0.7300000000000002</v>
      </c>
      <c r="P10" s="102"/>
      <c r="Q10" s="102"/>
      <c r="R10" s="102"/>
      <c r="S10" s="102"/>
      <c r="T10" s="102"/>
      <c r="U10" s="102"/>
      <c r="V10" s="102"/>
      <c r="W10" s="102"/>
      <c r="X10" s="102"/>
      <c r="Y10" s="102"/>
      <c r="Z10" s="102"/>
      <c r="AA10" s="102"/>
      <c r="AC10" s="104"/>
      <c r="AD10" s="104"/>
      <c r="AE10" s="104"/>
      <c r="AF10" s="104"/>
      <c r="AG10" s="104"/>
      <c r="AH10" s="104"/>
      <c r="AI10" s="104"/>
      <c r="AJ10" s="104"/>
      <c r="AK10" s="104"/>
      <c r="AL10" s="104"/>
      <c r="AM10" s="104"/>
      <c r="AN10" s="104"/>
    </row>
    <row r="11" ht="15.65" customHeight="1">
      <c r="A11" s="248" t="s">
        <v>270</v>
      </c>
      <c r="B11" s="248" t="s">
        <v>271</v>
      </c>
      <c r="C11" s="102" t="n">
        <v>0.2</v>
      </c>
      <c r="D11" s="102" t="n">
        <v>0.17</v>
      </c>
      <c r="E11" s="102" t="n">
        <v>0.16</v>
      </c>
      <c r="F11" s="102" t="n">
        <v>0.15</v>
      </c>
      <c r="G11" s="102" t="n">
        <v>0.09</v>
      </c>
      <c r="H11" s="102" t="n">
        <v>0.05</v>
      </c>
      <c r="I11" s="102" t="n">
        <v>0.05</v>
      </c>
      <c r="J11" s="102" t="n">
        <v>0.04</v>
      </c>
      <c r="K11" s="102" t="n">
        <v>0</v>
      </c>
      <c r="L11" s="102" t="n">
        <v>0</v>
      </c>
      <c r="M11" s="102" t="n">
        <v>0</v>
      </c>
      <c r="N11" s="102" t="n">
        <v>0</v>
      </c>
      <c r="O11" s="252" t="n">
        <f>SUM(C11:N11)</f>
        <v>0.91000000000000014</v>
      </c>
      <c r="P11" s="102"/>
      <c r="Q11" s="102"/>
      <c r="R11" s="102"/>
      <c r="S11" s="102"/>
      <c r="T11" s="102"/>
      <c r="U11" s="102"/>
      <c r="V11" s="102"/>
      <c r="W11" s="102"/>
      <c r="X11" s="102"/>
      <c r="Y11" s="102"/>
      <c r="Z11" s="102"/>
      <c r="AA11" s="102"/>
      <c r="AC11" s="104"/>
      <c r="AD11" s="104"/>
      <c r="AE11" s="104"/>
      <c r="AF11" s="104"/>
      <c r="AG11" s="104"/>
      <c r="AH11" s="104"/>
      <c r="AI11" s="104"/>
      <c r="AJ11" s="104"/>
      <c r="AK11" s="104"/>
      <c r="AL11" s="104"/>
      <c r="AM11" s="104"/>
      <c r="AN11" s="104"/>
    </row>
    <row r="12" ht="47.15" customHeight="1">
      <c r="A12" s="249" t="s">
        <v>272</v>
      </c>
      <c r="B12" s="249" t="s">
        <v>273</v>
      </c>
      <c r="C12" s="102" t="n">
        <v>0.2</v>
      </c>
      <c r="D12" s="102" t="n">
        <v>0.17</v>
      </c>
      <c r="E12" s="102" t="n">
        <v>0.16</v>
      </c>
      <c r="F12" s="102" t="n">
        <v>0.15</v>
      </c>
      <c r="G12" s="102" t="n">
        <v>0.09</v>
      </c>
      <c r="H12" s="102" t="n">
        <v>0.05</v>
      </c>
      <c r="I12" s="102" t="n">
        <v>0.05</v>
      </c>
      <c r="J12" s="102" t="n">
        <v>0.04</v>
      </c>
      <c r="K12" s="102" t="n">
        <v>0</v>
      </c>
      <c r="L12" s="102" t="n">
        <v>0</v>
      </c>
      <c r="M12" s="102" t="n">
        <v>0</v>
      </c>
      <c r="N12" s="102" t="n">
        <v>0</v>
      </c>
      <c r="O12" s="252" t="n">
        <f t="shared" si="1"/>
        <v>0.91000000000000014</v>
      </c>
      <c r="P12" s="102"/>
      <c r="Q12" s="102"/>
      <c r="R12" s="102"/>
      <c r="S12" s="102"/>
      <c r="T12" s="102"/>
      <c r="U12" s="102"/>
      <c r="V12" s="102"/>
      <c r="W12" s="102"/>
      <c r="X12" s="102"/>
      <c r="Y12" s="102"/>
      <c r="Z12" s="102"/>
      <c r="AA12" s="102"/>
      <c r="AC12" s="104"/>
      <c r="AD12" s="104"/>
      <c r="AE12" s="104"/>
      <c r="AF12" s="104"/>
      <c r="AG12" s="104"/>
      <c r="AH12" s="104"/>
      <c r="AI12" s="104"/>
      <c r="AJ12" s="104"/>
      <c r="AK12" s="104"/>
      <c r="AL12" s="104"/>
      <c r="AM12" s="104"/>
      <c r="AN12" s="104"/>
    </row>
    <row r="13" ht="31.4" customHeight="1">
      <c r="A13" s="249" t="s">
        <v>274</v>
      </c>
      <c r="B13" s="249" t="s">
        <v>275</v>
      </c>
      <c r="C13" s="102" t="n">
        <v>0.14000000000000001</v>
      </c>
      <c r="D13" s="102" t="n">
        <v>0.1</v>
      </c>
      <c r="E13" s="102" t="n">
        <v>0.1</v>
      </c>
      <c r="F13" s="102" t="n">
        <v>0.05</v>
      </c>
      <c r="G13" s="102" t="n">
        <v>0.05</v>
      </c>
      <c r="H13" s="102" t="n">
        <v>0.05</v>
      </c>
      <c r="I13" s="102" t="n">
        <v>0.05</v>
      </c>
      <c r="J13" s="102" t="n">
        <v>0.05</v>
      </c>
      <c r="K13" s="102" t="n">
        <v>0.05</v>
      </c>
      <c r="L13" s="102" t="n">
        <v>0</v>
      </c>
      <c r="M13" s="102" t="n">
        <v>0</v>
      </c>
      <c r="N13" s="102" t="n">
        <v>0</v>
      </c>
      <c r="O13" s="252" t="n">
        <f t="shared" si="1"/>
        <v>0.64000000000000012</v>
      </c>
      <c r="P13" s="102"/>
      <c r="Q13" s="102"/>
      <c r="R13" s="102"/>
      <c r="S13" s="102"/>
      <c r="T13" s="102"/>
      <c r="U13" s="102"/>
      <c r="V13" s="102"/>
      <c r="W13" s="102"/>
      <c r="X13" s="102"/>
      <c r="Y13" s="102"/>
      <c r="Z13" s="102"/>
      <c r="AA13" s="102"/>
      <c r="AC13" s="104"/>
      <c r="AD13" s="104"/>
      <c r="AE13" s="104"/>
      <c r="AF13" s="104"/>
      <c r="AG13" s="104"/>
      <c r="AH13" s="104"/>
      <c r="AI13" s="104"/>
      <c r="AJ13" s="104"/>
      <c r="AK13" s="104"/>
      <c r="AL13" s="104"/>
      <c r="AM13" s="104"/>
      <c r="AN13" s="104"/>
    </row>
    <row r="14" ht="47.15" customHeight="1">
      <c r="A14" s="249" t="s">
        <v>276</v>
      </c>
      <c r="B14" s="249" t="s">
        <v>277</v>
      </c>
      <c r="C14" s="102" t="n">
        <v>0.04</v>
      </c>
      <c r="D14" s="102" t="n">
        <v>0.04</v>
      </c>
      <c r="E14" s="102" t="n">
        <v>1.7000000000000001E-2</v>
      </c>
      <c r="F14" s="102" t="n">
        <v>1.7000000000000001E-2</v>
      </c>
      <c r="G14" s="102" t="n">
        <v>1.7000000000000001E-2</v>
      </c>
      <c r="H14" s="102" t="n">
        <v>1.7000000000000001E-2</v>
      </c>
      <c r="I14" s="102" t="n">
        <v>1.7000000000000001E-2</v>
      </c>
      <c r="J14" s="102" t="n">
        <v>1.7000000000000001E-2</v>
      </c>
      <c r="K14" s="102" t="n">
        <v>1.7000000000000001E-2</v>
      </c>
      <c r="L14" s="102" t="n">
        <v>1.7000000000000001E-2</v>
      </c>
      <c r="M14" s="102" t="n">
        <v>1.7000000000000001E-2</v>
      </c>
      <c r="N14" s="102" t="n">
        <v>1.7000000000000001E-2</v>
      </c>
      <c r="O14" s="252" t="n">
        <f>SUM(C14:N14)</f>
        <v>0.25000000000000011</v>
      </c>
      <c r="P14" s="102"/>
      <c r="Q14" s="102"/>
      <c r="R14" s="102"/>
      <c r="S14" s="102"/>
      <c r="T14" s="102"/>
      <c r="U14" s="102"/>
      <c r="V14" s="102"/>
      <c r="W14" s="102"/>
      <c r="X14" s="102"/>
      <c r="Y14" s="102"/>
      <c r="Z14" s="102"/>
      <c r="AA14" s="102"/>
      <c r="AC14" s="104"/>
      <c r="AD14" s="104"/>
      <c r="AE14" s="104"/>
      <c r="AF14" s="104"/>
      <c r="AG14" s="104"/>
      <c r="AH14" s="104"/>
      <c r="AI14" s="104"/>
      <c r="AJ14" s="104"/>
      <c r="AK14" s="104"/>
      <c r="AL14" s="104"/>
      <c r="AM14" s="104"/>
      <c r="AN14" s="104"/>
    </row>
    <row r="15" ht="15.75" customHeight="1">
      <c r="B15" s="249"/>
    </row>
  </sheetData>
  <mergeCells count="1">
    <mergeCell ref="A1:O1"/>
  </mergeCells>
  <pageMargins left="0.7" right="0.7" top="0.75" bottom="0.75" header="0.3" footer="0.3"/>
  <pageSetup paperSize="9" orientation="portrait" horizontalDpi="300" verticalDpi="300"/>
  <drawing r:id="rId1"/>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2" ySplit="6" topLeftCell="R7" activePane="bottomRight" state="frozen"/>
      <selection pane="topRight" activeCell="C1" sqref="C1"/>
      <selection pane="bottomLeft" activeCell="A7" sqref="A7"/>
      <selection pane="bottomRight" activeCell="AH23" sqref="AH23"/>
    </sheetView>
  </sheetViews>
  <sheetFormatPr defaultRowHeight="15.0" baseColWidth="10"/>
  <cols>
    <col min="2" max="2" width="52.453125" hidden="0" customWidth="1"/>
    <col min="3" max="3" width="11.453125" hidden="0" customWidth="1"/>
    <col min="4" max="4" width="11.453125" hidden="0" customWidth="1"/>
    <col min="5" max="5" width="11.453125" hidden="0" customWidth="1"/>
    <col min="6" max="6" width="11.4531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1.453125" hidden="0" customWidth="1"/>
    <col min="13" max="13" width="9.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9.453125" hidden="0" customWidth="1"/>
    <col min="34" max="34" width="9.453125" hidden="0" customWidth="1"/>
    <col min="35" max="35" width="9.453125" hidden="0" customWidth="1"/>
    <col min="36" max="36" width="9.453125" hidden="0" customWidth="1"/>
    <col min="37" max="37" width="9.453125" hidden="0" customWidth="1"/>
    <col min="38" max="38" width="8.453125" hidden="0" customWidth="1"/>
    <col min="39" max="39" width="8.453125" hidden="0" customWidth="1"/>
    <col min="40" max="40" width="8.453125" hidden="0" customWidth="1"/>
    <col min="41" max="41" width="8.453125" hidden="0" customWidth="1"/>
  </cols>
  <sheetData>
    <row r="1">
      <c r="B1" s="257" t="s">
        <v>53</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row>
    <row r="2" ht="14.25" customHeight="1">
      <c r="B2" s="258" t="s">
        <v>278</v>
      </c>
      <c r="C2" s="258"/>
      <c r="D2" s="258"/>
      <c r="E2" s="258"/>
      <c r="F2" s="258"/>
      <c r="G2" s="258"/>
      <c r="H2" s="258"/>
      <c r="I2" s="258"/>
      <c r="J2" s="258"/>
      <c r="K2" s="258"/>
      <c r="L2" s="258"/>
      <c r="M2" s="258"/>
      <c r="N2" s="258"/>
      <c r="O2" s="258"/>
      <c r="P2" s="258"/>
      <c r="Q2" s="258"/>
      <c r="R2" s="258"/>
      <c r="S2" s="258"/>
      <c r="T2" s="258"/>
      <c r="U2" s="258"/>
      <c r="V2" s="258"/>
      <c r="W2" s="258"/>
      <c r="X2" s="258"/>
      <c r="Y2" s="258"/>
      <c r="Z2" s="258"/>
      <c r="AA2" s="258"/>
      <c r="AB2" s="258"/>
      <c r="AC2" s="258"/>
      <c r="AD2" s="258"/>
      <c r="AE2" s="258"/>
      <c r="AF2" s="258"/>
      <c r="AG2" s="258"/>
      <c r="AH2" s="258"/>
    </row>
    <row r="3">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c r="AE3" s="258"/>
      <c r="AF3" s="258"/>
      <c r="AG3" s="258"/>
      <c r="AH3" s="258"/>
    </row>
    <row r="4">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c r="AD4" s="258"/>
      <c r="AE4" s="258"/>
      <c r="AF4" s="258"/>
      <c r="AG4" s="258"/>
      <c r="AH4" s="258"/>
    </row>
    <row r="5">
      <c r="B5" s="258"/>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c r="AE5" s="258"/>
      <c r="AF5" s="258"/>
      <c r="AG5" s="258"/>
      <c r="AH5" s="258"/>
    </row>
    <row r="6" ht="38.9" customHeight="1">
      <c r="B6" s="258"/>
      <c r="C6" s="258"/>
      <c r="D6" s="258"/>
      <c r="E6" s="258"/>
      <c r="F6" s="258"/>
      <c r="G6" s="258"/>
      <c r="H6" s="258"/>
      <c r="I6" s="258"/>
      <c r="J6" s="258"/>
      <c r="K6" s="258"/>
      <c r="L6" s="258"/>
      <c r="M6" s="258"/>
      <c r="N6" s="258"/>
      <c r="O6" s="258"/>
      <c r="P6" s="258"/>
      <c r="Q6" s="258"/>
      <c r="R6" s="258"/>
      <c r="S6" s="258"/>
      <c r="T6" s="258"/>
      <c r="U6" s="258"/>
      <c r="V6" s="258"/>
      <c r="W6" s="258"/>
      <c r="X6" s="258"/>
      <c r="Y6" s="258"/>
      <c r="Z6" s="258"/>
      <c r="AA6" s="258"/>
      <c r="AB6" s="258"/>
      <c r="AC6" s="258"/>
      <c r="AD6" s="258"/>
      <c r="AE6" s="258"/>
      <c r="AF6" s="258"/>
      <c r="AG6" s="258"/>
      <c r="AH6" s="258"/>
    </row>
    <row r="7">
      <c r="B7" s="321"/>
      <c r="C7" s="321"/>
      <c r="D7" s="321"/>
      <c r="E7" s="321"/>
      <c r="F7" s="321"/>
      <c r="G7" s="321"/>
      <c r="H7" s="322"/>
      <c r="I7" s="322"/>
      <c r="J7" s="322"/>
      <c r="K7" s="322"/>
      <c r="L7" s="322"/>
      <c r="M7" s="322"/>
      <c r="N7" s="322"/>
      <c r="O7" s="322"/>
      <c r="P7" s="322"/>
      <c r="Q7" s="322"/>
      <c r="R7" s="322"/>
      <c r="S7" s="322"/>
      <c r="T7" s="322"/>
      <c r="U7" s="322"/>
      <c r="V7" s="322"/>
    </row>
    <row r="8" ht="14.9" customHeight="1">
      <c r="B8" s="262" t="s">
        <v>279</v>
      </c>
      <c r="C8" s="263"/>
      <c r="D8" s="266" t="s">
        <v>280</v>
      </c>
      <c r="E8" s="277"/>
      <c r="F8" s="277"/>
      <c r="G8" s="277"/>
      <c r="H8" s="277"/>
      <c r="I8" s="277"/>
      <c r="J8" s="277"/>
      <c r="K8" s="277"/>
      <c r="L8" s="277"/>
      <c r="M8" s="277"/>
      <c r="N8" s="277"/>
      <c r="O8" s="277"/>
      <c r="P8" s="277"/>
      <c r="Q8" s="277"/>
      <c r="R8" s="277"/>
      <c r="S8" s="277"/>
      <c r="T8" s="277"/>
      <c r="U8" s="278"/>
      <c r="V8" s="265"/>
      <c r="W8" s="273" t="s">
        <v>281</v>
      </c>
      <c r="X8" s="274"/>
      <c r="Y8" s="275"/>
      <c r="Z8" s="275"/>
      <c r="AA8" s="275"/>
      <c r="AB8" s="275"/>
      <c r="AC8" s="274"/>
      <c r="AD8" s="276"/>
      <c r="AE8" s="295"/>
      <c r="AF8" s="295"/>
      <c r="AG8" s="295"/>
      <c r="AH8" s="295"/>
    </row>
    <row r="9" ht="12.75" customHeight="1">
      <c r="B9" s="264"/>
      <c r="C9" s="265"/>
      <c r="D9" s="259" t="n">
        <v>2018</v>
      </c>
      <c r="E9" s="259" t="n">
        <v>2019</v>
      </c>
      <c r="F9" s="260"/>
      <c r="G9" s="260"/>
      <c r="H9" s="261"/>
      <c r="I9" s="259" t="n">
        <v>2020</v>
      </c>
      <c r="J9" s="260"/>
      <c r="K9" s="260"/>
      <c r="L9" s="261"/>
      <c r="M9" s="269" t="n">
        <v>2021</v>
      </c>
      <c r="N9" s="270"/>
      <c r="O9" s="270"/>
      <c r="P9" s="271"/>
      <c r="Q9" s="272" t="n">
        <v>2022</v>
      </c>
      <c r="R9" s="272"/>
      <c r="S9" s="317"/>
      <c r="T9" s="343"/>
      <c r="U9" s="296"/>
      <c r="V9" s="343" t="n">
        <v>2023</v>
      </c>
      <c r="W9" s="344"/>
      <c r="X9" s="316"/>
      <c r="Y9" s="255" t="n">
        <v>2024</v>
      </c>
      <c r="Z9" s="268"/>
      <c r="AA9" s="268"/>
      <c r="AB9" s="256"/>
      <c r="AC9" s="255" t="n">
        <v>2025</v>
      </c>
      <c r="AD9" s="268"/>
      <c r="AE9" s="268"/>
      <c r="AF9" s="268"/>
      <c r="AG9" s="255" t="n">
        <v>2026</v>
      </c>
      <c r="AH9" s="256"/>
    </row>
    <row r="10" ht="14.9" customHeight="1">
      <c r="B10" s="266"/>
      <c r="C10" s="267"/>
      <c r="D10" s="259" t="s">
        <v>282</v>
      </c>
      <c r="E10" s="259" t="s">
        <v>283</v>
      </c>
      <c r="F10" s="260" t="s">
        <v>284</v>
      </c>
      <c r="G10" s="260" t="s">
        <v>238</v>
      </c>
      <c r="H10" s="261" t="s">
        <v>282</v>
      </c>
      <c r="I10" s="260" t="s">
        <v>283</v>
      </c>
      <c r="J10" s="260" t="s">
        <v>284</v>
      </c>
      <c r="K10" s="260" t="s">
        <v>238</v>
      </c>
      <c r="L10" s="260" t="s">
        <v>282</v>
      </c>
      <c r="M10" s="340" t="s">
        <v>283</v>
      </c>
      <c r="N10" s="341" t="s">
        <v>284</v>
      </c>
      <c r="O10" s="341" t="s">
        <v>238</v>
      </c>
      <c r="P10" s="339" t="s">
        <v>282</v>
      </c>
      <c r="Q10" s="260" t="s">
        <v>283</v>
      </c>
      <c r="R10" s="260" t="s">
        <v>284</v>
      </c>
      <c r="S10" s="260" t="s">
        <v>238</v>
      </c>
      <c r="T10" s="260" t="s">
        <v>282</v>
      </c>
      <c r="U10" s="340" t="s">
        <v>283</v>
      </c>
      <c r="V10" s="341" t="s">
        <v>284</v>
      </c>
      <c r="W10" s="326" t="s">
        <v>238</v>
      </c>
      <c r="X10" s="327" t="s">
        <v>282</v>
      </c>
      <c r="Y10" s="325" t="s">
        <v>283</v>
      </c>
      <c r="Z10" s="323" t="s">
        <v>284</v>
      </c>
      <c r="AA10" s="326" t="s">
        <v>238</v>
      </c>
      <c r="AB10" s="327" t="s">
        <v>282</v>
      </c>
      <c r="AC10" s="325" t="s">
        <v>283</v>
      </c>
      <c r="AD10" s="323" t="s">
        <v>284</v>
      </c>
      <c r="AE10" s="326" t="s">
        <v>238</v>
      </c>
      <c r="AF10" s="326" t="s">
        <v>282</v>
      </c>
      <c r="AG10" s="325" t="s">
        <v>283</v>
      </c>
      <c r="AH10" s="327" t="s">
        <v>284</v>
      </c>
    </row>
    <row r="11">
      <c r="B11" s="307" t="s">
        <v>102</v>
      </c>
      <c r="C11" s="328" t="s">
        <v>285</v>
      </c>
      <c r="D11" s="309" t="n">
        <f>'Haver Pivoted'!GO14</f>
        <v>27.1</v>
      </c>
      <c r="E11" s="342" t="n">
        <f>'Haver Pivoted'!GP14</f>
        <v>30.5</v>
      </c>
      <c r="F11" s="342" t="n">
        <f>'Haver Pivoted'!GQ14</f>
        <v>27.7</v>
      </c>
      <c r="G11" s="342" t="n">
        <f>'Haver Pivoted'!GR14</f>
        <v>25</v>
      </c>
      <c r="H11" s="342" t="n">
        <f>'Haver Pivoted'!GS14</f>
        <v>26.7</v>
      </c>
      <c r="I11" s="342" t="n">
        <f>'Haver Pivoted'!GT14</f>
        <v>40.9</v>
      </c>
      <c r="J11" s="342" t="n">
        <f>'Haver Pivoted'!GU14</f>
        <v>951.4</v>
      </c>
      <c r="K11" s="342" t="n">
        <f>'Haver Pivoted'!GV14</f>
        <v>802.3</v>
      </c>
      <c r="L11" s="342" t="n">
        <f>'Haver Pivoted'!GW14</f>
        <v>323.5</v>
      </c>
      <c r="M11" s="342" t="n">
        <f>'Haver Pivoted'!GX14</f>
        <v>583.5</v>
      </c>
      <c r="N11" s="342" t="n">
        <f>'Haver Pivoted'!GY14</f>
        <v>451.8</v>
      </c>
      <c r="O11" s="342" t="n">
        <f>'Haver Pivoted'!GZ14</f>
        <v>226.8</v>
      </c>
      <c r="P11" s="342" t="n">
        <f>'Haver Pivoted'!HA14</f>
        <v>33.9</v>
      </c>
      <c r="Q11" s="291" t="n">
        <f>'Haver Pivoted'!HB14</f>
        <v>26.2</v>
      </c>
      <c r="R11" s="291" t="n">
        <f>'Haver Pivoted'!HC14</f>
        <v>21.4</v>
      </c>
      <c r="S11" s="260" t="n">
        <f>'Haver Pivoted'!HD14</f>
        <v>19.600000000000001</v>
      </c>
      <c r="T11" s="260" t="n">
        <f>'Haver Pivoted'!HE14</f>
        <v>22.1</v>
      </c>
      <c r="U11" s="260" t="n">
        <f>'Haver Pivoted'!HF14</f>
        <v>22</v>
      </c>
      <c r="V11" s="260" t="n">
        <f>'Haver Pivoted'!HG14</f>
        <v>22.3</v>
      </c>
      <c r="W11" s="260" t="n">
        <f>'Haver Pivoted'!HH14</f>
        <v>21</v>
      </c>
      <c r="X11" s="260" t="n">
        <f>'Haver Pivoted'!HI14</f>
        <v>22.7</v>
      </c>
      <c r="Y11" s="260" t="n">
        <f>'Haver Pivoted'!HJ14</f>
        <v>22.7</v>
      </c>
      <c r="Z11" s="260" t="n">
        <f>'Haver Pivoted'!HK14</f>
        <v>22.7</v>
      </c>
      <c r="AA11" s="333" t="n">
        <f t="shared" ref="AA11:AH11" si="0">AA12+AA13+AA20</f>
        <v>22.5</v>
      </c>
      <c r="AB11" s="333" t="n">
        <f t="shared" si="0"/>
        <v>22.5</v>
      </c>
      <c r="AC11" s="333" t="n">
        <f t="shared" si="0"/>
        <v>22.5</v>
      </c>
      <c r="AD11" s="333" t="n">
        <f t="shared" si="0"/>
        <v>22.5</v>
      </c>
      <c r="AE11" s="333" t="n">
        <f t="shared" si="0"/>
        <v>22.5</v>
      </c>
      <c r="AF11" s="333" t="n">
        <f t="shared" si="0"/>
        <v>22.5</v>
      </c>
      <c r="AG11" s="293" t="n">
        <f>AG12+AG13+AG20</f>
        <v>22.5</v>
      </c>
      <c r="AH11" s="293" t="n">
        <f t="shared" si="0"/>
        <v>22.5</v>
      </c>
      <c r="AI11" s="297" t="s">
        <v>286</v>
      </c>
    </row>
    <row r="12">
      <c r="B12" s="320" t="s">
        <v>287</v>
      </c>
      <c r="C12" s="310" t="s">
        <v>288</v>
      </c>
      <c r="D12" s="330" t="n">
        <f>'Haver Pivoted'!GO63</f>
        <v>0</v>
      </c>
      <c r="E12" s="291" t="n">
        <f>'Haver Pivoted'!GP63</f>
        <v>0</v>
      </c>
      <c r="F12" s="291" t="n">
        <f>'Haver Pivoted'!GQ63</f>
        <v>0</v>
      </c>
      <c r="G12" s="291" t="n">
        <f>'Haver Pivoted'!GR63</f>
        <v>0</v>
      </c>
      <c r="H12" s="291" t="n">
        <f>'Haver Pivoted'!GS63</f>
        <v>0</v>
      </c>
      <c r="I12" s="291" t="n">
        <f>'Haver Pivoted'!GT63</f>
        <v>0</v>
      </c>
      <c r="J12" s="291" t="n">
        <f>'Haver Pivoted'!GU63</f>
        <v>0.1</v>
      </c>
      <c r="K12" s="291" t="n">
        <f>'Haver Pivoted'!GV63</f>
        <v>3.7</v>
      </c>
      <c r="L12" s="291" t="n">
        <f>'Haver Pivoted'!GW63</f>
        <v>12.9</v>
      </c>
      <c r="M12" s="291" t="n">
        <f>'Haver Pivoted'!GX63</f>
        <v>25.5</v>
      </c>
      <c r="N12" s="291" t="n">
        <f>'Haver Pivoted'!GY63</f>
        <v>3.8</v>
      </c>
      <c r="O12" s="291" t="n">
        <f>'Haver Pivoted'!GZ63</f>
        <v>1.8</v>
      </c>
      <c r="P12" s="291" t="n">
        <f>'Haver Pivoted'!HA63</f>
        <v>0.6</v>
      </c>
      <c r="Q12" s="291" t="n">
        <f>'Haver Pivoted'!HB63</f>
        <v>0.2</v>
      </c>
      <c r="R12" s="291" t="n">
        <f>'Haver Pivoted'!HC63</f>
        <v>0.1</v>
      </c>
      <c r="S12" s="260" t="n">
        <f>'Haver Pivoted'!HD63</f>
        <v>0</v>
      </c>
      <c r="T12" s="260" t="n">
        <f>'Haver Pivoted'!HE63</f>
        <v>0</v>
      </c>
      <c r="U12" s="260" t="n">
        <f>'Haver Pivoted'!HF63</f>
        <v>0</v>
      </c>
      <c r="V12" s="260" t="n">
        <f>'Haver Pivoted'!HG63</f>
        <v>0</v>
      </c>
      <c r="W12" s="260" t="n">
        <f>'Haver Pivoted'!HH63</f>
        <v>0</v>
      </c>
      <c r="X12" s="260" t="n">
        <f>'Haver Pivoted'!HI63</f>
        <v>0</v>
      </c>
      <c r="Y12" s="260" t="n">
        <f>'Haver Pivoted'!HJ63</f>
        <v>0</v>
      </c>
      <c r="Z12" s="260" t="n">
        <f>'Haver Pivoted'!HK63</f>
        <v>0</v>
      </c>
      <c r="AA12" s="293" t="n">
        <f t="shared" ref="AA12:AD12" si="1">Z12*AA23/Z23</f>
        <v>0</v>
      </c>
      <c r="AB12" s="293" t="n">
        <f t="shared" si="1"/>
        <v>0</v>
      </c>
      <c r="AC12" s="293" t="n">
        <f t="shared" si="1"/>
        <v>0</v>
      </c>
      <c r="AD12" s="293" t="n">
        <f t="shared" si="1"/>
        <v>0</v>
      </c>
      <c r="AE12" s="293" t="n">
        <f t="shared" ref="AE12" si="2">AD12*AE23/AD23</f>
        <v>0</v>
      </c>
      <c r="AF12" s="293" t="n">
        <f t="shared" ref="AF12" si="3">AE12*AF23/AE23</f>
        <v>0</v>
      </c>
      <c r="AG12" s="293" t="n">
        <f t="shared" ref="AG12:AH12" si="4">AF12*AG23/AF23</f>
        <v>0</v>
      </c>
      <c r="AH12" s="293" t="n">
        <f t="shared" si="4"/>
        <v>0</v>
      </c>
    </row>
    <row r="13">
      <c r="B13" s="320" t="s">
        <v>289</v>
      </c>
      <c r="C13" s="310"/>
      <c r="D13" s="330"/>
      <c r="E13" s="291"/>
      <c r="F13" s="291"/>
      <c r="G13" s="291"/>
      <c r="H13" s="283" t="n">
        <f>SUM(H14:H17)</f>
        <v>0</v>
      </c>
      <c r="I13" s="283" t="n">
        <f t="shared" ref="I13:M13" si="5">SUM(I14:I17)</f>
        <v>0</v>
      </c>
      <c r="J13" s="283" t="n">
        <f t="shared" si="5"/>
        <v>779.7</v>
      </c>
      <c r="K13" s="283" t="n">
        <f t="shared" si="5"/>
        <v>582.6</v>
      </c>
      <c r="L13" s="283" t="n">
        <f t="shared" si="5"/>
        <v>216.5</v>
      </c>
      <c r="M13" s="283" t="n">
        <f t="shared" si="5"/>
        <v>497.6</v>
      </c>
      <c r="N13" s="288" t="n">
        <f>SUM(N14:N17)</f>
        <v>401.5</v>
      </c>
      <c r="O13" s="288" t="n">
        <f t="shared" ref="O13:AC13" si="6">SUM(O14:O17)</f>
        <v>207.4</v>
      </c>
      <c r="P13" s="288" t="n">
        <f t="shared" si="6"/>
        <v>5.5</v>
      </c>
      <c r="Q13" s="288" t="n">
        <v>0</v>
      </c>
      <c r="R13" s="288" t="n">
        <f t="shared" si="6"/>
        <v>1</v>
      </c>
      <c r="S13" s="288" t="n">
        <f t="shared" si="6"/>
        <v>0.5</v>
      </c>
      <c r="T13" s="288" t="n">
        <f t="shared" si="6"/>
        <v>0.30000000000000004</v>
      </c>
      <c r="U13" s="288" t="n">
        <f t="shared" si="6"/>
        <v>0</v>
      </c>
      <c r="V13" s="283" t="n">
        <f t="shared" si="6"/>
        <v>0</v>
      </c>
      <c r="W13" s="283" t="n">
        <f t="shared" si="6"/>
        <v>0</v>
      </c>
      <c r="X13" s="293" t="n">
        <f>SUM(X14:X17)</f>
        <v>0</v>
      </c>
      <c r="Y13" s="293" t="n">
        <f t="shared" si="6"/>
        <v>0</v>
      </c>
      <c r="Z13" s="293" t="n">
        <f t="shared" si="6"/>
        <v>0</v>
      </c>
      <c r="AA13" s="293" t="n">
        <f t="shared" si="6"/>
        <v>0</v>
      </c>
      <c r="AB13" s="293" t="n">
        <f t="shared" si="6"/>
        <v>0</v>
      </c>
      <c r="AC13" s="293" t="n">
        <f t="shared" si="6"/>
        <v>0</v>
      </c>
      <c r="AD13" s="293" t="n">
        <f t="shared" ref="AD13:AG13" si="7">SUM(AD14:AD17)</f>
        <v>0</v>
      </c>
      <c r="AE13" s="293" t="n">
        <f t="shared" si="7"/>
        <v>0</v>
      </c>
      <c r="AF13" s="293" t="n">
        <f t="shared" si="7"/>
        <v>0</v>
      </c>
      <c r="AG13" s="293" t="n">
        <f t="shared" si="7"/>
        <v>0</v>
      </c>
      <c r="AH13" s="293" t="n">
        <f t="shared" ref="AH13" si="8">SUM(AH14:AH17)</f>
        <v>0</v>
      </c>
    </row>
    <row r="14" ht="18" customHeight="1">
      <c r="B14" s="303" t="s">
        <v>290</v>
      </c>
      <c r="C14" s="304" t="s">
        <v>288</v>
      </c>
      <c r="D14" s="329" t="n">
        <f>'Haver Pivoted'!GO63</f>
        <v>0</v>
      </c>
      <c r="E14" s="287" t="n">
        <f>'Haver Pivoted'!GP63</f>
        <v>0</v>
      </c>
      <c r="F14" s="287" t="n">
        <f>'Haver Pivoted'!GQ63</f>
        <v>0</v>
      </c>
      <c r="G14" s="287" t="n">
        <f>'Haver Pivoted'!GR63</f>
        <v>0</v>
      </c>
      <c r="H14" s="287" t="n">
        <f>'Haver Pivoted'!GS63</f>
        <v>0</v>
      </c>
      <c r="I14" s="287" t="n">
        <f>'Haver Pivoted'!GT63</f>
        <v>0</v>
      </c>
      <c r="J14" s="287" t="n">
        <f>'Haver Pivoted'!GU63</f>
        <v>0.1</v>
      </c>
      <c r="K14" s="287" t="n">
        <f>'Haver Pivoted'!GV63</f>
        <v>3.7</v>
      </c>
      <c r="L14" s="287" t="n">
        <f>'Haver Pivoted'!GW63</f>
        <v>12.9</v>
      </c>
      <c r="M14" s="287" t="n">
        <f>'Haver Pivoted'!GX63</f>
        <v>25.5</v>
      </c>
      <c r="N14" s="287" t="n">
        <f>'Haver Pivoted'!GY63</f>
        <v>3.8</v>
      </c>
      <c r="O14" s="287" t="n">
        <f>'Haver Pivoted'!GZ63</f>
        <v>1.8</v>
      </c>
      <c r="P14" s="287" t="n">
        <f>'Haver Pivoted'!HA63</f>
        <v>0.6</v>
      </c>
      <c r="Q14" s="287" t="n">
        <f>'Haver Pivoted'!HB63</f>
        <v>0.2</v>
      </c>
      <c r="R14" s="287" t="n">
        <f>'Haver Pivoted'!HC63</f>
        <v>0.1</v>
      </c>
      <c r="S14" s="292" t="n">
        <f>'Haver Pivoted'!HD63</f>
        <v>0</v>
      </c>
      <c r="T14" s="292" t="n">
        <f>'Haver Pivoted'!HE63</f>
        <v>0</v>
      </c>
      <c r="U14" s="292" t="n">
        <f>'Haver Pivoted'!HF63</f>
        <v>0</v>
      </c>
      <c r="V14" s="292" t="n">
        <f>'Haver Pivoted'!HG63</f>
        <v>0</v>
      </c>
      <c r="W14" s="292" t="n">
        <f>'Haver Pivoted'!HH63</f>
        <v>0</v>
      </c>
      <c r="X14" s="292" t="n">
        <f>'Haver Pivoted'!HI63</f>
        <v>0</v>
      </c>
      <c r="Y14" s="292" t="n">
        <f>'Haver Pivoted'!HJ63</f>
        <v>0</v>
      </c>
      <c r="Z14" s="292" t="n">
        <f>'Haver Pivoted'!HK63</f>
        <v>0</v>
      </c>
      <c r="AA14" s="293" t="n">
        <f t="shared" ref="AA14:AC14" si="9">AA12</f>
        <v>0</v>
      </c>
      <c r="AB14" s="293" t="n">
        <f t="shared" si="9"/>
        <v>0</v>
      </c>
      <c r="AC14" s="293" t="n">
        <f t="shared" si="9"/>
        <v>0</v>
      </c>
      <c r="AD14" s="293" t="n">
        <f t="shared" ref="AD14:AG14" si="10">AD12</f>
        <v>0</v>
      </c>
      <c r="AE14" s="293" t="n">
        <f t="shared" si="10"/>
        <v>0</v>
      </c>
      <c r="AF14" s="293" t="n">
        <f>AF12</f>
        <v>0</v>
      </c>
      <c r="AG14" s="293" t="n">
        <f t="shared" si="10"/>
        <v>0</v>
      </c>
      <c r="AH14" s="293" t="n">
        <f t="shared" ref="AH14" si="11">AH12</f>
        <v>0</v>
      </c>
    </row>
    <row r="15" ht="18" customHeight="1">
      <c r="B15" s="303" t="s">
        <v>291</v>
      </c>
      <c r="C15" s="304" t="s">
        <v>292</v>
      </c>
      <c r="D15" s="329" t="n">
        <f>'Haver Pivoted'!GO59</f>
        <v>0</v>
      </c>
      <c r="E15" s="287" t="n">
        <f>'Haver Pivoted'!GP59</f>
        <v>0</v>
      </c>
      <c r="F15" s="287" t="n">
        <f>'Haver Pivoted'!GQ59</f>
        <v>0</v>
      </c>
      <c r="G15" s="287" t="n">
        <f>'Haver Pivoted'!GR59</f>
        <v>0</v>
      </c>
      <c r="H15" s="287" t="n">
        <f>'Haver Pivoted'!GS59</f>
        <v>0</v>
      </c>
      <c r="I15" s="287" t="n">
        <f>'Haver Pivoted'!GT59</f>
        <v>0</v>
      </c>
      <c r="J15" s="287" t="n">
        <f>'Haver Pivoted'!GU59</f>
        <v>6.3</v>
      </c>
      <c r="K15" s="287" t="n">
        <f>'Haver Pivoted'!GV59</f>
        <v>26.7</v>
      </c>
      <c r="L15" s="287" t="n">
        <f>'Haver Pivoted'!GW59</f>
        <v>82.1</v>
      </c>
      <c r="M15" s="287" t="n">
        <f>'Haver Pivoted'!GX59</f>
        <v>94.7</v>
      </c>
      <c r="N15" s="287" t="n">
        <f>'Haver Pivoted'!GY59</f>
        <v>92.1</v>
      </c>
      <c r="O15" s="287" t="n">
        <f>'Haver Pivoted'!GZ59</f>
        <v>51.6</v>
      </c>
      <c r="P15" s="287" t="n">
        <f>'Haver Pivoted'!HA59</f>
        <v>2.8</v>
      </c>
      <c r="Q15" s="287" t="n">
        <f>'Haver Pivoted'!HB59</f>
        <v>0.8</v>
      </c>
      <c r="R15" s="287" t="n">
        <f>'Haver Pivoted'!HC59</f>
        <v>0.5</v>
      </c>
      <c r="S15" s="292" t="n">
        <f>'Haver Pivoted'!HD59</f>
        <v>0.3</v>
      </c>
      <c r="T15" s="292" t="n">
        <f>'Haver Pivoted'!HE59</f>
        <v>0.2</v>
      </c>
      <c r="U15" s="292" t="n">
        <f>'Haver Pivoted'!HF59</f>
        <v>0</v>
      </c>
      <c r="V15" s="292" t="n">
        <f>'Haver Pivoted'!HG59</f>
        <v>0</v>
      </c>
      <c r="W15" s="292" t="n">
        <f>'Haver Pivoted'!HH59</f>
        <v>0</v>
      </c>
      <c r="X15" s="292" t="n">
        <f>'Haver Pivoted'!HI59</f>
        <v>0</v>
      </c>
      <c r="Y15" s="292" t="n">
        <f>'Haver Pivoted'!HJ59</f>
        <v>0</v>
      </c>
      <c r="Z15" s="292" t="n">
        <f>'Haver Pivoted'!HK59</f>
        <v>0</v>
      </c>
      <c r="AA15" s="293" t="n">
        <f t="shared" ref="AA15:AD17" si="12">Z15*AA$23/Z$23</f>
        <v>0</v>
      </c>
      <c r="AB15" s="293" t="n">
        <f t="shared" si="12"/>
        <v>0</v>
      </c>
      <c r="AC15" s="293" t="n">
        <f t="shared" si="12"/>
        <v>0</v>
      </c>
      <c r="AD15" s="293" t="n">
        <f t="shared" si="12"/>
        <v>0</v>
      </c>
      <c r="AE15" s="293" t="n">
        <f t="shared" ref="AE15:AE17" si="13">AD15*AE$23/AD$23</f>
        <v>0</v>
      </c>
      <c r="AF15" s="293" t="n">
        <f t="shared" ref="AF15:AF17" si="14">AE15*AF$23/AE$23</f>
        <v>0</v>
      </c>
      <c r="AG15" s="293" t="n">
        <f t="shared" ref="AG15:AH17" si="15">AF15*AG$23/AF$23</f>
        <v>0</v>
      </c>
      <c r="AH15" s="293" t="n">
        <f t="shared" si="15"/>
        <v>0</v>
      </c>
    </row>
    <row r="16" ht="18" customHeight="1">
      <c r="B16" s="303" t="s">
        <v>293</v>
      </c>
      <c r="C16" s="304" t="s">
        <v>294</v>
      </c>
      <c r="D16" s="329" t="n">
        <f>'Haver Pivoted'!GO60</f>
        <v>0</v>
      </c>
      <c r="E16" s="287" t="n">
        <f>'Haver Pivoted'!GP60</f>
        <v>0</v>
      </c>
      <c r="F16" s="287" t="n">
        <f>'Haver Pivoted'!GQ60</f>
        <v>0</v>
      </c>
      <c r="G16" s="287" t="n">
        <f>'Haver Pivoted'!GR60</f>
        <v>0</v>
      </c>
      <c r="H16" s="287" t="n">
        <f>'Haver Pivoted'!GS60</f>
        <v>0</v>
      </c>
      <c r="I16" s="287" t="n">
        <f>'Haver Pivoted'!GT60</f>
        <v>0</v>
      </c>
      <c r="J16" s="287" t="n">
        <f>'Haver Pivoted'!GU60</f>
        <v>74.400000000000006</v>
      </c>
      <c r="K16" s="287" t="n">
        <f>'Haver Pivoted'!GV60</f>
        <v>138.30000000000001</v>
      </c>
      <c r="L16" s="287" t="n">
        <f>'Haver Pivoted'!GW60</f>
        <v>106.8</v>
      </c>
      <c r="M16" s="287" t="n">
        <f>'Haver Pivoted'!GX60</f>
        <v>89.2</v>
      </c>
      <c r="N16" s="287" t="n">
        <f>'Haver Pivoted'!GY60</f>
        <v>72.3</v>
      </c>
      <c r="O16" s="287" t="n">
        <f>'Haver Pivoted'!GZ60</f>
        <v>43.5</v>
      </c>
      <c r="P16" s="287" t="n">
        <f>'Haver Pivoted'!HA60</f>
        <v>2.1</v>
      </c>
      <c r="Q16" s="287" t="n">
        <f>'Haver Pivoted'!HB60</f>
        <v>0.8</v>
      </c>
      <c r="R16" s="287" t="n">
        <f>'Haver Pivoted'!HC60</f>
        <v>0.4</v>
      </c>
      <c r="S16" s="292" t="n">
        <f>'Haver Pivoted'!HD60</f>
        <v>0.2</v>
      </c>
      <c r="T16" s="292" t="n">
        <f>'Haver Pivoted'!HE60</f>
        <v>0.1</v>
      </c>
      <c r="U16" s="292" t="n">
        <f>'Haver Pivoted'!HF60</f>
        <v>0</v>
      </c>
      <c r="V16" s="292" t="n">
        <f>'Haver Pivoted'!HG60</f>
        <v>0</v>
      </c>
      <c r="W16" s="292" t="n">
        <f>'Haver Pivoted'!HH60</f>
        <v>0</v>
      </c>
      <c r="X16" s="292" t="n">
        <f>'Haver Pivoted'!HI60</f>
        <v>0</v>
      </c>
      <c r="Y16" s="292" t="n">
        <f>'Haver Pivoted'!HJ60</f>
        <v>0</v>
      </c>
      <c r="Z16" s="292" t="n">
        <f>'Haver Pivoted'!HK60</f>
        <v>0</v>
      </c>
      <c r="AA16" s="293" t="n">
        <f t="shared" si="12"/>
        <v>0</v>
      </c>
      <c r="AB16" s="293" t="n">
        <f t="shared" si="12"/>
        <v>0</v>
      </c>
      <c r="AC16" s="293" t="n">
        <f t="shared" si="12"/>
        <v>0</v>
      </c>
      <c r="AD16" s="293" t="n">
        <f t="shared" si="12"/>
        <v>0</v>
      </c>
      <c r="AE16" s="293" t="n">
        <f t="shared" si="13"/>
        <v>0</v>
      </c>
      <c r="AF16" s="293" t="n">
        <f t="shared" si="14"/>
        <v>0</v>
      </c>
      <c r="AG16" s="293" t="n">
        <f t="shared" si="15"/>
        <v>0</v>
      </c>
      <c r="AH16" s="293" t="n">
        <f t="shared" si="15"/>
        <v>0</v>
      </c>
    </row>
    <row r="17" ht="18" customHeight="1">
      <c r="B17" s="303" t="s">
        <v>295</v>
      </c>
      <c r="C17" s="304" t="s">
        <v>296</v>
      </c>
      <c r="D17" s="329" t="n">
        <f>'Haver Pivoted'!GO61</f>
        <v>0</v>
      </c>
      <c r="E17" s="287" t="n">
        <f>'Haver Pivoted'!GP61</f>
        <v>0</v>
      </c>
      <c r="F17" s="287" t="n">
        <f>'Haver Pivoted'!GQ61</f>
        <v>0</v>
      </c>
      <c r="G17" s="287" t="n">
        <f>'Haver Pivoted'!GR61</f>
        <v>0</v>
      </c>
      <c r="H17" s="287" t="n">
        <f>'Haver Pivoted'!GS61</f>
        <v>0</v>
      </c>
      <c r="I17" s="287" t="n">
        <f>'Haver Pivoted'!GT61</f>
        <v>0</v>
      </c>
      <c r="J17" s="287" t="n">
        <f>'Haver Pivoted'!GU61</f>
        <v>698.9</v>
      </c>
      <c r="K17" s="287" t="n">
        <f>'Haver Pivoted'!GV61</f>
        <v>413.9</v>
      </c>
      <c r="L17" s="287" t="n">
        <f>'Haver Pivoted'!GW61</f>
        <v>14.7</v>
      </c>
      <c r="M17" s="287" t="n">
        <f>'Haver Pivoted'!GX61</f>
        <v>288.2</v>
      </c>
      <c r="N17" s="287" t="n">
        <f>'Haver Pivoted'!GY61</f>
        <v>233.3</v>
      </c>
      <c r="O17" s="287" t="n">
        <f>'Haver Pivoted'!GZ61</f>
        <v>110.5</v>
      </c>
      <c r="P17" s="287" t="n">
        <f>'Haver Pivoted'!HA61</f>
        <v>0</v>
      </c>
      <c r="Q17" s="287" t="n">
        <f>'Haver Pivoted'!HB61</f>
        <v>0</v>
      </c>
      <c r="R17" s="287" t="n">
        <f>'Haver Pivoted'!HC61</f>
        <v>0</v>
      </c>
      <c r="S17" s="292" t="n">
        <f>'Haver Pivoted'!HD61</f>
        <v>0</v>
      </c>
      <c r="T17" s="292" t="n">
        <f>'Haver Pivoted'!HE61</f>
        <v>0</v>
      </c>
      <c r="U17" s="292" t="n">
        <f>'Haver Pivoted'!HF61</f>
        <v>0</v>
      </c>
      <c r="V17" s="292" t="n">
        <f>'Haver Pivoted'!HG61</f>
        <v>0</v>
      </c>
      <c r="W17" s="292" t="n">
        <f>'Haver Pivoted'!HH61</f>
        <v>0</v>
      </c>
      <c r="X17" s="292" t="n">
        <f>'Haver Pivoted'!HI61</f>
        <v>0</v>
      </c>
      <c r="Y17" s="292" t="n">
        <f>'Haver Pivoted'!HJ61</f>
        <v>0</v>
      </c>
      <c r="Z17" s="292" t="n">
        <f>'Haver Pivoted'!HK61</f>
        <v>0</v>
      </c>
      <c r="AA17" s="293" t="n">
        <f t="shared" si="12"/>
        <v>0</v>
      </c>
      <c r="AB17" s="293" t="n">
        <f t="shared" si="12"/>
        <v>0</v>
      </c>
      <c r="AC17" s="293" t="n">
        <f t="shared" si="12"/>
        <v>0</v>
      </c>
      <c r="AD17" s="293" t="n">
        <f t="shared" si="12"/>
        <v>0</v>
      </c>
      <c r="AE17" s="293" t="n">
        <f t="shared" si="13"/>
        <v>0</v>
      </c>
      <c r="AF17" s="293" t="n">
        <f t="shared" si="14"/>
        <v>0</v>
      </c>
      <c r="AG17" s="293" t="n">
        <f t="shared" si="15"/>
        <v>0</v>
      </c>
      <c r="AH17" s="293" t="n">
        <f t="shared" si="15"/>
        <v>0</v>
      </c>
    </row>
    <row r="18">
      <c r="B18" s="305" t="s">
        <v>158</v>
      </c>
      <c r="C18" s="297" t="s">
        <v>297</v>
      </c>
      <c r="D18" s="330" t="n">
        <f>'Haver Pivoted'!GO64</f>
        <v>0</v>
      </c>
      <c r="E18" s="291" t="n">
        <f>'Haver Pivoted'!GP64</f>
        <v>0</v>
      </c>
      <c r="F18" s="291" t="n">
        <f>'Haver Pivoted'!GQ64</f>
        <v>0</v>
      </c>
      <c r="G18" s="291" t="n">
        <f>'Haver Pivoted'!GR64</f>
        <v>0</v>
      </c>
      <c r="H18" s="291" t="n">
        <f>'Haver Pivoted'!GS64</f>
        <v>0</v>
      </c>
      <c r="I18" s="291" t="n">
        <f>'Haver Pivoted'!GT64</f>
        <v>0</v>
      </c>
      <c r="J18" s="291" t="n">
        <f>'Haver Pivoted'!GU64</f>
        <v>0</v>
      </c>
      <c r="K18" s="291" t="n">
        <f>'Haver Pivoted'!GV64</f>
        <v>106.2</v>
      </c>
      <c r="L18" s="291" t="n">
        <f>'Haver Pivoted'!GW64</f>
        <v>35.9</v>
      </c>
      <c r="M18" s="291" t="n">
        <f>'Haver Pivoted'!GX64</f>
        <v>1.6</v>
      </c>
      <c r="N18" s="291" t="n">
        <f>'Haver Pivoted'!GY64</f>
        <v>0.6</v>
      </c>
      <c r="O18" s="291" t="n">
        <f>'Haver Pivoted'!GZ64</f>
        <v>0.1</v>
      </c>
      <c r="P18" s="291" t="n">
        <f>'Haver Pivoted'!HA64</f>
        <v>0</v>
      </c>
      <c r="Q18" s="287" t="n">
        <f>'Haver Pivoted'!HB64</f>
        <v>0</v>
      </c>
      <c r="R18" s="287" t="n">
        <f>'Haver Pivoted'!HC64</f>
        <v>0</v>
      </c>
      <c r="S18" s="292" t="n">
        <f>'Haver Pivoted'!HD64</f>
        <v>0</v>
      </c>
      <c r="T18" s="292" t="n">
        <f>'Haver Pivoted'!HE64</f>
        <v>0</v>
      </c>
      <c r="U18" s="292" t="n">
        <f>'Haver Pivoted'!HF64</f>
        <v>0</v>
      </c>
      <c r="V18" s="292" t="n">
        <f>'Haver Pivoted'!HG64</f>
        <v>0</v>
      </c>
      <c r="W18" s="292" t="n">
        <f>'Haver Pivoted'!HH64</f>
        <v>0</v>
      </c>
      <c r="X18" s="292" t="n">
        <f>'Haver Pivoted'!HI64</f>
        <v>0</v>
      </c>
      <c r="Y18" s="292" t="n">
        <f>'Haver Pivoted'!HJ64</f>
        <v>0</v>
      </c>
      <c r="Z18" s="292" t="n">
        <f>'Haver Pivoted'!HK64</f>
        <v>0</v>
      </c>
      <c r="AA18" s="293"/>
      <c r="AB18" s="293"/>
      <c r="AC18" s="293"/>
      <c r="AD18" s="293"/>
      <c r="AE18" s="293"/>
      <c r="AF18" s="293"/>
      <c r="AG18" s="293"/>
      <c r="AH18" s="293"/>
    </row>
    <row r="19" ht="14.9" customHeight="1">
      <c r="B19" s="324" t="s">
        <v>298</v>
      </c>
      <c r="C19" s="311"/>
      <c r="D19" s="318" t="n">
        <f t="shared" ref="D19:N19" si="16">D11-D20</f>
        <v>0</v>
      </c>
      <c r="E19" s="285" t="n">
        <f t="shared" si="16"/>
        <v>0</v>
      </c>
      <c r="F19" s="285" t="n">
        <f t="shared" si="16"/>
        <v>0</v>
      </c>
      <c r="G19" s="285" t="n">
        <f t="shared" si="16"/>
        <v>0</v>
      </c>
      <c r="H19" s="285" t="n">
        <f t="shared" si="16"/>
        <v>0</v>
      </c>
      <c r="I19" s="285" t="n">
        <f t="shared" si="16"/>
        <v>0</v>
      </c>
      <c r="J19" s="285" t="n">
        <f t="shared" si="16"/>
        <v>779.80000000000007</v>
      </c>
      <c r="K19" s="285" t="n">
        <f t="shared" si="16"/>
        <v>586.29999999999995</v>
      </c>
      <c r="L19" s="285" t="n">
        <f t="shared" si="16"/>
        <v>229.4</v>
      </c>
      <c r="M19" s="285" t="n">
        <f t="shared" si="16"/>
        <v>523.1</v>
      </c>
      <c r="N19" s="286" t="n">
        <f t="shared" si="16"/>
        <v>405.3</v>
      </c>
      <c r="O19" s="286" t="n">
        <f>O11-O20</f>
        <v>209.20000000000002</v>
      </c>
      <c r="P19" s="286" t="n">
        <f t="shared" ref="P19" si="17">P11-P20</f>
        <v>6.1000000000000014</v>
      </c>
      <c r="Q19" s="286" t="n">
        <f>Q11-Q20</f>
        <v>0.19999999999999929</v>
      </c>
      <c r="R19" s="286" t="n">
        <f>R11-R20</f>
        <v>1.1000000000000014</v>
      </c>
      <c r="S19" s="286" t="n">
        <f>S11-S20</f>
        <v>0.5</v>
      </c>
      <c r="T19" s="286" t="n">
        <f>T11-T20</f>
        <v>0.30000000000000071</v>
      </c>
      <c r="U19" s="286" t="n">
        <f>U11-U20</f>
        <v>0</v>
      </c>
      <c r="V19" s="285" t="n">
        <v>0</v>
      </c>
      <c r="W19" s="285" t="n">
        <v>0</v>
      </c>
      <c r="X19" s="294" t="n">
        <f>X11-X20</f>
        <v>0.28514285714285847</v>
      </c>
      <c r="Y19" s="294" t="n">
        <f t="shared" ref="Y19:AC19" si="18">Y11-Y20</f>
        <v>-0.55714285714286049</v>
      </c>
      <c r="Z19" s="294" t="n">
        <f t="shared" si="18"/>
        <v>0.19999999999999929</v>
      </c>
      <c r="AA19" s="294" t="n">
        <f t="shared" si="18"/>
        <v>0</v>
      </c>
      <c r="AB19" s="294" t="n">
        <f t="shared" si="18"/>
        <v>0</v>
      </c>
      <c r="AC19" s="294" t="n">
        <f t="shared" si="18"/>
        <v>0</v>
      </c>
      <c r="AD19" s="294" t="n">
        <f>AD11-AD20</f>
        <v>0</v>
      </c>
      <c r="AE19" s="294" t="n">
        <f t="shared" ref="AE19:AF19" si="19">AE11-AE20</f>
        <v>0</v>
      </c>
      <c r="AF19" s="294" t="n">
        <f t="shared" si="19"/>
        <v>0</v>
      </c>
      <c r="AG19" s="294" t="n">
        <f>AG11-AG20</f>
        <v>0</v>
      </c>
      <c r="AH19" s="294" t="n">
        <f>AH11-AH20</f>
        <v>0</v>
      </c>
    </row>
    <row r="20" ht="14.9" customHeight="1">
      <c r="B20" s="324" t="s">
        <v>299</v>
      </c>
      <c r="C20" s="311"/>
      <c r="D20" s="318" t="n">
        <f t="shared" ref="D20:H20" si="20">D11</f>
        <v>27.1</v>
      </c>
      <c r="E20" s="285" t="n">
        <f t="shared" si="20"/>
        <v>30.5</v>
      </c>
      <c r="F20" s="285" t="n">
        <f t="shared" si="20"/>
        <v>27.7</v>
      </c>
      <c r="G20" s="285" t="n">
        <f t="shared" si="20"/>
        <v>25</v>
      </c>
      <c r="H20" s="285" t="n">
        <f t="shared" si="20"/>
        <v>26.7</v>
      </c>
      <c r="I20" s="285" t="n">
        <f>I11</f>
        <v>40.9</v>
      </c>
      <c r="J20" s="285" t="n">
        <f>J11-J13-J12</f>
        <v>171.59999999999994</v>
      </c>
      <c r="K20" s="285" t="n">
        <f>K11-K13-K12</f>
        <v>215.99999999999994</v>
      </c>
      <c r="L20" s="285" t="n">
        <f>L11-L13-L12</f>
        <v>94.1</v>
      </c>
      <c r="M20" s="285" t="n">
        <f>M11-M13-M12</f>
        <v>60.399999999999977</v>
      </c>
      <c r="N20" s="286" t="n">
        <f t="shared" ref="N20:U20" si="21">N11-N12-N13</f>
        <v>46.5</v>
      </c>
      <c r="O20" s="286" t="n">
        <f t="shared" si="21"/>
        <v>17.599999999999994</v>
      </c>
      <c r="P20" s="286" t="n">
        <f t="shared" si="21"/>
        <v>27.799999999999997</v>
      </c>
      <c r="Q20" s="287" t="n">
        <f t="shared" si="21"/>
        <v>26</v>
      </c>
      <c r="R20" s="287" t="n">
        <f t="shared" si="21"/>
        <v>20.299999999999997</v>
      </c>
      <c r="S20" s="287" t="n">
        <f t="shared" si="21"/>
        <v>19.100000000000001</v>
      </c>
      <c r="T20" s="287" t="n">
        <f t="shared" si="21"/>
        <v>21.8</v>
      </c>
      <c r="U20" s="287" t="n">
        <f t="shared" si="21"/>
        <v>22</v>
      </c>
      <c r="V20" s="285" t="n">
        <f>U20*V23/U23</f>
        <v>22.62857142857143</v>
      </c>
      <c r="W20" s="285" t="n">
        <f>V20*W23/V23</f>
        <v>22.62857142857143</v>
      </c>
      <c r="X20" s="294" t="n">
        <f t="shared" ref="X20:Y20" si="22">W20*X23/W23</f>
        <v>22.414857142857141</v>
      </c>
      <c r="Y20" s="294" t="n">
        <f t="shared" si="22"/>
        <v>23.25714285714286</v>
      </c>
      <c r="Z20" s="294" t="n">
        <v>22.5</v>
      </c>
      <c r="AA20" s="294" t="n">
        <v>22.5</v>
      </c>
      <c r="AB20" s="294" t="n">
        <v>22.5</v>
      </c>
      <c r="AC20" s="294" t="n">
        <v>22.5</v>
      </c>
      <c r="AD20" s="294" t="n">
        <v>22.5</v>
      </c>
      <c r="AE20" s="294" t="n">
        <v>22.5</v>
      </c>
      <c r="AF20" s="294" t="n">
        <v>22.5</v>
      </c>
      <c r="AG20" s="294" t="n">
        <v>22.5</v>
      </c>
      <c r="AH20" s="294" t="n">
        <v>22.5</v>
      </c>
      <c r="AI20" s="319" t="s">
        <v>300</v>
      </c>
    </row>
    <row r="21">
      <c r="B21" s="305"/>
      <c r="C21" s="306"/>
      <c r="D21" s="329"/>
      <c r="E21" s="287"/>
      <c r="F21" s="287"/>
      <c r="G21" s="287"/>
      <c r="H21" s="283"/>
      <c r="I21" s="283"/>
      <c r="J21" s="283"/>
      <c r="K21" s="283"/>
      <c r="L21" s="283"/>
      <c r="M21" s="283"/>
      <c r="N21" s="283"/>
      <c r="O21" s="283"/>
      <c r="P21" s="283"/>
      <c r="Q21" s="283"/>
      <c r="R21" s="283"/>
      <c r="S21" s="283"/>
      <c r="T21" s="308"/>
      <c r="U21" s="283"/>
      <c r="V21" s="283"/>
      <c r="W21" s="293"/>
      <c r="X21" s="293"/>
      <c r="Y21" s="293"/>
      <c r="Z21" s="293"/>
      <c r="AA21" s="293"/>
      <c r="AB21" s="293"/>
      <c r="AC21" s="293"/>
      <c r="AD21" s="293"/>
      <c r="AE21" s="293"/>
      <c r="AF21" s="293"/>
      <c r="AG21" s="289"/>
      <c r="AH21" s="289"/>
    </row>
    <row r="22">
      <c r="B22" s="345" t="s">
        <v>1921</v>
      </c>
      <c r="C22" s="306"/>
      <c r="D22" s="287"/>
      <c r="E22" s="287"/>
      <c r="F22" s="287"/>
      <c r="G22" s="287"/>
      <c r="H22" s="283"/>
      <c r="I22" s="283"/>
      <c r="J22" s="283"/>
      <c r="K22" s="283"/>
      <c r="L22" s="283"/>
      <c r="M22" s="283" t="n">
        <v>6.2329999999999997</v>
      </c>
      <c r="N22" s="283" t="n">
        <v>5.9329999999999998</v>
      </c>
      <c r="O22" s="283" t="n">
        <v>5.0659999999999998</v>
      </c>
      <c r="P22" s="283" t="n">
        <v>4.1660000000000004</v>
      </c>
      <c r="Q22" s="283" t="n">
        <v>3.8</v>
      </c>
      <c r="R22" s="283" t="n">
        <v>3.633</v>
      </c>
      <c r="S22" s="283" t="n">
        <v>3.5329999999999999</v>
      </c>
      <c r="T22" s="308" t="n">
        <v>3.5659999999999998</v>
      </c>
      <c r="U22" s="280" t="n">
        <v>3.5</v>
      </c>
      <c r="V22" s="280" t="n">
        <v>3.5659999999999998</v>
      </c>
      <c r="W22" s="279" t="n">
        <v>3.7</v>
      </c>
      <c r="X22" s="279" t="n">
        <v>3.7330000000000001</v>
      </c>
      <c r="Y22" s="279" t="n">
        <v>3.8</v>
      </c>
      <c r="Z22" s="279" t="n">
        <v>3.8809999999999998</v>
      </c>
      <c r="AA22" s="279" t="n">
        <v>3.915</v>
      </c>
      <c r="AB22" s="279" t="n">
        <v>3.9319999999999999</v>
      </c>
      <c r="AC22" s="279" t="n">
        <v>3.9569999999999999</v>
      </c>
      <c r="AD22" s="279" t="n">
        <v>3.9569999999999999</v>
      </c>
      <c r="AE22" s="279" t="n">
        <v>3.9750000000000001</v>
      </c>
      <c r="AF22" s="279" t="n">
        <v>4.0039999999999996</v>
      </c>
      <c r="AG22" s="290" t="n">
        <v>4.0780000000000003</v>
      </c>
      <c r="AH22" s="290"/>
      <c r="AI22" t="n">
        <v>4.1369999999999996</v>
      </c>
      <c r="AJ22" t="n">
        <v>4.1870000000000003</v>
      </c>
      <c r="AK22" t="n">
        <v>4.2279999999999998</v>
      </c>
      <c r="AL22" t="n">
        <v>4.2699999999999996</v>
      </c>
      <c r="AM22" t="n">
        <v>4.3049999999999997</v>
      </c>
      <c r="AN22" t="n">
        <v>4.34</v>
      </c>
      <c r="AO22" t="n">
        <v>4.3719999999999999</v>
      </c>
      <c r="AP22" t="n">
        <v>4.399</v>
      </c>
      <c r="AQ22" t="n">
        <v>4.4189999999999996</v>
      </c>
      <c r="AR22" t="n">
        <v>4.4359999999999999</v>
      </c>
      <c r="AS22" t="n">
        <v>4.4489999999999998</v>
      </c>
      <c r="AT22" t="n">
        <v>4.4630000000000001</v>
      </c>
      <c r="AU22" t="n">
        <v>4.4710000000000001</v>
      </c>
      <c r="AV22" t="n">
        <v>4.476</v>
      </c>
      <c r="AW22" t="n">
        <v>4.4790000000000001</v>
      </c>
      <c r="AX22" t="n">
        <v>4.484</v>
      </c>
      <c r="AY22" t="n">
        <v>4.4850000000000003</v>
      </c>
      <c r="AZ22" t="n">
        <v>4.484</v>
      </c>
      <c r="BA22" t="n">
        <v>4.4829999999999997</v>
      </c>
      <c r="BB22" t="n">
        <v>4.4829999999999997</v>
      </c>
      <c r="BC22" t="n">
        <v>4.4809999999999999</v>
      </c>
      <c r="BD22" t="n">
        <v>4.4779999999999998</v>
      </c>
      <c r="BE22" t="n">
        <v>4.4749999999999996</v>
      </c>
      <c r="BF22" t="n">
        <v>4.4749999999999996</v>
      </c>
      <c r="BG22" t="n">
        <v>4.4710000000000001</v>
      </c>
      <c r="BH22" t="n">
        <v>4.4669999999999996</v>
      </c>
      <c r="BI22" t="n">
        <v>4.4619999999999997</v>
      </c>
      <c r="BJ22" t="n">
        <v>4.4589999999999996</v>
      </c>
      <c r="BK22" t="n">
        <v>4.4539999999999997</v>
      </c>
      <c r="BL22" t="n">
        <v>4.4480000000000004</v>
      </c>
      <c r="BM22" t="n">
        <v>4.4429999999999996</v>
      </c>
      <c r="BN22" t="n">
        <v>4.4379999999999997</v>
      </c>
      <c r="BO22" t="n">
        <v>4.4329999999999998</v>
      </c>
      <c r="BP22" t="n">
        <v>4.4279999999999999</v>
      </c>
      <c r="BQ22" t="n">
        <v>4.4219999999999997</v>
      </c>
    </row>
    <row r="23">
      <c r="B23" s="305" t="s">
        <v>1831</v>
      </c>
      <c r="C23" s="297"/>
      <c r="D23" s="330"/>
      <c r="E23" s="291"/>
      <c r="F23" s="291"/>
      <c r="G23" s="291"/>
      <c r="H23" s="283"/>
      <c r="I23" s="283"/>
      <c r="J23" s="283"/>
      <c r="K23" s="283"/>
      <c r="L23" s="283"/>
      <c r="M23" s="283" t="n">
        <f t="shared" ref="M23:U23" si="23">GETPIVOTDATA("Monthly UR",$E$29,"Quarters",M24,"Years",M25)</f>
        <v>6.166666666666667</v>
      </c>
      <c r="N23" s="283" t="n">
        <f t="shared" si="23"/>
        <v>5.7666666666666657</v>
      </c>
      <c r="O23" s="283" t="n">
        <f t="shared" si="23"/>
        <v>5.1333333333333337</v>
      </c>
      <c r="P23" s="283" t="n">
        <f t="shared" si="23"/>
        <v>4.2333333333333334</v>
      </c>
      <c r="Q23" s="283" t="n">
        <f t="shared" si="23"/>
        <v>3.8000000000000003</v>
      </c>
      <c r="R23" s="283" t="n">
        <f t="shared" si="23"/>
        <v>3.6</v>
      </c>
      <c r="S23" s="283" t="n">
        <f t="shared" si="23"/>
        <v>3.5666666666666664</v>
      </c>
      <c r="T23" s="283" t="n">
        <f t="shared" si="23"/>
        <v>3.6</v>
      </c>
      <c r="U23" s="284" t="n">
        <f t="shared" si="23"/>
        <v>3.5</v>
      </c>
      <c r="V23" s="298" t="n">
        <v>3.6</v>
      </c>
      <c r="W23" s="298" t="n">
        <v>3.6</v>
      </c>
      <c r="X23" s="298" t="n">
        <f>V22</f>
        <v>3.5659999999999998</v>
      </c>
      <c r="Y23" s="298" t="n">
        <f t="shared" ref="Y23:AC23" si="24">W22</f>
        <v>3.7</v>
      </c>
      <c r="Z23" s="298" t="n">
        <f t="shared" si="24"/>
        <v>3.7330000000000001</v>
      </c>
      <c r="AA23" s="298" t="n">
        <f t="shared" si="24"/>
        <v>3.8</v>
      </c>
      <c r="AB23" s="298" t="n">
        <f t="shared" si="24"/>
        <v>3.8809999999999998</v>
      </c>
      <c r="AC23" s="298" t="n">
        <f t="shared" si="24"/>
        <v>3.915</v>
      </c>
      <c r="AD23" s="298" t="n">
        <f>AB22</f>
        <v>3.9319999999999999</v>
      </c>
      <c r="AE23" s="298" t="n">
        <f>AE22</f>
        <v>3.9750000000000001</v>
      </c>
      <c r="AF23" s="298" t="n">
        <f>AF22</f>
        <v>4.0039999999999996</v>
      </c>
      <c r="AG23" s="298" t="n">
        <f>AG22</f>
        <v>4.0780000000000003</v>
      </c>
      <c r="AH23" s="298"/>
      <c r="AI23" s="280" t="s">
        <v>301</v>
      </c>
    </row>
    <row r="24" ht="15.75" customHeight="1">
      <c r="B24" s="299" t="s">
        <v>1823</v>
      </c>
      <c r="C24" s="300"/>
      <c r="D24" s="301"/>
      <c r="E24" s="301"/>
      <c r="F24" s="301"/>
      <c r="G24" s="301"/>
      <c r="H24" s="301"/>
      <c r="I24" s="301"/>
      <c r="J24" s="301"/>
      <c r="K24" s="301"/>
      <c r="L24" s="301"/>
      <c r="M24" s="301" t="n">
        <v>1</v>
      </c>
      <c r="N24" s="301" t="n">
        <v>2</v>
      </c>
      <c r="O24" s="301" t="n">
        <v>3</v>
      </c>
      <c r="P24" s="301" t="n">
        <v>4</v>
      </c>
      <c r="Q24" s="301" t="n">
        <v>1</v>
      </c>
      <c r="R24" s="301" t="n">
        <v>2</v>
      </c>
      <c r="S24" s="301" t="n">
        <v>3</v>
      </c>
      <c r="T24" s="301" t="n">
        <v>4</v>
      </c>
      <c r="U24" s="301" t="n">
        <v>1</v>
      </c>
      <c r="V24" s="301" t="n">
        <v>2</v>
      </c>
      <c r="W24" s="301" t="n">
        <v>3</v>
      </c>
      <c r="X24" s="301" t="n">
        <v>4</v>
      </c>
      <c r="Y24" s="301" t="n">
        <v>1</v>
      </c>
      <c r="Z24" s="301" t="n">
        <v>2</v>
      </c>
      <c r="AA24" s="301" t="n">
        <v>3</v>
      </c>
      <c r="AB24" s="301" t="n">
        <v>4</v>
      </c>
      <c r="AC24" s="301" t="n">
        <v>1</v>
      </c>
      <c r="AD24" s="301" t="n">
        <v>2</v>
      </c>
      <c r="AE24" s="301" t="n">
        <v>3</v>
      </c>
      <c r="AF24" s="301" t="n">
        <v>4</v>
      </c>
      <c r="AG24" s="302" t="n">
        <v>1</v>
      </c>
      <c r="AH24" s="346"/>
      <c r="AI24" s="291"/>
      <c r="AJ24" s="291"/>
      <c r="AK24" s="291"/>
    </row>
    <row r="25">
      <c r="B25" s="312" t="s">
        <v>1824</v>
      </c>
      <c r="C25" s="313"/>
      <c r="D25" s="314"/>
      <c r="E25" s="314"/>
      <c r="F25" s="314"/>
      <c r="G25" s="314"/>
      <c r="H25" s="314"/>
      <c r="I25" s="314"/>
      <c r="J25" s="314"/>
      <c r="K25" s="314"/>
      <c r="L25" s="314"/>
      <c r="M25" s="314" t="n">
        <v>2021</v>
      </c>
      <c r="N25" s="314" t="n">
        <v>2021</v>
      </c>
      <c r="O25" s="314" t="n">
        <v>2021</v>
      </c>
      <c r="P25" s="314" t="n">
        <v>2021</v>
      </c>
      <c r="Q25" s="314" t="n">
        <v>2022</v>
      </c>
      <c r="R25" s="314" t="n">
        <v>2022</v>
      </c>
      <c r="S25" s="314" t="n">
        <v>2022</v>
      </c>
      <c r="T25" s="314" t="n">
        <v>2022</v>
      </c>
      <c r="U25" s="314" t="n">
        <v>2023</v>
      </c>
      <c r="V25" s="314" t="n">
        <v>2023</v>
      </c>
      <c r="W25" s="314" t="n">
        <v>2023</v>
      </c>
      <c r="X25" s="314" t="n">
        <v>2023</v>
      </c>
      <c r="Y25" s="314" t="n">
        <v>2024</v>
      </c>
      <c r="Z25" s="314" t="n">
        <v>2024</v>
      </c>
      <c r="AA25" s="314" t="n">
        <v>2024</v>
      </c>
      <c r="AB25" s="314" t="n">
        <v>2024</v>
      </c>
      <c r="AC25" s="314" t="n">
        <v>2025</v>
      </c>
      <c r="AD25" s="314" t="n">
        <v>2025</v>
      </c>
      <c r="AE25" s="314" t="n">
        <v>2025</v>
      </c>
      <c r="AF25" s="314" t="n">
        <v>2025</v>
      </c>
      <c r="AG25" s="315" t="n">
        <v>2026</v>
      </c>
      <c r="AH25" s="346"/>
      <c r="AI25" s="280"/>
    </row>
    <row r="26">
      <c r="B26" s="85"/>
      <c r="C26" s="297"/>
      <c r="D26" s="291"/>
      <c r="E26" s="291"/>
      <c r="F26" s="291"/>
      <c r="G26" s="291"/>
      <c r="H26" s="291"/>
      <c r="I26" s="291"/>
      <c r="J26" s="291"/>
      <c r="K26" s="291"/>
      <c r="L26" s="291"/>
      <c r="M26" s="291"/>
      <c r="N26" s="291"/>
      <c r="O26" s="291"/>
      <c r="P26" s="291"/>
      <c r="Q26" s="291"/>
      <c r="R26" s="291"/>
      <c r="S26" s="291"/>
      <c r="T26" s="291"/>
      <c r="U26" s="291"/>
      <c r="V26" s="291"/>
      <c r="W26" s="291"/>
      <c r="X26" s="291"/>
      <c r="Y26" s="291"/>
      <c r="Z26" s="291"/>
      <c r="AA26" s="291"/>
      <c r="AB26" s="291"/>
      <c r="AC26" s="291"/>
      <c r="AD26" s="291"/>
      <c r="AE26" s="291"/>
      <c r="AF26" s="291"/>
      <c r="AG26" s="291"/>
      <c r="AH26" s="291"/>
      <c r="AI26" s="280"/>
    </row>
    <row r="27">
      <c r="C27" s="297"/>
      <c r="D27" s="291"/>
      <c r="E27" s="291"/>
      <c r="F27" s="291"/>
      <c r="G27" s="291"/>
      <c r="H27" s="283"/>
      <c r="I27" s="283"/>
      <c r="J27" s="283"/>
      <c r="K27" s="283"/>
      <c r="L27" s="283"/>
      <c r="M27" s="283"/>
      <c r="N27" s="283"/>
      <c r="O27" s="283"/>
      <c r="P27" s="283"/>
      <c r="AI27" s="280"/>
    </row>
    <row r="28">
      <c r="M28" s="297"/>
      <c r="N28" s="297"/>
      <c r="O28" s="297"/>
    </row>
    <row r="29" ht="45" customHeight="1">
      <c r="B29" s="336" t="s">
        <v>302</v>
      </c>
      <c r="C29" s="337" t="s">
        <v>303</v>
      </c>
      <c r="D29" s="334"/>
      <c r="E29" s="34" t="s">
        <v>1813</v>
      </c>
      <c r="F29" s="34" t="s">
        <v>1818</v>
      </c>
      <c r="G29" s="34"/>
      <c r="H29" s="34"/>
      <c r="I29" s="34"/>
      <c r="J29" s="34"/>
      <c r="O29" s="338"/>
    </row>
    <row r="30">
      <c r="B30" s="331" t="n">
        <v>44197</v>
      </c>
      <c r="C30" s="281" t="n">
        <v>6.3</v>
      </c>
      <c r="D30" s="335"/>
      <c r="E30" s="71" t="s">
        <v>1748</v>
      </c>
      <c r="F30" s="85"/>
      <c r="G30" s="85"/>
      <c r="H30" s="103"/>
      <c r="I30" s="85"/>
      <c r="J30" s="103"/>
      <c r="O30" s="297"/>
    </row>
    <row r="31">
      <c r="B31" s="331" t="n">
        <v>44228</v>
      </c>
      <c r="C31" s="281" t="n">
        <v>6.2</v>
      </c>
      <c r="D31" s="335"/>
      <c r="E31" s="184" t="s">
        <v>1814</v>
      </c>
      <c r="F31" s="197" t="n">
        <v>6.166666666666667</v>
      </c>
      <c r="G31" s="85"/>
      <c r="H31" s="103"/>
      <c r="I31" s="85"/>
      <c r="J31" s="103"/>
      <c r="O31" s="297"/>
    </row>
    <row r="32">
      <c r="B32" s="331" t="n">
        <v>44256</v>
      </c>
      <c r="C32" s="281" t="n">
        <v>6</v>
      </c>
      <c r="D32" s="335"/>
      <c r="E32" s="184" t="s">
        <v>1815</v>
      </c>
      <c r="F32" s="197" t="n">
        <v>5.7666666666666657</v>
      </c>
      <c r="G32" s="85"/>
      <c r="H32" s="103"/>
      <c r="I32" s="85"/>
      <c r="J32" s="103"/>
      <c r="O32" s="297"/>
    </row>
    <row r="33">
      <c r="B33" s="331" t="n">
        <v>44287</v>
      </c>
      <c r="C33" s="281" t="n">
        <v>6.1</v>
      </c>
      <c r="D33" s="335"/>
      <c r="E33" s="184" t="s">
        <v>1816</v>
      </c>
      <c r="F33" s="197" t="n">
        <v>5.1333333333333337</v>
      </c>
      <c r="G33" s="85"/>
      <c r="H33" s="103"/>
      <c r="I33" s="85"/>
      <c r="J33" s="103"/>
      <c r="O33" s="297"/>
    </row>
    <row r="34">
      <c r="A34" s="85"/>
      <c r="B34" s="331" t="n">
        <v>44317</v>
      </c>
      <c r="C34" s="281" t="n">
        <v>5.8</v>
      </c>
      <c r="D34" s="335"/>
      <c r="E34" s="184" t="s">
        <v>1817</v>
      </c>
      <c r="F34" s="197" t="n">
        <v>4.2333333333333334</v>
      </c>
      <c r="G34" s="85"/>
      <c r="H34" s="103"/>
      <c r="I34" s="85"/>
      <c r="J34" s="103"/>
      <c r="O34" s="297"/>
    </row>
    <row r="35">
      <c r="A35" s="85"/>
      <c r="B35" s="331" t="n">
        <v>44348</v>
      </c>
      <c r="C35" s="281" t="n">
        <v>5.4</v>
      </c>
      <c r="D35" s="335"/>
      <c r="E35" s="71" t="s">
        <v>1737</v>
      </c>
      <c r="F35" s="197"/>
      <c r="G35" s="85"/>
      <c r="H35" s="103"/>
      <c r="I35" s="85"/>
      <c r="J35" s="103"/>
      <c r="O35" s="297"/>
    </row>
    <row r="36">
      <c r="A36" s="85"/>
      <c r="B36" s="331" t="n">
        <v>44378</v>
      </c>
      <c r="C36" s="281" t="n">
        <v>5.4</v>
      </c>
      <c r="D36" s="335"/>
      <c r="E36" s="184" t="s">
        <v>1814</v>
      </c>
      <c r="F36" s="197" t="n">
        <v>3.8000000000000003</v>
      </c>
      <c r="G36" s="85"/>
      <c r="H36" s="103"/>
      <c r="I36" s="85"/>
      <c r="J36" s="103"/>
      <c r="O36" s="297"/>
    </row>
    <row r="37">
      <c r="A37" s="85"/>
      <c r="B37" s="331" t="n">
        <v>44409</v>
      </c>
      <c r="C37" s="281" t="n">
        <v>5.2</v>
      </c>
      <c r="D37" s="335"/>
      <c r="E37" s="184" t="s">
        <v>1815</v>
      </c>
      <c r="F37" s="197" t="n">
        <v>3.6</v>
      </c>
      <c r="G37" s="85"/>
      <c r="H37" s="103"/>
      <c r="I37" s="85"/>
      <c r="J37" s="103"/>
      <c r="O37" s="297"/>
    </row>
    <row r="38">
      <c r="A38" s="85"/>
      <c r="B38" s="331" t="n">
        <v>44440</v>
      </c>
      <c r="C38" s="281" t="n">
        <v>4.8</v>
      </c>
      <c r="D38" s="335"/>
      <c r="E38" s="184" t="s">
        <v>1816</v>
      </c>
      <c r="F38" s="197" t="n">
        <v>3.5666666666666664</v>
      </c>
      <c r="G38" s="85"/>
      <c r="H38" s="103"/>
      <c r="I38" s="85"/>
      <c r="J38" s="103"/>
      <c r="O38" s="297"/>
    </row>
    <row r="39">
      <c r="A39" s="85"/>
      <c r="B39" s="331" t="n">
        <v>44470</v>
      </c>
      <c r="C39" s="281" t="n">
        <v>4.5999999999999996</v>
      </c>
      <c r="D39" s="335"/>
      <c r="E39" s="184" t="s">
        <v>1817</v>
      </c>
      <c r="F39" s="197" t="n">
        <v>3.6</v>
      </c>
      <c r="G39" s="85"/>
      <c r="H39" s="103"/>
      <c r="I39" s="85"/>
      <c r="J39" s="103"/>
      <c r="O39" s="297"/>
    </row>
    <row r="40">
      <c r="A40" s="85"/>
      <c r="B40" s="331" t="n">
        <v>44501</v>
      </c>
      <c r="C40" s="281" t="n">
        <v>4.2</v>
      </c>
      <c r="D40" s="335"/>
      <c r="E40" s="71" t="s">
        <v>1819</v>
      </c>
      <c r="F40" s="197"/>
      <c r="G40" s="85"/>
      <c r="H40" s="103"/>
      <c r="I40" s="85"/>
      <c r="J40" s="103"/>
      <c r="O40" s="297"/>
      <c r="AI40" s="297"/>
      <c r="AJ40" s="297"/>
      <c r="AK40" s="297"/>
      <c r="AL40" s="297"/>
      <c r="AM40" s="297"/>
      <c r="AN40" s="297"/>
      <c r="AO40" s="297"/>
      <c r="AP40" s="297"/>
      <c r="AQ40" s="297"/>
    </row>
    <row r="41">
      <c r="A41" s="85"/>
      <c r="B41" s="331" t="n">
        <v>44531</v>
      </c>
      <c r="C41" s="281" t="n">
        <v>3.9</v>
      </c>
      <c r="D41" s="335"/>
      <c r="E41" s="184" t="s">
        <v>1814</v>
      </c>
      <c r="F41" s="197" t="n">
        <v>3.5</v>
      </c>
      <c r="G41" s="85"/>
      <c r="H41" s="103"/>
      <c r="I41" s="85"/>
      <c r="J41" s="103"/>
      <c r="O41" s="297"/>
      <c r="AI41" s="297"/>
      <c r="AJ41" s="297"/>
      <c r="AK41" s="297"/>
      <c r="AL41" s="297"/>
      <c r="AM41" s="297"/>
      <c r="AN41" s="297"/>
      <c r="AO41" s="297"/>
      <c r="AP41" s="297"/>
      <c r="AQ41" s="297"/>
    </row>
    <row r="42">
      <c r="A42" s="85"/>
      <c r="B42" s="331" t="n">
        <v>44562</v>
      </c>
      <c r="C42" s="281" t="n">
        <v>4</v>
      </c>
      <c r="D42" s="85"/>
      <c r="E42" s="184" t="s">
        <v>1815</v>
      </c>
      <c r="F42" s="197"/>
      <c r="G42" s="85"/>
      <c r="H42" s="103"/>
      <c r="I42" s="85"/>
      <c r="J42" s="103"/>
      <c r="O42" s="297"/>
    </row>
    <row r="43">
      <c r="A43" s="85"/>
      <c r="B43" s="331" t="n">
        <v>44593</v>
      </c>
      <c r="C43" s="281" t="n">
        <v>3.8</v>
      </c>
      <c r="D43" s="85"/>
      <c r="E43" s="184" t="s">
        <v>1816</v>
      </c>
      <c r="F43" s="197"/>
      <c r="G43" s="85"/>
      <c r="H43" s="103"/>
      <c r="I43" s="85"/>
      <c r="J43" s="103"/>
    </row>
    <row r="44">
      <c r="A44" s="85"/>
      <c r="B44" s="331" t="n">
        <v>44621</v>
      </c>
      <c r="C44" s="281" t="n">
        <v>3.6</v>
      </c>
      <c r="D44" s="85"/>
      <c r="E44" s="184" t="s">
        <v>1817</v>
      </c>
      <c r="F44" s="197"/>
      <c r="G44" s="85"/>
      <c r="H44" s="103"/>
      <c r="I44" s="85"/>
      <c r="J44" s="103"/>
    </row>
    <row r="45">
      <c r="A45" s="85"/>
      <c r="B45" s="331" t="n">
        <v>44652</v>
      </c>
      <c r="C45" s="281" t="n">
        <v>3.6</v>
      </c>
      <c r="D45" s="85"/>
      <c r="E45" s="71" t="s">
        <v>1820</v>
      </c>
      <c r="F45" s="197"/>
      <c r="G45" s="85"/>
      <c r="H45" s="103"/>
      <c r="I45" s="85"/>
      <c r="J45" s="103"/>
    </row>
    <row r="46">
      <c r="A46" s="85"/>
      <c r="B46" s="331" t="n">
        <v>44682</v>
      </c>
      <c r="C46" s="281" t="n">
        <v>3.6</v>
      </c>
      <c r="D46" s="85"/>
      <c r="E46" s="184" t="s">
        <v>1814</v>
      </c>
      <c r="F46" s="197"/>
      <c r="G46" s="85"/>
      <c r="H46" s="103"/>
      <c r="I46" s="85"/>
      <c r="J46" s="103"/>
    </row>
    <row r="47">
      <c r="A47" s="85"/>
      <c r="B47" s="331" t="n">
        <v>44713</v>
      </c>
      <c r="C47" s="281" t="n">
        <v>3.6</v>
      </c>
      <c r="D47" s="85"/>
      <c r="E47" s="184" t="s">
        <v>1815</v>
      </c>
      <c r="F47" s="197"/>
      <c r="G47" s="85"/>
      <c r="H47" s="103"/>
      <c r="I47" s="85"/>
      <c r="J47" s="103"/>
    </row>
    <row r="48">
      <c r="A48" s="85"/>
      <c r="B48" s="331" t="n">
        <v>44743</v>
      </c>
      <c r="C48" s="281" t="n">
        <v>3.5</v>
      </c>
      <c r="D48" s="85"/>
      <c r="E48" s="184" t="s">
        <v>1816</v>
      </c>
      <c r="F48" s="197"/>
      <c r="G48" s="85"/>
      <c r="H48" s="103"/>
      <c r="I48" s="85"/>
      <c r="J48" s="103"/>
    </row>
    <row r="49">
      <c r="A49" s="85"/>
      <c r="B49" s="331" t="n">
        <v>44774</v>
      </c>
      <c r="C49" s="281" t="n">
        <v>3.7</v>
      </c>
      <c r="D49" s="85"/>
      <c r="E49" s="184" t="s">
        <v>1817</v>
      </c>
      <c r="F49" s="197"/>
      <c r="G49" s="85"/>
      <c r="H49" s="103"/>
      <c r="I49" s="85"/>
      <c r="J49" s="103"/>
    </row>
    <row r="50">
      <c r="A50" s="85"/>
      <c r="B50" s="331" t="n">
        <v>44805</v>
      </c>
      <c r="C50" s="281" t="n">
        <v>3.5</v>
      </c>
      <c r="D50" s="85"/>
      <c r="E50" s="71" t="s">
        <v>1821</v>
      </c>
      <c r="F50" s="197"/>
      <c r="G50" s="85"/>
      <c r="H50" s="85"/>
      <c r="I50" s="85"/>
      <c r="J50" s="85"/>
    </row>
    <row r="51">
      <c r="A51" s="85"/>
      <c r="B51" s="331" t="n">
        <v>44835</v>
      </c>
      <c r="C51" s="281" t="n">
        <v>3.7</v>
      </c>
      <c r="D51" s="85"/>
      <c r="E51" s="184" t="s">
        <v>1814</v>
      </c>
      <c r="F51" s="197"/>
      <c r="G51" s="85"/>
      <c r="H51" s="85"/>
      <c r="I51" s="85"/>
      <c r="J51" s="85"/>
    </row>
    <row r="52">
      <c r="A52" s="85"/>
      <c r="B52" s="331" t="n">
        <v>44866</v>
      </c>
      <c r="C52" s="281" t="n">
        <v>3.6</v>
      </c>
      <c r="D52" s="85"/>
      <c r="E52" s="184" t="s">
        <v>1815</v>
      </c>
      <c r="F52" s="197"/>
      <c r="G52" s="85"/>
      <c r="H52" s="85"/>
      <c r="I52" s="85"/>
      <c r="J52" s="85"/>
    </row>
    <row r="53">
      <c r="A53" s="85"/>
      <c r="B53" s="331" t="n">
        <v>44896</v>
      </c>
      <c r="C53" s="281" t="n">
        <v>3.5</v>
      </c>
      <c r="D53" s="85"/>
      <c r="E53" s="184" t="s">
        <v>1816</v>
      </c>
      <c r="F53" s="197"/>
      <c r="G53" s="85"/>
      <c r="H53" s="85"/>
      <c r="I53" s="85"/>
      <c r="J53" s="85"/>
    </row>
    <row r="54">
      <c r="B54" s="331" t="n">
        <v>44927</v>
      </c>
      <c r="C54" s="281" t="n">
        <v>3.4</v>
      </c>
      <c r="D54" s="85"/>
      <c r="E54" s="184" t="s">
        <v>1817</v>
      </c>
      <c r="F54" s="197"/>
      <c r="G54" s="85"/>
      <c r="H54" s="85"/>
      <c r="I54" s="85"/>
      <c r="J54" s="85"/>
    </row>
    <row r="55">
      <c r="B55" s="331" t="n">
        <v>44958</v>
      </c>
      <c r="C55" s="281" t="n">
        <v>3.6</v>
      </c>
      <c r="D55" s="85"/>
      <c r="E55" s="71" t="s">
        <v>1822</v>
      </c>
      <c r="F55" s="197"/>
      <c r="G55" s="85"/>
      <c r="H55" s="85"/>
      <c r="I55" s="85"/>
      <c r="J55" s="85"/>
    </row>
    <row r="56">
      <c r="B56" s="331" t="n">
        <v>44986</v>
      </c>
      <c r="C56" s="281" t="n">
        <v>3.5</v>
      </c>
      <c r="D56" s="85"/>
      <c r="E56" s="184" t="s">
        <v>1814</v>
      </c>
      <c r="F56" s="197"/>
      <c r="G56" s="85"/>
      <c r="H56" s="85"/>
      <c r="I56" s="85"/>
      <c r="J56" s="85"/>
    </row>
    <row r="57">
      <c r="B57" s="331" t="n">
        <v>45017</v>
      </c>
      <c r="C57" s="281"/>
      <c r="D57" s="85"/>
      <c r="E57" s="184" t="s">
        <v>1815</v>
      </c>
      <c r="F57" s="197"/>
      <c r="G57" s="85"/>
      <c r="H57" s="85"/>
      <c r="I57" s="85"/>
      <c r="J57" s="85"/>
    </row>
    <row r="58">
      <c r="B58" s="331" t="n">
        <v>45047</v>
      </c>
      <c r="C58" s="281"/>
      <c r="D58" s="85"/>
      <c r="E58" s="184" t="s">
        <v>1816</v>
      </c>
      <c r="F58" s="197"/>
      <c r="G58" s="85"/>
      <c r="H58" s="85"/>
      <c r="I58" s="85"/>
      <c r="J58" s="85"/>
    </row>
    <row r="59">
      <c r="B59" s="331" t="n">
        <v>45078</v>
      </c>
      <c r="C59" s="281"/>
      <c r="D59" s="85"/>
      <c r="E59" s="184" t="s">
        <v>1817</v>
      </c>
      <c r="F59" s="197"/>
      <c r="G59" s="85"/>
      <c r="H59" s="85"/>
      <c r="I59" s="85"/>
      <c r="J59" s="85"/>
    </row>
    <row r="60">
      <c r="B60" s="331" t="n">
        <v>45108</v>
      </c>
      <c r="C60" s="281"/>
      <c r="D60" s="85"/>
      <c r="E60" s="85"/>
      <c r="F60" s="85"/>
      <c r="G60" s="85"/>
      <c r="H60" s="85"/>
      <c r="I60" s="85"/>
      <c r="J60" s="85"/>
    </row>
    <row r="61">
      <c r="B61" s="331" t="n">
        <v>45139</v>
      </c>
      <c r="C61" s="281"/>
      <c r="D61" s="85"/>
      <c r="E61" s="85"/>
      <c r="F61" s="85"/>
      <c r="G61" s="85"/>
      <c r="H61" s="85"/>
      <c r="I61" s="85"/>
      <c r="J61" s="85"/>
    </row>
    <row r="62">
      <c r="B62" s="331" t="n">
        <v>45170</v>
      </c>
      <c r="C62" s="281"/>
      <c r="D62" s="85"/>
      <c r="E62" s="85"/>
      <c r="F62" s="85"/>
      <c r="G62" s="85"/>
      <c r="H62" s="85"/>
      <c r="I62" s="85"/>
      <c r="J62" s="85"/>
    </row>
    <row r="63">
      <c r="B63" s="331" t="n">
        <v>45200</v>
      </c>
      <c r="C63" s="281"/>
      <c r="D63" s="85"/>
      <c r="E63" s="85"/>
      <c r="F63" s="85"/>
      <c r="G63" s="85"/>
      <c r="H63" s="85"/>
      <c r="I63" s="85"/>
      <c r="J63" s="85"/>
    </row>
    <row r="64">
      <c r="B64" s="331" t="n">
        <v>45231</v>
      </c>
      <c r="C64" s="281"/>
      <c r="D64" s="85"/>
      <c r="E64" s="85"/>
      <c r="F64" s="85"/>
      <c r="G64" s="85"/>
      <c r="H64" s="85"/>
      <c r="I64" s="85"/>
      <c r="J64" s="85"/>
    </row>
    <row r="65">
      <c r="B65" s="331" t="n">
        <v>45261</v>
      </c>
      <c r="C65" s="281"/>
      <c r="D65" s="85"/>
      <c r="E65" s="85"/>
      <c r="F65" s="85"/>
      <c r="G65" s="85"/>
      <c r="H65" s="85"/>
      <c r="I65" s="85"/>
      <c r="J65" s="85"/>
    </row>
    <row r="66">
      <c r="B66" s="331" t="n">
        <v>45292</v>
      </c>
      <c r="C66" s="281"/>
      <c r="D66" s="85"/>
      <c r="E66" s="85"/>
      <c r="F66" s="85"/>
      <c r="G66" s="85"/>
      <c r="H66" s="85"/>
      <c r="I66" s="85"/>
      <c r="J66" s="85"/>
    </row>
    <row r="67">
      <c r="B67" s="331" t="n">
        <v>45323</v>
      </c>
      <c r="C67" s="281"/>
      <c r="D67" s="85"/>
      <c r="E67" s="85"/>
      <c r="F67" s="85"/>
      <c r="G67" s="85"/>
      <c r="H67" s="85"/>
      <c r="I67" s="85"/>
      <c r="J67" s="85"/>
    </row>
    <row r="68">
      <c r="B68" s="331" t="n">
        <v>45352</v>
      </c>
      <c r="C68" s="281"/>
      <c r="D68" s="85"/>
      <c r="E68" s="85"/>
      <c r="F68" s="85"/>
      <c r="G68" s="85"/>
      <c r="H68" s="85"/>
      <c r="I68" s="85"/>
      <c r="J68" s="85"/>
    </row>
    <row r="69">
      <c r="B69" s="331" t="n">
        <v>45383</v>
      </c>
      <c r="C69" s="281"/>
      <c r="D69" s="85"/>
      <c r="E69" s="85"/>
      <c r="F69" s="85"/>
      <c r="G69" s="85"/>
      <c r="H69" s="85"/>
      <c r="I69" s="85"/>
      <c r="J69" s="85"/>
    </row>
    <row r="70">
      <c r="B70" s="331" t="n">
        <v>45413</v>
      </c>
      <c r="C70" s="281"/>
      <c r="D70" s="85"/>
      <c r="E70" s="85"/>
      <c r="F70" s="85"/>
      <c r="G70" s="85"/>
      <c r="H70" s="85"/>
      <c r="I70" s="85"/>
      <c r="J70" s="85"/>
    </row>
    <row r="71">
      <c r="B71" s="331" t="n">
        <v>45444</v>
      </c>
      <c r="C71" s="281"/>
      <c r="D71" s="85"/>
      <c r="E71" s="85"/>
      <c r="F71" s="85"/>
      <c r="G71" s="85"/>
      <c r="H71" s="85"/>
      <c r="I71" s="85"/>
      <c r="J71" s="85"/>
    </row>
    <row r="72">
      <c r="B72" s="331" t="n">
        <v>45474</v>
      </c>
      <c r="C72" s="281"/>
      <c r="D72" s="85"/>
      <c r="E72" s="85"/>
      <c r="F72" s="85"/>
      <c r="G72" s="85"/>
      <c r="H72" s="85"/>
      <c r="I72" s="85"/>
      <c r="J72" s="85"/>
    </row>
    <row r="73">
      <c r="B73" s="331" t="n">
        <v>45505</v>
      </c>
      <c r="C73" s="281"/>
      <c r="D73" s="85"/>
      <c r="E73" s="85"/>
      <c r="F73" s="85"/>
      <c r="G73" s="85"/>
      <c r="H73" s="85"/>
      <c r="I73" s="85"/>
      <c r="J73" s="85"/>
    </row>
    <row r="74">
      <c r="B74" s="331" t="n">
        <v>45536</v>
      </c>
      <c r="C74" s="281"/>
      <c r="D74" s="85"/>
      <c r="E74" s="85"/>
      <c r="F74" s="85"/>
      <c r="G74" s="85"/>
      <c r="H74" s="85"/>
      <c r="I74" s="85"/>
      <c r="J74" s="85"/>
    </row>
    <row r="75">
      <c r="B75" s="331" t="n">
        <v>45566</v>
      </c>
      <c r="C75" s="281"/>
      <c r="D75" s="85"/>
      <c r="E75" s="85"/>
      <c r="F75" s="85"/>
      <c r="G75" s="85"/>
      <c r="H75" s="85"/>
      <c r="I75" s="85"/>
      <c r="J75" s="85"/>
    </row>
    <row r="76">
      <c r="B76" s="331" t="n">
        <v>45597</v>
      </c>
      <c r="C76" s="281"/>
      <c r="D76" s="85"/>
      <c r="E76" s="85"/>
      <c r="F76" s="85"/>
      <c r="G76" s="85"/>
      <c r="H76" s="85"/>
      <c r="I76" s="85"/>
      <c r="J76" s="85"/>
    </row>
    <row r="77">
      <c r="B77" s="331" t="n">
        <v>45627</v>
      </c>
      <c r="C77" s="281"/>
      <c r="D77" s="85"/>
      <c r="E77" s="85"/>
      <c r="F77" s="85"/>
      <c r="G77" s="85"/>
      <c r="H77" s="85"/>
      <c r="I77" s="85"/>
      <c r="J77" s="85"/>
    </row>
    <row r="78">
      <c r="B78" s="331" t="n">
        <v>45658</v>
      </c>
      <c r="C78" s="281"/>
      <c r="D78" s="85"/>
      <c r="E78" s="85"/>
      <c r="F78" s="85"/>
      <c r="G78" s="85"/>
      <c r="H78" s="85"/>
      <c r="I78" s="85"/>
      <c r="J78" s="85"/>
    </row>
    <row r="79">
      <c r="B79" s="331" t="n">
        <v>45689</v>
      </c>
      <c r="C79" s="281"/>
      <c r="D79" s="85"/>
      <c r="E79" s="85"/>
      <c r="F79" s="85"/>
      <c r="G79" s="85"/>
      <c r="H79" s="85"/>
      <c r="I79" s="85"/>
      <c r="J79" s="85"/>
    </row>
    <row r="80">
      <c r="B80" s="331" t="n">
        <v>45717</v>
      </c>
      <c r="C80" s="281"/>
      <c r="D80" s="85"/>
      <c r="E80" s="85"/>
      <c r="F80" s="85"/>
      <c r="G80" s="85"/>
      <c r="H80" s="85"/>
      <c r="I80" s="85"/>
      <c r="J80" s="85"/>
    </row>
    <row r="81">
      <c r="B81" s="331" t="n">
        <v>45748</v>
      </c>
      <c r="C81" s="281"/>
      <c r="D81" s="85"/>
      <c r="E81" s="85"/>
      <c r="F81" s="85"/>
      <c r="G81" s="85"/>
      <c r="H81" s="85"/>
      <c r="I81" s="85"/>
      <c r="J81" s="85"/>
    </row>
    <row r="82">
      <c r="B82" s="331" t="n">
        <v>45778</v>
      </c>
      <c r="C82" s="281"/>
      <c r="D82" s="85"/>
      <c r="E82" s="85"/>
      <c r="F82" s="85"/>
      <c r="G82" s="85"/>
      <c r="H82" s="85"/>
      <c r="I82" s="85"/>
      <c r="J82" s="85"/>
    </row>
    <row r="83">
      <c r="B83" s="331" t="n">
        <v>45809</v>
      </c>
      <c r="C83" s="281"/>
      <c r="D83" s="85"/>
      <c r="E83" s="85"/>
      <c r="F83" s="85"/>
      <c r="G83" s="85"/>
      <c r="H83" s="85"/>
      <c r="I83" s="85"/>
      <c r="J83" s="85"/>
    </row>
    <row r="84">
      <c r="B84" s="331" t="n">
        <v>45839</v>
      </c>
      <c r="C84" s="281"/>
      <c r="D84" s="85"/>
      <c r="E84" s="85"/>
      <c r="F84" s="85"/>
      <c r="G84" s="85"/>
      <c r="H84" s="85"/>
      <c r="I84" s="85"/>
      <c r="J84" s="85"/>
    </row>
    <row r="85">
      <c r="B85" s="331" t="n">
        <v>45870</v>
      </c>
      <c r="C85" s="281"/>
      <c r="D85" s="85"/>
      <c r="E85" s="85"/>
      <c r="F85" s="85"/>
      <c r="G85" s="85"/>
      <c r="H85" s="85"/>
      <c r="I85" s="85"/>
      <c r="J85" s="85"/>
    </row>
    <row r="86">
      <c r="B86" s="331" t="n">
        <v>45901</v>
      </c>
      <c r="C86" s="281"/>
      <c r="D86" s="85"/>
      <c r="E86" s="85"/>
      <c r="F86" s="85"/>
      <c r="G86" s="85"/>
      <c r="H86" s="85"/>
      <c r="I86" s="85"/>
      <c r="J86" s="85"/>
    </row>
    <row r="87">
      <c r="B87" s="331" t="n">
        <v>45931</v>
      </c>
      <c r="C87" s="281"/>
      <c r="D87" s="85"/>
      <c r="E87" s="85"/>
      <c r="F87" s="85"/>
      <c r="G87" s="85"/>
      <c r="H87" s="85"/>
      <c r="I87" s="85"/>
      <c r="J87" s="85"/>
    </row>
    <row r="88">
      <c r="B88" s="331" t="n">
        <v>45962</v>
      </c>
      <c r="C88" s="281"/>
      <c r="D88" s="85"/>
      <c r="E88" s="85"/>
      <c r="F88" s="85"/>
      <c r="G88" s="85"/>
      <c r="H88" s="85"/>
      <c r="I88" s="85"/>
      <c r="J88" s="85"/>
    </row>
    <row r="89">
      <c r="B89" s="331" t="n">
        <v>45992</v>
      </c>
      <c r="C89" s="281"/>
      <c r="D89" s="85"/>
      <c r="E89" s="85"/>
      <c r="F89" s="85"/>
      <c r="G89" s="85"/>
      <c r="H89" s="85"/>
      <c r="I89" s="85"/>
      <c r="J89" s="85"/>
    </row>
    <row r="90">
      <c r="B90" s="331" t="n">
        <v>46023</v>
      </c>
      <c r="C90" s="281"/>
      <c r="D90" s="85"/>
      <c r="E90" s="85"/>
      <c r="F90" s="85"/>
      <c r="G90" s="85"/>
      <c r="H90" s="85"/>
      <c r="I90" s="85"/>
      <c r="J90" s="85"/>
    </row>
    <row r="91">
      <c r="B91" s="331" t="n">
        <v>46054</v>
      </c>
      <c r="C91" s="281"/>
      <c r="D91" s="85"/>
      <c r="E91" s="85"/>
      <c r="F91" s="85"/>
      <c r="G91" s="85"/>
      <c r="H91" s="85"/>
      <c r="I91" s="85"/>
      <c r="J91" s="85"/>
    </row>
    <row r="92">
      <c r="B92" s="331" t="n">
        <v>46082</v>
      </c>
      <c r="C92" s="281"/>
      <c r="D92" s="85"/>
      <c r="E92" s="85"/>
      <c r="F92" s="85"/>
      <c r="G92" s="85"/>
      <c r="H92" s="85"/>
      <c r="I92" s="85"/>
      <c r="J92" s="85"/>
    </row>
    <row r="93">
      <c r="B93" s="331" t="n">
        <v>46113</v>
      </c>
      <c r="C93" s="281"/>
      <c r="D93" s="85"/>
      <c r="E93" s="85"/>
      <c r="F93" s="85"/>
      <c r="G93" s="85"/>
      <c r="H93" s="85"/>
      <c r="I93" s="85"/>
      <c r="J93" s="85"/>
    </row>
    <row r="94">
      <c r="B94" s="331" t="n">
        <v>46143</v>
      </c>
      <c r="C94" s="281"/>
      <c r="D94" s="85"/>
      <c r="E94" s="85"/>
      <c r="F94" s="85"/>
      <c r="G94" s="85"/>
      <c r="H94" s="85"/>
      <c r="I94" s="85"/>
      <c r="J94" s="85"/>
    </row>
    <row r="95">
      <c r="B95" s="331" t="n">
        <v>46174</v>
      </c>
      <c r="C95" s="281"/>
      <c r="D95" s="85"/>
      <c r="E95" s="85"/>
      <c r="F95" s="85"/>
      <c r="G95" s="85"/>
      <c r="H95" s="85"/>
      <c r="I95" s="85"/>
      <c r="J95" s="85"/>
    </row>
    <row r="96">
      <c r="B96" s="331" t="n">
        <v>46204</v>
      </c>
      <c r="C96" s="281"/>
      <c r="D96" s="85"/>
      <c r="E96" s="85"/>
      <c r="F96" s="85"/>
      <c r="G96" s="85"/>
      <c r="H96" s="85"/>
      <c r="I96" s="85"/>
      <c r="J96" s="85"/>
    </row>
    <row r="97">
      <c r="B97" s="331" t="n">
        <v>46235</v>
      </c>
      <c r="C97" s="281"/>
      <c r="D97" s="85"/>
      <c r="E97" s="85"/>
      <c r="F97" s="85"/>
      <c r="G97" s="85"/>
      <c r="H97" s="85"/>
      <c r="I97" s="85"/>
      <c r="J97" s="85"/>
    </row>
    <row r="98">
      <c r="B98" s="331" t="n">
        <v>46266</v>
      </c>
      <c r="C98" s="281"/>
      <c r="D98" s="85"/>
      <c r="E98" s="85"/>
      <c r="F98" s="85"/>
      <c r="G98" s="85"/>
      <c r="H98" s="85"/>
      <c r="I98" s="85"/>
      <c r="J98" s="85"/>
    </row>
    <row r="99">
      <c r="B99" s="331" t="n">
        <v>46296</v>
      </c>
      <c r="C99" s="281"/>
      <c r="D99" s="85"/>
      <c r="E99" s="85"/>
      <c r="F99" s="85"/>
      <c r="G99" s="85"/>
      <c r="H99" s="85"/>
      <c r="I99" s="85"/>
      <c r="J99" s="85"/>
    </row>
    <row r="100">
      <c r="B100" s="331" t="n">
        <v>46327</v>
      </c>
      <c r="C100" s="281"/>
      <c r="D100" s="85"/>
      <c r="E100" s="85"/>
      <c r="F100" s="85"/>
      <c r="G100" s="85"/>
      <c r="H100" s="85"/>
      <c r="I100" s="85"/>
      <c r="J100" s="85"/>
    </row>
    <row r="101">
      <c r="B101" s="332" t="n">
        <v>46357</v>
      </c>
      <c r="C101" s="282"/>
      <c r="D101" s="85"/>
      <c r="E101" s="85"/>
      <c r="F101" s="85"/>
      <c r="G101" s="85"/>
      <c r="H101" s="85"/>
      <c r="I101" s="85"/>
      <c r="J101" s="85"/>
    </row>
  </sheetData>
  <mergeCells count="12">
    <mergeCell ref="AG9:AH9"/>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1"/>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zoomScale="90" zoomScaleNormal="90" workbookViewId="0">
      <selection activeCell="L34" sqref="L34"/>
    </sheetView>
  </sheetViews>
  <sheetFormatPr defaultRowHeight="15.0" baseColWidth="10"/>
  <cols>
    <col min="2" max="2" width="52.453125" hidden="0" customWidth="1"/>
    <col min="3" max="3" width="11.453125" hidden="0" customWidth="1"/>
    <col min="4" max="4" width="11.453125" hidden="0" customWidth="1"/>
    <col min="5" max="5" width="12.81640625" hidden="0" customWidth="1"/>
    <col min="6" max="6" width="10.816406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2.81640625" hidden="0" customWidth="1"/>
    <col min="13" max="13" width="20.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8.453125" hidden="0" customWidth="1"/>
    <col min="34" max="34" width="8.453125" hidden="0" customWidth="1"/>
    <col min="35" max="35" width="8.453125" hidden="0" customWidth="1"/>
    <col min="36" max="36" width="8.453125" hidden="0" customWidth="1"/>
  </cols>
  <sheetData>
    <row r="1">
      <c r="B1" s="257" t="s">
        <v>53</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ht="14.25" customHeight="1">
      <c r="B2" s="258" t="s">
        <v>278</v>
      </c>
      <c r="C2" s="258"/>
      <c r="D2" s="258"/>
      <c r="E2" s="258"/>
      <c r="F2" s="258"/>
      <c r="G2" s="258"/>
      <c r="H2" s="258"/>
      <c r="I2" s="258"/>
      <c r="J2" s="258"/>
      <c r="K2" s="258"/>
      <c r="L2" s="258"/>
      <c r="M2" s="258"/>
      <c r="N2" s="258"/>
      <c r="O2" s="258"/>
      <c r="P2" s="258"/>
      <c r="Q2" s="258"/>
      <c r="R2" s="258"/>
      <c r="S2" s="258"/>
      <c r="T2" s="258"/>
      <c r="U2" s="258"/>
      <c r="V2" s="258"/>
      <c r="W2" s="258"/>
      <c r="X2" s="258"/>
      <c r="Y2" s="258"/>
      <c r="Z2" s="258"/>
      <c r="AA2" s="258"/>
      <c r="AB2" s="258"/>
      <c r="AC2" s="258"/>
    </row>
    <row r="3">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row>
    <row r="4">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row>
    <row r="5">
      <c r="B5" s="258"/>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row>
    <row r="6" ht="38.9" customHeight="1">
      <c r="B6" s="258"/>
      <c r="C6" s="258"/>
      <c r="D6" s="258"/>
      <c r="E6" s="258"/>
      <c r="F6" s="258"/>
      <c r="G6" s="258"/>
      <c r="H6" s="258"/>
      <c r="I6" s="258"/>
      <c r="J6" s="258"/>
      <c r="K6" s="258"/>
      <c r="L6" s="258"/>
      <c r="M6" s="258"/>
      <c r="N6" s="258"/>
      <c r="O6" s="258"/>
      <c r="P6" s="258"/>
      <c r="Q6" s="258"/>
      <c r="R6" s="258"/>
      <c r="S6" s="258"/>
      <c r="T6" s="258"/>
      <c r="U6" s="258"/>
      <c r="V6" s="258"/>
      <c r="W6" s="258"/>
      <c r="X6" s="258"/>
      <c r="Y6" s="258"/>
      <c r="Z6" s="258"/>
      <c r="AA6" s="258"/>
      <c r="AB6" s="258"/>
      <c r="AC6" s="258"/>
    </row>
    <row r="7">
      <c r="B7" s="321"/>
      <c r="C7" s="321"/>
      <c r="D7" s="321"/>
      <c r="E7" s="321"/>
      <c r="F7" s="321"/>
      <c r="G7" s="321"/>
      <c r="H7" s="322"/>
      <c r="I7" s="322"/>
      <c r="J7" s="322"/>
      <c r="K7" s="322"/>
      <c r="L7" s="322"/>
      <c r="M7" s="322"/>
      <c r="N7" s="322"/>
      <c r="O7" s="322"/>
      <c r="P7" s="322"/>
      <c r="Q7" s="322"/>
      <c r="R7" s="322"/>
      <c r="S7" s="322"/>
      <c r="T7" s="322"/>
      <c r="U7" s="322"/>
      <c r="V7" s="322"/>
      <c r="W7" s="322"/>
      <c r="X7" s="322"/>
      <c r="Y7" s="322"/>
    </row>
    <row r="8" ht="14.9" customHeight="1">
      <c r="B8" s="262" t="s">
        <v>279</v>
      </c>
      <c r="C8" s="263"/>
      <c r="D8" s="348" t="s">
        <v>280</v>
      </c>
      <c r="E8" s="349"/>
      <c r="F8" s="349"/>
      <c r="G8" s="349"/>
      <c r="H8" s="349"/>
      <c r="I8" s="349"/>
      <c r="J8" s="349"/>
      <c r="K8" s="349"/>
      <c r="L8" s="349"/>
      <c r="M8" s="349"/>
      <c r="N8" s="349"/>
      <c r="O8" s="349"/>
      <c r="P8" s="349"/>
      <c r="Q8" s="349"/>
      <c r="R8" s="349"/>
      <c r="S8" s="349"/>
      <c r="T8" s="350"/>
      <c r="U8" s="351" t="s">
        <v>281</v>
      </c>
      <c r="V8" s="352"/>
      <c r="W8" s="352"/>
      <c r="X8" s="352"/>
      <c r="Y8" s="352"/>
      <c r="Z8" s="352"/>
      <c r="AA8" s="352"/>
      <c r="AB8" s="352"/>
      <c r="AC8" s="353"/>
    </row>
    <row r="9" ht="12.75" customHeight="1">
      <c r="B9" s="264"/>
      <c r="C9" s="265"/>
      <c r="D9" s="269" t="n">
        <v>2018</v>
      </c>
      <c r="E9" s="269" t="n">
        <v>2019</v>
      </c>
      <c r="F9" s="270"/>
      <c r="G9" s="270"/>
      <c r="H9" s="271"/>
      <c r="I9" s="270" t="n">
        <v>2020</v>
      </c>
      <c r="J9" s="270"/>
      <c r="K9" s="270"/>
      <c r="L9" s="270"/>
      <c r="M9" s="269" t="n">
        <v>2021</v>
      </c>
      <c r="N9" s="270"/>
      <c r="O9" s="270"/>
      <c r="P9" s="270"/>
      <c r="Q9" s="354" t="n">
        <v>2022</v>
      </c>
      <c r="R9" s="355"/>
      <c r="S9" s="343"/>
      <c r="T9" s="362"/>
      <c r="U9" s="268" t="n">
        <v>2023</v>
      </c>
      <c r="V9" s="347"/>
      <c r="W9" s="347"/>
      <c r="X9" s="256"/>
      <c r="Y9" s="255" t="n">
        <v>2024</v>
      </c>
      <c r="Z9" s="347"/>
      <c r="AA9" s="347"/>
      <c r="AB9" s="347"/>
      <c r="AC9" s="356" t="n">
        <v>2025</v>
      </c>
    </row>
    <row r="10" ht="14.9" customHeight="1">
      <c r="B10" s="264"/>
      <c r="C10" s="265"/>
      <c r="D10" s="259" t="s">
        <v>282</v>
      </c>
      <c r="E10" s="259" t="s">
        <v>283</v>
      </c>
      <c r="F10" s="260" t="s">
        <v>284</v>
      </c>
      <c r="G10" s="260" t="s">
        <v>238</v>
      </c>
      <c r="H10" s="261" t="s">
        <v>282</v>
      </c>
      <c r="I10" s="260" t="s">
        <v>283</v>
      </c>
      <c r="J10" s="260" t="s">
        <v>284</v>
      </c>
      <c r="K10" s="260" t="s">
        <v>238</v>
      </c>
      <c r="L10" s="260" t="s">
        <v>282</v>
      </c>
      <c r="M10" s="259" t="s">
        <v>283</v>
      </c>
      <c r="N10" s="260" t="s">
        <v>284</v>
      </c>
      <c r="O10" s="260" t="s">
        <v>238</v>
      </c>
      <c r="P10" s="260" t="s">
        <v>282</v>
      </c>
      <c r="Q10" s="259" t="s">
        <v>283</v>
      </c>
      <c r="R10" s="260" t="s">
        <v>284</v>
      </c>
      <c r="S10" s="260" t="s">
        <v>238</v>
      </c>
      <c r="T10" s="261" t="s">
        <v>282</v>
      </c>
      <c r="U10" s="326" t="s">
        <v>283</v>
      </c>
      <c r="V10" s="326" t="s">
        <v>284</v>
      </c>
      <c r="W10" s="326" t="s">
        <v>238</v>
      </c>
      <c r="X10" s="327" t="s">
        <v>282</v>
      </c>
      <c r="Y10" s="325" t="s">
        <v>283</v>
      </c>
      <c r="Z10" s="323" t="s">
        <v>284</v>
      </c>
      <c r="AA10" s="326" t="s">
        <v>238</v>
      </c>
      <c r="AB10" s="326" t="s">
        <v>282</v>
      </c>
      <c r="AC10" s="357" t="s">
        <v>283</v>
      </c>
    </row>
    <row r="11">
      <c r="B11" s="307" t="s">
        <v>102</v>
      </c>
      <c r="C11" s="328" t="s">
        <v>285</v>
      </c>
      <c r="D11" s="309" t="n">
        <f>'Haver Pivoted'!GO14</f>
        <v>27.1</v>
      </c>
      <c r="E11" s="373" t="n">
        <f>'Haver Pivoted'!GP14</f>
        <v>30.5</v>
      </c>
      <c r="F11" s="373" t="n">
        <f>'Haver Pivoted'!GQ14</f>
        <v>27.7</v>
      </c>
      <c r="G11" s="373" t="n">
        <f>'Haver Pivoted'!GR14</f>
        <v>25</v>
      </c>
      <c r="H11" s="373" t="n">
        <f>'Haver Pivoted'!GS14</f>
        <v>26.7</v>
      </c>
      <c r="I11" s="373" t="n">
        <f>'Haver Pivoted'!GT14</f>
        <v>40.9</v>
      </c>
      <c r="J11" s="373" t="n">
        <f>'Haver Pivoted'!GU14</f>
        <v>951.4</v>
      </c>
      <c r="K11" s="373" t="n">
        <f>'Haver Pivoted'!GV14</f>
        <v>802.3</v>
      </c>
      <c r="L11" s="373" t="n">
        <f>'Haver Pivoted'!GW14</f>
        <v>323.5</v>
      </c>
      <c r="M11" s="373" t="n">
        <f>'Haver Pivoted'!GX14</f>
        <v>583.5</v>
      </c>
      <c r="N11" s="373" t="n">
        <f>'Haver Pivoted'!GY14</f>
        <v>451.8</v>
      </c>
      <c r="O11" s="373" t="n">
        <f>'Haver Pivoted'!GZ14</f>
        <v>226.8</v>
      </c>
      <c r="P11" s="373" t="n">
        <f>'Haver Pivoted'!HA14</f>
        <v>33.9</v>
      </c>
      <c r="Q11" s="373" t="n">
        <f>'Haver Pivoted'!HB14</f>
        <v>26.2</v>
      </c>
      <c r="R11" s="373" t="n">
        <f>'Haver Pivoted'!HC14</f>
        <v>21.4</v>
      </c>
      <c r="S11" s="358" t="n">
        <f>'Haver Pivoted'!HD14</f>
        <v>19.600000000000001</v>
      </c>
      <c r="T11" s="271" t="n">
        <f>'Haver Pivoted'!HE14</f>
        <v>22.1</v>
      </c>
      <c r="U11" s="271" t="n">
        <f>'Haver Pivoted'!HF14</f>
        <v>22</v>
      </c>
      <c r="V11" s="333" t="n">
        <f t="shared" ref="V11:AC11" si="0">V12+V13+V20</f>
        <v>28.907999999999998</v>
      </c>
      <c r="W11" s="333" t="n">
        <f t="shared" si="0"/>
        <v>30.79371428571428</v>
      </c>
      <c r="X11" s="333" t="n">
        <f t="shared" si="0"/>
        <v>32.145142857142851</v>
      </c>
      <c r="Y11" s="333" t="n">
        <f t="shared" si="0"/>
        <v>32.05085714285714</v>
      </c>
      <c r="Z11" s="333" t="n">
        <f t="shared" si="0"/>
        <v>31.07028571428571</v>
      </c>
      <c r="AA11" s="333" t="n">
        <f t="shared" si="0"/>
        <v>30.542285714285711</v>
      </c>
      <c r="AB11" s="333" t="n">
        <f t="shared" si="0"/>
        <v>30.165142857142857</v>
      </c>
      <c r="AC11" s="361" t="n">
        <f t="shared" si="0"/>
        <v>30.020571428571422</v>
      </c>
      <c r="AD11" s="297" t="s">
        <v>286</v>
      </c>
    </row>
    <row r="12">
      <c r="B12" s="320" t="s">
        <v>287</v>
      </c>
      <c r="C12" s="310" t="s">
        <v>288</v>
      </c>
      <c r="D12" s="330" t="n">
        <f>'Haver Pivoted'!GO63</f>
        <v>0</v>
      </c>
      <c r="E12" s="291" t="n">
        <f>'Haver Pivoted'!GP63</f>
        <v>0</v>
      </c>
      <c r="F12" s="291" t="n">
        <f>'Haver Pivoted'!GQ63</f>
        <v>0</v>
      </c>
      <c r="G12" s="291" t="n">
        <f>'Haver Pivoted'!GR63</f>
        <v>0</v>
      </c>
      <c r="H12" s="291" t="n">
        <f>'Haver Pivoted'!GS63</f>
        <v>0</v>
      </c>
      <c r="I12" s="291" t="n">
        <f>'Haver Pivoted'!GT63</f>
        <v>0</v>
      </c>
      <c r="J12" s="291" t="n">
        <f>'Haver Pivoted'!GU63</f>
        <v>0.1</v>
      </c>
      <c r="K12" s="291" t="n">
        <f>'Haver Pivoted'!GV63</f>
        <v>3.7</v>
      </c>
      <c r="L12" s="291" t="n">
        <f>'Haver Pivoted'!GW63</f>
        <v>12.9</v>
      </c>
      <c r="M12" s="291" t="n">
        <f>'Haver Pivoted'!GX63</f>
        <v>25.5</v>
      </c>
      <c r="N12" s="291" t="n">
        <f>'Haver Pivoted'!GY63</f>
        <v>3.8</v>
      </c>
      <c r="O12" s="291" t="n">
        <f>'Haver Pivoted'!GZ63</f>
        <v>1.8</v>
      </c>
      <c r="P12" s="291" t="n">
        <f>'Haver Pivoted'!HA63</f>
        <v>0.6</v>
      </c>
      <c r="Q12" s="291" t="n">
        <f>'Haver Pivoted'!HB63</f>
        <v>0.2</v>
      </c>
      <c r="R12" s="291" t="n">
        <f>'Haver Pivoted'!HC63</f>
        <v>0.1</v>
      </c>
      <c r="S12" s="260" t="n">
        <f>'Haver Pivoted'!HD63</f>
        <v>0</v>
      </c>
      <c r="T12" s="261" t="n">
        <f>'Haver Pivoted'!HE63</f>
        <v>0</v>
      </c>
      <c r="U12" s="261" t="n">
        <f>'Haver Pivoted'!HF63</f>
        <v>0</v>
      </c>
      <c r="V12" s="293" t="n">
        <f>U12*V23/U23</f>
        <v>0</v>
      </c>
      <c r="W12" s="293" t="n">
        <f t="shared" ref="W12:AB12" si="1">V12*W23/V23</f>
        <v>0</v>
      </c>
      <c r="X12" s="293" t="n">
        <f t="shared" si="1"/>
        <v>0</v>
      </c>
      <c r="Y12" s="293" t="n">
        <f t="shared" si="1"/>
        <v>0</v>
      </c>
      <c r="Z12" s="293" t="n">
        <f t="shared" si="1"/>
        <v>0</v>
      </c>
      <c r="AA12" s="293" t="n">
        <f t="shared" si="1"/>
        <v>0</v>
      </c>
      <c r="AB12" s="293" t="n">
        <f t="shared" si="1"/>
        <v>0</v>
      </c>
      <c r="AC12" s="367" t="n">
        <f>AB12*AC23/AB23</f>
        <v>0</v>
      </c>
    </row>
    <row r="13">
      <c r="B13" s="320" t="s">
        <v>289</v>
      </c>
      <c r="C13" s="310"/>
      <c r="D13" s="330"/>
      <c r="E13" s="291"/>
      <c r="F13" s="291"/>
      <c r="G13" s="291"/>
      <c r="H13" s="283" t="n">
        <f>SUM(H14:H17)</f>
        <v>0</v>
      </c>
      <c r="I13" s="283" t="n">
        <f t="shared" ref="I13:M13" si="2">SUM(I14:I17)</f>
        <v>0</v>
      </c>
      <c r="J13" s="283" t="n">
        <f t="shared" si="2"/>
        <v>779.7</v>
      </c>
      <c r="K13" s="283" t="n">
        <f t="shared" si="2"/>
        <v>582.6</v>
      </c>
      <c r="L13" s="283" t="n">
        <f t="shared" si="2"/>
        <v>216.5</v>
      </c>
      <c r="M13" s="283" t="n">
        <f t="shared" si="2"/>
        <v>497.6</v>
      </c>
      <c r="N13" s="288" t="n">
        <f>SUM(N14:N17)</f>
        <v>401.5</v>
      </c>
      <c r="O13" s="288" t="n">
        <f t="shared" ref="O13:AC13" si="3">SUM(O14:O17)</f>
        <v>207.4</v>
      </c>
      <c r="P13" s="288" t="n">
        <f t="shared" si="3"/>
        <v>5.5</v>
      </c>
      <c r="Q13" s="288" t="n">
        <v>0</v>
      </c>
      <c r="R13" s="288" t="n">
        <f t="shared" si="3"/>
        <v>1</v>
      </c>
      <c r="S13" s="359" t="n">
        <f t="shared" si="3"/>
        <v>0.5</v>
      </c>
      <c r="T13" s="368" t="n">
        <f t="shared" si="3"/>
        <v>0.30000000000000004</v>
      </c>
      <c r="U13" s="368" t="n">
        <f t="shared" si="3"/>
        <v>0</v>
      </c>
      <c r="V13" s="293" t="n">
        <f t="shared" si="3"/>
        <v>0</v>
      </c>
      <c r="W13" s="293" t="n">
        <f t="shared" si="3"/>
        <v>0</v>
      </c>
      <c r="X13" s="293" t="n">
        <f t="shared" si="3"/>
        <v>0</v>
      </c>
      <c r="Y13" s="293" t="n">
        <f t="shared" si="3"/>
        <v>0</v>
      </c>
      <c r="Z13" s="293" t="n">
        <f t="shared" si="3"/>
        <v>0</v>
      </c>
      <c r="AA13" s="293" t="n">
        <f t="shared" si="3"/>
        <v>0</v>
      </c>
      <c r="AB13" s="293" t="n">
        <f t="shared" si="3"/>
        <v>0</v>
      </c>
      <c r="AC13" s="367" t="n">
        <f t="shared" si="3"/>
        <v>0</v>
      </c>
    </row>
    <row r="14" ht="18" customHeight="1">
      <c r="B14" s="303" t="s">
        <v>290</v>
      </c>
      <c r="C14" s="304" t="s">
        <v>288</v>
      </c>
      <c r="D14" s="329" t="n">
        <f>'Haver Pivoted'!GO63</f>
        <v>0</v>
      </c>
      <c r="E14" s="287" t="n">
        <f>'Haver Pivoted'!GP63</f>
        <v>0</v>
      </c>
      <c r="F14" s="287" t="n">
        <f>'Haver Pivoted'!GQ63</f>
        <v>0</v>
      </c>
      <c r="G14" s="287" t="n">
        <f>'Haver Pivoted'!GR63</f>
        <v>0</v>
      </c>
      <c r="H14" s="287" t="n">
        <f>'Haver Pivoted'!GS63</f>
        <v>0</v>
      </c>
      <c r="I14" s="287" t="n">
        <f>'Haver Pivoted'!GT63</f>
        <v>0</v>
      </c>
      <c r="J14" s="287" t="n">
        <f>'Haver Pivoted'!GU63</f>
        <v>0.1</v>
      </c>
      <c r="K14" s="287" t="n">
        <f>'Haver Pivoted'!GV63</f>
        <v>3.7</v>
      </c>
      <c r="L14" s="287" t="n">
        <f>'Haver Pivoted'!GW63</f>
        <v>12.9</v>
      </c>
      <c r="M14" s="287" t="n">
        <f>'Haver Pivoted'!GX63</f>
        <v>25.5</v>
      </c>
      <c r="N14" s="287" t="n">
        <f>'Haver Pivoted'!GY63</f>
        <v>3.8</v>
      </c>
      <c r="O14" s="287" t="n">
        <f>'Haver Pivoted'!GZ63</f>
        <v>1.8</v>
      </c>
      <c r="P14" s="287" t="n">
        <f>'Haver Pivoted'!HA63</f>
        <v>0.6</v>
      </c>
      <c r="Q14" s="287" t="n">
        <f>'Haver Pivoted'!HB63</f>
        <v>0.2</v>
      </c>
      <c r="R14" s="287" t="n">
        <f>'Haver Pivoted'!HC63</f>
        <v>0.1</v>
      </c>
      <c r="S14" s="292" t="n">
        <f>'Haver Pivoted'!HD63</f>
        <v>0</v>
      </c>
      <c r="T14" s="366" t="n">
        <f>'Haver Pivoted'!HE63</f>
        <v>0</v>
      </c>
      <c r="U14" s="366" t="n">
        <f>'Haver Pivoted'!HF63</f>
        <v>0</v>
      </c>
      <c r="V14" s="293" t="n">
        <f t="shared" ref="V14:X14" si="4">V12</f>
        <v>0</v>
      </c>
      <c r="W14" s="293" t="n">
        <f t="shared" si="4"/>
        <v>0</v>
      </c>
      <c r="X14" s="293" t="n">
        <f t="shared" si="4"/>
        <v>0</v>
      </c>
      <c r="Y14" s="293" t="n">
        <f>Y12</f>
        <v>0</v>
      </c>
      <c r="Z14" s="293" t="n">
        <f t="shared" ref="Z14:AC14" si="5">Z12</f>
        <v>0</v>
      </c>
      <c r="AA14" s="293" t="n">
        <f t="shared" si="5"/>
        <v>0</v>
      </c>
      <c r="AB14" s="293" t="n">
        <f t="shared" si="5"/>
        <v>0</v>
      </c>
      <c r="AC14" s="367" t="n">
        <f t="shared" si="5"/>
        <v>0</v>
      </c>
    </row>
    <row r="15" ht="18" customHeight="1">
      <c r="B15" s="303" t="s">
        <v>291</v>
      </c>
      <c r="C15" s="304" t="s">
        <v>292</v>
      </c>
      <c r="D15" s="329" t="n">
        <f>'Haver Pivoted'!GO59</f>
        <v>0</v>
      </c>
      <c r="E15" s="287" t="n">
        <f>'Haver Pivoted'!GP59</f>
        <v>0</v>
      </c>
      <c r="F15" s="287" t="n">
        <f>'Haver Pivoted'!GQ59</f>
        <v>0</v>
      </c>
      <c r="G15" s="287" t="n">
        <f>'Haver Pivoted'!GR59</f>
        <v>0</v>
      </c>
      <c r="H15" s="287" t="n">
        <f>'Haver Pivoted'!GS59</f>
        <v>0</v>
      </c>
      <c r="I15" s="287" t="n">
        <f>'Haver Pivoted'!GT59</f>
        <v>0</v>
      </c>
      <c r="J15" s="287" t="n">
        <f>'Haver Pivoted'!GU59</f>
        <v>6.3</v>
      </c>
      <c r="K15" s="287" t="n">
        <f>'Haver Pivoted'!GV59</f>
        <v>26.7</v>
      </c>
      <c r="L15" s="287" t="n">
        <f>'Haver Pivoted'!GW59</f>
        <v>82.1</v>
      </c>
      <c r="M15" s="287" t="n">
        <f>'Haver Pivoted'!GX59</f>
        <v>94.7</v>
      </c>
      <c r="N15" s="287" t="n">
        <f>'Haver Pivoted'!GY59</f>
        <v>92.1</v>
      </c>
      <c r="O15" s="287" t="n">
        <f>'Haver Pivoted'!GZ59</f>
        <v>51.6</v>
      </c>
      <c r="P15" s="287" t="n">
        <f>'Haver Pivoted'!HA59</f>
        <v>2.8</v>
      </c>
      <c r="Q15" s="287" t="n">
        <f>'Haver Pivoted'!HB59</f>
        <v>0.8</v>
      </c>
      <c r="R15" s="287" t="n">
        <f>'Haver Pivoted'!HC59</f>
        <v>0.5</v>
      </c>
      <c r="S15" s="292" t="n">
        <f>'Haver Pivoted'!HD59</f>
        <v>0.3</v>
      </c>
      <c r="T15" s="366" t="n">
        <f>'Haver Pivoted'!HE59</f>
        <v>0.2</v>
      </c>
      <c r="U15" s="366" t="n">
        <f>'Haver Pivoted'!HF59</f>
        <v>0</v>
      </c>
      <c r="V15" s="293" t="n">
        <f t="shared" ref="V15:AB17" si="6">U15*V$23/U$23</f>
        <v>0</v>
      </c>
      <c r="W15" s="293" t="n">
        <f t="shared" si="6"/>
        <v>0</v>
      </c>
      <c r="X15" s="293" t="n">
        <f t="shared" si="6"/>
        <v>0</v>
      </c>
      <c r="Y15" s="293" t="n">
        <f t="shared" si="6"/>
        <v>0</v>
      </c>
      <c r="Z15" s="293" t="n">
        <f t="shared" si="6"/>
        <v>0</v>
      </c>
      <c r="AA15" s="293" t="n">
        <f t="shared" si="6"/>
        <v>0</v>
      </c>
      <c r="AB15" s="293" t="n">
        <f t="shared" si="6"/>
        <v>0</v>
      </c>
      <c r="AC15" s="367" t="n">
        <f>AB15*AC$23/AB$23</f>
        <v>0</v>
      </c>
    </row>
    <row r="16" ht="18" customHeight="1">
      <c r="B16" s="303" t="s">
        <v>293</v>
      </c>
      <c r="C16" s="304" t="s">
        <v>294</v>
      </c>
      <c r="D16" s="329" t="n">
        <f>'Haver Pivoted'!GO60</f>
        <v>0</v>
      </c>
      <c r="E16" s="287" t="n">
        <f>'Haver Pivoted'!GP60</f>
        <v>0</v>
      </c>
      <c r="F16" s="287" t="n">
        <f>'Haver Pivoted'!GQ60</f>
        <v>0</v>
      </c>
      <c r="G16" s="287" t="n">
        <f>'Haver Pivoted'!GR60</f>
        <v>0</v>
      </c>
      <c r="H16" s="287" t="n">
        <f>'Haver Pivoted'!GS60</f>
        <v>0</v>
      </c>
      <c r="I16" s="287" t="n">
        <f>'Haver Pivoted'!GT60</f>
        <v>0</v>
      </c>
      <c r="J16" s="287" t="n">
        <f>'Haver Pivoted'!GU60</f>
        <v>74.400000000000006</v>
      </c>
      <c r="K16" s="287" t="n">
        <f>'Haver Pivoted'!GV60</f>
        <v>138.30000000000001</v>
      </c>
      <c r="L16" s="287" t="n">
        <f>'Haver Pivoted'!GW60</f>
        <v>106.8</v>
      </c>
      <c r="M16" s="287" t="n">
        <f>'Haver Pivoted'!GX60</f>
        <v>89.2</v>
      </c>
      <c r="N16" s="287" t="n">
        <f>'Haver Pivoted'!GY60</f>
        <v>72.3</v>
      </c>
      <c r="O16" s="287" t="n">
        <f>'Haver Pivoted'!GZ60</f>
        <v>43.5</v>
      </c>
      <c r="P16" s="287" t="n">
        <f>'Haver Pivoted'!HA60</f>
        <v>2.1</v>
      </c>
      <c r="Q16" s="287" t="n">
        <f>'Haver Pivoted'!HB60</f>
        <v>0.8</v>
      </c>
      <c r="R16" s="287" t="n">
        <f>'Haver Pivoted'!HC60</f>
        <v>0.4</v>
      </c>
      <c r="S16" s="292" t="n">
        <f>'Haver Pivoted'!HD60</f>
        <v>0.2</v>
      </c>
      <c r="T16" s="366" t="n">
        <f>'Haver Pivoted'!HE60</f>
        <v>0.1</v>
      </c>
      <c r="U16" s="366" t="n">
        <f>'Haver Pivoted'!HF60</f>
        <v>0</v>
      </c>
      <c r="V16" s="293" t="n">
        <f t="shared" si="6"/>
        <v>0</v>
      </c>
      <c r="W16" s="293" t="n">
        <f t="shared" si="6"/>
        <v>0</v>
      </c>
      <c r="X16" s="293" t="n">
        <f t="shared" si="6"/>
        <v>0</v>
      </c>
      <c r="Y16" s="293" t="n">
        <f t="shared" si="6"/>
        <v>0</v>
      </c>
      <c r="Z16" s="293" t="n">
        <f t="shared" si="6"/>
        <v>0</v>
      </c>
      <c r="AA16" s="293" t="n">
        <f t="shared" si="6"/>
        <v>0</v>
      </c>
      <c r="AB16" s="293" t="n">
        <f t="shared" si="6"/>
        <v>0</v>
      </c>
      <c r="AC16" s="367" t="n">
        <f>AB16*AC$23/AB$23</f>
        <v>0</v>
      </c>
    </row>
    <row r="17" ht="18" customHeight="1">
      <c r="B17" s="303" t="s">
        <v>295</v>
      </c>
      <c r="C17" s="304" t="s">
        <v>296</v>
      </c>
      <c r="D17" s="329" t="n">
        <f>'Haver Pivoted'!GO61</f>
        <v>0</v>
      </c>
      <c r="E17" s="287" t="n">
        <f>'Haver Pivoted'!GP61</f>
        <v>0</v>
      </c>
      <c r="F17" s="287" t="n">
        <f>'Haver Pivoted'!GQ61</f>
        <v>0</v>
      </c>
      <c r="G17" s="287" t="n">
        <f>'Haver Pivoted'!GR61</f>
        <v>0</v>
      </c>
      <c r="H17" s="287" t="n">
        <f>'Haver Pivoted'!GS61</f>
        <v>0</v>
      </c>
      <c r="I17" s="287" t="n">
        <f>'Haver Pivoted'!GT61</f>
        <v>0</v>
      </c>
      <c r="J17" s="287" t="n">
        <f>'Haver Pivoted'!GU61</f>
        <v>698.9</v>
      </c>
      <c r="K17" s="287" t="n">
        <f>'Haver Pivoted'!GV61</f>
        <v>413.9</v>
      </c>
      <c r="L17" s="287" t="n">
        <f>'Haver Pivoted'!GW61</f>
        <v>14.7</v>
      </c>
      <c r="M17" s="287" t="n">
        <f>'Haver Pivoted'!GX61</f>
        <v>288.2</v>
      </c>
      <c r="N17" s="287" t="n">
        <f>'Haver Pivoted'!GY61</f>
        <v>233.3</v>
      </c>
      <c r="O17" s="287" t="n">
        <f>'Haver Pivoted'!GZ61</f>
        <v>110.5</v>
      </c>
      <c r="P17" s="287" t="n">
        <f>'Haver Pivoted'!HA61</f>
        <v>0</v>
      </c>
      <c r="Q17" s="287" t="n">
        <f>'Haver Pivoted'!HB61</f>
        <v>0</v>
      </c>
      <c r="R17" s="287" t="n">
        <f>'Haver Pivoted'!HC61</f>
        <v>0</v>
      </c>
      <c r="S17" s="292" t="n">
        <f>'Haver Pivoted'!HD61</f>
        <v>0</v>
      </c>
      <c r="T17" s="366" t="n">
        <f>'Haver Pivoted'!HE61</f>
        <v>0</v>
      </c>
      <c r="U17" s="366" t="n">
        <f>'Haver Pivoted'!HF61</f>
        <v>0</v>
      </c>
      <c r="V17" s="293" t="n">
        <f t="shared" si="6"/>
        <v>0</v>
      </c>
      <c r="W17" s="293" t="n">
        <f t="shared" si="6"/>
        <v>0</v>
      </c>
      <c r="X17" s="293" t="n">
        <f t="shared" si="6"/>
        <v>0</v>
      </c>
      <c r="Y17" s="293" t="n">
        <f t="shared" si="6"/>
        <v>0</v>
      </c>
      <c r="Z17" s="293" t="n">
        <f t="shared" si="6"/>
        <v>0</v>
      </c>
      <c r="AA17" s="293" t="n">
        <f t="shared" si="6"/>
        <v>0</v>
      </c>
      <c r="AB17" s="293" t="n">
        <f t="shared" si="6"/>
        <v>0</v>
      </c>
      <c r="AC17" s="367" t="n">
        <f>AB17*AC$23/AB$23</f>
        <v>0</v>
      </c>
    </row>
    <row r="18">
      <c r="B18" s="305" t="s">
        <v>158</v>
      </c>
      <c r="C18" s="297" t="s">
        <v>297</v>
      </c>
      <c r="D18" s="330" t="n">
        <f>'Haver Pivoted'!GO64</f>
        <v>0</v>
      </c>
      <c r="E18" s="291" t="n">
        <f>'Haver Pivoted'!GP64</f>
        <v>0</v>
      </c>
      <c r="F18" s="291" t="n">
        <f>'Haver Pivoted'!GQ64</f>
        <v>0</v>
      </c>
      <c r="G18" s="291" t="n">
        <f>'Haver Pivoted'!GR64</f>
        <v>0</v>
      </c>
      <c r="H18" s="291" t="n">
        <f>'Haver Pivoted'!GS64</f>
        <v>0</v>
      </c>
      <c r="I18" s="291" t="n">
        <f>'Haver Pivoted'!GT64</f>
        <v>0</v>
      </c>
      <c r="J18" s="291" t="n">
        <f>'Haver Pivoted'!GU64</f>
        <v>0</v>
      </c>
      <c r="K18" s="291" t="n">
        <f>'Haver Pivoted'!GV64</f>
        <v>106.2</v>
      </c>
      <c r="L18" s="291" t="n">
        <f>'Haver Pivoted'!GW64</f>
        <v>35.9</v>
      </c>
      <c r="M18" s="291" t="n">
        <f>'Haver Pivoted'!GX64</f>
        <v>1.6</v>
      </c>
      <c r="N18" s="291" t="n">
        <f>'Haver Pivoted'!GY64</f>
        <v>0.6</v>
      </c>
      <c r="O18" s="291" t="n">
        <f>'Haver Pivoted'!GZ64</f>
        <v>0.1</v>
      </c>
      <c r="P18" s="291" t="n">
        <f>'Haver Pivoted'!HA64</f>
        <v>0</v>
      </c>
      <c r="Q18" s="287" t="n">
        <f>'Haver Pivoted'!HB64</f>
        <v>0</v>
      </c>
      <c r="R18" s="287" t="n">
        <f>'Haver Pivoted'!HC64</f>
        <v>0</v>
      </c>
      <c r="S18" s="292" t="n">
        <f>'Haver Pivoted'!HD64</f>
        <v>0</v>
      </c>
      <c r="T18" s="366" t="n">
        <f>'Haver Pivoted'!HE64</f>
        <v>0</v>
      </c>
      <c r="U18" s="366" t="n">
        <f>'Haver Pivoted'!HF64</f>
        <v>0</v>
      </c>
      <c r="V18" s="293"/>
      <c r="W18" s="293"/>
      <c r="X18" s="293"/>
      <c r="Y18" s="293"/>
      <c r="Z18" s="293"/>
      <c r="AA18" s="293"/>
      <c r="AB18" s="293"/>
      <c r="AC18" s="367"/>
    </row>
    <row r="19" ht="14.9" customHeight="1">
      <c r="B19" s="324" t="s">
        <v>298</v>
      </c>
      <c r="C19" s="311"/>
      <c r="D19" s="318" t="n">
        <f t="shared" ref="D19:N19" si="7">D11-D20</f>
        <v>0</v>
      </c>
      <c r="E19" s="285" t="n">
        <f t="shared" si="7"/>
        <v>0</v>
      </c>
      <c r="F19" s="285" t="n">
        <f t="shared" si="7"/>
        <v>0</v>
      </c>
      <c r="G19" s="285" t="n">
        <f t="shared" si="7"/>
        <v>0</v>
      </c>
      <c r="H19" s="285" t="n">
        <f t="shared" si="7"/>
        <v>0</v>
      </c>
      <c r="I19" s="285" t="n">
        <f t="shared" si="7"/>
        <v>0</v>
      </c>
      <c r="J19" s="285" t="n">
        <f t="shared" si="7"/>
        <v>779.80000000000007</v>
      </c>
      <c r="K19" s="285" t="n">
        <f t="shared" si="7"/>
        <v>586.29999999999995</v>
      </c>
      <c r="L19" s="285" t="n">
        <f t="shared" si="7"/>
        <v>229.4</v>
      </c>
      <c r="M19" s="285" t="n">
        <f t="shared" si="7"/>
        <v>523.1</v>
      </c>
      <c r="N19" s="286" t="n">
        <f t="shared" si="7"/>
        <v>405.3</v>
      </c>
      <c r="O19" s="286" t="n">
        <f>O11-O20</f>
        <v>209.20000000000002</v>
      </c>
      <c r="P19" s="286" t="n">
        <f t="shared" ref="P19" si="8">P11-P20</f>
        <v>6.1000000000000014</v>
      </c>
      <c r="Q19" s="286" t="n">
        <f>Q11-Q20</f>
        <v>0.19999999999999929</v>
      </c>
      <c r="R19" s="286" t="n">
        <f>R11-R20</f>
        <v>1.1000000000000014</v>
      </c>
      <c r="S19" s="360" t="n">
        <f>S11-S20</f>
        <v>0.5</v>
      </c>
      <c r="T19" s="365" t="n">
        <f>T11-T20</f>
        <v>0.30000000000000071</v>
      </c>
      <c r="U19" s="365" t="n">
        <f>U11-U20</f>
        <v>0</v>
      </c>
      <c r="V19" s="294" t="n">
        <f t="shared" ref="V19:AC19" si="9">V11-V20</f>
        <v>0</v>
      </c>
      <c r="W19" s="294" t="n">
        <f t="shared" si="9"/>
        <v>0</v>
      </c>
      <c r="X19" s="294" t="n">
        <f t="shared" si="9"/>
        <v>0</v>
      </c>
      <c r="Y19" s="294" t="n">
        <f t="shared" si="9"/>
        <v>0</v>
      </c>
      <c r="Z19" s="294" t="n">
        <f t="shared" si="9"/>
        <v>0</v>
      </c>
      <c r="AA19" s="294" t="n">
        <f t="shared" si="9"/>
        <v>0</v>
      </c>
      <c r="AB19" s="294" t="n">
        <f t="shared" si="9"/>
        <v>0</v>
      </c>
      <c r="AC19" s="294" t="n">
        <f t="shared" si="9"/>
        <v>0</v>
      </c>
    </row>
    <row r="20" ht="14.9" customHeight="1">
      <c r="B20" s="324" t="s">
        <v>299</v>
      </c>
      <c r="C20" s="311"/>
      <c r="D20" s="318" t="n">
        <f t="shared" ref="D20:H20" si="10">D11</f>
        <v>27.1</v>
      </c>
      <c r="E20" s="285" t="n">
        <f t="shared" si="10"/>
        <v>30.5</v>
      </c>
      <c r="F20" s="285" t="n">
        <f t="shared" si="10"/>
        <v>27.7</v>
      </c>
      <c r="G20" s="285" t="n">
        <f t="shared" si="10"/>
        <v>25</v>
      </c>
      <c r="H20" s="285" t="n">
        <f t="shared" si="10"/>
        <v>26.7</v>
      </c>
      <c r="I20" s="285" t="n">
        <f>I11</f>
        <v>40.9</v>
      </c>
      <c r="J20" s="285" t="n">
        <f>J11-J13-J12</f>
        <v>171.59999999999994</v>
      </c>
      <c r="K20" s="285" t="n">
        <f>K11-K13-K12</f>
        <v>215.99999999999994</v>
      </c>
      <c r="L20" s="285" t="n">
        <f>L11-L13-L12</f>
        <v>94.1</v>
      </c>
      <c r="M20" s="285" t="n">
        <f>M11-M13-M12</f>
        <v>60.399999999999977</v>
      </c>
      <c r="N20" s="286" t="n">
        <f t="shared" ref="N20:U20" si="11">N11-N12-N13</f>
        <v>46.5</v>
      </c>
      <c r="O20" s="286" t="n">
        <f t="shared" si="11"/>
        <v>17.599999999999994</v>
      </c>
      <c r="P20" s="286" t="n">
        <f t="shared" si="11"/>
        <v>27.799999999999997</v>
      </c>
      <c r="Q20" s="287" t="n">
        <f t="shared" si="11"/>
        <v>26</v>
      </c>
      <c r="R20" s="287" t="n">
        <f t="shared" si="11"/>
        <v>20.299999999999997</v>
      </c>
      <c r="S20" s="292" t="n">
        <f t="shared" si="11"/>
        <v>19.100000000000001</v>
      </c>
      <c r="T20" s="366" t="n">
        <f t="shared" si="11"/>
        <v>21.8</v>
      </c>
      <c r="U20" s="366" t="n">
        <f t="shared" si="11"/>
        <v>22</v>
      </c>
      <c r="V20" s="294" t="n">
        <f t="shared" ref="V20:AB20" si="12">U20*V23/U23</f>
        <v>28.907999999999998</v>
      </c>
      <c r="W20" s="294" t="n">
        <f t="shared" si="12"/>
        <v>30.79371428571428</v>
      </c>
      <c r="X20" s="294" t="n">
        <f t="shared" si="12"/>
        <v>32.145142857142851</v>
      </c>
      <c r="Y20" s="294" t="n">
        <f t="shared" si="12"/>
        <v>32.05085714285714</v>
      </c>
      <c r="Z20" s="294" t="n">
        <f t="shared" si="12"/>
        <v>31.07028571428571</v>
      </c>
      <c r="AA20" s="294" t="n">
        <f t="shared" si="12"/>
        <v>30.542285714285711</v>
      </c>
      <c r="AB20" s="294" t="n">
        <f t="shared" si="12"/>
        <v>30.165142857142857</v>
      </c>
      <c r="AC20" s="364" t="n">
        <f>AB20*AC23/AB23</f>
        <v>30.020571428571422</v>
      </c>
      <c r="AD20" s="319" t="s">
        <v>300</v>
      </c>
    </row>
    <row r="21">
      <c r="B21" s="305"/>
      <c r="C21" s="306"/>
      <c r="D21" s="329"/>
      <c r="E21" s="287"/>
      <c r="F21" s="287"/>
      <c r="G21" s="287"/>
      <c r="H21" s="283"/>
      <c r="I21" s="283"/>
      <c r="J21" s="283"/>
      <c r="K21" s="283"/>
      <c r="L21" s="283"/>
      <c r="M21" s="283"/>
      <c r="N21" s="283"/>
      <c r="O21" s="283"/>
      <c r="P21" s="283"/>
      <c r="Q21" s="283"/>
      <c r="R21" s="283"/>
      <c r="S21" s="283"/>
      <c r="T21" s="376"/>
      <c r="U21" s="283"/>
      <c r="V21" s="293"/>
      <c r="W21" s="293"/>
      <c r="X21" s="293"/>
      <c r="Y21" s="293"/>
      <c r="Z21" s="293"/>
      <c r="AA21" s="293"/>
      <c r="AB21" s="293"/>
      <c r="AC21" s="367"/>
    </row>
    <row r="22">
      <c r="B22" s="297" t="s">
        <v>1750</v>
      </c>
      <c r="C22" s="306"/>
      <c r="D22" s="287"/>
      <c r="E22" s="287"/>
      <c r="F22" s="287"/>
      <c r="G22" s="287"/>
      <c r="H22" s="283"/>
      <c r="I22" s="283"/>
      <c r="J22" s="283"/>
      <c r="K22" s="283"/>
      <c r="L22" s="283"/>
      <c r="M22" s="283"/>
      <c r="N22" s="283"/>
      <c r="O22" s="283"/>
      <c r="P22" s="283"/>
      <c r="Q22" s="283"/>
      <c r="R22" s="283"/>
      <c r="S22" s="283"/>
      <c r="T22" s="308"/>
      <c r="U22" s="280"/>
      <c r="V22" s="279" t="n">
        <v>4.5990000000000002</v>
      </c>
      <c r="W22" s="279" t="n">
        <v>4.899</v>
      </c>
      <c r="X22" s="279" t="n">
        <v>5.1139999999999999</v>
      </c>
      <c r="Y22" s="279" t="n">
        <v>5.0990000000000002</v>
      </c>
      <c r="Z22" s="279" t="n">
        <v>4.9429999999999996</v>
      </c>
      <c r="AA22" s="279" t="n">
        <v>4.859</v>
      </c>
      <c r="AB22" s="279" t="n">
        <v>4.7990000000000004</v>
      </c>
      <c r="AC22" s="279" t="n">
        <v>4.7759999999999998</v>
      </c>
    </row>
    <row r="23">
      <c r="B23" s="305" t="s">
        <v>1809</v>
      </c>
      <c r="C23" s="369"/>
      <c r="D23" s="370"/>
      <c r="E23" s="371"/>
      <c r="F23" s="371"/>
      <c r="G23" s="371"/>
      <c r="H23" s="372"/>
      <c r="I23" s="372"/>
      <c r="J23" s="372"/>
      <c r="K23" s="372"/>
      <c r="L23" s="372"/>
      <c r="M23" s="372" t="n">
        <f>GETPIVOTDATA("Monthly UR",$E$28,"Quarters",M24,"Years",M25)</f>
        <v>6.166666666666667</v>
      </c>
      <c r="N23" s="372" t="n">
        <f t="shared" ref="N23:U23" si="13">GETPIVOTDATA("Monthly UR",$E$28,"Quarters",N24,"Years",N25)</f>
        <v>5.7666666666666657</v>
      </c>
      <c r="O23" s="372" t="n">
        <f t="shared" si="13"/>
        <v>5.1333333333333337</v>
      </c>
      <c r="P23" s="372" t="n">
        <f t="shared" si="13"/>
        <v>4.2333333333333334</v>
      </c>
      <c r="Q23" s="372" t="n">
        <f t="shared" si="13"/>
        <v>3.8000000000000003</v>
      </c>
      <c r="R23" s="372" t="n">
        <f t="shared" si="13"/>
        <v>3.6</v>
      </c>
      <c r="S23" s="372" t="n">
        <f t="shared" si="13"/>
        <v>3.5666666666666664</v>
      </c>
      <c r="T23" s="372" t="n">
        <f t="shared" si="13"/>
        <v>3.6</v>
      </c>
      <c r="U23" s="372" t="n">
        <f t="shared" si="13"/>
        <v>3.5</v>
      </c>
      <c r="V23" s="377" t="n">
        <v>4.5990000000000002</v>
      </c>
      <c r="W23" s="377" t="n">
        <v>4.899</v>
      </c>
      <c r="X23" s="377" t="n">
        <v>5.1139999999999999</v>
      </c>
      <c r="Y23" s="377" t="n">
        <v>5.0990000000000002</v>
      </c>
      <c r="Z23" s="377" t="n">
        <v>4.9429999999999996</v>
      </c>
      <c r="AA23" s="377" t="n">
        <v>4.859</v>
      </c>
      <c r="AB23" s="377" t="n">
        <v>4.7990000000000004</v>
      </c>
      <c r="AC23" s="378" t="n">
        <v>4.7759999999999998</v>
      </c>
      <c r="AD23" s="280" t="s">
        <v>301</v>
      </c>
    </row>
    <row r="24" ht="15.75" customHeight="1">
      <c r="B24" s="374" t="s">
        <v>1823</v>
      </c>
      <c r="C24" s="363"/>
      <c r="D24" s="346"/>
      <c r="E24" s="346"/>
      <c r="F24" s="346"/>
      <c r="G24" s="346"/>
      <c r="H24" s="346"/>
      <c r="I24" s="346"/>
      <c r="J24" s="346"/>
      <c r="K24" s="346"/>
      <c r="L24" s="346"/>
      <c r="M24" s="346" t="n">
        <v>1</v>
      </c>
      <c r="N24" s="346" t="n">
        <v>2</v>
      </c>
      <c r="O24" s="346" t="n">
        <v>3</v>
      </c>
      <c r="P24" s="346" t="n">
        <v>4</v>
      </c>
      <c r="Q24" s="346" t="n">
        <v>1</v>
      </c>
      <c r="R24" s="346" t="n">
        <v>2</v>
      </c>
      <c r="S24" s="346" t="n">
        <v>3</v>
      </c>
      <c r="T24" s="346" t="n">
        <v>4</v>
      </c>
      <c r="U24" s="346" t="n">
        <v>1</v>
      </c>
      <c r="V24" s="346" t="n">
        <v>2</v>
      </c>
      <c r="W24" s="346" t="n">
        <v>3</v>
      </c>
      <c r="X24" s="346" t="n">
        <v>4</v>
      </c>
      <c r="Y24" s="346" t="n">
        <v>1</v>
      </c>
      <c r="Z24" s="346" t="n">
        <v>2</v>
      </c>
      <c r="AA24" s="346" t="n">
        <v>3</v>
      </c>
      <c r="AB24" s="346" t="n">
        <v>4</v>
      </c>
      <c r="AC24" s="346" t="n">
        <v>1</v>
      </c>
      <c r="AD24" s="291" t="n">
        <v>2</v>
      </c>
      <c r="AE24" s="291" t="n">
        <v>3</v>
      </c>
      <c r="AF24" s="291" t="n">
        <v>4</v>
      </c>
    </row>
    <row r="25">
      <c r="B25" s="375" t="s">
        <v>1824</v>
      </c>
      <c r="C25" s="363"/>
      <c r="D25" s="346"/>
      <c r="E25" s="346"/>
      <c r="F25" s="346"/>
      <c r="G25" s="346"/>
      <c r="H25" s="346"/>
      <c r="I25" s="346"/>
      <c r="J25" s="346"/>
      <c r="K25" s="346"/>
      <c r="L25" s="346"/>
      <c r="M25" s="346" t="n">
        <v>2021</v>
      </c>
      <c r="N25" s="346" t="n">
        <v>2021</v>
      </c>
      <c r="O25" s="346" t="n">
        <v>2021</v>
      </c>
      <c r="P25" s="346" t="n">
        <v>2021</v>
      </c>
      <c r="Q25" s="346" t="n">
        <v>2022</v>
      </c>
      <c r="R25" s="346" t="n">
        <v>2022</v>
      </c>
      <c r="S25" s="346" t="n">
        <v>2022</v>
      </c>
      <c r="T25" s="346" t="n">
        <v>2022</v>
      </c>
      <c r="U25" s="346" t="n">
        <v>2023</v>
      </c>
      <c r="V25" s="346" t="n">
        <v>2023</v>
      </c>
      <c r="W25" s="346" t="n">
        <v>2023</v>
      </c>
      <c r="X25" s="346" t="n">
        <v>2023</v>
      </c>
      <c r="Y25" s="346" t="n">
        <v>2024</v>
      </c>
      <c r="Z25" s="346" t="n">
        <v>2024</v>
      </c>
      <c r="AA25" s="346" t="n">
        <v>2024</v>
      </c>
      <c r="AB25" s="346" t="n">
        <v>2024</v>
      </c>
      <c r="AC25" s="346" t="n">
        <v>2025</v>
      </c>
      <c r="AD25" s="280"/>
    </row>
    <row r="26">
      <c r="C26" s="297"/>
      <c r="D26" s="291"/>
      <c r="E26" s="291"/>
      <c r="F26" s="291"/>
      <c r="G26" s="291"/>
      <c r="H26" s="283"/>
      <c r="I26" s="283"/>
      <c r="J26" s="283"/>
      <c r="K26" s="283"/>
      <c r="L26" s="283"/>
      <c r="M26" s="283"/>
      <c r="N26" s="283"/>
      <c r="O26" s="283"/>
      <c r="P26" s="283"/>
      <c r="AD26" s="280"/>
    </row>
    <row r="27">
      <c r="M27" s="297"/>
      <c r="N27" s="297"/>
      <c r="O27" s="297"/>
    </row>
    <row r="28" ht="43.5" customHeight="1">
      <c r="B28" s="336" t="s">
        <v>302</v>
      </c>
      <c r="C28" s="337" t="s">
        <v>303</v>
      </c>
      <c r="D28" s="334"/>
      <c r="E28" s="34" t="s">
        <v>1813</v>
      </c>
      <c r="F28" s="34" t="s">
        <v>1818</v>
      </c>
      <c r="G28" s="34"/>
      <c r="H28" s="34"/>
      <c r="I28" s="34"/>
      <c r="J28" s="34"/>
      <c r="O28" s="338"/>
    </row>
    <row r="29">
      <c r="A29" s="85"/>
      <c r="B29" s="331" t="n">
        <v>44197</v>
      </c>
      <c r="C29" s="281" t="n">
        <v>6.3</v>
      </c>
      <c r="D29" s="335"/>
      <c r="E29" s="71" t="s">
        <v>1748</v>
      </c>
      <c r="F29" s="85"/>
      <c r="G29" s="85"/>
      <c r="H29" s="103"/>
      <c r="I29" s="85"/>
      <c r="J29" s="103"/>
      <c r="O29" s="297"/>
    </row>
    <row r="30">
      <c r="A30" s="85"/>
      <c r="B30" s="331" t="n">
        <v>44228</v>
      </c>
      <c r="C30" s="281" t="n">
        <v>6.2</v>
      </c>
      <c r="D30" s="335"/>
      <c r="E30" s="184" t="s">
        <v>1814</v>
      </c>
      <c r="F30" s="197" t="n">
        <v>6.166666666666667</v>
      </c>
      <c r="G30" s="85"/>
      <c r="H30" s="103"/>
      <c r="I30" s="85"/>
      <c r="J30" s="103"/>
      <c r="O30" s="297"/>
    </row>
    <row r="31">
      <c r="A31" s="85"/>
      <c r="B31" s="331" t="n">
        <v>44256</v>
      </c>
      <c r="C31" s="281" t="n">
        <v>6</v>
      </c>
      <c r="D31" s="335"/>
      <c r="E31" s="184" t="s">
        <v>1815</v>
      </c>
      <c r="F31" s="197" t="n">
        <v>5.7666666666666657</v>
      </c>
      <c r="G31" s="85"/>
      <c r="H31" s="103"/>
      <c r="I31" s="85"/>
      <c r="J31" s="103"/>
      <c r="O31" s="297"/>
    </row>
    <row r="32">
      <c r="A32" s="85"/>
      <c r="B32" s="331" t="n">
        <v>44287</v>
      </c>
      <c r="C32" s="281" t="n">
        <v>6.1</v>
      </c>
      <c r="D32" s="335"/>
      <c r="E32" s="184" t="s">
        <v>1816</v>
      </c>
      <c r="F32" s="197" t="n">
        <v>5.1333333333333337</v>
      </c>
      <c r="G32" s="85"/>
      <c r="H32" s="103"/>
      <c r="I32" s="85"/>
      <c r="J32" s="103"/>
      <c r="O32" s="297"/>
    </row>
    <row r="33">
      <c r="A33" s="85"/>
      <c r="B33" s="331" t="n">
        <v>44317</v>
      </c>
      <c r="C33" s="281" t="n">
        <v>5.8</v>
      </c>
      <c r="D33" s="335"/>
      <c r="E33" s="184" t="s">
        <v>1817</v>
      </c>
      <c r="F33" s="197" t="n">
        <v>4.2333333333333334</v>
      </c>
      <c r="G33" s="85"/>
      <c r="H33" s="103"/>
      <c r="I33" s="85"/>
      <c r="J33" s="103"/>
      <c r="O33" s="297"/>
    </row>
    <row r="34">
      <c r="A34" s="85"/>
      <c r="B34" s="331" t="n">
        <v>44348</v>
      </c>
      <c r="C34" s="281" t="n">
        <v>5.4</v>
      </c>
      <c r="D34" s="335"/>
      <c r="E34" s="71" t="s">
        <v>1737</v>
      </c>
      <c r="F34" s="197"/>
      <c r="G34" s="85"/>
      <c r="H34" s="103"/>
      <c r="I34" s="85"/>
      <c r="J34" s="103"/>
      <c r="O34" s="297"/>
    </row>
    <row r="35">
      <c r="A35" s="85"/>
      <c r="B35" s="331" t="n">
        <v>44378</v>
      </c>
      <c r="C35" s="281" t="n">
        <v>5.4</v>
      </c>
      <c r="D35" s="335"/>
      <c r="E35" s="184" t="s">
        <v>1814</v>
      </c>
      <c r="F35" s="197" t="n">
        <v>3.8000000000000003</v>
      </c>
      <c r="G35" s="85"/>
      <c r="H35" s="103"/>
      <c r="I35" s="85"/>
      <c r="J35" s="103"/>
      <c r="O35" s="297"/>
    </row>
    <row r="36">
      <c r="A36" s="85"/>
      <c r="B36" s="331" t="n">
        <v>44409</v>
      </c>
      <c r="C36" s="281" t="n">
        <v>5.2</v>
      </c>
      <c r="D36" s="335"/>
      <c r="E36" s="184" t="s">
        <v>1815</v>
      </c>
      <c r="F36" s="197" t="n">
        <v>3.6</v>
      </c>
      <c r="G36" s="85"/>
      <c r="H36" s="103"/>
      <c r="I36" s="85"/>
      <c r="J36" s="103"/>
      <c r="O36" s="297"/>
    </row>
    <row r="37">
      <c r="A37" s="85"/>
      <c r="B37" s="331" t="n">
        <v>44440</v>
      </c>
      <c r="C37" s="281" t="n">
        <v>4.8</v>
      </c>
      <c r="D37" s="335"/>
      <c r="E37" s="184" t="s">
        <v>1816</v>
      </c>
      <c r="F37" s="197" t="n">
        <v>3.5666666666666664</v>
      </c>
      <c r="G37" s="85"/>
      <c r="H37" s="103"/>
      <c r="I37" s="85"/>
      <c r="J37" s="103"/>
      <c r="O37" s="297"/>
    </row>
    <row r="38">
      <c r="A38" s="85"/>
      <c r="B38" s="331" t="n">
        <v>44470</v>
      </c>
      <c r="C38" s="281" t="n">
        <v>4.5999999999999996</v>
      </c>
      <c r="D38" s="335"/>
      <c r="E38" s="184" t="s">
        <v>1817</v>
      </c>
      <c r="F38" s="197" t="n">
        <v>3.6</v>
      </c>
      <c r="G38" s="85"/>
      <c r="H38" s="103"/>
      <c r="I38" s="85"/>
      <c r="J38" s="103"/>
      <c r="O38" s="297"/>
    </row>
    <row r="39">
      <c r="A39" s="85"/>
      <c r="B39" s="331" t="n">
        <v>44501</v>
      </c>
      <c r="C39" s="281" t="n">
        <v>4.2</v>
      </c>
      <c r="D39" s="335"/>
      <c r="E39" s="71" t="s">
        <v>1819</v>
      </c>
      <c r="F39" s="197"/>
      <c r="G39" s="85"/>
      <c r="H39" s="103"/>
      <c r="I39" s="85"/>
      <c r="J39" s="103"/>
      <c r="O39" s="297"/>
      <c r="AD39" s="297"/>
      <c r="AE39" s="297"/>
      <c r="AF39" s="297"/>
      <c r="AG39" s="297"/>
      <c r="AH39" s="297"/>
      <c r="AI39" s="297"/>
      <c r="AJ39" s="297"/>
      <c r="AK39" s="297"/>
      <c r="AL39" s="297"/>
    </row>
    <row r="40">
      <c r="A40" s="85"/>
      <c r="B40" s="331" t="n">
        <v>44531</v>
      </c>
      <c r="C40" s="281" t="n">
        <v>3.9</v>
      </c>
      <c r="D40" s="335"/>
      <c r="E40" s="184" t="s">
        <v>1814</v>
      </c>
      <c r="F40" s="197" t="n">
        <v>3.5</v>
      </c>
      <c r="G40" s="85"/>
      <c r="H40" s="103"/>
      <c r="I40" s="85"/>
      <c r="J40" s="103"/>
      <c r="O40" s="297"/>
      <c r="AD40" s="297"/>
      <c r="AE40" s="297"/>
      <c r="AF40" s="297"/>
      <c r="AG40" s="297"/>
      <c r="AH40" s="297"/>
      <c r="AI40" s="297"/>
      <c r="AJ40" s="297"/>
      <c r="AK40" s="297"/>
      <c r="AL40" s="297"/>
    </row>
    <row r="41">
      <c r="A41" s="85"/>
      <c r="B41" s="331" t="n">
        <v>44562</v>
      </c>
      <c r="C41" s="281" t="n">
        <v>4</v>
      </c>
      <c r="D41" s="85"/>
      <c r="E41" s="184" t="s">
        <v>1815</v>
      </c>
      <c r="F41" s="197"/>
      <c r="G41" s="85"/>
      <c r="H41" s="103"/>
      <c r="I41" s="85"/>
      <c r="J41" s="103"/>
      <c r="O41" s="297"/>
    </row>
    <row r="42">
      <c r="A42" s="85"/>
      <c r="B42" s="331" t="n">
        <v>44593</v>
      </c>
      <c r="C42" s="281" t="n">
        <v>3.8</v>
      </c>
      <c r="D42" s="85"/>
      <c r="E42" s="184" t="s">
        <v>1816</v>
      </c>
      <c r="F42" s="197"/>
      <c r="G42" s="85"/>
      <c r="H42" s="103"/>
      <c r="I42" s="85"/>
      <c r="J42" s="103"/>
    </row>
    <row r="43">
      <c r="A43" s="85"/>
      <c r="B43" s="331" t="n">
        <v>44621</v>
      </c>
      <c r="C43" s="281" t="n">
        <v>3.6</v>
      </c>
      <c r="D43" s="85"/>
      <c r="E43" s="184" t="s">
        <v>1817</v>
      </c>
      <c r="F43" s="197"/>
      <c r="G43" s="85"/>
      <c r="H43" s="103"/>
      <c r="I43" s="85"/>
      <c r="J43" s="103"/>
    </row>
    <row r="44">
      <c r="A44" s="85"/>
      <c r="B44" s="331" t="n">
        <v>44652</v>
      </c>
      <c r="C44" s="281" t="n">
        <v>3.6</v>
      </c>
      <c r="D44" s="85"/>
      <c r="E44" s="71" t="s">
        <v>1820</v>
      </c>
      <c r="F44" s="197"/>
      <c r="G44" s="85"/>
      <c r="H44" s="103"/>
      <c r="I44" s="85"/>
      <c r="J44" s="103"/>
    </row>
    <row r="45">
      <c r="A45" s="85"/>
      <c r="B45" s="331" t="n">
        <v>44682</v>
      </c>
      <c r="C45" s="281" t="n">
        <v>3.6</v>
      </c>
      <c r="D45" s="85"/>
      <c r="E45" s="184" t="s">
        <v>1814</v>
      </c>
      <c r="F45" s="197"/>
      <c r="G45" s="85"/>
      <c r="H45" s="103"/>
      <c r="I45" s="85"/>
      <c r="J45" s="103"/>
    </row>
    <row r="46">
      <c r="A46" s="85"/>
      <c r="B46" s="331" t="n">
        <v>44713</v>
      </c>
      <c r="C46" s="281" t="n">
        <v>3.6</v>
      </c>
      <c r="D46" s="85"/>
      <c r="E46" s="184" t="s">
        <v>1815</v>
      </c>
      <c r="F46" s="197"/>
      <c r="G46" s="85"/>
      <c r="H46" s="103"/>
      <c r="I46" s="85"/>
      <c r="J46" s="103"/>
    </row>
    <row r="47">
      <c r="A47" s="85"/>
      <c r="B47" s="331" t="n">
        <v>44743</v>
      </c>
      <c r="C47" s="281" t="n">
        <v>3.5</v>
      </c>
      <c r="D47" s="85"/>
      <c r="E47" s="184" t="s">
        <v>1816</v>
      </c>
      <c r="F47" s="197"/>
      <c r="G47" s="85"/>
      <c r="H47" s="103"/>
      <c r="I47" s="85"/>
      <c r="J47" s="103"/>
    </row>
    <row r="48">
      <c r="A48" s="85"/>
      <c r="B48" s="331" t="n">
        <v>44774</v>
      </c>
      <c r="C48" s="281" t="n">
        <v>3.7</v>
      </c>
      <c r="D48" s="85"/>
      <c r="E48" s="184" t="s">
        <v>1817</v>
      </c>
      <c r="F48" s="197"/>
      <c r="G48" s="85"/>
      <c r="H48" s="103"/>
      <c r="I48" s="85"/>
      <c r="J48" s="103"/>
    </row>
    <row r="49">
      <c r="B49" s="331" t="n">
        <v>44805</v>
      </c>
      <c r="C49" s="281" t="n">
        <v>3.5</v>
      </c>
      <c r="D49" s="85"/>
      <c r="E49" s="71" t="s">
        <v>1821</v>
      </c>
      <c r="F49" s="197"/>
      <c r="G49" s="85"/>
      <c r="H49" s="85"/>
      <c r="I49" s="85"/>
      <c r="J49" s="85"/>
    </row>
    <row r="50">
      <c r="B50" s="331" t="n">
        <v>44835</v>
      </c>
      <c r="C50" s="281" t="n">
        <v>3.7</v>
      </c>
      <c r="D50" s="85"/>
      <c r="E50" s="184" t="s">
        <v>1814</v>
      </c>
      <c r="F50" s="197"/>
      <c r="G50" s="85"/>
      <c r="H50" s="85"/>
      <c r="I50" s="85"/>
      <c r="J50" s="85"/>
    </row>
    <row r="51">
      <c r="B51" s="331" t="n">
        <v>44866</v>
      </c>
      <c r="C51" s="281" t="n">
        <v>3.6</v>
      </c>
      <c r="D51" s="85"/>
      <c r="E51" s="184" t="s">
        <v>1815</v>
      </c>
      <c r="F51" s="197"/>
      <c r="G51" s="85"/>
      <c r="H51" s="85"/>
      <c r="I51" s="85"/>
      <c r="J51" s="85"/>
    </row>
    <row r="52">
      <c r="B52" s="331" t="n">
        <v>44896</v>
      </c>
      <c r="C52" s="281" t="n">
        <v>3.5</v>
      </c>
      <c r="D52" s="85"/>
      <c r="E52" s="184" t="s">
        <v>1816</v>
      </c>
      <c r="F52" s="197"/>
      <c r="G52" s="85"/>
      <c r="H52" s="85"/>
      <c r="I52" s="85"/>
      <c r="J52" s="85"/>
    </row>
    <row r="53">
      <c r="B53" s="331" t="n">
        <v>44927</v>
      </c>
      <c r="C53" s="281" t="n">
        <v>3.4</v>
      </c>
      <c r="D53" s="85"/>
      <c r="E53" s="184" t="s">
        <v>1817</v>
      </c>
      <c r="F53" s="197"/>
      <c r="G53" s="85"/>
      <c r="H53" s="85"/>
      <c r="I53" s="85"/>
      <c r="J53" s="85"/>
    </row>
    <row r="54">
      <c r="B54" s="331" t="n">
        <v>44958</v>
      </c>
      <c r="C54" s="281" t="n">
        <v>3.6</v>
      </c>
      <c r="D54" s="85"/>
      <c r="E54" s="71" t="s">
        <v>1822</v>
      </c>
      <c r="F54" s="197"/>
      <c r="G54" s="85"/>
      <c r="H54" s="85"/>
      <c r="I54" s="85"/>
      <c r="J54" s="85"/>
    </row>
    <row r="55">
      <c r="B55" s="331" t="n">
        <v>44986</v>
      </c>
      <c r="C55" s="281" t="n">
        <v>3.5</v>
      </c>
      <c r="D55" s="85"/>
      <c r="E55" s="184" t="s">
        <v>1814</v>
      </c>
      <c r="F55" s="197"/>
      <c r="G55" s="85"/>
      <c r="H55" s="85"/>
      <c r="I55" s="85"/>
      <c r="J55" s="85"/>
    </row>
    <row r="56">
      <c r="B56" s="331" t="n">
        <v>45017</v>
      </c>
      <c r="C56" s="281"/>
      <c r="D56" s="85"/>
      <c r="E56" s="184" t="s">
        <v>1815</v>
      </c>
      <c r="F56" s="197"/>
      <c r="G56" s="85"/>
      <c r="H56" s="85"/>
      <c r="I56" s="85"/>
      <c r="J56" s="85"/>
    </row>
    <row r="57">
      <c r="B57" s="331" t="n">
        <v>45047</v>
      </c>
      <c r="C57" s="281"/>
      <c r="D57" s="85"/>
      <c r="E57" s="184" t="s">
        <v>1816</v>
      </c>
      <c r="F57" s="197"/>
      <c r="G57" s="85"/>
      <c r="H57" s="85"/>
      <c r="I57" s="85"/>
      <c r="J57" s="85"/>
    </row>
    <row r="58">
      <c r="B58" s="331" t="n">
        <v>45078</v>
      </c>
      <c r="C58" s="281"/>
      <c r="D58" s="85"/>
      <c r="E58" s="184" t="s">
        <v>1817</v>
      </c>
      <c r="F58" s="197"/>
      <c r="G58" s="85"/>
      <c r="H58" s="85"/>
      <c r="I58" s="85"/>
      <c r="J58" s="85"/>
    </row>
    <row r="59">
      <c r="B59" s="331" t="n">
        <v>45108</v>
      </c>
      <c r="C59" s="281"/>
      <c r="D59" s="85"/>
      <c r="E59" s="85"/>
      <c r="F59" s="85"/>
      <c r="G59" s="85"/>
      <c r="H59" s="85"/>
      <c r="I59" s="85"/>
      <c r="J59" s="85"/>
    </row>
    <row r="60">
      <c r="B60" s="331" t="n">
        <v>45139</v>
      </c>
      <c r="C60" s="281"/>
      <c r="D60" s="85"/>
      <c r="E60" s="85"/>
      <c r="F60" s="85"/>
      <c r="G60" s="85"/>
      <c r="H60" s="85"/>
      <c r="I60" s="85"/>
      <c r="J60" s="85"/>
    </row>
    <row r="61">
      <c r="B61" s="331" t="n">
        <v>45170</v>
      </c>
      <c r="C61" s="281"/>
      <c r="D61" s="85"/>
      <c r="E61" s="85"/>
      <c r="F61" s="85"/>
      <c r="G61" s="85"/>
      <c r="H61" s="85"/>
      <c r="I61" s="85"/>
      <c r="J61" s="85"/>
    </row>
    <row r="62">
      <c r="B62" s="331" t="n">
        <v>45200</v>
      </c>
      <c r="C62" s="281"/>
      <c r="D62" s="85"/>
      <c r="E62" s="85"/>
      <c r="F62" s="85"/>
      <c r="G62" s="85"/>
      <c r="H62" s="85"/>
      <c r="I62" s="85"/>
      <c r="J62" s="85"/>
    </row>
    <row r="63">
      <c r="B63" s="331" t="n">
        <v>45231</v>
      </c>
      <c r="C63" s="281"/>
      <c r="D63" s="85"/>
      <c r="E63" s="85"/>
      <c r="F63" s="85"/>
      <c r="G63" s="85"/>
      <c r="H63" s="85"/>
      <c r="I63" s="85"/>
      <c r="J63" s="85"/>
    </row>
    <row r="64">
      <c r="B64" s="331" t="n">
        <v>45261</v>
      </c>
      <c r="C64" s="281"/>
      <c r="D64" s="85"/>
      <c r="E64" s="85"/>
      <c r="F64" s="85"/>
      <c r="G64" s="85"/>
      <c r="H64" s="85"/>
      <c r="I64" s="85"/>
      <c r="J64" s="85"/>
    </row>
    <row r="65">
      <c r="B65" s="331" t="n">
        <v>45292</v>
      </c>
      <c r="C65" s="281"/>
      <c r="D65" s="85"/>
      <c r="E65" s="85"/>
      <c r="F65" s="85"/>
      <c r="G65" s="85"/>
      <c r="H65" s="85"/>
      <c r="I65" s="85"/>
      <c r="J65" s="85"/>
    </row>
    <row r="66">
      <c r="B66" s="331" t="n">
        <v>45323</v>
      </c>
      <c r="C66" s="281"/>
      <c r="D66" s="85"/>
      <c r="E66" s="85"/>
      <c r="F66" s="85"/>
      <c r="G66" s="85"/>
      <c r="H66" s="85"/>
      <c r="I66" s="85"/>
      <c r="J66" s="85"/>
    </row>
    <row r="67">
      <c r="B67" s="331" t="n">
        <v>45352</v>
      </c>
      <c r="C67" s="281"/>
      <c r="D67" s="85"/>
      <c r="E67" s="85"/>
      <c r="F67" s="85"/>
      <c r="G67" s="85"/>
      <c r="H67" s="85"/>
      <c r="I67" s="85"/>
      <c r="J67" s="85"/>
    </row>
    <row r="68">
      <c r="B68" s="331" t="n">
        <v>45383</v>
      </c>
      <c r="C68" s="281"/>
      <c r="D68" s="85"/>
      <c r="E68" s="85"/>
      <c r="F68" s="85"/>
      <c r="G68" s="85"/>
      <c r="H68" s="85"/>
      <c r="I68" s="85"/>
      <c r="J68" s="85"/>
    </row>
    <row r="69">
      <c r="B69" s="331" t="n">
        <v>45413</v>
      </c>
      <c r="C69" s="281"/>
      <c r="D69" s="85"/>
      <c r="E69" s="85"/>
      <c r="F69" s="85"/>
      <c r="G69" s="85"/>
      <c r="H69" s="85"/>
      <c r="I69" s="85"/>
      <c r="J69" s="85"/>
    </row>
    <row r="70">
      <c r="B70" s="331" t="n">
        <v>45444</v>
      </c>
      <c r="C70" s="281"/>
      <c r="D70" s="85"/>
      <c r="E70" s="85"/>
      <c r="F70" s="85"/>
      <c r="G70" s="85"/>
      <c r="H70" s="85"/>
      <c r="I70" s="85"/>
      <c r="J70" s="85"/>
    </row>
    <row r="71">
      <c r="B71" s="331" t="n">
        <v>45474</v>
      </c>
      <c r="C71" s="281"/>
      <c r="D71" s="85"/>
      <c r="E71" s="85"/>
      <c r="F71" s="85"/>
      <c r="G71" s="85"/>
      <c r="H71" s="85"/>
      <c r="I71" s="85"/>
      <c r="J71" s="85"/>
    </row>
    <row r="72">
      <c r="B72" s="331" t="n">
        <v>45505</v>
      </c>
      <c r="C72" s="281"/>
      <c r="D72" s="85"/>
      <c r="E72" s="85"/>
      <c r="F72" s="85"/>
      <c r="G72" s="85"/>
      <c r="H72" s="85"/>
      <c r="I72" s="85"/>
      <c r="J72" s="85"/>
    </row>
    <row r="73">
      <c r="B73" s="331" t="n">
        <v>45536</v>
      </c>
      <c r="C73" s="281"/>
      <c r="D73" s="85"/>
      <c r="E73" s="85"/>
      <c r="F73" s="85"/>
      <c r="G73" s="85"/>
      <c r="H73" s="85"/>
      <c r="I73" s="85"/>
      <c r="J73" s="85"/>
    </row>
    <row r="74">
      <c r="B74" s="331" t="n">
        <v>45566</v>
      </c>
      <c r="C74" s="281"/>
      <c r="D74" s="85"/>
      <c r="E74" s="85"/>
      <c r="F74" s="85"/>
      <c r="G74" s="85"/>
      <c r="H74" s="85"/>
      <c r="I74" s="85"/>
      <c r="J74" s="85"/>
    </row>
    <row r="75">
      <c r="B75" s="331" t="n">
        <v>45597</v>
      </c>
      <c r="C75" s="281"/>
      <c r="D75" s="85"/>
      <c r="E75" s="85"/>
      <c r="F75" s="85"/>
      <c r="G75" s="85"/>
      <c r="H75" s="85"/>
      <c r="I75" s="85"/>
      <c r="J75" s="85"/>
    </row>
    <row r="76">
      <c r="B76" s="331" t="n">
        <v>45627</v>
      </c>
      <c r="C76" s="281"/>
      <c r="D76" s="85"/>
      <c r="E76" s="85"/>
      <c r="F76" s="85"/>
      <c r="G76" s="85"/>
      <c r="H76" s="85"/>
      <c r="I76" s="85"/>
      <c r="J76" s="85"/>
    </row>
    <row r="77">
      <c r="B77" s="331" t="n">
        <v>45658</v>
      </c>
      <c r="C77" s="281"/>
      <c r="D77" s="85"/>
      <c r="E77" s="85"/>
      <c r="F77" s="85"/>
      <c r="G77" s="85"/>
      <c r="H77" s="85"/>
      <c r="I77" s="85"/>
      <c r="J77" s="85"/>
    </row>
    <row r="78">
      <c r="B78" s="331" t="n">
        <v>45689</v>
      </c>
      <c r="C78" s="281"/>
      <c r="D78" s="85"/>
      <c r="E78" s="85"/>
      <c r="F78" s="85"/>
      <c r="G78" s="85"/>
      <c r="H78" s="85"/>
      <c r="I78" s="85"/>
      <c r="J78" s="85"/>
    </row>
    <row r="79">
      <c r="B79" s="331" t="n">
        <v>45717</v>
      </c>
      <c r="C79" s="281"/>
      <c r="D79" s="85"/>
      <c r="E79" s="85"/>
      <c r="F79" s="85"/>
      <c r="G79" s="85"/>
      <c r="H79" s="85"/>
      <c r="I79" s="85"/>
      <c r="J79" s="85"/>
    </row>
    <row r="80">
      <c r="B80" s="331" t="n">
        <v>45748</v>
      </c>
      <c r="C80" s="281"/>
      <c r="D80" s="85"/>
      <c r="E80" s="85"/>
      <c r="F80" s="85"/>
      <c r="G80" s="85"/>
      <c r="H80" s="85"/>
      <c r="I80" s="85"/>
      <c r="J80" s="85"/>
    </row>
    <row r="81">
      <c r="B81" s="331" t="n">
        <v>45778</v>
      </c>
      <c r="C81" s="281"/>
      <c r="D81" s="85"/>
      <c r="E81" s="85"/>
      <c r="F81" s="85"/>
      <c r="G81" s="85"/>
      <c r="H81" s="85"/>
      <c r="I81" s="85"/>
      <c r="J81" s="85"/>
    </row>
    <row r="82">
      <c r="B82" s="331" t="n">
        <v>45809</v>
      </c>
      <c r="C82" s="281"/>
      <c r="D82" s="85"/>
      <c r="E82" s="85"/>
      <c r="F82" s="85"/>
      <c r="G82" s="85"/>
      <c r="H82" s="85"/>
      <c r="I82" s="85"/>
      <c r="J82" s="85"/>
    </row>
    <row r="83">
      <c r="B83" s="331" t="n">
        <v>45839</v>
      </c>
      <c r="C83" s="281"/>
      <c r="D83" s="85"/>
      <c r="E83" s="85"/>
      <c r="F83" s="85"/>
      <c r="G83" s="85"/>
      <c r="H83" s="85"/>
      <c r="I83" s="85"/>
      <c r="J83" s="85"/>
    </row>
    <row r="84">
      <c r="B84" s="331" t="n">
        <v>45870</v>
      </c>
      <c r="C84" s="281"/>
      <c r="D84" s="85"/>
      <c r="E84" s="85"/>
      <c r="F84" s="85"/>
      <c r="G84" s="85"/>
      <c r="H84" s="85"/>
      <c r="I84" s="85"/>
      <c r="J84" s="85"/>
    </row>
    <row r="85">
      <c r="B85" s="331" t="n">
        <v>45901</v>
      </c>
      <c r="C85" s="281"/>
      <c r="D85" s="85"/>
      <c r="E85" s="85"/>
      <c r="F85" s="85"/>
      <c r="G85" s="85"/>
      <c r="H85" s="85"/>
      <c r="I85" s="85"/>
      <c r="J85" s="85"/>
    </row>
    <row r="86">
      <c r="B86" s="331" t="n">
        <v>45931</v>
      </c>
      <c r="C86" s="281"/>
      <c r="D86" s="85"/>
      <c r="E86" s="85"/>
      <c r="F86" s="85"/>
      <c r="G86" s="85"/>
      <c r="H86" s="85"/>
      <c r="I86" s="85"/>
      <c r="J86" s="85"/>
    </row>
    <row r="87">
      <c r="B87" s="331" t="n">
        <v>45962</v>
      </c>
      <c r="C87" s="281"/>
      <c r="D87" s="85"/>
      <c r="E87" s="85"/>
      <c r="F87" s="85"/>
      <c r="G87" s="85"/>
      <c r="H87" s="85"/>
      <c r="I87" s="85"/>
      <c r="J87" s="85"/>
    </row>
    <row r="88">
      <c r="B88" s="331" t="n">
        <v>45992</v>
      </c>
      <c r="C88" s="281"/>
      <c r="D88" s="85"/>
      <c r="E88" s="85"/>
      <c r="F88" s="85"/>
      <c r="G88" s="85"/>
      <c r="H88" s="85"/>
      <c r="I88" s="85"/>
      <c r="J88" s="85"/>
    </row>
    <row r="89">
      <c r="B89" s="331" t="n">
        <v>46023</v>
      </c>
      <c r="C89" s="281"/>
      <c r="D89" s="85"/>
      <c r="E89" s="85"/>
      <c r="F89" s="85"/>
      <c r="G89" s="85"/>
      <c r="H89" s="85"/>
      <c r="I89" s="85"/>
      <c r="J89" s="85"/>
    </row>
    <row r="90">
      <c r="B90" s="331" t="n">
        <v>46054</v>
      </c>
      <c r="C90" s="281"/>
      <c r="D90" s="85"/>
      <c r="E90" s="85"/>
      <c r="F90" s="85"/>
      <c r="G90" s="85"/>
      <c r="H90" s="85"/>
      <c r="I90" s="85"/>
      <c r="J90" s="85"/>
    </row>
    <row r="91">
      <c r="B91" s="331" t="n">
        <v>46082</v>
      </c>
      <c r="C91" s="281"/>
      <c r="D91" s="85"/>
      <c r="E91" s="85"/>
      <c r="F91" s="85"/>
      <c r="G91" s="85"/>
      <c r="H91" s="85"/>
      <c r="I91" s="85"/>
      <c r="J91" s="85"/>
    </row>
    <row r="92">
      <c r="B92" s="331" t="n">
        <v>46113</v>
      </c>
      <c r="C92" s="281"/>
      <c r="D92" s="85"/>
      <c r="E92" s="85"/>
      <c r="F92" s="85"/>
      <c r="G92" s="85"/>
      <c r="H92" s="85"/>
      <c r="I92" s="85"/>
      <c r="J92" s="85"/>
    </row>
    <row r="93">
      <c r="B93" s="331" t="n">
        <v>46143</v>
      </c>
      <c r="C93" s="281"/>
      <c r="D93" s="85"/>
      <c r="E93" s="85"/>
      <c r="F93" s="85"/>
      <c r="G93" s="85"/>
      <c r="H93" s="85"/>
      <c r="I93" s="85"/>
      <c r="J93" s="85"/>
    </row>
    <row r="94">
      <c r="B94" s="331" t="n">
        <v>46174</v>
      </c>
      <c r="C94" s="281"/>
      <c r="D94" s="85"/>
      <c r="E94" s="85"/>
      <c r="F94" s="85"/>
      <c r="G94" s="85"/>
      <c r="H94" s="85"/>
      <c r="I94" s="85"/>
      <c r="J94" s="85"/>
    </row>
    <row r="95">
      <c r="B95" s="331" t="n">
        <v>46204</v>
      </c>
      <c r="C95" s="281"/>
      <c r="D95" s="85"/>
      <c r="E95" s="85"/>
      <c r="F95" s="85"/>
      <c r="G95" s="85"/>
      <c r="H95" s="85"/>
      <c r="I95" s="85"/>
      <c r="J95" s="85"/>
    </row>
    <row r="96">
      <c r="B96" s="331" t="n">
        <v>46235</v>
      </c>
      <c r="C96" s="281"/>
      <c r="D96" s="85"/>
      <c r="E96" s="85"/>
      <c r="F96" s="85"/>
      <c r="G96" s="85"/>
      <c r="H96" s="85"/>
      <c r="I96" s="85"/>
      <c r="J96" s="85"/>
    </row>
    <row r="97">
      <c r="B97" s="331" t="n">
        <v>46266</v>
      </c>
      <c r="C97" s="281"/>
      <c r="D97" s="85"/>
      <c r="E97" s="85"/>
      <c r="F97" s="85"/>
      <c r="G97" s="85"/>
      <c r="H97" s="85"/>
      <c r="I97" s="85"/>
      <c r="J97" s="85"/>
    </row>
    <row r="98">
      <c r="B98" s="331" t="n">
        <v>46296</v>
      </c>
      <c r="C98" s="281"/>
      <c r="D98" s="85"/>
      <c r="E98" s="85"/>
      <c r="F98" s="85"/>
      <c r="G98" s="85"/>
      <c r="H98" s="85"/>
      <c r="I98" s="85"/>
      <c r="J98" s="85"/>
    </row>
    <row r="99">
      <c r="B99" s="331" t="n">
        <v>46327</v>
      </c>
      <c r="C99" s="281"/>
      <c r="D99" s="85"/>
      <c r="E99" s="85"/>
      <c r="F99" s="85"/>
      <c r="G99" s="85"/>
      <c r="H99" s="85"/>
      <c r="I99" s="85"/>
      <c r="J99" s="85"/>
    </row>
    <row r="100">
      <c r="B100" s="332" t="n">
        <v>46357</v>
      </c>
      <c r="C100" s="282"/>
      <c r="D100" s="85"/>
      <c r="E100" s="85"/>
      <c r="F100" s="85"/>
      <c r="G100" s="85"/>
      <c r="H100" s="85"/>
      <c r="I100" s="85"/>
      <c r="J100" s="8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2" ySplit="4" topLeftCell="Z78" activePane="bottomRight" state="frozen"/>
      <selection pane="topRight" activeCell="C1" sqref="C1"/>
      <selection pane="bottomLeft" activeCell="A5" sqref="A5"/>
      <selection pane="bottomRight" activeCell="AG94" sqref="AG94"/>
    </sheetView>
  </sheetViews>
  <sheetFormatPr defaultRowHeight="15.0" baseColWidth="10"/>
  <cols>
    <col min="1" max="1" width="8.453125" hidden="0" customWidth="1"/>
    <col min="2" max="2" width="40.453125" hidden="0" customWidth="1"/>
    <col min="3" max="3" width="7.1796875" hidden="0" customWidth="1"/>
    <col min="4" max="4" width="11.1796875" hidden="0" customWidth="1"/>
    <col min="5" max="5" width="12.453125" hidden="0" customWidth="1"/>
    <col min="6" max="6" width="7.1796875" hidden="0" customWidth="1"/>
    <col min="7" max="7" width="7.1796875" hidden="0" customWidth="1"/>
    <col min="8" max="8" width="10.453125" hidden="0" customWidth="1"/>
    <col min="9" max="9" width="11.453125" hidden="0" customWidth="1"/>
    <col min="10" max="10" width="7.453125" hidden="0" customWidth="1"/>
    <col min="11" max="11" width="7.453125" hidden="0" customWidth="1"/>
    <col min="12" max="12" width="7.453125" hidden="0" customWidth="1"/>
    <col min="13" max="13" width="7.453125" hidden="0" customWidth="1"/>
    <col min="14" max="14" width="8.1796875" hidden="0" customWidth="1"/>
    <col min="15" max="15" width="8.1796875" hidden="0" customWidth="1"/>
    <col min="16" max="16" width="8.1796875" hidden="0" customWidth="1"/>
    <col min="17" max="17" width="8.1796875" hidden="0" customWidth="1"/>
    <col min="18" max="18" width="8.1796875" hidden="0" customWidth="1"/>
    <col min="19" max="19" width="8.81640625" hidden="0" customWidth="1"/>
    <col min="20" max="20" width="8.1796875" hidden="0" customWidth="1"/>
    <col min="21" max="21" width="8.1796875" hidden="0" customWidth="1"/>
    <col min="22" max="22" width="8.1796875" hidden="0" customWidth="1"/>
    <col min="23" max="23" width="8.1796875" hidden="0" customWidth="1"/>
    <col min="24" max="24" width="8.1796875" hidden="0" customWidth="1"/>
    <col min="25" max="25" width="8.1796875" hidden="0" customWidth="1"/>
    <col min="26" max="26" width="8.1796875" hidden="0" customWidth="1"/>
    <col min="27" max="27" width="8.1796875" hidden="0" customWidth="1"/>
    <col min="28" max="28" width="8.1796875" hidden="0" customWidth="1"/>
    <col min="29" max="29" width="8.1796875" hidden="0" customWidth="1"/>
    <col min="30" max="30" width="8.1796875" hidden="0" customWidth="1"/>
    <col min="31" max="31" width="8.1796875" hidden="0" customWidth="1"/>
    <col min="32" max="32" width="8.1796875" hidden="0" customWidth="1"/>
    <col min="33" max="33" width="8.1796875" hidden="0" customWidth="1"/>
    <col min="34" max="34" width="8.1796875" hidden="0" customWidth="1"/>
    <col min="35" max="35" width="29.453125" hidden="0" customWidth="1"/>
    <col min="36" max="36" width="31.1796875" hidden="0" customWidth="1"/>
    <col min="37" max="37" width="114.81640625" hidden="0" customWidth="1"/>
  </cols>
  <sheetData>
    <row r="1">
      <c r="B1" s="257" t="s">
        <v>192</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390"/>
      <c r="AJ1" s="390"/>
    </row>
    <row r="2" ht="14.25" customHeight="1">
      <c r="B2" s="258" t="s">
        <v>332</v>
      </c>
      <c r="C2" s="258"/>
      <c r="D2" s="258"/>
      <c r="E2" s="258"/>
      <c r="F2" s="258"/>
      <c r="G2" s="258"/>
      <c r="H2" s="258"/>
      <c r="I2" s="258"/>
      <c r="J2" s="258"/>
      <c r="K2" s="258"/>
      <c r="L2" s="258"/>
      <c r="M2" s="258"/>
      <c r="N2" s="258"/>
      <c r="O2" s="258"/>
      <c r="P2" s="258"/>
      <c r="Q2" s="258"/>
      <c r="R2" s="258"/>
      <c r="S2" s="258"/>
      <c r="T2" s="258"/>
      <c r="U2" s="258"/>
      <c r="V2" s="258"/>
      <c r="W2" s="258"/>
      <c r="X2" s="258"/>
      <c r="Y2" s="258"/>
      <c r="Z2" s="258"/>
      <c r="AA2" s="258"/>
      <c r="AB2" s="258"/>
      <c r="AC2" s="258"/>
      <c r="AD2" s="258"/>
      <c r="AE2" s="258"/>
      <c r="AF2" s="258"/>
      <c r="AG2" s="258"/>
      <c r="AH2" s="258"/>
      <c r="AI2" s="258"/>
      <c r="AJ2" s="258"/>
    </row>
    <row r="3" ht="50.9" customHeight="1">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c r="AE3" s="258"/>
      <c r="AF3" s="258"/>
      <c r="AG3" s="258"/>
      <c r="AH3" s="258"/>
      <c r="AI3" s="258"/>
      <c r="AJ3" s="258"/>
    </row>
    <row r="4" ht="5.25" customHeight="1">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c r="AD4" s="258"/>
      <c r="AE4" s="258"/>
      <c r="AF4" s="258"/>
      <c r="AG4" s="258"/>
      <c r="AH4" s="258"/>
      <c r="AI4" s="258"/>
      <c r="AJ4" s="258"/>
    </row>
    <row r="5">
      <c r="B5" s="477" t="s">
        <v>333</v>
      </c>
    </row>
    <row r="6" ht="14.9" customHeight="1">
      <c r="B6" s="262" t="s">
        <v>334</v>
      </c>
      <c r="C6" s="263"/>
      <c r="D6" s="266" t="s">
        <v>280</v>
      </c>
      <c r="E6" s="277"/>
      <c r="F6" s="277"/>
      <c r="G6" s="277"/>
      <c r="H6" s="277"/>
      <c r="I6" s="277"/>
      <c r="J6" s="277"/>
      <c r="K6" s="277"/>
      <c r="L6" s="277"/>
      <c r="M6" s="277"/>
      <c r="N6" s="277"/>
      <c r="O6" s="277"/>
      <c r="P6" s="277"/>
      <c r="Q6" s="277"/>
      <c r="R6" s="277"/>
      <c r="S6" s="277"/>
      <c r="T6" s="277"/>
      <c r="U6" s="278"/>
      <c r="V6" s="265"/>
      <c r="W6" s="385" t="s">
        <v>281</v>
      </c>
      <c r="X6" s="275"/>
      <c r="Y6" s="275"/>
      <c r="Z6" s="275"/>
      <c r="AA6" s="275"/>
      <c r="AB6" s="275"/>
      <c r="AC6" s="275"/>
      <c r="AD6" s="275"/>
      <c r="AE6" s="275"/>
      <c r="AF6" s="275"/>
      <c r="AG6" s="276"/>
      <c r="AH6" s="276"/>
      <c r="AI6" s="381" t="s">
        <v>335</v>
      </c>
      <c r="AJ6" s="384" t="s">
        <v>336</v>
      </c>
    </row>
    <row r="7" ht="24" customHeight="1">
      <c r="B7" s="264"/>
      <c r="C7" s="265"/>
      <c r="D7" s="259" t="n">
        <v>2018</v>
      </c>
      <c r="E7" s="259" t="n">
        <v>2019</v>
      </c>
      <c r="F7" s="260"/>
      <c r="G7" s="260"/>
      <c r="H7" s="261"/>
      <c r="I7" s="259" t="n">
        <v>2020</v>
      </c>
      <c r="J7" s="260"/>
      <c r="K7" s="260"/>
      <c r="L7" s="260"/>
      <c r="M7" s="259" t="n">
        <v>2021</v>
      </c>
      <c r="N7" s="260"/>
      <c r="O7" s="260"/>
      <c r="P7" s="260"/>
      <c r="Q7" s="269" t="n">
        <v>2022</v>
      </c>
      <c r="R7" s="358"/>
      <c r="S7" s="358"/>
      <c r="T7" s="358"/>
      <c r="U7" s="415"/>
      <c r="V7" s="416" t="n">
        <v>2023</v>
      </c>
      <c r="W7" s="417"/>
      <c r="X7" s="418"/>
      <c r="Y7" s="255" t="n">
        <v>2024</v>
      </c>
      <c r="Z7" s="268"/>
      <c r="AA7" s="268"/>
      <c r="AB7" s="256"/>
      <c r="AC7" s="255" t="n">
        <v>2025</v>
      </c>
      <c r="AD7" s="268"/>
      <c r="AE7" s="268"/>
      <c r="AF7" s="268"/>
      <c r="AG7" s="255" t="n">
        <v>2026</v>
      </c>
      <c r="AH7" s="256"/>
      <c r="AI7" s="382"/>
      <c r="AJ7" s="382"/>
    </row>
    <row r="8" ht="14.25" customHeight="1">
      <c r="B8" s="266"/>
      <c r="C8" s="267"/>
      <c r="D8" s="259" t="s">
        <v>282</v>
      </c>
      <c r="E8" s="259" t="s">
        <v>283</v>
      </c>
      <c r="F8" s="260" t="s">
        <v>284</v>
      </c>
      <c r="G8" s="260" t="s">
        <v>238</v>
      </c>
      <c r="H8" s="261" t="s">
        <v>282</v>
      </c>
      <c r="I8" s="260" t="s">
        <v>283</v>
      </c>
      <c r="J8" s="260" t="s">
        <v>284</v>
      </c>
      <c r="K8" s="260" t="s">
        <v>238</v>
      </c>
      <c r="L8" s="260" t="s">
        <v>282</v>
      </c>
      <c r="M8" s="259" t="s">
        <v>283</v>
      </c>
      <c r="N8" s="260" t="s">
        <v>284</v>
      </c>
      <c r="O8" s="260" t="s">
        <v>238</v>
      </c>
      <c r="P8" s="260" t="s">
        <v>282</v>
      </c>
      <c r="Q8" s="259" t="s">
        <v>283</v>
      </c>
      <c r="R8" s="260" t="s">
        <v>284</v>
      </c>
      <c r="S8" s="260" t="s">
        <v>238</v>
      </c>
      <c r="T8" s="260" t="s">
        <v>282</v>
      </c>
      <c r="U8" s="340" t="s">
        <v>283</v>
      </c>
      <c r="V8" s="341" t="s">
        <v>284</v>
      </c>
      <c r="W8" s="326" t="s">
        <v>238</v>
      </c>
      <c r="X8" s="327" t="s">
        <v>282</v>
      </c>
      <c r="Y8" s="325" t="s">
        <v>283</v>
      </c>
      <c r="Z8" s="323" t="s">
        <v>284</v>
      </c>
      <c r="AA8" s="326" t="s">
        <v>238</v>
      </c>
      <c r="AB8" s="327" t="s">
        <v>282</v>
      </c>
      <c r="AC8" s="325" t="s">
        <v>283</v>
      </c>
      <c r="AD8" s="323" t="s">
        <v>284</v>
      </c>
      <c r="AE8" s="326" t="s">
        <v>238</v>
      </c>
      <c r="AF8" s="326" t="s">
        <v>282</v>
      </c>
      <c r="AG8" s="325" t="s">
        <v>283</v>
      </c>
      <c r="AH8" s="327" t="s">
        <v>284</v>
      </c>
      <c r="AI8" s="383"/>
      <c r="AJ8" s="383"/>
    </row>
    <row r="9" ht="23.9" customHeight="1">
      <c r="B9" s="431" t="s">
        <v>337</v>
      </c>
      <c r="C9" s="495" t="s">
        <v>338</v>
      </c>
      <c r="D9" s="445" t="n">
        <f>'Haver Pivoted'!GO32</f>
        <v>590.1</v>
      </c>
      <c r="E9" s="446" t="n">
        <f>'Haver Pivoted'!GP32</f>
        <v>593.1</v>
      </c>
      <c r="F9" s="446" t="n">
        <f>'Haver Pivoted'!GQ32</f>
        <v>610.70000000000005</v>
      </c>
      <c r="G9" s="446" t="n">
        <f>'Haver Pivoted'!GR32</f>
        <v>610.4</v>
      </c>
      <c r="H9" s="446" t="n">
        <f>'Haver Pivoted'!GS32</f>
        <v>621.79999999999995</v>
      </c>
      <c r="I9" s="446" t="n">
        <f>'Haver Pivoted'!GT32</f>
        <v>638.20000000000005</v>
      </c>
      <c r="J9" s="446" t="n">
        <f>'Haver Pivoted'!GU32</f>
        <v>1388.6</v>
      </c>
      <c r="K9" s="446" t="n">
        <f>'Haver Pivoted'!GV32</f>
        <v>737</v>
      </c>
      <c r="L9" s="446" t="n">
        <f>'Haver Pivoted'!GW32</f>
        <v>751.3</v>
      </c>
      <c r="M9" s="446" t="n">
        <f>'Haver Pivoted'!GX32</f>
        <v>781.8</v>
      </c>
      <c r="N9" s="446" t="n">
        <f>'Haver Pivoted'!GY32</f>
        <v>1645.9</v>
      </c>
      <c r="O9" s="446" t="n">
        <f>'Haver Pivoted'!GZ32</f>
        <v>1084.4000000000001</v>
      </c>
      <c r="P9" s="446" t="n">
        <f>'Haver Pivoted'!HA32</f>
        <v>929</v>
      </c>
      <c r="Q9" s="446" t="n">
        <f>'Haver Pivoted'!HB32</f>
        <v>937.5</v>
      </c>
      <c r="R9" s="446" t="n">
        <f>'Haver Pivoted'!HC32</f>
        <v>961.8</v>
      </c>
      <c r="S9" s="447" t="n">
        <f>'Haver Pivoted'!HD32</f>
        <v>950.2</v>
      </c>
      <c r="T9" s="447" t="n">
        <f>'Haver Pivoted'!HE32</f>
        <v>946.2</v>
      </c>
      <c r="U9" s="411" t="n">
        <f>'Haver Pivoted'!HF32</f>
        <v>974.6</v>
      </c>
      <c r="V9" s="411" t="n">
        <f>'Haver Pivoted'!HG32</f>
        <v>974.1</v>
      </c>
      <c r="W9" s="411" t="n">
        <f>'Haver Pivoted'!HH32</f>
        <v>918.5</v>
      </c>
      <c r="X9" s="411" t="n">
        <f>'Haver Pivoted'!HI32</f>
        <v>941.6</v>
      </c>
      <c r="Y9" s="411" t="n">
        <f>'Haver Pivoted'!HJ32</f>
        <v>928.4</v>
      </c>
      <c r="Z9" s="411" t="n">
        <f>'Haver Pivoted'!HK32</f>
        <v>936.4</v>
      </c>
      <c r="AA9" s="413" t="n">
        <f t="shared" ref="AA9:AB9" si="0">AA10+AA11</f>
        <v>941.46452437199491</v>
      </c>
      <c r="AB9" s="413" t="n">
        <f t="shared" si="0"/>
        <v>933.11907707966066</v>
      </c>
      <c r="AC9" s="413" t="n">
        <f>AC10+AC11</f>
        <v>938.68908521095091</v>
      </c>
      <c r="AD9" s="413" t="n">
        <f>AD10+AD11</f>
        <v>311.55783999999994</v>
      </c>
      <c r="AE9" s="413"/>
      <c r="AF9" s="413"/>
      <c r="AG9" s="413"/>
      <c r="AH9" s="413"/>
      <c r="AI9" s="464"/>
      <c r="AJ9" s="496"/>
    </row>
    <row r="10" ht="27.65" customHeight="1">
      <c r="B10" s="502" t="s">
        <v>133</v>
      </c>
      <c r="C10" s="287" t="s">
        <v>339</v>
      </c>
      <c r="D10" s="451" t="n">
        <f>'Haver Pivoted'!GO40</f>
        <v>391.92099999999999</v>
      </c>
      <c r="E10" s="83" t="n">
        <f>'Haver Pivoted'!GP40</f>
        <v>406.23</v>
      </c>
      <c r="F10" s="83" t="n">
        <f>'Haver Pivoted'!GQ40</f>
        <v>414.87200000000001</v>
      </c>
      <c r="G10" s="83" t="n">
        <f>'Haver Pivoted'!GR40</f>
        <v>418.36200000000002</v>
      </c>
      <c r="H10" s="83" t="n">
        <f>'Haver Pivoted'!GS40</f>
        <v>414.971</v>
      </c>
      <c r="I10" s="83" t="n">
        <f>'Haver Pivoted'!GT40</f>
        <v>424.089</v>
      </c>
      <c r="J10" s="83" t="n">
        <f>'Haver Pivoted'!GU40</f>
        <v>505.45</v>
      </c>
      <c r="K10" s="83" t="n">
        <f>'Haver Pivoted'!GV40</f>
        <v>483.86599999999999</v>
      </c>
      <c r="L10" s="83" t="n">
        <f>'Haver Pivoted'!GW40</f>
        <v>506.75599999999997</v>
      </c>
      <c r="M10" s="83" t="n">
        <f>'Haver Pivoted'!GX40</f>
        <v>501.459</v>
      </c>
      <c r="N10" s="83" t="n">
        <f>'Haver Pivoted'!GY40</f>
        <v>526.38599999999997</v>
      </c>
      <c r="O10" s="83" t="n">
        <f>'Haver Pivoted'!GZ40</f>
        <v>541.66800000000001</v>
      </c>
      <c r="P10" s="513" t="n">
        <f>'Haver Pivoted'!HA40</f>
        <v>563.64300000000003</v>
      </c>
      <c r="Q10" s="83" t="n">
        <f>'Haver Pivoted'!HB40</f>
        <v>594.56200000000001</v>
      </c>
      <c r="R10" s="83" t="n">
        <f>'Haver Pivoted'!HC40</f>
        <v>595.59299999999996</v>
      </c>
      <c r="S10" s="410" t="n">
        <f>'Haver Pivoted'!HD40</f>
        <v>607.94899999999996</v>
      </c>
      <c r="T10" s="410" t="n">
        <f>'Haver Pivoted'!HE40</f>
        <v>607.13699999999994</v>
      </c>
      <c r="U10" s="410" t="n">
        <f>'Haver Pivoted'!HF40</f>
        <v>630.96299999999997</v>
      </c>
      <c r="V10" s="410" t="n">
        <f>'Haver Pivoted'!HG40</f>
        <v>639.71100000000001</v>
      </c>
      <c r="W10" s="410" t="n">
        <f>'Haver Pivoted'!HH40</f>
        <v>590.947</v>
      </c>
      <c r="X10" s="410" t="n">
        <f>'Haver Pivoted'!HI40</f>
        <v>616.99699999999996</v>
      </c>
      <c r="Y10" s="410" t="n">
        <f>'Haver Pivoted'!HJ40</f>
        <v>613.56899999999996</v>
      </c>
      <c r="Z10" s="410" t="n">
        <f>'Haver Pivoted'!HK40</f>
        <v>623</v>
      </c>
      <c r="AA10" s="414" t="n">
        <f>Medicaid!AA29</f>
        <v>625.34650158908801</v>
      </c>
      <c r="AB10" s="414" t="n">
        <f>Medicaid!AB29</f>
        <v>628.13224973035756</v>
      </c>
      <c r="AC10" s="414" t="n">
        <f>Medicaid!AC29</f>
        <v>630.93040761996144</v>
      </c>
      <c r="AD10" s="414" t="n">
        <f>Medicaid!AI29</f>
        <v>0</v>
      </c>
      <c r="AE10" s="414"/>
      <c r="AF10" s="414"/>
      <c r="AG10" s="414"/>
      <c r="AH10" s="414"/>
      <c r="AI10" s="435"/>
      <c r="AJ10" s="483"/>
    </row>
    <row r="11" ht="17.25" customHeight="1">
      <c r="B11" s="305" t="s">
        <v>340</v>
      </c>
      <c r="C11" s="287"/>
      <c r="D11" s="451" t="n">
        <f t="shared" ref="D11:G11" si="1">D9-D10</f>
        <v>198.17900000000003</v>
      </c>
      <c r="E11" s="83" t="n">
        <f t="shared" si="1"/>
        <v>186.87</v>
      </c>
      <c r="F11" s="83" t="n">
        <f t="shared" si="1"/>
        <v>195.82800000000003</v>
      </c>
      <c r="G11" s="83" t="n">
        <f t="shared" si="1"/>
        <v>192.03799999999995</v>
      </c>
      <c r="H11" s="83" t="n">
        <f>H9-H10</f>
        <v>206.82899999999995</v>
      </c>
      <c r="I11" s="83" t="n">
        <f t="shared" ref="I11:N11" si="2">I9-I10</f>
        <v>214.11100000000005</v>
      </c>
      <c r="J11" s="83" t="n">
        <f t="shared" si="2"/>
        <v>883.14999999999986</v>
      </c>
      <c r="K11" s="83" t="n">
        <f t="shared" si="2"/>
        <v>253.13400000000001</v>
      </c>
      <c r="L11" s="83" t="n">
        <f t="shared" si="2"/>
        <v>244.54399999999998</v>
      </c>
      <c r="M11" s="83" t="n">
        <f t="shared" si="2"/>
        <v>280.34099999999995</v>
      </c>
      <c r="N11" s="83" t="n">
        <f t="shared" si="2"/>
        <v>1119.5140000000001</v>
      </c>
      <c r="O11" s="83" t="n">
        <f t="shared" ref="O11:T11" si="3">O9-O10</f>
        <v>542.73200000000008</v>
      </c>
      <c r="P11" s="513" t="n">
        <f t="shared" si="3"/>
        <v>365.35699999999997</v>
      </c>
      <c r="Q11" s="83" t="n">
        <f t="shared" si="3"/>
        <v>342.93799999999999</v>
      </c>
      <c r="R11" s="83" t="n">
        <f t="shared" si="3"/>
        <v>366.20699999999999</v>
      </c>
      <c r="S11" s="410" t="n">
        <f t="shared" si="3"/>
        <v>342.25100000000009</v>
      </c>
      <c r="T11" s="410" t="n">
        <f t="shared" si="3"/>
        <v>339.0630000000001</v>
      </c>
      <c r="U11" s="410" t="n">
        <f t="shared" ref="U11:Z11" si="4">U9-U10</f>
        <v>343.63700000000006</v>
      </c>
      <c r="V11" s="410" t="n">
        <f t="shared" si="4"/>
        <v>334.38900000000001</v>
      </c>
      <c r="W11" s="410" t="n">
        <f t="shared" si="4"/>
        <v>327.553</v>
      </c>
      <c r="X11" s="410" t="n">
        <f t="shared" si="4"/>
        <v>324.60300000000007</v>
      </c>
      <c r="Y11" s="410" t="n">
        <f t="shared" si="4"/>
        <v>314.83100000000002</v>
      </c>
      <c r="Z11" s="410" t="n">
        <f t="shared" si="4"/>
        <v>313.39999999999998</v>
      </c>
      <c r="AA11" s="414" t="n">
        <f t="shared" ref="AA11:AB11" si="5">SUM(AA12:AA20)</f>
        <v>316.11802278290691</v>
      </c>
      <c r="AB11" s="414" t="n">
        <f t="shared" si="5"/>
        <v>304.98682734930304</v>
      </c>
      <c r="AC11" s="414" t="n">
        <f>SUM(AC12:AC20)</f>
        <v>307.75867759098941</v>
      </c>
      <c r="AD11" s="414" t="n">
        <f>SUM(AD12:AD20)</f>
        <v>311.55783999999994</v>
      </c>
      <c r="AE11" s="414"/>
      <c r="AF11" s="414"/>
      <c r="AG11" s="414"/>
      <c r="AH11" s="414"/>
      <c r="AI11" s="435"/>
      <c r="AJ11" s="483"/>
    </row>
    <row r="12" ht="16.399999999999999" customHeight="1">
      <c r="B12" s="442" t="s">
        <v>149</v>
      </c>
      <c r="C12" s="67" t="s">
        <v>341</v>
      </c>
      <c r="D12" s="507"/>
      <c r="E12" s="67"/>
      <c r="F12" s="67"/>
      <c r="G12" s="67"/>
      <c r="H12" s="83"/>
      <c r="I12" s="83"/>
      <c r="J12" s="83" t="n">
        <f>'Haver Pivoted'!GU56</f>
        <v>597.9</v>
      </c>
      <c r="K12" s="83"/>
      <c r="L12" s="83"/>
      <c r="M12" s="83"/>
      <c r="N12" s="83"/>
      <c r="O12" s="65" t="n">
        <v>0</v>
      </c>
      <c r="P12" s="288" t="n">
        <v>0</v>
      </c>
      <c r="Q12" s="65" t="n">
        <v>0</v>
      </c>
      <c r="R12" s="65" t="n">
        <v>0</v>
      </c>
      <c r="S12" s="65" t="n">
        <v>0</v>
      </c>
      <c r="T12" s="65" t="n">
        <v>0</v>
      </c>
      <c r="U12" s="65" t="n">
        <v>0</v>
      </c>
      <c r="V12" s="65" t="n">
        <v>0</v>
      </c>
      <c r="W12" s="65" t="n">
        <v>0</v>
      </c>
      <c r="X12" s="414" t="n">
        <v>0</v>
      </c>
      <c r="Y12" s="414" t="n">
        <v>0</v>
      </c>
      <c r="Z12" s="414" t="n">
        <v>0</v>
      </c>
      <c r="AA12" s="414" t="n">
        <v>0</v>
      </c>
      <c r="AB12" s="414" t="n">
        <v>0</v>
      </c>
      <c r="AC12" s="414" t="n">
        <v>0</v>
      </c>
      <c r="AD12" s="414" t="n">
        <v>0</v>
      </c>
      <c r="AE12" s="414"/>
      <c r="AF12" s="414"/>
      <c r="AG12" s="414"/>
      <c r="AH12" s="414"/>
      <c r="AI12" s="435" t="n">
        <f t="shared" ref="AI12:AI17" si="6">SUM(I12:Y12)/4</f>
        <v>149.47499999999999</v>
      </c>
      <c r="AJ12" s="483" t="n">
        <f>AI24</f>
        <v>150</v>
      </c>
    </row>
    <row r="13">
      <c r="B13" s="442" t="s">
        <v>150</v>
      </c>
      <c r="C13" s="67" t="s">
        <v>342</v>
      </c>
      <c r="D13" s="507"/>
      <c r="E13" s="67"/>
      <c r="F13" s="67"/>
      <c r="G13" s="67"/>
      <c r="H13" s="83"/>
      <c r="I13" s="83"/>
      <c r="J13" s="83" t="n">
        <f>'Haver Pivoted'!GU57</f>
        <v>28.4</v>
      </c>
      <c r="K13" s="83" t="n">
        <f>'Haver Pivoted'!GV57</f>
        <v>15.8</v>
      </c>
      <c r="L13" s="83" t="n">
        <f>'Haver Pivoted'!GW57</f>
        <v>15.2</v>
      </c>
      <c r="M13" s="83" t="n">
        <f>'Haver Pivoted'!GX57</f>
        <v>28.9</v>
      </c>
      <c r="N13" s="83" t="n">
        <f>'Haver Pivoted'!GY57</f>
        <v>67.599999999999994</v>
      </c>
      <c r="O13" s="83" t="n">
        <f>'Haver Pivoted'!GZ57</f>
        <v>80.7</v>
      </c>
      <c r="P13" s="513" t="n">
        <f>'Haver Pivoted'!HA57</f>
        <v>87.2</v>
      </c>
      <c r="Q13" s="83" t="n">
        <f>'Haver Pivoted'!HB57</f>
        <v>72.400000000000006</v>
      </c>
      <c r="R13" s="83" t="n">
        <f>'Haver Pivoted'!HC57</f>
        <v>85.9</v>
      </c>
      <c r="S13" s="410" t="n">
        <f>'Haver Pivoted'!HD57</f>
        <v>68.3</v>
      </c>
      <c r="T13" s="410" t="n">
        <f>'Haver Pivoted'!HE57</f>
        <v>64</v>
      </c>
      <c r="U13" s="412" t="n">
        <f>U25+U29+U35</f>
        <v>60.929333333333297</v>
      </c>
      <c r="V13" s="412" t="n">
        <f t="shared" ref="V13:AD13" si="7">V25+V29+V35</f>
        <v>60.929333333333297</v>
      </c>
      <c r="W13" s="412" t="n">
        <f>W25+W29+W35</f>
        <v>60.929333333333297</v>
      </c>
      <c r="X13" s="412" t="n">
        <f t="shared" si="7"/>
        <v>54.244333333333302</v>
      </c>
      <c r="Y13" s="412" t="n">
        <f t="shared" si="7"/>
        <v>50.911000000000001</v>
      </c>
      <c r="Z13" s="412" t="n">
        <f t="shared" si="7"/>
        <v>31.911000000000001</v>
      </c>
      <c r="AA13" s="412" t="n">
        <f t="shared" si="7"/>
        <v>31.911000000000001</v>
      </c>
      <c r="AB13" s="412" t="n">
        <f t="shared" si="7"/>
        <v>23.099</v>
      </c>
      <c r="AC13" s="412" t="n">
        <f t="shared" si="7"/>
        <v>23.099</v>
      </c>
      <c r="AD13" s="412" t="n">
        <f t="shared" si="7"/>
        <v>23.099</v>
      </c>
      <c r="AE13" s="412"/>
      <c r="AF13" s="412"/>
      <c r="AG13" s="412"/>
      <c r="AH13" s="412"/>
      <c r="AI13" s="435" t="n">
        <f t="shared" si="6"/>
        <v>225.58583333333326</v>
      </c>
      <c r="AJ13" s="483" t="n">
        <f>AI25+AI29+AI35</f>
        <v>225.76349999999994</v>
      </c>
      <c r="AK13" s="71" t="n">
        <f>SUM(J13:R13)/4</f>
        <v>120.52500000000001</v>
      </c>
    </row>
    <row r="14">
      <c r="B14" s="442" t="s">
        <v>152</v>
      </c>
      <c r="C14" s="64" t="s">
        <v>307</v>
      </c>
      <c r="D14" s="438"/>
      <c r="E14" s="64"/>
      <c r="F14" s="64"/>
      <c r="G14" s="64"/>
      <c r="H14" s="83"/>
      <c r="I14" s="83"/>
      <c r="J14" s="83" t="n">
        <f>'Haver Pivoted'!GU58</f>
        <v>64.400000000000006</v>
      </c>
      <c r="K14" s="83" t="n">
        <f>'Haver Pivoted'!GV58</f>
        <v>23.4</v>
      </c>
      <c r="L14" s="83" t="n">
        <f>'Haver Pivoted'!GW58</f>
        <v>13.8</v>
      </c>
      <c r="M14" s="83" t="n">
        <f>'Haver Pivoted'!GX58</f>
        <v>12</v>
      </c>
      <c r="N14" s="83" t="n">
        <f>'Haver Pivoted'!GY58</f>
        <v>7.5</v>
      </c>
      <c r="O14" s="83" t="n">
        <f>'Haver Pivoted'!GZ58</f>
        <v>10.5</v>
      </c>
      <c r="P14" s="513" t="n">
        <f>'Haver Pivoted'!HA58</f>
        <v>18</v>
      </c>
      <c r="Q14" s="83" t="n">
        <f>'Haver Pivoted'!HB58</f>
        <v>15</v>
      </c>
      <c r="R14" s="83" t="n">
        <f>'Haver Pivoted'!HC58</f>
        <v>11.2</v>
      </c>
      <c r="S14" s="410" t="n">
        <f>'Haver Pivoted'!HD58</f>
        <v>7.5</v>
      </c>
      <c r="T14" s="410" t="n">
        <f>'Haver Pivoted'!HE58</f>
        <v>6.2</v>
      </c>
      <c r="U14" s="410" t="n">
        <f>'Haver Pivoted'!HF58</f>
        <v>0</v>
      </c>
      <c r="V14" s="410" t="n">
        <f>'Haver Pivoted'!HG58</f>
        <v>0</v>
      </c>
      <c r="W14" s="410" t="n">
        <f>'Haver Pivoted'!HH58</f>
        <v>0</v>
      </c>
      <c r="X14" s="410" t="n">
        <f>'Haver Pivoted'!HI58</f>
        <v>0</v>
      </c>
      <c r="Y14" s="410" t="n">
        <f>'Haver Pivoted'!HJ58</f>
        <v>0</v>
      </c>
      <c r="Z14" s="410" t="n">
        <f>'Haver Pivoted'!HK58</f>
        <v>0</v>
      </c>
      <c r="AA14" s="414" t="n">
        <f>'Provider Relief (expired)'!AA12</f>
        <v>0</v>
      </c>
      <c r="AB14" s="414" t="n">
        <f>'Provider Relief (expired)'!AB12</f>
        <v>0</v>
      </c>
      <c r="AC14" s="414" t="n">
        <f>'Provider Relief (expired)'!AC12</f>
        <v>0</v>
      </c>
      <c r="AD14" s="414" t="n">
        <f>'Provider Relief (expired)'!AD12</f>
        <v>0</v>
      </c>
      <c r="AE14" s="414"/>
      <c r="AF14" s="414"/>
      <c r="AG14" s="414"/>
      <c r="AH14" s="414"/>
      <c r="AI14" s="435" t="n">
        <f t="shared" si="6"/>
        <v>47.375</v>
      </c>
      <c r="AJ14" s="483" t="n">
        <f>AI26+AI30+AI36</f>
        <v>34.125000000000007</v>
      </c>
    </row>
    <row r="15" ht="15.75" customHeight="1">
      <c r="B15" s="442" t="s">
        <v>343</v>
      </c>
      <c r="C15" s="64"/>
      <c r="D15" s="438"/>
      <c r="E15" s="64"/>
      <c r="F15" s="64"/>
      <c r="G15" s="64"/>
      <c r="H15" s="83"/>
      <c r="I15" s="83"/>
      <c r="J15" s="83"/>
      <c r="K15" s="83"/>
      <c r="L15" s="83"/>
      <c r="M15" s="83" t="n">
        <f>M28</f>
        <v>9.6666666666666661</v>
      </c>
      <c r="N15" s="65" t="n">
        <f t="shared" ref="N15:AC15" si="8">N28</f>
        <v>9.6666666666666661</v>
      </c>
      <c r="O15" s="65" t="n">
        <f t="shared" si="8"/>
        <v>9.6666666666666661</v>
      </c>
      <c r="P15" s="288" t="n">
        <f>P28</f>
        <v>9.6666666666666661</v>
      </c>
      <c r="Q15" s="65" t="n">
        <f>Q28</f>
        <v>9.6666666666666661</v>
      </c>
      <c r="R15" s="65" t="n">
        <f t="shared" si="8"/>
        <v>9.6666666666666661</v>
      </c>
      <c r="S15" s="65" t="n">
        <f t="shared" si="8"/>
        <v>9.6666666666666661</v>
      </c>
      <c r="T15" s="65" t="n">
        <f t="shared" si="8"/>
        <v>9.6666666666666661</v>
      </c>
      <c r="U15" s="65" t="n">
        <f t="shared" si="8"/>
        <v>9.6666666666666661</v>
      </c>
      <c r="V15" s="65" t="n">
        <f t="shared" si="8"/>
        <v>9.6666666666666661</v>
      </c>
      <c r="W15" s="65" t="n">
        <f t="shared" si="8"/>
        <v>9.6666666666666661</v>
      </c>
      <c r="X15" s="414" t="n">
        <f t="shared" si="8"/>
        <v>9.6666666666666661</v>
      </c>
      <c r="Y15" s="414" t="n">
        <f t="shared" si="8"/>
        <v>0</v>
      </c>
      <c r="Z15" s="414" t="n">
        <f t="shared" si="8"/>
        <v>0</v>
      </c>
      <c r="AA15" s="414" t="n">
        <f t="shared" si="8"/>
        <v>0</v>
      </c>
      <c r="AB15" s="414" t="n">
        <f t="shared" si="8"/>
        <v>0</v>
      </c>
      <c r="AC15" s="414" t="n">
        <f t="shared" si="8"/>
        <v>0</v>
      </c>
      <c r="AD15" s="414" t="n">
        <f t="shared" ref="AD15" si="9">AD28</f>
        <v>0</v>
      </c>
      <c r="AE15" s="414"/>
      <c r="AF15" s="414"/>
      <c r="AG15" s="414"/>
      <c r="AH15" s="414"/>
      <c r="AI15" s="435" t="n">
        <f t="shared" si="6"/>
        <v>29.000000000000004</v>
      </c>
      <c r="AJ15" s="484" t="n">
        <f>AI28</f>
        <v>29.000000000000004</v>
      </c>
      <c r="AK15" s="454" t="s">
        <v>344</v>
      </c>
      <c r="AL15" s="454"/>
      <c r="AM15" s="454"/>
    </row>
    <row r="16" ht="31.4" customHeight="1">
      <c r="B16" s="442" t="s">
        <v>345</v>
      </c>
      <c r="C16" s="64"/>
      <c r="D16" s="438"/>
      <c r="E16" s="64"/>
      <c r="F16" s="64"/>
      <c r="G16" s="64"/>
      <c r="H16" s="83"/>
      <c r="I16" s="83"/>
      <c r="J16" s="83"/>
      <c r="K16" s="83"/>
      <c r="L16" s="83"/>
      <c r="M16" s="83" t="n">
        <f>M32+M31</f>
        <v>12</v>
      </c>
      <c r="N16" s="65" t="n">
        <f>N32+N31</f>
        <v>12</v>
      </c>
      <c r="O16" s="65" t="n">
        <f>O32+O31</f>
        <v>12</v>
      </c>
      <c r="P16" s="288" t="n">
        <f t="shared" ref="P16:AC16" si="10">P32+P31</f>
        <v>12</v>
      </c>
      <c r="Q16" s="65" t="n">
        <f t="shared" si="10"/>
        <v>12</v>
      </c>
      <c r="R16" s="65" t="n">
        <f t="shared" si="10"/>
        <v>12</v>
      </c>
      <c r="S16" s="65" t="n">
        <f t="shared" si="10"/>
        <v>12</v>
      </c>
      <c r="T16" s="65" t="n">
        <f t="shared" si="10"/>
        <v>12</v>
      </c>
      <c r="U16" s="65" t="n">
        <f t="shared" si="10"/>
        <v>12</v>
      </c>
      <c r="V16" s="65" t="n">
        <f t="shared" si="10"/>
        <v>12</v>
      </c>
      <c r="W16" s="65" t="n">
        <f t="shared" si="10"/>
        <v>12</v>
      </c>
      <c r="X16" s="414" t="n">
        <f t="shared" si="10"/>
        <v>12</v>
      </c>
      <c r="Y16" s="414" t="n">
        <f t="shared" si="10"/>
        <v>0</v>
      </c>
      <c r="Z16" s="414" t="n">
        <f t="shared" si="10"/>
        <v>0</v>
      </c>
      <c r="AA16" s="414" t="n">
        <f t="shared" si="10"/>
        <v>0</v>
      </c>
      <c r="AB16" s="414" t="n">
        <f t="shared" si="10"/>
        <v>0</v>
      </c>
      <c r="AC16" s="414" t="n">
        <f t="shared" si="10"/>
        <v>0</v>
      </c>
      <c r="AD16" s="414" t="n">
        <f t="shared" ref="AD16" si="11">AD32+AD31</f>
        <v>0</v>
      </c>
      <c r="AE16" s="414"/>
      <c r="AF16" s="414"/>
      <c r="AG16" s="414"/>
      <c r="AH16" s="414"/>
      <c r="AI16" s="435" t="n">
        <f t="shared" si="6"/>
        <v>36</v>
      </c>
      <c r="AJ16" s="483" t="n">
        <f>SUM(AI31:AI32)+AI37</f>
        <v>130.3365</v>
      </c>
      <c r="AK16" s="454" t="s">
        <v>346</v>
      </c>
      <c r="AL16" s="454"/>
      <c r="AM16" s="454"/>
    </row>
    <row r="17">
      <c r="B17" s="442" t="s">
        <v>347</v>
      </c>
      <c r="C17" s="64"/>
      <c r="D17" s="438"/>
      <c r="E17" s="64"/>
      <c r="F17" s="64"/>
      <c r="G17" s="64"/>
      <c r="H17" s="83"/>
      <c r="I17" s="83"/>
      <c r="J17" s="83"/>
      <c r="K17" s="83"/>
      <c r="L17" s="83"/>
      <c r="M17" s="83"/>
      <c r="N17" s="65" t="n">
        <f>N37</f>
        <v>59.256</v>
      </c>
      <c r="O17" s="65" t="n">
        <f>O37</f>
        <v>59.256</v>
      </c>
      <c r="P17" s="288" t="n">
        <f>P37</f>
        <v>35.671000000000006</v>
      </c>
      <c r="Q17" s="65" t="n">
        <f>Q37</f>
        <v>35.671000000000006</v>
      </c>
      <c r="R17" s="65" t="n">
        <f t="shared" ref="R17:AC17" si="12">R37</f>
        <v>35.671000000000006</v>
      </c>
      <c r="S17" s="65" t="n">
        <f t="shared" si="12"/>
        <v>35.671000000000006</v>
      </c>
      <c r="T17" s="65" t="n">
        <f t="shared" si="12"/>
        <v>24.216000000000001</v>
      </c>
      <c r="U17" s="65" t="n">
        <f t="shared" si="12"/>
        <v>24.216000000000001</v>
      </c>
      <c r="V17" s="65" t="n">
        <f t="shared" si="12"/>
        <v>24.216000000000001</v>
      </c>
      <c r="W17" s="65" t="n">
        <f t="shared" si="12"/>
        <v>24.216000000000001</v>
      </c>
      <c r="X17" s="414" t="n">
        <f t="shared" si="12"/>
        <v>9.6430000000000007</v>
      </c>
      <c r="Y17" s="414" t="n">
        <f t="shared" si="12"/>
        <v>9.6430000000000007</v>
      </c>
      <c r="Z17" s="414" t="n">
        <f t="shared" si="12"/>
        <v>9.6430000000000007</v>
      </c>
      <c r="AA17" s="414" t="n">
        <f t="shared" si="12"/>
        <v>9.6430000000000007</v>
      </c>
      <c r="AB17" s="414" t="n">
        <f t="shared" si="12"/>
        <v>4.5789999999999997</v>
      </c>
      <c r="AC17" s="414" t="n">
        <f t="shared" si="12"/>
        <v>4.5789999999999997</v>
      </c>
      <c r="AD17" s="414" t="n">
        <f t="shared" ref="AD17" si="13">AD37</f>
        <v>4.5789999999999997</v>
      </c>
      <c r="AE17" s="414"/>
      <c r="AF17" s="414"/>
      <c r="AG17" s="414"/>
      <c r="AH17" s="414"/>
      <c r="AI17" s="435" t="n">
        <f t="shared" si="6"/>
        <v>94.336500000000001</v>
      </c>
      <c r="AJ17" s="483"/>
      <c r="AK17" s="454"/>
      <c r="AL17" s="454"/>
      <c r="AM17" s="454"/>
    </row>
    <row r="18" ht="54" customHeight="1">
      <c r="B18" s="490" t="s">
        <v>780</v>
      </c>
      <c r="C18" s="64"/>
      <c r="D18" s="438"/>
      <c r="E18" s="64"/>
      <c r="F18" s="64"/>
      <c r="G18" s="64"/>
      <c r="H18" s="83"/>
      <c r="I18" s="83"/>
      <c r="J18" s="83"/>
      <c r="K18" s="83"/>
      <c r="L18" s="83"/>
      <c r="M18" s="83"/>
      <c r="N18" s="65" t="n">
        <v>-40</v>
      </c>
      <c r="O18" s="65" t="n">
        <v>-40</v>
      </c>
      <c r="P18" s="288" t="n">
        <f>-51</f>
        <v>-51</v>
      </c>
      <c r="Q18" s="65" t="n">
        <f>-51</f>
        <v>-51</v>
      </c>
      <c r="R18" s="65" t="n">
        <v>-51</v>
      </c>
      <c r="S18" s="65" t="n">
        <f>-51</f>
        <v>-51</v>
      </c>
      <c r="T18" s="65" t="n">
        <v>0</v>
      </c>
      <c r="U18" s="65" t="n">
        <v>0</v>
      </c>
      <c r="V18" s="65" t="n">
        <v>0</v>
      </c>
      <c r="W18" s="65" t="n">
        <v>0</v>
      </c>
      <c r="X18" s="414" t="n">
        <v>-4</v>
      </c>
      <c r="Y18" s="414" t="n">
        <v>-4</v>
      </c>
      <c r="Z18" s="414" t="n">
        <v>-4</v>
      </c>
      <c r="AA18" s="414" t="n">
        <v>-4</v>
      </c>
      <c r="AB18" s="414" t="n">
        <v>-4</v>
      </c>
      <c r="AC18" s="414" t="n">
        <v>-4</v>
      </c>
      <c r="AD18" s="414" t="n">
        <v>-3</v>
      </c>
      <c r="AE18" s="414" t="n">
        <v>0</v>
      </c>
      <c r="AF18" s="414" t="n">
        <v>0</v>
      </c>
      <c r="AG18" s="414" t="n">
        <v>0</v>
      </c>
      <c r="AH18" s="414"/>
      <c r="AI18" s="435"/>
      <c r="AJ18" s="483"/>
      <c r="AK18" s="454"/>
      <c r="AL18" s="454"/>
      <c r="AM18" s="454"/>
    </row>
    <row r="19" ht="15.75" customHeight="1">
      <c r="B19" s="442" t="s">
        <v>348</v>
      </c>
      <c r="C19" s="67" t="s">
        <v>349</v>
      </c>
      <c r="D19" s="438"/>
      <c r="E19" s="64"/>
      <c r="F19" s="64"/>
      <c r="G19" s="64"/>
      <c r="H19" s="83"/>
      <c r="I19" s="83"/>
      <c r="J19" s="83"/>
      <c r="K19" s="83" t="n">
        <f>'Haver Pivoted'!GV56</f>
        <v>0</v>
      </c>
      <c r="L19" s="83" t="n">
        <f>'Haver Pivoted'!GW56</f>
        <v>0</v>
      </c>
      <c r="M19" s="83" t="n">
        <f>'Haver Pivoted'!GX56</f>
        <v>0</v>
      </c>
      <c r="N19" s="83" t="n">
        <f>'Haver Pivoted'!GY56</f>
        <v>785.9</v>
      </c>
      <c r="O19" s="83" t="n">
        <f>'Haver Pivoted'!GZ56</f>
        <v>187.9</v>
      </c>
      <c r="P19" s="513" t="n">
        <f>'Haver Pivoted'!HA56</f>
        <v>9.1999999999999993</v>
      </c>
      <c r="Q19" s="83" t="n">
        <f>'Haver Pivoted'!HB56</f>
        <v>0.6</v>
      </c>
      <c r="R19" s="83" t="n">
        <f>'Haver Pivoted'!HC56</f>
        <v>0</v>
      </c>
      <c r="S19" s="410" t="n">
        <f>'Haver Pivoted'!HD56</f>
        <v>0</v>
      </c>
      <c r="T19" s="410" t="n">
        <f>'Haver Pivoted'!HE56</f>
        <v>0</v>
      </c>
      <c r="U19" s="410" t="n">
        <f>'Haver Pivoted'!HF56</f>
        <v>0</v>
      </c>
      <c r="V19" s="410" t="n">
        <f>'Haver Pivoted'!HG56</f>
        <v>0</v>
      </c>
      <c r="W19" s="410" t="n">
        <f>'Haver Pivoted'!HH56</f>
        <v>0</v>
      </c>
      <c r="X19" s="410" t="n">
        <f>'Haver Pivoted'!HI56</f>
        <v>0</v>
      </c>
      <c r="Y19" s="410" t="n">
        <f>'Haver Pivoted'!HJ56</f>
        <v>0</v>
      </c>
      <c r="Z19" s="410" t="n">
        <f>'Haver Pivoted'!HK56</f>
        <v>0</v>
      </c>
      <c r="AA19" s="407" t="n">
        <f t="shared" ref="AA19:AC19" si="14">AA34</f>
        <v>0</v>
      </c>
      <c r="AB19" s="407" t="n">
        <f t="shared" si="14"/>
        <v>0</v>
      </c>
      <c r="AC19" s="407" t="n">
        <f t="shared" si="14"/>
        <v>0</v>
      </c>
      <c r="AD19" s="407" t="n">
        <f t="shared" ref="AD19" si="15">AD34</f>
        <v>0</v>
      </c>
      <c r="AE19" s="407" t="n">
        <v>0</v>
      </c>
      <c r="AF19" s="407" t="n">
        <v>0</v>
      </c>
      <c r="AG19" s="407" t="n">
        <v>0</v>
      </c>
      <c r="AH19" s="407"/>
      <c r="AI19" s="435" t="n">
        <f>SUM(I19:Y19)/4</f>
        <v>245.9</v>
      </c>
      <c r="AJ19" s="483" t="n">
        <f>AI34</f>
        <v>362.04999999999995</v>
      </c>
      <c r="AK19" s="475"/>
      <c r="AM19" s="454"/>
    </row>
    <row r="20" ht="15.75" customHeight="1">
      <c r="A20" s="456"/>
      <c r="B20" s="455" t="s">
        <v>350</v>
      </c>
      <c r="C20" s="467"/>
      <c r="D20" s="465" t="n">
        <f t="shared" ref="D20:T20" si="16">D11-SUM(D12:D19)</f>
        <v>198.17900000000003</v>
      </c>
      <c r="E20" s="467" t="n">
        <f t="shared" si="16"/>
        <v>186.87</v>
      </c>
      <c r="F20" s="467" t="n">
        <f t="shared" si="16"/>
        <v>195.82800000000003</v>
      </c>
      <c r="G20" s="467" t="n">
        <f t="shared" si="16"/>
        <v>192.03799999999995</v>
      </c>
      <c r="H20" s="467" t="n">
        <f t="shared" si="16"/>
        <v>206.82899999999995</v>
      </c>
      <c r="I20" s="467" t="n">
        <f t="shared" si="16"/>
        <v>214.11100000000005</v>
      </c>
      <c r="J20" s="467" t="n">
        <f t="shared" si="16"/>
        <v>192.44999999999993</v>
      </c>
      <c r="K20" s="467" t="n">
        <f t="shared" si="16"/>
        <v>213.93400000000003</v>
      </c>
      <c r="L20" s="467" t="n">
        <f t="shared" si="16"/>
        <v>215.54399999999998</v>
      </c>
      <c r="M20" s="467" t="n">
        <f t="shared" si="16"/>
        <v>217.77433333333329</v>
      </c>
      <c r="N20" s="467" t="n">
        <f t="shared" si="16"/>
        <v>217.59133333333352</v>
      </c>
      <c r="O20" s="467" t="n">
        <f t="shared" si="16"/>
        <v>222.7093333333334</v>
      </c>
      <c r="P20" s="394" t="n">
        <f t="shared" si="16"/>
        <v>244.61933333333332</v>
      </c>
      <c r="Q20" s="467" t="n">
        <f t="shared" si="16"/>
        <v>248.60033333333331</v>
      </c>
      <c r="R20" s="467" t="n">
        <f t="shared" si="16"/>
        <v>262.76933333333329</v>
      </c>
      <c r="S20" s="444" t="n">
        <f t="shared" si="16"/>
        <v>260.1133333333334</v>
      </c>
      <c r="T20" s="444" t="n">
        <f t="shared" si="16"/>
        <v>222.98033333333342</v>
      </c>
      <c r="U20" s="444" t="n">
        <f t="shared" ref="U20:Z20" si="17">U11-SUM(U12:U19)</f>
        <v>236.8250000000001</v>
      </c>
      <c r="V20" s="444" t="n">
        <f t="shared" si="17"/>
        <v>227.57700000000006</v>
      </c>
      <c r="W20" s="444" t="n">
        <f t="shared" si="17"/>
        <v>220.74100000000004</v>
      </c>
      <c r="X20" s="444" t="n">
        <f t="shared" si="17"/>
        <v>243.04900000000009</v>
      </c>
      <c r="Y20" s="444" t="n">
        <f t="shared" si="17"/>
        <v>258.27700000000004</v>
      </c>
      <c r="Z20" s="444" t="n">
        <f t="shared" si="17"/>
        <v>275.846</v>
      </c>
      <c r="AA20" s="323" t="n">
        <f t="shared" ref="AA20:AC20" si="18">Z20*(1.04)^0.25</f>
        <v>278.56402278290687</v>
      </c>
      <c r="AB20" s="323" t="n">
        <f t="shared" si="18"/>
        <v>281.30882734930304</v>
      </c>
      <c r="AC20" s="323" t="n">
        <f t="shared" si="18"/>
        <v>284.08067759098941</v>
      </c>
      <c r="AD20" s="323" t="n">
        <f>AC20*(1.04)^0.25</f>
        <v>286.87983999999994</v>
      </c>
      <c r="AE20" s="323" t="n">
        <f t="shared" ref="AE20:AH20" si="19">AD20*(1.04)^0.25</f>
        <v>289.70658369422307</v>
      </c>
      <c r="AF20" s="323" t="n">
        <f t="shared" si="19"/>
        <v>292.56118044327513</v>
      </c>
      <c r="AG20" s="323" t="n">
        <f t="shared" si="19"/>
        <v>295.44390469462894</v>
      </c>
      <c r="AH20" s="323" t="n">
        <f t="shared" si="19"/>
        <v>298.3550335999999</v>
      </c>
      <c r="AI20" s="488"/>
      <c r="AJ20" s="485"/>
      <c r="AK20" s="454" t="s">
        <v>351</v>
      </c>
      <c r="AL20" s="454"/>
      <c r="AM20" s="454"/>
    </row>
    <row r="21" ht="15.75" customHeight="1">
      <c r="A21" s="19"/>
      <c r="B21" s="422"/>
      <c r="C21" s="64"/>
      <c r="D21" s="64"/>
      <c r="E21" s="64"/>
      <c r="F21" s="64"/>
      <c r="G21" s="64"/>
      <c r="H21" s="64"/>
      <c r="I21" s="64"/>
      <c r="J21" s="64"/>
      <c r="K21" s="64"/>
      <c r="L21" s="64"/>
      <c r="M21" s="64"/>
      <c r="N21" s="64"/>
      <c r="O21" s="64"/>
      <c r="P21" s="459"/>
      <c r="Q21" s="64"/>
      <c r="R21" s="64"/>
      <c r="AI21" s="288"/>
      <c r="AJ21" s="459"/>
      <c r="AK21" s="454"/>
      <c r="AL21" s="454"/>
      <c r="AM21" s="454"/>
    </row>
    <row r="22" ht="27" customHeight="1">
      <c r="B22" s="386" t="s">
        <v>353</v>
      </c>
      <c r="C22" s="387"/>
      <c r="D22" s="388"/>
      <c r="E22" s="388"/>
      <c r="F22" s="388"/>
      <c r="G22" s="388"/>
      <c r="H22" s="388"/>
      <c r="I22" s="388"/>
      <c r="J22" s="388"/>
      <c r="K22" s="388"/>
      <c r="L22" s="388"/>
      <c r="M22" s="388"/>
      <c r="N22" s="388"/>
      <c r="O22" s="388"/>
      <c r="P22" s="388"/>
      <c r="Q22" s="388"/>
      <c r="R22" s="388"/>
      <c r="S22" s="388"/>
      <c r="T22" s="388"/>
      <c r="U22" s="388"/>
      <c r="V22" s="388"/>
      <c r="W22" s="388"/>
      <c r="X22" s="388"/>
      <c r="Y22" s="388"/>
      <c r="Z22" s="388"/>
      <c r="AA22" s="388"/>
      <c r="AB22" s="388"/>
      <c r="AC22" s="389"/>
      <c r="AD22" s="428"/>
      <c r="AE22" s="428"/>
      <c r="AF22" s="428"/>
      <c r="AG22" s="428"/>
      <c r="AH22" s="428"/>
      <c r="AI22" s="427" t="s">
        <v>335</v>
      </c>
      <c r="AJ22" s="486"/>
    </row>
    <row r="23" ht="17.899999999999999" customHeight="1">
      <c r="B23" s="493" t="s">
        <v>354</v>
      </c>
      <c r="C23" s="64"/>
      <c r="D23" s="504"/>
      <c r="E23" s="494"/>
      <c r="F23" s="494"/>
      <c r="G23" s="494"/>
      <c r="H23" s="491"/>
      <c r="I23" s="491"/>
      <c r="J23" s="452" t="n">
        <f>SUM(J24:J26)</f>
        <v>692.8</v>
      </c>
      <c r="K23" s="452" t="n">
        <f t="shared" ref="K23:P23" si="20">SUM(K24:K26)</f>
        <v>39.200000000000003</v>
      </c>
      <c r="L23" s="452" t="n">
        <f t="shared" si="20"/>
        <v>29</v>
      </c>
      <c r="M23" s="452" t="n">
        <f t="shared" si="20"/>
        <v>27</v>
      </c>
      <c r="N23" s="452" t="n">
        <f t="shared" si="20"/>
        <v>18</v>
      </c>
      <c r="O23" s="452" t="n">
        <f t="shared" si="20"/>
        <v>0</v>
      </c>
      <c r="P23" s="395" t="n">
        <f t="shared" si="20"/>
        <v>0</v>
      </c>
      <c r="Q23" s="452"/>
      <c r="R23" s="452"/>
      <c r="S23" s="452"/>
      <c r="T23" s="489"/>
      <c r="U23" s="489"/>
      <c r="V23" s="489"/>
      <c r="W23" s="489"/>
      <c r="X23" s="489"/>
      <c r="Y23" s="489"/>
      <c r="Z23" s="489"/>
      <c r="AA23" s="489"/>
      <c r="AB23" s="489"/>
      <c r="AC23" s="425"/>
      <c r="AD23" s="407"/>
      <c r="AE23" s="407"/>
      <c r="AF23" s="407"/>
      <c r="AG23" s="407"/>
      <c r="AH23" s="407"/>
      <c r="AI23" s="435" t="n">
        <f t="shared" ref="AI23:AI37" si="21">SUM(I23:Y23)/4</f>
        <v>201.5</v>
      </c>
      <c r="AJ23" s="303" t="s">
        <v>355</v>
      </c>
      <c r="AK23" s="304"/>
    </row>
    <row r="24">
      <c r="B24" s="457" t="s">
        <v>149</v>
      </c>
      <c r="C24" s="64"/>
      <c r="D24" s="438"/>
      <c r="E24" s="64"/>
      <c r="F24" s="64"/>
      <c r="G24" s="64"/>
      <c r="H24" s="65"/>
      <c r="I24" s="65"/>
      <c r="J24" s="400" t="n">
        <f>C44*4</f>
        <v>600</v>
      </c>
      <c r="K24" s="400"/>
      <c r="L24" s="400"/>
      <c r="M24" s="400"/>
      <c r="N24" s="400"/>
      <c r="O24" s="400"/>
      <c r="P24" s="284"/>
      <c r="Q24" s="400"/>
      <c r="R24" s="400"/>
      <c r="S24" s="400"/>
      <c r="T24" s="407"/>
      <c r="U24" s="407"/>
      <c r="V24" s="407"/>
      <c r="W24" s="407"/>
      <c r="X24" s="407"/>
      <c r="Y24" s="407"/>
      <c r="Z24" s="407"/>
      <c r="AA24" s="407"/>
      <c r="AB24" s="407"/>
      <c r="AC24" s="407"/>
      <c r="AD24" s="407"/>
      <c r="AE24" s="407"/>
      <c r="AF24" s="407"/>
      <c r="AG24" s="407"/>
      <c r="AH24" s="407"/>
      <c r="AI24" s="435" t="n">
        <f t="shared" si="21"/>
        <v>150</v>
      </c>
      <c r="AJ24" s="400"/>
    </row>
    <row r="25" ht="15" customHeight="1">
      <c r="B25" s="457" t="s">
        <v>150</v>
      </c>
      <c r="C25" s="64"/>
      <c r="D25" s="438"/>
      <c r="E25" s="64"/>
      <c r="F25" s="64"/>
      <c r="G25" s="64"/>
      <c r="H25" s="65"/>
      <c r="I25" s="65"/>
      <c r="J25" s="400" t="n">
        <v>28.4</v>
      </c>
      <c r="K25" s="400" t="n">
        <v>15.8</v>
      </c>
      <c r="L25" s="400" t="n">
        <v>15.2</v>
      </c>
      <c r="M25" s="400" t="n">
        <v>10.9</v>
      </c>
      <c r="N25" s="400" t="n">
        <v>18</v>
      </c>
      <c r="O25" s="400"/>
      <c r="P25" s="284"/>
      <c r="Q25" s="400"/>
      <c r="R25" s="400"/>
      <c r="S25" s="400" t="n">
        <v>20</v>
      </c>
      <c r="T25" s="453" t="n">
        <v>10</v>
      </c>
      <c r="U25" s="407"/>
      <c r="V25" s="407"/>
      <c r="W25" s="407"/>
      <c r="X25" s="407"/>
      <c r="Y25" s="407"/>
      <c r="Z25" s="407"/>
      <c r="AA25" s="407"/>
      <c r="AB25" s="407"/>
      <c r="AC25" s="407"/>
      <c r="AD25" s="407"/>
      <c r="AE25" s="407"/>
      <c r="AF25" s="407"/>
      <c r="AG25" s="407"/>
      <c r="AH25" s="407"/>
      <c r="AI25" s="435" t="n">
        <f t="shared" si="21"/>
        <v>29.575000000000003</v>
      </c>
      <c r="AJ25" s="400"/>
    </row>
    <row r="26">
      <c r="B26" s="457" t="s">
        <v>152</v>
      </c>
      <c r="C26" s="64"/>
      <c r="D26" s="438"/>
      <c r="E26" s="64"/>
      <c r="F26" s="64"/>
      <c r="G26" s="64"/>
      <c r="H26" s="65"/>
      <c r="I26" s="65"/>
      <c r="J26" s="287" t="n">
        <v>64.400000000000006</v>
      </c>
      <c r="K26" s="287" t="n">
        <v>23.4</v>
      </c>
      <c r="L26" s="287" t="n">
        <v>13.8</v>
      </c>
      <c r="M26" s="287" t="n">
        <v>16.100000000000001</v>
      </c>
      <c r="N26" s="400"/>
      <c r="O26" s="400"/>
      <c r="P26" s="284"/>
      <c r="Q26" s="400"/>
      <c r="R26" s="400"/>
      <c r="S26" s="400"/>
      <c r="T26" s="407"/>
      <c r="U26" s="407"/>
      <c r="V26" s="407"/>
      <c r="W26" s="407"/>
      <c r="X26" s="407"/>
      <c r="Y26" s="407"/>
      <c r="Z26" s="407"/>
      <c r="AA26" s="407"/>
      <c r="AB26" s="407"/>
      <c r="AC26" s="407"/>
      <c r="AD26" s="407"/>
      <c r="AE26" s="407"/>
      <c r="AF26" s="407"/>
      <c r="AG26" s="407"/>
      <c r="AH26" s="407"/>
      <c r="AI26" s="435" t="n">
        <f t="shared" si="21"/>
        <v>29.425000000000004</v>
      </c>
      <c r="AJ26" s="400"/>
    </row>
    <row r="27" ht="16.5" customHeight="1">
      <c r="B27" s="493" t="s">
        <v>356</v>
      </c>
      <c r="C27" s="64"/>
      <c r="D27" s="438"/>
      <c r="E27" s="64"/>
      <c r="F27" s="64"/>
      <c r="G27" s="64"/>
      <c r="H27" s="65"/>
      <c r="I27" s="65"/>
      <c r="J27" s="65"/>
      <c r="K27" s="65"/>
      <c r="L27" s="65"/>
      <c r="M27" s="400" t="n">
        <f>SUM(M28:M32)</f>
        <v>43</v>
      </c>
      <c r="N27" s="400" t="n">
        <f t="shared" ref="N27:AD27" si="22">SUM(N28:N32)</f>
        <v>70</v>
      </c>
      <c r="O27" s="400" t="n">
        <f t="shared" si="22"/>
        <v>59.999999999999964</v>
      </c>
      <c r="P27" s="284" t="n">
        <f t="shared" si="22"/>
        <v>50</v>
      </c>
      <c r="Q27" s="400" t="n">
        <f t="shared" si="22"/>
        <v>44.999999999999964</v>
      </c>
      <c r="R27" s="400" t="n">
        <f t="shared" si="22"/>
        <v>44.999999999999964</v>
      </c>
      <c r="S27" s="400" t="n">
        <f t="shared" si="22"/>
        <v>44.999999999999964</v>
      </c>
      <c r="T27" s="407" t="n">
        <f t="shared" si="22"/>
        <v>44.999999999999964</v>
      </c>
      <c r="U27" s="407" t="n">
        <f t="shared" si="22"/>
        <v>44.999999999999964</v>
      </c>
      <c r="V27" s="407" t="n">
        <f t="shared" si="22"/>
        <v>44.999999999999964</v>
      </c>
      <c r="W27" s="407" t="n">
        <f t="shared" si="22"/>
        <v>44.999999999999964</v>
      </c>
      <c r="X27" s="407" t="n">
        <f>SUM(X28:X32)</f>
        <v>44.999999999999964</v>
      </c>
      <c r="Y27" s="407" t="n">
        <f t="shared" si="22"/>
        <v>19</v>
      </c>
      <c r="Z27" s="407" t="n">
        <f t="shared" si="22"/>
        <v>0</v>
      </c>
      <c r="AA27" s="407" t="n">
        <f t="shared" si="22"/>
        <v>0</v>
      </c>
      <c r="AB27" s="407" t="n">
        <f t="shared" si="22"/>
        <v>0</v>
      </c>
      <c r="AC27" s="407" t="n">
        <f t="shared" si="22"/>
        <v>0</v>
      </c>
      <c r="AD27" s="407" t="n">
        <f t="shared" si="22"/>
        <v>0</v>
      </c>
      <c r="AE27" s="407"/>
      <c r="AF27" s="407"/>
      <c r="AG27" s="407"/>
      <c r="AH27" s="407"/>
      <c r="AI27" s="435" t="n">
        <f t="shared" si="21"/>
        <v>150.49999999999991</v>
      </c>
      <c r="AJ27" s="303" t="s">
        <v>357</v>
      </c>
      <c r="AK27" s="304"/>
    </row>
    <row r="28">
      <c r="B28" s="457" t="s">
        <v>343</v>
      </c>
      <c r="C28" s="64"/>
      <c r="D28" s="438"/>
      <c r="E28" s="64"/>
      <c r="F28" s="64"/>
      <c r="G28" s="64"/>
      <c r="H28" s="65"/>
      <c r="I28" s="65"/>
      <c r="J28" s="65"/>
      <c r="K28" s="65"/>
      <c r="L28" s="65"/>
      <c r="M28" s="400" t="n">
        <f>C47/12*4</f>
        <v>9.6666666666666661</v>
      </c>
      <c r="N28" s="400" t="n">
        <f>M28</f>
        <v>9.6666666666666661</v>
      </c>
      <c r="O28" s="400" t="n">
        <f t="shared" ref="O28:X28" si="23">N28</f>
        <v>9.6666666666666661</v>
      </c>
      <c r="P28" s="284" t="n">
        <f t="shared" si="23"/>
        <v>9.6666666666666661</v>
      </c>
      <c r="Q28" s="400" t="n">
        <f t="shared" si="23"/>
        <v>9.6666666666666661</v>
      </c>
      <c r="R28" s="400" t="n">
        <f t="shared" si="23"/>
        <v>9.6666666666666661</v>
      </c>
      <c r="S28" s="400" t="n">
        <f t="shared" si="23"/>
        <v>9.6666666666666661</v>
      </c>
      <c r="T28" s="407" t="n">
        <f t="shared" si="23"/>
        <v>9.6666666666666661</v>
      </c>
      <c r="U28" s="407" t="n">
        <f t="shared" si="23"/>
        <v>9.6666666666666661</v>
      </c>
      <c r="V28" s="407" t="n">
        <f t="shared" si="23"/>
        <v>9.6666666666666661</v>
      </c>
      <c r="W28" s="407" t="n">
        <f t="shared" si="23"/>
        <v>9.6666666666666661</v>
      </c>
      <c r="X28" s="407" t="n">
        <f t="shared" si="23"/>
        <v>9.6666666666666661</v>
      </c>
      <c r="Y28" s="414"/>
      <c r="Z28" s="414"/>
      <c r="AA28" s="414"/>
      <c r="AB28" s="414"/>
      <c r="AC28" s="414"/>
      <c r="AD28" s="414"/>
      <c r="AE28" s="414"/>
      <c r="AF28" s="414"/>
      <c r="AG28" s="414"/>
      <c r="AH28" s="414"/>
      <c r="AI28" s="435" t="n">
        <f t="shared" si="21"/>
        <v>29.000000000000004</v>
      </c>
      <c r="AJ28" s="303"/>
      <c r="AK28" s="304"/>
    </row>
    <row r="29" ht="41.9" customHeight="1">
      <c r="B29" s="457" t="s">
        <v>150</v>
      </c>
      <c r="C29" s="64"/>
      <c r="D29" s="438"/>
      <c r="E29" s="64"/>
      <c r="F29" s="64"/>
      <c r="G29" s="64"/>
      <c r="H29" s="65"/>
      <c r="I29" s="65"/>
      <c r="J29" s="65"/>
      <c r="K29" s="65"/>
      <c r="L29" s="65"/>
      <c r="M29" s="479" t="n">
        <f>C58/12*4 - 7</f>
        <v>20.333333333333332</v>
      </c>
      <c r="N29" s="479" t="n">
        <f>C58/12*4 + 20</f>
        <v>47.333333333333329</v>
      </c>
      <c r="O29" s="479" t="n">
        <v>37.3333333333333</v>
      </c>
      <c r="P29" s="396" t="n">
        <v>27.333333333333332</v>
      </c>
      <c r="Q29" s="479" t="n">
        <v>22.3333333333333</v>
      </c>
      <c r="R29" s="479" t="n">
        <v>22.3333333333333</v>
      </c>
      <c r="S29" s="479" t="n">
        <v>22.3333333333333</v>
      </c>
      <c r="T29" s="426" t="n">
        <v>22.3333333333333</v>
      </c>
      <c r="U29" s="426" t="n">
        <v>22.3333333333333</v>
      </c>
      <c r="V29" s="426" t="n">
        <v>22.3333333333333</v>
      </c>
      <c r="W29" s="426" t="n">
        <v>22.3333333333333</v>
      </c>
      <c r="X29" s="426" t="n">
        <v>22.3333333333333</v>
      </c>
      <c r="Y29" s="426" t="n">
        <v>19</v>
      </c>
      <c r="Z29" s="426"/>
      <c r="AA29" s="426"/>
      <c r="AB29" s="426"/>
      <c r="AC29" s="426"/>
      <c r="AD29" s="426"/>
      <c r="AE29" s="426"/>
      <c r="AF29" s="426"/>
      <c r="AG29" s="426"/>
      <c r="AH29" s="426"/>
      <c r="AI29" s="435" t="n">
        <f t="shared" si="21"/>
        <v>82.499999999999943</v>
      </c>
      <c r="AJ29" s="500" t="s">
        <v>358</v>
      </c>
    </row>
    <row r="30">
      <c r="B30" s="457" t="s">
        <v>152</v>
      </c>
      <c r="C30" s="64"/>
      <c r="D30" s="438"/>
      <c r="E30" s="64"/>
      <c r="F30" s="64"/>
      <c r="G30" s="64"/>
      <c r="H30" s="65"/>
      <c r="I30" s="65"/>
      <c r="J30" s="65"/>
      <c r="K30" s="65"/>
      <c r="L30" s="65"/>
      <c r="M30" s="400" t="n">
        <f>C59/12*4</f>
        <v>1</v>
      </c>
      <c r="N30" s="400" t="n">
        <f>C59/12*4</f>
        <v>1</v>
      </c>
      <c r="O30" s="400" t="n">
        <f t="shared" ref="O30:X30" si="24">$C$59/12*4</f>
        <v>1</v>
      </c>
      <c r="P30" s="284" t="n">
        <f t="shared" si="24"/>
        <v>1</v>
      </c>
      <c r="Q30" s="400" t="n">
        <f t="shared" si="24"/>
        <v>1</v>
      </c>
      <c r="R30" s="400" t="n">
        <f t="shared" si="24"/>
        <v>1</v>
      </c>
      <c r="S30" s="400" t="n">
        <f t="shared" si="24"/>
        <v>1</v>
      </c>
      <c r="T30" s="407" t="n">
        <f t="shared" si="24"/>
        <v>1</v>
      </c>
      <c r="U30" s="407" t="n">
        <f t="shared" si="24"/>
        <v>1</v>
      </c>
      <c r="V30" s="407" t="n">
        <f t="shared" si="24"/>
        <v>1</v>
      </c>
      <c r="W30" s="407" t="n">
        <f t="shared" si="24"/>
        <v>1</v>
      </c>
      <c r="X30" s="407" t="n">
        <f t="shared" si="24"/>
        <v>1</v>
      </c>
      <c r="Y30" s="414"/>
      <c r="Z30" s="414"/>
      <c r="AA30" s="414"/>
      <c r="AB30" s="414"/>
      <c r="AC30" s="414"/>
      <c r="AD30" s="414"/>
      <c r="AE30" s="414"/>
      <c r="AF30" s="414"/>
      <c r="AG30" s="414"/>
      <c r="AH30" s="414"/>
      <c r="AI30" s="435" t="n">
        <f t="shared" si="21"/>
        <v>3</v>
      </c>
      <c r="AJ30" s="65"/>
    </row>
    <row r="31" ht="13.4" customHeight="1">
      <c r="B31" s="457" t="s">
        <v>359</v>
      </c>
      <c r="C31" s="64"/>
      <c r="D31" s="438"/>
      <c r="E31" s="64"/>
      <c r="F31" s="64"/>
      <c r="G31" s="64"/>
      <c r="H31" s="65"/>
      <c r="I31" s="65"/>
      <c r="J31" s="65"/>
      <c r="K31" s="65"/>
      <c r="L31" s="65"/>
      <c r="M31" s="400" t="n">
        <f t="shared" ref="M31:X31" si="25">$C$60/12*4</f>
        <v>11.333333333333334</v>
      </c>
      <c r="N31" s="400" t="n">
        <f t="shared" si="25"/>
        <v>11.333333333333334</v>
      </c>
      <c r="O31" s="400" t="n">
        <f t="shared" si="25"/>
        <v>11.333333333333334</v>
      </c>
      <c r="P31" s="284" t="n">
        <f t="shared" si="25"/>
        <v>11.333333333333334</v>
      </c>
      <c r="Q31" s="400" t="n">
        <f t="shared" si="25"/>
        <v>11.333333333333334</v>
      </c>
      <c r="R31" s="400" t="n">
        <f t="shared" si="25"/>
        <v>11.333333333333334</v>
      </c>
      <c r="S31" s="400" t="n">
        <f t="shared" si="25"/>
        <v>11.333333333333334</v>
      </c>
      <c r="T31" s="407" t="n">
        <f t="shared" si="25"/>
        <v>11.333333333333334</v>
      </c>
      <c r="U31" s="407" t="n">
        <f t="shared" si="25"/>
        <v>11.333333333333334</v>
      </c>
      <c r="V31" s="407" t="n">
        <f t="shared" si="25"/>
        <v>11.333333333333334</v>
      </c>
      <c r="W31" s="407" t="n">
        <f t="shared" si="25"/>
        <v>11.333333333333334</v>
      </c>
      <c r="X31" s="407" t="n">
        <f t="shared" si="25"/>
        <v>11.333333333333334</v>
      </c>
      <c r="Y31" s="414"/>
      <c r="Z31" s="414"/>
      <c r="AA31" s="414"/>
      <c r="AB31" s="414"/>
      <c r="AC31" s="414"/>
      <c r="AD31" s="414"/>
      <c r="AE31" s="414"/>
      <c r="AF31" s="414"/>
      <c r="AG31" s="414"/>
      <c r="AH31" s="414"/>
      <c r="AI31" s="435" t="n">
        <f t="shared" si="21"/>
        <v>33.999999999999993</v>
      </c>
      <c r="AJ31" s="65"/>
    </row>
    <row r="32" ht="29.25" customHeight="1">
      <c r="B32" s="457" t="s">
        <v>360</v>
      </c>
      <c r="C32" s="64"/>
      <c r="D32" s="438"/>
      <c r="E32" s="64"/>
      <c r="F32" s="64"/>
      <c r="G32" s="64"/>
      <c r="H32" s="65"/>
      <c r="I32" s="65"/>
      <c r="J32" s="65"/>
      <c r="K32" s="65"/>
      <c r="L32" s="65"/>
      <c r="M32" s="400" t="n">
        <f t="shared" ref="M32:X32" si="26">$C$61/12*4</f>
        <v>0.66666666666666663</v>
      </c>
      <c r="N32" s="400" t="n">
        <f t="shared" si="26"/>
        <v>0.66666666666666663</v>
      </c>
      <c r="O32" s="400" t="n">
        <f t="shared" si="26"/>
        <v>0.66666666666666663</v>
      </c>
      <c r="P32" s="284" t="n">
        <f t="shared" si="26"/>
        <v>0.66666666666666663</v>
      </c>
      <c r="Q32" s="400" t="n">
        <f t="shared" si="26"/>
        <v>0.66666666666666663</v>
      </c>
      <c r="R32" s="400" t="n">
        <f t="shared" si="26"/>
        <v>0.66666666666666663</v>
      </c>
      <c r="S32" s="400" t="n">
        <f t="shared" si="26"/>
        <v>0.66666666666666663</v>
      </c>
      <c r="T32" s="407" t="n">
        <f t="shared" si="26"/>
        <v>0.66666666666666663</v>
      </c>
      <c r="U32" s="407" t="n">
        <f t="shared" si="26"/>
        <v>0.66666666666666663</v>
      </c>
      <c r="V32" s="407" t="n">
        <f t="shared" si="26"/>
        <v>0.66666666666666663</v>
      </c>
      <c r="W32" s="407" t="n">
        <f t="shared" si="26"/>
        <v>0.66666666666666663</v>
      </c>
      <c r="X32" s="407" t="n">
        <f t="shared" si="26"/>
        <v>0.66666666666666663</v>
      </c>
      <c r="Y32" s="414"/>
      <c r="Z32" s="414"/>
      <c r="AA32" s="414"/>
      <c r="AB32" s="414"/>
      <c r="AC32" s="414"/>
      <c r="AD32" s="414"/>
      <c r="AE32" s="414"/>
      <c r="AF32" s="414"/>
      <c r="AG32" s="414"/>
      <c r="AH32" s="414"/>
      <c r="AI32" s="435" t="n">
        <f t="shared" si="21"/>
        <v>2</v>
      </c>
      <c r="AJ32" s="65"/>
    </row>
    <row r="33" ht="44.25" customHeight="1">
      <c r="B33" s="493" t="s">
        <v>361</v>
      </c>
      <c r="C33" s="64"/>
      <c r="D33" s="438"/>
      <c r="E33" s="64"/>
      <c r="F33" s="64"/>
      <c r="G33" s="64"/>
      <c r="H33" s="65"/>
      <c r="I33" s="65"/>
      <c r="J33" s="65"/>
      <c r="K33" s="65"/>
      <c r="L33" s="65"/>
      <c r="M33" s="400"/>
      <c r="N33" s="400" t="n">
        <f t="shared" ref="N33:AD33" si="27">SUM(N34:N38)</f>
        <v>954.03959999999972</v>
      </c>
      <c r="O33" s="400" t="n">
        <f t="shared" si="27"/>
        <v>85.500399999999999</v>
      </c>
      <c r="P33" s="284" t="n">
        <f t="shared" si="27"/>
        <v>83.481000000000009</v>
      </c>
      <c r="Q33" s="400" t="n">
        <f t="shared" si="27"/>
        <v>662.76099999999997</v>
      </c>
      <c r="R33" s="400" t="n">
        <f t="shared" si="27"/>
        <v>83.481000000000009</v>
      </c>
      <c r="S33" s="400" t="n">
        <f t="shared" si="27"/>
        <v>83.481000000000009</v>
      </c>
      <c r="T33" s="407" t="n">
        <f t="shared" si="27"/>
        <v>62.811999999999998</v>
      </c>
      <c r="U33" s="407" t="n">
        <f t="shared" si="27"/>
        <v>62.811999999999998</v>
      </c>
      <c r="V33" s="407" t="n">
        <f t="shared" si="27"/>
        <v>62.811999999999998</v>
      </c>
      <c r="W33" s="407" t="n">
        <f t="shared" si="27"/>
        <v>62.811999999999998</v>
      </c>
      <c r="X33" s="407" t="n">
        <f t="shared" si="27"/>
        <v>41.554000000000002</v>
      </c>
      <c r="Y33" s="407" t="n">
        <f t="shared" si="27"/>
        <v>41.554000000000002</v>
      </c>
      <c r="Z33" s="407" t="n">
        <f t="shared" si="27"/>
        <v>41.554000000000002</v>
      </c>
      <c r="AA33" s="407" t="n">
        <f t="shared" si="27"/>
        <v>41.554000000000002</v>
      </c>
      <c r="AB33" s="407" t="n">
        <f t="shared" si="27"/>
        <v>27.678000000000001</v>
      </c>
      <c r="AC33" s="407" t="n">
        <f t="shared" si="27"/>
        <v>27.678000000000001</v>
      </c>
      <c r="AD33" s="407" t="n">
        <f t="shared" si="27"/>
        <v>27.678000000000001</v>
      </c>
      <c r="AE33" s="407"/>
      <c r="AF33" s="407"/>
      <c r="AG33" s="407"/>
      <c r="AH33" s="407"/>
      <c r="AI33" s="435" t="n">
        <f t="shared" si="21"/>
        <v>571.77499999999986</v>
      </c>
      <c r="AJ33" s="303" t="s">
        <v>362</v>
      </c>
      <c r="AK33" s="304"/>
    </row>
    <row r="34" ht="17.899999999999999" customHeight="1">
      <c r="B34" s="457" t="s">
        <v>348</v>
      </c>
      <c r="C34" s="64"/>
      <c r="D34" s="438"/>
      <c r="E34" s="64"/>
      <c r="F34" s="64"/>
      <c r="G34" s="64"/>
      <c r="H34" s="65"/>
      <c r="I34" s="65"/>
      <c r="J34" s="65"/>
      <c r="K34" s="65"/>
      <c r="L34" s="65"/>
      <c r="M34" s="400"/>
      <c r="N34" s="400" t="n">
        <f>0.6*C63*4</f>
        <v>868.91999999999985</v>
      </c>
      <c r="O34" s="400"/>
      <c r="P34" s="284"/>
      <c r="Q34" s="400" t="n">
        <f>0.4*C63*4</f>
        <v>579.28</v>
      </c>
      <c r="R34" s="400"/>
      <c r="S34" s="400"/>
      <c r="T34" s="407"/>
      <c r="U34" s="407"/>
      <c r="V34" s="407"/>
      <c r="W34" s="407"/>
      <c r="X34" s="407"/>
      <c r="Y34" s="407"/>
      <c r="Z34" s="407"/>
      <c r="AA34" s="407"/>
      <c r="AB34" s="407"/>
      <c r="AC34" s="407"/>
      <c r="AD34" s="407"/>
      <c r="AE34" s="407"/>
      <c r="AF34" s="407"/>
      <c r="AG34" s="407"/>
      <c r="AH34" s="407"/>
      <c r="AI34" s="435" t="n">
        <f t="shared" si="21"/>
        <v>362.04999999999995</v>
      </c>
      <c r="AJ34" s="475" t="s">
        <v>363</v>
      </c>
      <c r="AK34" s="475"/>
    </row>
    <row r="35">
      <c r="B35" s="457" t="s">
        <v>150</v>
      </c>
      <c r="C35" s="64"/>
      <c r="D35" s="438"/>
      <c r="E35" s="64"/>
      <c r="F35" s="64"/>
      <c r="G35" s="64"/>
      <c r="H35" s="65"/>
      <c r="I35" s="65"/>
      <c r="J35" s="65"/>
      <c r="K35" s="65"/>
      <c r="L35" s="65"/>
      <c r="M35" s="400"/>
      <c r="N35" s="400" t="n">
        <f>'ARP Quarterly'!D9</f>
        <v>24.693999999999999</v>
      </c>
      <c r="O35" s="400" t="n">
        <f>'ARP Quarterly'!E9</f>
        <v>24.693999999999999</v>
      </c>
      <c r="P35" s="284" t="n">
        <f>'ARP Quarterly'!F9</f>
        <v>46.79</v>
      </c>
      <c r="Q35" s="400" t="n">
        <f>'ARP Quarterly'!G9</f>
        <v>46.79</v>
      </c>
      <c r="R35" s="400" t="n">
        <f>'ARP Quarterly'!H9</f>
        <v>46.79</v>
      </c>
      <c r="S35" s="400" t="n">
        <f>'ARP Quarterly'!I9</f>
        <v>46.79</v>
      </c>
      <c r="T35" s="407" t="n">
        <f>'ARP Quarterly'!J9</f>
        <v>38.595999999999997</v>
      </c>
      <c r="U35" s="407" t="n">
        <f>'ARP Quarterly'!K9</f>
        <v>38.595999999999997</v>
      </c>
      <c r="V35" s="407" t="n">
        <f>'ARP Quarterly'!L9</f>
        <v>38.595999999999997</v>
      </c>
      <c r="W35" s="407" t="n">
        <f>'ARP Quarterly'!M9</f>
        <v>38.595999999999997</v>
      </c>
      <c r="X35" s="407" t="n">
        <f>'ARP Quarterly'!N9</f>
        <v>31.911000000000001</v>
      </c>
      <c r="Y35" s="407" t="n">
        <f>'ARP Quarterly'!O9</f>
        <v>31.911000000000001</v>
      </c>
      <c r="Z35" s="407" t="n">
        <f>'ARP Quarterly'!P9</f>
        <v>31.911000000000001</v>
      </c>
      <c r="AA35" s="407" t="n">
        <f>'ARP Quarterly'!Q9</f>
        <v>31.911000000000001</v>
      </c>
      <c r="AB35" s="407" t="n">
        <f>'ARP Quarterly'!R9</f>
        <v>23.099</v>
      </c>
      <c r="AC35" s="407" t="n">
        <f>'ARP Quarterly'!S9</f>
        <v>23.099</v>
      </c>
      <c r="AD35" s="407" t="n">
        <f>'ARP Quarterly'!T9</f>
        <v>23.099</v>
      </c>
      <c r="AE35" s="407"/>
      <c r="AF35" s="407"/>
      <c r="AG35" s="407"/>
      <c r="AH35" s="407"/>
      <c r="AI35" s="435" t="n">
        <f t="shared" si="21"/>
        <v>113.68849999999999</v>
      </c>
      <c r="AJ35" s="400"/>
    </row>
    <row r="36">
      <c r="B36" s="457" t="s">
        <v>152</v>
      </c>
      <c r="C36" s="64"/>
      <c r="D36" s="438"/>
      <c r="E36" s="64"/>
      <c r="F36" s="64"/>
      <c r="G36" s="64"/>
      <c r="H36" s="65"/>
      <c r="I36" s="65"/>
      <c r="J36" s="65"/>
      <c r="K36" s="65"/>
      <c r="L36" s="65"/>
      <c r="M36" s="400"/>
      <c r="N36" s="400" t="n">
        <f>'ARP Quarterly'!D14</f>
        <v>1.1696</v>
      </c>
      <c r="O36" s="400" t="n">
        <f>'ARP Quarterly'!E14</f>
        <v>1.5503999999999998</v>
      </c>
      <c r="P36" s="284" t="n">
        <f>'ARP Quarterly'!F14</f>
        <v>1.02</v>
      </c>
      <c r="Q36" s="400" t="n">
        <f>'ARP Quarterly'!G14</f>
        <v>1.02</v>
      </c>
      <c r="R36" s="400" t="n">
        <f>'ARP Quarterly'!H14</f>
        <v>1.02</v>
      </c>
      <c r="S36" s="400" t="n">
        <f>'ARP Quarterly'!I14</f>
        <v>1.02</v>
      </c>
      <c r="T36" s="407" t="n">
        <f>'ARP Quarterly'!J14</f>
        <v>0</v>
      </c>
      <c r="U36" s="407" t="n">
        <f>'ARP Quarterly'!K14</f>
        <v>0</v>
      </c>
      <c r="V36" s="407" t="n">
        <f>'ARP Quarterly'!L14</f>
        <v>0</v>
      </c>
      <c r="W36" s="407" t="n">
        <f>'ARP Quarterly'!M14</f>
        <v>0</v>
      </c>
      <c r="X36" s="407" t="n">
        <f>'ARP Quarterly'!N14</f>
        <v>0</v>
      </c>
      <c r="Y36" s="407" t="n">
        <f>'ARP Quarterly'!O14</f>
        <v>0</v>
      </c>
      <c r="Z36" s="407" t="n">
        <f>'ARP Quarterly'!P14</f>
        <v>0</v>
      </c>
      <c r="AA36" s="407" t="n">
        <f>'ARP Quarterly'!Q14</f>
        <v>0</v>
      </c>
      <c r="AB36" s="407" t="n">
        <f>'ARP Quarterly'!R14</f>
        <v>0</v>
      </c>
      <c r="AC36" s="407" t="n">
        <f>'ARP Quarterly'!S14</f>
        <v>0</v>
      </c>
      <c r="AD36" s="407" t="n">
        <f>'ARP Quarterly'!T14</f>
        <v>0</v>
      </c>
      <c r="AE36" s="407"/>
      <c r="AF36" s="407"/>
      <c r="AG36" s="407"/>
      <c r="AH36" s="407"/>
      <c r="AI36" s="435" t="n">
        <f t="shared" si="21"/>
        <v>1.6999999999999997</v>
      </c>
      <c r="AJ36" s="400"/>
    </row>
    <row r="37">
      <c r="B37" s="457" t="s">
        <v>364</v>
      </c>
      <c r="C37" s="64"/>
      <c r="D37" s="438"/>
      <c r="E37" s="64"/>
      <c r="F37" s="64"/>
      <c r="G37" s="64"/>
      <c r="H37" s="65"/>
      <c r="I37" s="65"/>
      <c r="J37" s="65"/>
      <c r="K37" s="65"/>
      <c r="L37" s="65"/>
      <c r="M37" s="400"/>
      <c r="N37" s="400" t="n">
        <f>'ARP Quarterly'!D10</f>
        <v>59.256</v>
      </c>
      <c r="O37" s="400" t="n">
        <f>'ARP Quarterly'!E10</f>
        <v>59.256</v>
      </c>
      <c r="P37" s="284" t="n">
        <f>'ARP Quarterly'!F10</f>
        <v>35.671000000000006</v>
      </c>
      <c r="Q37" s="400" t="n">
        <f>'ARP Quarterly'!G10</f>
        <v>35.671000000000006</v>
      </c>
      <c r="R37" s="400" t="n">
        <f>'ARP Quarterly'!H10</f>
        <v>35.671000000000006</v>
      </c>
      <c r="S37" s="400" t="n">
        <f>'ARP Quarterly'!I10</f>
        <v>35.671000000000006</v>
      </c>
      <c r="T37" s="407" t="n">
        <f>'ARP Quarterly'!J10</f>
        <v>24.216000000000001</v>
      </c>
      <c r="U37" s="407" t="n">
        <f>'ARP Quarterly'!K10</f>
        <v>24.216000000000001</v>
      </c>
      <c r="V37" s="407" t="n">
        <f>'ARP Quarterly'!L10</f>
        <v>24.216000000000001</v>
      </c>
      <c r="W37" s="407" t="n">
        <f>'ARP Quarterly'!M10</f>
        <v>24.216000000000001</v>
      </c>
      <c r="X37" s="407" t="n">
        <f>'ARP Quarterly'!N10</f>
        <v>9.6430000000000007</v>
      </c>
      <c r="Y37" s="407" t="n">
        <f>'ARP Quarterly'!O10</f>
        <v>9.6430000000000007</v>
      </c>
      <c r="Z37" s="407" t="n">
        <f>'ARP Quarterly'!P10</f>
        <v>9.6430000000000007</v>
      </c>
      <c r="AA37" s="407" t="n">
        <f>'ARP Quarterly'!Q10</f>
        <v>9.6430000000000007</v>
      </c>
      <c r="AB37" s="407" t="n">
        <f>'ARP Quarterly'!R10</f>
        <v>4.5789999999999997</v>
      </c>
      <c r="AC37" s="407" t="n">
        <f>'ARP Quarterly'!S10</f>
        <v>4.5789999999999997</v>
      </c>
      <c r="AD37" s="407" t="n">
        <f>'ARP Quarterly'!T10</f>
        <v>4.5789999999999997</v>
      </c>
      <c r="AE37" s="407"/>
      <c r="AF37" s="407"/>
      <c r="AG37" s="407"/>
      <c r="AH37" s="407"/>
      <c r="AI37" s="435" t="n">
        <f t="shared" si="21"/>
        <v>94.336500000000001</v>
      </c>
      <c r="AJ37" s="400"/>
    </row>
    <row r="38">
      <c r="A38" s="19"/>
      <c r="B38" s="470"/>
      <c r="C38" s="467"/>
      <c r="D38" s="465"/>
      <c r="E38" s="467"/>
      <c r="F38" s="467"/>
      <c r="G38" s="467"/>
      <c r="H38" s="472"/>
      <c r="I38" s="472"/>
      <c r="J38" s="472"/>
      <c r="K38" s="472"/>
      <c r="L38" s="472"/>
      <c r="M38" s="401"/>
      <c r="N38" s="401"/>
      <c r="O38" s="401"/>
      <c r="P38" s="397"/>
      <c r="Q38" s="401"/>
      <c r="R38" s="401"/>
      <c r="S38" s="401"/>
      <c r="T38" s="476"/>
      <c r="U38" s="476"/>
      <c r="V38" s="476"/>
      <c r="W38" s="476"/>
      <c r="X38" s="476"/>
      <c r="Y38" s="476"/>
      <c r="Z38" s="476"/>
      <c r="AA38" s="476"/>
      <c r="AB38" s="476"/>
      <c r="AC38" s="476"/>
      <c r="AD38" s="407"/>
      <c r="AE38" s="407"/>
      <c r="AF38" s="407"/>
      <c r="AG38" s="407"/>
      <c r="AH38" s="407"/>
      <c r="AI38" s="487"/>
      <c r="AJ38" s="400"/>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row>
    <row r="39">
      <c r="B39" s="422"/>
      <c r="C39" s="64"/>
      <c r="D39" s="64"/>
      <c r="E39" s="64"/>
      <c r="F39" s="64"/>
      <c r="G39" s="64"/>
      <c r="H39" s="64"/>
      <c r="I39" s="64"/>
      <c r="J39" s="64"/>
      <c r="K39" s="64"/>
      <c r="L39" s="64"/>
      <c r="M39" s="64"/>
      <c r="N39" s="64"/>
      <c r="O39" s="64"/>
      <c r="P39" s="459"/>
      <c r="Q39" s="64"/>
      <c r="R39" s="64"/>
      <c r="S39" s="64"/>
      <c r="T39" s="64"/>
      <c r="U39" s="64"/>
      <c r="V39" s="64"/>
      <c r="W39" s="64"/>
      <c r="X39" s="64"/>
      <c r="Y39" s="64"/>
      <c r="Z39" s="64"/>
      <c r="AA39" s="64"/>
      <c r="AB39" s="64"/>
      <c r="AC39" s="64"/>
      <c r="AD39" s="64"/>
      <c r="AE39" s="64"/>
      <c r="AF39" s="64"/>
      <c r="AG39" s="64"/>
      <c r="AH39" s="64"/>
      <c r="AI39" s="64"/>
      <c r="AJ39" s="64"/>
    </row>
    <row r="40">
      <c r="B40" s="422"/>
      <c r="C40" s="64"/>
      <c r="D40" s="64"/>
      <c r="E40" s="64"/>
      <c r="F40" s="64"/>
      <c r="G40" s="64"/>
      <c r="H40" s="64"/>
      <c r="I40" s="64"/>
      <c r="J40" s="64"/>
      <c r="K40" s="64"/>
      <c r="L40" s="64"/>
      <c r="M40" s="64"/>
      <c r="N40" s="64"/>
      <c r="O40" s="64"/>
      <c r="P40" s="459"/>
      <c r="Q40" s="64"/>
      <c r="R40" s="64"/>
      <c r="S40" s="64"/>
      <c r="T40" s="64"/>
      <c r="U40" s="64"/>
      <c r="V40" s="64"/>
      <c r="W40" s="64"/>
      <c r="X40" s="64"/>
      <c r="Y40" s="64"/>
      <c r="Z40" s="64"/>
      <c r="AA40" s="64"/>
      <c r="AB40" s="64"/>
      <c r="AC40" s="64"/>
      <c r="AD40" s="64"/>
      <c r="AE40" s="64"/>
      <c r="AF40" s="64"/>
      <c r="AG40" s="64"/>
      <c r="AH40" s="64"/>
      <c r="AI40" s="64"/>
      <c r="AJ40" s="64"/>
    </row>
    <row r="41" ht="17.899999999999999" customHeight="1">
      <c r="B41" s="477" t="s">
        <v>365</v>
      </c>
      <c r="H41" s="65"/>
      <c r="I41" s="65"/>
      <c r="J41" s="65"/>
      <c r="K41" s="65"/>
      <c r="L41" s="65"/>
      <c r="M41" s="65"/>
      <c r="N41" s="65"/>
      <c r="O41" s="65"/>
      <c r="P41" s="288"/>
      <c r="Q41" s="65"/>
      <c r="R41" s="65"/>
      <c r="S41" s="65"/>
      <c r="T41" s="65"/>
      <c r="U41" s="65"/>
      <c r="V41" s="65"/>
      <c r="W41" s="65"/>
      <c r="X41" s="65"/>
      <c r="Y41" s="65"/>
      <c r="Z41" s="65"/>
      <c r="AA41" s="65"/>
      <c r="AB41" s="65"/>
      <c r="AC41" s="65"/>
      <c r="AD41" s="65"/>
      <c r="AE41" s="65"/>
      <c r="AF41" s="65"/>
      <c r="AG41" s="65"/>
      <c r="AH41" s="65"/>
      <c r="AI41" s="65"/>
      <c r="AJ41" s="65"/>
    </row>
    <row r="42" ht="29.9" customHeight="1">
      <c r="B42" s="497" t="s">
        <v>366</v>
      </c>
      <c r="C42" s="498" t="s">
        <v>367</v>
      </c>
      <c r="D42" s="499" t="s">
        <v>368</v>
      </c>
      <c r="E42" s="482" t="s">
        <v>369</v>
      </c>
      <c r="F42" s="65"/>
      <c r="G42" s="65"/>
      <c r="H42" s="65"/>
      <c r="I42" s="65"/>
      <c r="J42" s="65"/>
      <c r="K42" s="65"/>
      <c r="L42" s="65"/>
      <c r="M42" s="65"/>
      <c r="N42" s="65"/>
      <c r="O42" s="65"/>
      <c r="P42" s="288"/>
      <c r="Q42" s="65"/>
      <c r="R42" s="65"/>
      <c r="S42" s="65"/>
      <c r="T42" s="65"/>
      <c r="U42" s="65"/>
      <c r="V42" s="65"/>
      <c r="W42" s="65"/>
    </row>
    <row r="43" ht="18.75" customHeight="1">
      <c r="B43" s="503" t="s">
        <v>370</v>
      </c>
      <c r="C43" s="473" t="n">
        <f>SUM(C44:C49)</f>
        <v>898.11599999999999</v>
      </c>
      <c r="D43" s="65" t="n">
        <f>SUM(D44:D48)</f>
        <v>202.36666666666667</v>
      </c>
      <c r="E43" s="443" t="n">
        <f>SUM(E44:E48)</f>
        <v>650.35233333333326</v>
      </c>
      <c r="F43" s="65"/>
      <c r="G43" s="65"/>
      <c r="H43" s="65"/>
      <c r="I43" s="65"/>
      <c r="J43" s="65"/>
      <c r="K43" s="65"/>
      <c r="L43" s="65"/>
      <c r="M43" s="65"/>
      <c r="N43" s="65"/>
      <c r="O43" s="65"/>
      <c r="P43" s="288"/>
      <c r="Q43" s="65"/>
      <c r="R43" s="65"/>
      <c r="S43" s="65"/>
      <c r="T43" s="65"/>
      <c r="U43" s="65"/>
      <c r="V43" s="65"/>
      <c r="W43" s="65"/>
    </row>
    <row r="44">
      <c r="B44" s="502" t="s">
        <v>149</v>
      </c>
      <c r="C44" s="473" t="n">
        <f>C53</f>
        <v>150</v>
      </c>
      <c r="D44" s="65" t="n">
        <f>SUM(H12:M12)/4</f>
        <v>149.47499999999999</v>
      </c>
      <c r="E44" s="435" t="n">
        <f>C44-D44</f>
        <v>0.52500000000000568</v>
      </c>
      <c r="F44" s="65"/>
      <c r="G44" s="65"/>
      <c r="H44" s="65"/>
      <c r="I44" s="463"/>
      <c r="J44" s="463"/>
      <c r="K44" s="463"/>
      <c r="L44" s="463"/>
      <c r="M44" s="463"/>
      <c r="N44" s="463"/>
      <c r="O44" s="463"/>
      <c r="P44" s="512"/>
      <c r="Q44" s="65"/>
      <c r="R44" s="65"/>
      <c r="S44" s="65"/>
      <c r="T44" s="65"/>
      <c r="U44" s="65"/>
      <c r="V44" s="65"/>
      <c r="W44" s="65"/>
    </row>
    <row r="45">
      <c r="B45" s="502" t="s">
        <v>150</v>
      </c>
      <c r="C45" s="505" t="n">
        <f>C54+C58+C64</f>
        <v>273.16899999999998</v>
      </c>
      <c r="D45" s="65" t="n">
        <f>SUM(H13:M13)/4</f>
        <v>22.075000000000003</v>
      </c>
      <c r="E45" s="435" t="n">
        <f>C45-D45</f>
        <v>251.09399999999999</v>
      </c>
      <c r="F45" s="65"/>
      <c r="G45" s="65"/>
      <c r="H45" s="65"/>
      <c r="I45" s="463"/>
      <c r="J45" s="463"/>
      <c r="K45" s="463"/>
      <c r="L45" s="463"/>
      <c r="M45" s="463"/>
      <c r="N45" s="463"/>
      <c r="O45" s="463"/>
      <c r="P45" s="512"/>
      <c r="Q45" s="65"/>
      <c r="R45" s="65"/>
      <c r="S45" s="65"/>
      <c r="T45" s="65"/>
      <c r="U45" s="65"/>
      <c r="V45" s="65"/>
      <c r="W45" s="65"/>
    </row>
    <row r="46">
      <c r="B46" s="502" t="s">
        <v>152</v>
      </c>
      <c r="C46" s="329" t="n">
        <f>C55+C65+C59</f>
        <v>38.5</v>
      </c>
      <c r="D46" s="65" t="n">
        <f>SUM(H14:M14)/4</f>
        <v>28.400000000000002</v>
      </c>
      <c r="E46" s="435" t="n">
        <f>C46-D46</f>
        <v>10.099999999999998</v>
      </c>
      <c r="F46" s="65"/>
      <c r="G46" s="65"/>
      <c r="H46" s="65"/>
      <c r="I46" s="463"/>
      <c r="J46" s="463"/>
      <c r="K46" s="463"/>
      <c r="L46" s="463"/>
      <c r="M46" s="463"/>
      <c r="N46" s="463"/>
      <c r="O46" s="463"/>
      <c r="P46" s="512"/>
      <c r="Q46" s="390"/>
      <c r="R46" s="390"/>
      <c r="S46" s="390"/>
      <c r="T46" s="390"/>
      <c r="U46" s="390"/>
      <c r="V46" s="390"/>
      <c r="W46" s="390"/>
      <c r="X46" s="390"/>
      <c r="Y46" s="390"/>
      <c r="Z46" s="390"/>
      <c r="AA46" s="390"/>
      <c r="AB46" s="390"/>
      <c r="AC46" s="390"/>
      <c r="AD46" s="390"/>
      <c r="AE46" s="390"/>
      <c r="AF46" s="390"/>
      <c r="AG46" s="390"/>
      <c r="AH46" s="390"/>
      <c r="AI46" s="390"/>
      <c r="AJ46" s="390"/>
      <c r="AK46" s="390"/>
      <c r="AL46" s="390"/>
      <c r="AM46" s="390"/>
    </row>
    <row r="47" ht="17.25" customHeight="1">
      <c r="B47" s="502" t="s">
        <v>371</v>
      </c>
      <c r="C47" s="329" t="n">
        <f>C57</f>
        <v>29</v>
      </c>
      <c r="D47" s="65" t="n">
        <f>SUM(H15:M15)/4</f>
        <v>2.4166666666666665</v>
      </c>
      <c r="E47" s="435" t="n">
        <f>C47-D47</f>
        <v>26.583333333333332</v>
      </c>
      <c r="F47" s="65"/>
      <c r="G47" s="65"/>
      <c r="H47" s="65"/>
      <c r="I47" s="463"/>
      <c r="J47" s="463"/>
      <c r="K47" s="463"/>
      <c r="L47" s="463"/>
      <c r="M47" s="463"/>
      <c r="N47" s="463"/>
      <c r="O47" s="463"/>
      <c r="P47" s="512"/>
      <c r="Q47" s="291"/>
      <c r="R47" s="291"/>
      <c r="S47" s="291"/>
      <c r="T47" s="291"/>
      <c r="U47" s="291"/>
      <c r="V47" s="291"/>
      <c r="W47" s="291"/>
      <c r="X47" s="291"/>
      <c r="Y47" s="291"/>
      <c r="Z47" s="291"/>
      <c r="AA47" s="291"/>
      <c r="AB47" s="291"/>
      <c r="AC47" s="291"/>
      <c r="AD47" s="291"/>
      <c r="AE47" s="291"/>
      <c r="AF47" s="291"/>
      <c r="AG47" s="291"/>
      <c r="AH47" s="291"/>
      <c r="AI47" s="291"/>
      <c r="AJ47" s="291"/>
      <c r="AK47" s="291"/>
      <c r="AL47" s="291"/>
      <c r="AM47" s="291"/>
    </row>
    <row r="48" ht="15.75" customHeight="1">
      <c r="B48" s="502" t="s">
        <v>348</v>
      </c>
      <c r="C48" s="329" t="n">
        <f>C63</f>
        <v>362.04999999999995</v>
      </c>
      <c r="D48" s="65" t="n">
        <v>0</v>
      </c>
      <c r="E48" s="435" t="n">
        <f>C48-D48</f>
        <v>362.04999999999995</v>
      </c>
      <c r="F48" s="65"/>
      <c r="G48" s="65"/>
      <c r="H48" s="65"/>
      <c r="I48" s="463"/>
      <c r="J48" s="463"/>
      <c r="K48" s="463"/>
      <c r="L48" s="463"/>
      <c r="M48" s="463"/>
      <c r="N48" s="463"/>
      <c r="O48" s="463"/>
      <c r="P48" s="512"/>
      <c r="Q48" s="291"/>
      <c r="R48" s="291"/>
      <c r="S48" s="291"/>
      <c r="T48" s="291"/>
      <c r="U48" s="291"/>
      <c r="V48" s="291"/>
      <c r="W48" s="291"/>
      <c r="X48" s="291"/>
      <c r="Y48" s="291"/>
      <c r="Z48" s="291"/>
      <c r="AA48" s="291"/>
      <c r="AB48" s="291"/>
      <c r="AC48" s="291"/>
      <c r="AD48" s="291"/>
      <c r="AE48" s="291"/>
      <c r="AF48" s="291"/>
      <c r="AG48" s="291"/>
      <c r="AH48" s="291"/>
      <c r="AI48" s="291"/>
      <c r="AJ48" s="291"/>
      <c r="AK48" s="291"/>
      <c r="AL48" s="291"/>
      <c r="AM48" s="291"/>
    </row>
    <row r="49" ht="15" customHeight="1">
      <c r="B49" s="501" t="s">
        <v>372</v>
      </c>
      <c r="C49" s="473" t="n">
        <f>C66+C67+C60+C61</f>
        <v>45.396999999999998</v>
      </c>
      <c r="D49" s="65"/>
      <c r="E49" s="435"/>
      <c r="F49" s="65"/>
      <c r="G49" s="65"/>
      <c r="H49" s="65"/>
      <c r="I49" s="463"/>
      <c r="J49" s="463"/>
      <c r="K49" s="463"/>
      <c r="L49" s="463"/>
      <c r="M49" s="463"/>
      <c r="N49" s="463"/>
      <c r="O49" s="463"/>
      <c r="P49" s="512"/>
      <c r="Q49" s="65"/>
      <c r="R49" s="65"/>
      <c r="S49" s="65"/>
      <c r="T49" s="65"/>
      <c r="U49" s="65"/>
      <c r="V49" s="65"/>
      <c r="W49" s="65"/>
    </row>
    <row r="50" ht="5.25" customHeight="1">
      <c r="B50" s="501"/>
      <c r="C50" s="473"/>
      <c r="D50" s="65"/>
      <c r="E50" s="435"/>
      <c r="F50" s="65"/>
      <c r="G50" s="65"/>
      <c r="H50" s="65"/>
      <c r="I50" s="463"/>
      <c r="J50" s="463"/>
      <c r="K50" s="463"/>
      <c r="L50" s="463"/>
      <c r="M50" s="463"/>
      <c r="N50" s="463"/>
      <c r="O50" s="463"/>
      <c r="P50" s="512"/>
      <c r="Q50" s="65"/>
      <c r="R50" s="65"/>
      <c r="S50" s="65"/>
      <c r="T50" s="65"/>
      <c r="U50" s="65"/>
      <c r="V50" s="65"/>
      <c r="W50" s="65"/>
    </row>
    <row r="51" ht="18.75" customHeight="1">
      <c r="B51" s="503" t="s">
        <v>373</v>
      </c>
      <c r="C51" s="329" t="n">
        <f>C52+C56+C62</f>
        <v>898.11599999999999</v>
      </c>
      <c r="D51" s="65"/>
      <c r="E51" s="435"/>
      <c r="F51" s="65"/>
      <c r="G51" s="65"/>
      <c r="H51" s="65"/>
      <c r="I51" s="463"/>
      <c r="J51" s="463"/>
      <c r="K51" s="463"/>
      <c r="L51" s="463"/>
      <c r="M51" s="463"/>
      <c r="N51" s="463"/>
      <c r="O51" s="463"/>
      <c r="P51" s="512"/>
      <c r="Q51" s="65"/>
      <c r="R51" s="65"/>
      <c r="S51" s="65"/>
      <c r="T51" s="65"/>
      <c r="U51" s="65"/>
      <c r="V51" s="65"/>
      <c r="W51" s="65"/>
    </row>
    <row r="52" ht="16.399999999999999" customHeight="1">
      <c r="B52" s="493" t="s">
        <v>354</v>
      </c>
      <c r="C52" s="329" t="n">
        <f>SUM(C53:C55)</f>
        <v>199</v>
      </c>
      <c r="D52" s="65"/>
      <c r="E52" s="435"/>
      <c r="F52" s="65"/>
      <c r="G52" s="65"/>
      <c r="H52" s="65"/>
      <c r="I52" s="463"/>
      <c r="J52" s="463"/>
      <c r="K52" s="463"/>
      <c r="L52" s="463"/>
      <c r="M52" s="463"/>
      <c r="N52" s="463"/>
      <c r="O52" s="463"/>
      <c r="P52" s="512"/>
      <c r="Q52" s="65"/>
      <c r="R52" s="65"/>
      <c r="S52" s="65"/>
      <c r="T52" s="65"/>
      <c r="U52" s="65"/>
      <c r="V52" s="65"/>
      <c r="W52" s="65"/>
    </row>
    <row r="53" ht="20.9" customHeight="1">
      <c r="B53" s="457" t="s">
        <v>149</v>
      </c>
      <c r="C53" s="329" t="n">
        <v>150</v>
      </c>
      <c r="D53" s="65"/>
      <c r="E53" s="435"/>
      <c r="F53" s="65"/>
      <c r="G53" s="65"/>
      <c r="H53" s="65"/>
      <c r="I53" s="463"/>
      <c r="J53" s="463"/>
      <c r="K53" s="463"/>
      <c r="L53" s="463"/>
      <c r="M53" s="463"/>
      <c r="N53" s="463"/>
      <c r="O53" s="463"/>
      <c r="P53" s="512"/>
      <c r="Q53" s="65"/>
      <c r="R53" s="65"/>
      <c r="S53" s="65"/>
      <c r="T53" s="65"/>
      <c r="U53" s="65"/>
      <c r="V53" s="65"/>
      <c r="W53" s="65"/>
    </row>
    <row r="54" ht="16.5" customHeight="1">
      <c r="B54" s="457" t="s">
        <v>150</v>
      </c>
      <c r="C54" s="505" t="n">
        <v>22</v>
      </c>
      <c r="D54" s="287"/>
      <c r="E54" s="435"/>
      <c r="F54" s="65"/>
      <c r="G54" s="65"/>
      <c r="H54" s="65"/>
      <c r="I54" s="463"/>
      <c r="J54" s="463"/>
      <c r="K54" s="463"/>
      <c r="L54" s="463"/>
      <c r="M54" s="463"/>
      <c r="N54" s="463"/>
      <c r="O54" s="463"/>
      <c r="P54" s="512"/>
      <c r="Q54" s="65"/>
      <c r="R54" s="65"/>
      <c r="S54" s="65"/>
      <c r="T54" s="65"/>
      <c r="U54" s="65"/>
      <c r="V54" s="65"/>
      <c r="W54" s="65"/>
    </row>
    <row r="55">
      <c r="B55" s="457" t="s">
        <v>152</v>
      </c>
      <c r="C55" s="329" t="n">
        <v>27</v>
      </c>
      <c r="D55" s="65"/>
      <c r="E55" s="435"/>
      <c r="F55" s="64"/>
      <c r="G55" s="65"/>
      <c r="H55" s="65"/>
      <c r="I55" s="463"/>
      <c r="J55" s="463"/>
      <c r="K55" s="463"/>
      <c r="L55" s="463"/>
      <c r="M55" s="463"/>
      <c r="N55" s="463"/>
      <c r="P55" s="512"/>
      <c r="Q55" s="65"/>
      <c r="R55" s="65"/>
      <c r="S55" s="65"/>
      <c r="T55" s="65"/>
      <c r="U55" s="65"/>
      <c r="V55" s="65"/>
      <c r="W55" s="65"/>
    </row>
    <row r="56" ht="15" customHeight="1">
      <c r="B56" s="493" t="s">
        <v>356</v>
      </c>
      <c r="C56" s="329" t="n">
        <f>SUM(C57:C61)</f>
        <v>150</v>
      </c>
      <c r="D56" s="65"/>
      <c r="E56" s="435"/>
      <c r="F56" s="65"/>
      <c r="G56" s="65"/>
      <c r="H56" s="65"/>
      <c r="I56" s="65"/>
      <c r="J56" s="65"/>
      <c r="K56" s="65"/>
      <c r="L56" s="65"/>
      <c r="M56" s="65"/>
      <c r="N56" s="65"/>
      <c r="P56" s="288"/>
      <c r="Q56" s="65"/>
      <c r="R56" s="65"/>
      <c r="S56" s="65"/>
      <c r="T56" s="65"/>
      <c r="U56" s="65"/>
      <c r="V56" s="65"/>
      <c r="W56" s="65"/>
    </row>
    <row r="57" ht="17.25" customHeight="1">
      <c r="B57" s="457" t="s">
        <v>343</v>
      </c>
      <c r="C57" s="329" t="n">
        <f>'Response and Relief Act Score'!F7</f>
        <v>29</v>
      </c>
      <c r="D57" s="65"/>
      <c r="E57" s="435"/>
      <c r="F57" s="65"/>
      <c r="G57" s="65"/>
      <c r="H57" s="65"/>
      <c r="I57" s="65"/>
    </row>
    <row r="58">
      <c r="B58" s="457" t="s">
        <v>150</v>
      </c>
      <c r="C58" s="329" t="n">
        <f>'Response and Relief Act Score'!F5</f>
        <v>82</v>
      </c>
      <c r="D58" s="65"/>
      <c r="E58" s="435"/>
      <c r="F58" s="65"/>
      <c r="G58" s="65"/>
      <c r="H58" s="65"/>
      <c r="I58" s="65"/>
      <c r="J58" s="65"/>
      <c r="K58" s="65"/>
      <c r="L58" s="65"/>
      <c r="M58" s="65"/>
      <c r="N58" s="65"/>
      <c r="P58" s="288"/>
      <c r="Q58" s="65"/>
      <c r="R58" s="65"/>
      <c r="S58" s="65"/>
      <c r="T58" s="65"/>
      <c r="U58" s="65"/>
      <c r="V58" s="65"/>
      <c r="W58" s="65"/>
    </row>
    <row r="59">
      <c r="B59" s="457" t="s">
        <v>152</v>
      </c>
      <c r="C59" s="329" t="n">
        <f>'Response and Relief Act Score'!F6</f>
        <v>3</v>
      </c>
      <c r="D59" s="65"/>
      <c r="E59" s="435"/>
      <c r="F59" s="65"/>
      <c r="G59" s="65"/>
      <c r="H59" s="65"/>
      <c r="I59" s="65"/>
      <c r="J59" s="65"/>
      <c r="K59" s="65"/>
      <c r="L59" s="65"/>
      <c r="M59" s="65"/>
      <c r="N59" s="65"/>
      <c r="P59" s="288"/>
      <c r="Q59" s="65"/>
      <c r="R59" s="65"/>
      <c r="S59" s="65"/>
      <c r="T59" s="65"/>
      <c r="U59" s="65"/>
      <c r="V59" s="65"/>
      <c r="W59" s="65"/>
    </row>
    <row r="60" ht="29.25" customHeight="1">
      <c r="B60" s="457" t="s">
        <v>359</v>
      </c>
      <c r="C60" s="329" t="n">
        <f>'Response and Relief Act Score'!F9</f>
        <v>34</v>
      </c>
      <c r="D60" s="65"/>
      <c r="E60" s="435"/>
      <c r="F60" s="65"/>
      <c r="G60" s="65"/>
      <c r="H60" s="65"/>
      <c r="I60" s="478"/>
      <c r="J60" s="65"/>
      <c r="K60" s="65"/>
      <c r="L60" s="65"/>
      <c r="M60" s="65"/>
      <c r="N60" s="65"/>
      <c r="O60" s="463"/>
      <c r="P60" s="288"/>
      <c r="Q60" s="65"/>
      <c r="R60" s="65"/>
      <c r="S60" s="65"/>
      <c r="T60" s="65"/>
      <c r="U60" s="65"/>
      <c r="V60" s="65"/>
      <c r="W60" s="65"/>
    </row>
    <row r="61" ht="12.75" customHeight="1">
      <c r="B61" s="457" t="s">
        <v>360</v>
      </c>
      <c r="C61" s="329" t="n">
        <f>'Response and Relief Act Score'!F8</f>
        <v>2</v>
      </c>
      <c r="D61" s="65"/>
      <c r="E61" s="435"/>
      <c r="F61" s="65"/>
      <c r="G61" s="65"/>
      <c r="H61" s="65"/>
      <c r="I61" s="65"/>
      <c r="J61" s="65"/>
      <c r="K61" s="65"/>
      <c r="L61" s="65"/>
      <c r="M61" s="65"/>
      <c r="N61" s="65"/>
      <c r="O61" s="65"/>
      <c r="P61" s="288"/>
      <c r="Q61" s="65"/>
      <c r="R61" s="65"/>
      <c r="S61" s="65"/>
      <c r="T61" s="65"/>
      <c r="U61" s="65"/>
      <c r="V61" s="65"/>
      <c r="W61" s="65"/>
    </row>
    <row r="62">
      <c r="A62" s="469"/>
      <c r="B62" s="466" t="s">
        <v>361</v>
      </c>
      <c r="C62" s="473" t="n">
        <f>SUM(C63:C67)</f>
        <v>549.11599999999999</v>
      </c>
      <c r="D62" s="65"/>
      <c r="E62" s="435"/>
      <c r="F62" s="65"/>
      <c r="G62" s="65"/>
      <c r="H62" s="65"/>
      <c r="I62" s="65"/>
      <c r="J62" s="65"/>
      <c r="K62" s="65"/>
      <c r="L62" s="65"/>
      <c r="M62" s="65"/>
      <c r="N62" s="65"/>
      <c r="P62" s="288"/>
      <c r="Q62" s="65"/>
      <c r="R62" s="65"/>
      <c r="S62" s="65"/>
      <c r="T62" s="65"/>
      <c r="U62" s="65"/>
      <c r="V62" s="65"/>
      <c r="W62" s="65"/>
    </row>
    <row r="63" ht="16.399999999999999" customHeight="1">
      <c r="A63" s="469"/>
      <c r="B63" s="468" t="s">
        <v>348</v>
      </c>
      <c r="C63" s="473" t="n">
        <f>'ARP Score'!AJ16</f>
        <v>362.04999999999995</v>
      </c>
      <c r="D63" s="65"/>
      <c r="E63" s="435"/>
      <c r="F63" s="65"/>
      <c r="G63" s="65"/>
      <c r="H63" s="65"/>
      <c r="I63" s="65"/>
      <c r="J63" s="65"/>
      <c r="K63" s="65"/>
      <c r="L63" s="65"/>
      <c r="M63" s="65"/>
      <c r="N63" s="65"/>
      <c r="O63" s="65"/>
      <c r="P63" s="288"/>
      <c r="Q63" s="65"/>
      <c r="R63" s="65"/>
      <c r="S63" s="65"/>
      <c r="T63" s="65"/>
      <c r="U63" s="65"/>
      <c r="V63" s="65"/>
      <c r="W63" s="65"/>
    </row>
    <row r="64" ht="15" customHeight="1">
      <c r="A64" s="391"/>
      <c r="B64" s="468" t="s">
        <v>150</v>
      </c>
      <c r="C64" s="473" t="n">
        <f>'ARP Score'!AL16</f>
        <v>169.16899999999998</v>
      </c>
      <c r="D64" s="65"/>
      <c r="E64" s="435"/>
      <c r="F64" s="65"/>
      <c r="G64" s="65"/>
      <c r="H64" s="65"/>
      <c r="I64" s="65"/>
      <c r="J64" s="65"/>
      <c r="K64" s="65"/>
      <c r="L64" s="65"/>
      <c r="M64" s="65"/>
      <c r="N64" s="65"/>
      <c r="O64" s="65"/>
      <c r="P64" s="288"/>
      <c r="Q64" s="471"/>
      <c r="R64" s="65"/>
      <c r="S64" s="65"/>
      <c r="T64" s="65"/>
      <c r="U64" s="65"/>
      <c r="V64" s="65"/>
      <c r="W64" s="65"/>
    </row>
    <row r="65">
      <c r="A65" s="391"/>
      <c r="B65" s="468" t="s">
        <v>152</v>
      </c>
      <c r="C65" s="473" t="n">
        <f>'ARP Score'!AK16</f>
        <v>8.5</v>
      </c>
      <c r="D65" s="65"/>
      <c r="E65" s="435"/>
      <c r="F65" s="65"/>
      <c r="G65" s="65"/>
      <c r="H65" s="65"/>
      <c r="I65" s="65"/>
      <c r="J65" s="65"/>
      <c r="K65" s="65"/>
      <c r="L65" s="65"/>
      <c r="M65" s="65"/>
      <c r="N65" s="65"/>
      <c r="O65" s="65"/>
      <c r="P65" s="288"/>
      <c r="Q65" s="65"/>
      <c r="R65" s="65"/>
      <c r="S65" s="65"/>
      <c r="T65" s="65"/>
      <c r="U65" s="65"/>
      <c r="V65" s="65"/>
      <c r="W65" s="65"/>
    </row>
    <row r="66" ht="17.25" customHeight="1">
      <c r="A66" s="469"/>
      <c r="B66" s="468" t="s">
        <v>364</v>
      </c>
      <c r="C66" s="473" t="n">
        <f>'ARP Score'!AM16</f>
        <v>0.79700000000000004</v>
      </c>
      <c r="D66" s="65"/>
      <c r="E66" s="435"/>
      <c r="F66" s="65"/>
      <c r="G66" s="65"/>
      <c r="H66" s="65"/>
      <c r="I66" s="65"/>
      <c r="J66" s="65"/>
      <c r="K66" s="65"/>
      <c r="L66" s="65"/>
      <c r="M66" s="65"/>
      <c r="N66" s="65"/>
      <c r="O66" s="65"/>
      <c r="P66" s="288"/>
      <c r="Q66" s="65"/>
      <c r="R66" s="65"/>
      <c r="S66" s="65"/>
      <c r="T66" s="65"/>
      <c r="U66" s="65"/>
      <c r="V66" s="65"/>
      <c r="W66" s="65"/>
    </row>
    <row r="67" ht="17.25" customHeight="1">
      <c r="A67" s="469"/>
      <c r="B67" s="470" t="s">
        <v>374</v>
      </c>
      <c r="C67" s="474" t="n">
        <f>'ARP Score'!AN16</f>
        <v>8.6</v>
      </c>
      <c r="D67" s="472"/>
      <c r="E67" s="460"/>
      <c r="F67" s="65"/>
      <c r="G67" s="65"/>
      <c r="H67" s="65"/>
      <c r="I67" s="65"/>
      <c r="J67" s="65"/>
      <c r="K67" s="65"/>
      <c r="L67" s="65"/>
      <c r="M67" s="65"/>
      <c r="N67" s="65"/>
      <c r="O67" s="65"/>
      <c r="P67" s="288"/>
      <c r="Q67" s="65"/>
      <c r="R67" s="65"/>
      <c r="S67" s="65"/>
      <c r="T67" s="65"/>
      <c r="U67" s="65"/>
      <c r="V67" s="65"/>
      <c r="W67" s="65"/>
    </row>
    <row r="68" ht="17.25" customHeight="1">
      <c r="B68" s="468"/>
      <c r="C68" s="84"/>
      <c r="D68" s="84"/>
      <c r="E68" s="84"/>
      <c r="F68" s="84"/>
      <c r="G68" s="84"/>
      <c r="H68" s="65"/>
      <c r="I68" s="65"/>
      <c r="J68" s="65"/>
      <c r="K68" s="65"/>
      <c r="L68" s="65"/>
      <c r="M68" s="65"/>
      <c r="N68" s="65"/>
      <c r="O68" s="65"/>
      <c r="P68" s="288"/>
      <c r="Q68" s="65"/>
      <c r="R68" s="65"/>
      <c r="S68" s="65"/>
      <c r="T68" s="65"/>
      <c r="U68" s="65"/>
      <c r="V68" s="65"/>
      <c r="W68" s="65"/>
      <c r="X68" s="65"/>
      <c r="Y68" s="65"/>
      <c r="Z68" s="65"/>
      <c r="AA68" s="65"/>
      <c r="AB68" s="65"/>
      <c r="AC68" s="65"/>
      <c r="AD68" s="65"/>
      <c r="AE68" s="65"/>
      <c r="AF68" s="65"/>
      <c r="AG68" s="65"/>
      <c r="AH68" s="65"/>
      <c r="AI68" s="65"/>
      <c r="AJ68" s="65"/>
    </row>
    <row r="69" ht="17.25" customHeight="1">
      <c r="B69" s="458" t="s">
        <v>375</v>
      </c>
      <c r="C69" s="84"/>
      <c r="D69" s="84"/>
      <c r="E69" s="84"/>
      <c r="F69" s="84"/>
      <c r="G69" s="84"/>
      <c r="H69" s="65"/>
      <c r="I69" s="65"/>
      <c r="J69" s="65"/>
      <c r="K69" s="65"/>
      <c r="L69" s="65"/>
      <c r="M69" s="65"/>
      <c r="N69" s="65"/>
      <c r="O69" s="65"/>
      <c r="P69" s="288"/>
      <c r="Q69" s="65"/>
      <c r="R69" s="65"/>
      <c r="S69" s="65"/>
      <c r="T69" s="65"/>
      <c r="U69" s="65"/>
      <c r="V69" s="65"/>
      <c r="W69" s="65"/>
      <c r="X69" s="65"/>
      <c r="Y69" s="65"/>
      <c r="Z69" s="65"/>
      <c r="AA69" s="65"/>
      <c r="AB69" s="65"/>
      <c r="AC69" s="65"/>
      <c r="AD69" s="65"/>
      <c r="AE69" s="65"/>
      <c r="AF69" s="65"/>
      <c r="AG69" s="65"/>
      <c r="AH69" s="65"/>
      <c r="AI69" s="65"/>
      <c r="AJ69" s="65"/>
    </row>
    <row r="70" ht="14.9" customHeight="1">
      <c r="B70" s="262" t="s">
        <v>376</v>
      </c>
      <c r="C70" s="263"/>
      <c r="D70" s="266" t="s">
        <v>280</v>
      </c>
      <c r="E70" s="277"/>
      <c r="F70" s="277"/>
      <c r="G70" s="277"/>
      <c r="H70" s="277"/>
      <c r="I70" s="277"/>
      <c r="J70" s="277"/>
      <c r="K70" s="277"/>
      <c r="L70" s="277"/>
      <c r="M70" s="277"/>
      <c r="N70" s="277"/>
      <c r="O70" s="277"/>
      <c r="P70" s="277"/>
      <c r="Q70" s="277"/>
      <c r="R70" s="277"/>
      <c r="S70" s="277"/>
      <c r="T70" s="277"/>
      <c r="U70" s="277"/>
      <c r="V70" s="267"/>
      <c r="W70" s="392" t="s">
        <v>281</v>
      </c>
      <c r="X70" s="380"/>
      <c r="Y70" s="380"/>
      <c r="Z70" s="380"/>
      <c r="AA70" s="380"/>
      <c r="AB70" s="380"/>
      <c r="AC70" s="380"/>
      <c r="AD70" s="380"/>
      <c r="AE70" s="380"/>
      <c r="AF70" s="380"/>
      <c r="AG70" s="380"/>
      <c r="AH70" s="295"/>
      <c r="AI70" s="390"/>
      <c r="AJ70" s="390"/>
    </row>
    <row r="71">
      <c r="B71" s="264"/>
      <c r="C71" s="265"/>
      <c r="D71" s="269" t="n">
        <v>2018</v>
      </c>
      <c r="E71" s="269" t="n">
        <v>2019</v>
      </c>
      <c r="F71" s="270"/>
      <c r="G71" s="270"/>
      <c r="H71" s="271"/>
      <c r="I71" s="269" t="n">
        <v>2020</v>
      </c>
      <c r="J71" s="270"/>
      <c r="K71" s="270"/>
      <c r="L71" s="270"/>
      <c r="M71" s="269" t="n">
        <v>2021</v>
      </c>
      <c r="N71" s="270"/>
      <c r="O71" s="270"/>
      <c r="P71" s="270"/>
      <c r="Q71" s="354" t="n">
        <v>2022</v>
      </c>
      <c r="R71" s="355"/>
      <c r="S71" s="343"/>
      <c r="T71" s="343"/>
      <c r="U71" s="296"/>
      <c r="V71" s="343" t="n">
        <v>2023</v>
      </c>
      <c r="W71" s="344"/>
      <c r="X71" s="316"/>
      <c r="Y71" s="268" t="n">
        <v>2024</v>
      </c>
      <c r="Z71" s="347"/>
      <c r="AA71" s="347"/>
      <c r="AB71" s="256"/>
      <c r="AC71" s="255" t="n">
        <v>2025</v>
      </c>
      <c r="AD71" s="268"/>
      <c r="AE71" s="268"/>
      <c r="AF71" s="256"/>
      <c r="AG71" s="420" t="n">
        <v>2026</v>
      </c>
      <c r="AH71" s="514"/>
      <c r="AI71" s="297"/>
      <c r="AJ71" s="297"/>
    </row>
    <row r="72">
      <c r="B72" s="266"/>
      <c r="C72" s="267"/>
      <c r="D72" s="259" t="s">
        <v>282</v>
      </c>
      <c r="E72" s="259" t="s">
        <v>283</v>
      </c>
      <c r="F72" s="260" t="s">
        <v>284</v>
      </c>
      <c r="G72" s="260" t="s">
        <v>238</v>
      </c>
      <c r="H72" s="261" t="s">
        <v>282</v>
      </c>
      <c r="I72" s="260" t="s">
        <v>283</v>
      </c>
      <c r="J72" s="260" t="s">
        <v>284</v>
      </c>
      <c r="K72" s="260" t="s">
        <v>238</v>
      </c>
      <c r="L72" s="260" t="s">
        <v>282</v>
      </c>
      <c r="M72" s="259" t="s">
        <v>283</v>
      </c>
      <c r="N72" s="260" t="s">
        <v>284</v>
      </c>
      <c r="O72" s="260" t="s">
        <v>238</v>
      </c>
      <c r="P72" s="260" t="s">
        <v>282</v>
      </c>
      <c r="Q72" s="259" t="s">
        <v>283</v>
      </c>
      <c r="R72" s="260" t="s">
        <v>284</v>
      </c>
      <c r="S72" s="260" t="s">
        <v>238</v>
      </c>
      <c r="T72" s="260" t="s">
        <v>282</v>
      </c>
      <c r="U72" s="340" t="s">
        <v>283</v>
      </c>
      <c r="V72" s="341" t="s">
        <v>284</v>
      </c>
      <c r="W72" s="326" t="s">
        <v>238</v>
      </c>
      <c r="X72" s="327" t="s">
        <v>282</v>
      </c>
      <c r="Y72" s="326" t="s">
        <v>283</v>
      </c>
      <c r="Z72" s="323" t="s">
        <v>284</v>
      </c>
      <c r="AA72" s="326" t="s">
        <v>238</v>
      </c>
      <c r="AB72" s="326" t="s">
        <v>282</v>
      </c>
      <c r="AC72" s="325" t="s">
        <v>283</v>
      </c>
      <c r="AD72" s="323" t="s">
        <v>284</v>
      </c>
      <c r="AE72" s="326" t="s">
        <v>238</v>
      </c>
      <c r="AF72" s="327" t="s">
        <v>282</v>
      </c>
      <c r="AG72" s="421" t="s">
        <v>283</v>
      </c>
      <c r="AH72" s="413"/>
      <c r="AI72" s="85"/>
      <c r="AJ72" s="85"/>
    </row>
    <row r="73" ht="29.25" customHeight="1">
      <c r="B73" s="431" t="s">
        <v>377</v>
      </c>
      <c r="C73" s="495"/>
      <c r="D73" s="432"/>
      <c r="E73" s="433"/>
      <c r="F73" s="433"/>
      <c r="G73" s="433"/>
      <c r="H73" s="434" t="n">
        <f t="shared" ref="H73:O73" si="28">SUM(H75:H83)</f>
        <v>206.82899999999995</v>
      </c>
      <c r="I73" s="434" t="n">
        <f t="shared" si="28"/>
        <v>214.11100000000005</v>
      </c>
      <c r="J73" s="434" t="n">
        <f t="shared" si="28"/>
        <v>320.24999999999989</v>
      </c>
      <c r="K73" s="434" t="n">
        <f t="shared" si="28"/>
        <v>298.13400000000001</v>
      </c>
      <c r="L73" s="434" t="n">
        <f t="shared" si="28"/>
        <v>289.54399999999998</v>
      </c>
      <c r="M73" s="434" t="n">
        <f t="shared" si="28"/>
        <v>320.34099999999995</v>
      </c>
      <c r="N73" s="434" t="n">
        <f t="shared" si="28"/>
        <v>354.35800000000017</v>
      </c>
      <c r="O73" s="434" t="n">
        <f t="shared" si="28"/>
        <v>375.57600000000008</v>
      </c>
      <c r="P73" s="511" t="n">
        <f>SUM(P75:P84)</f>
        <v>396.106852</v>
      </c>
      <c r="Q73" s="434" t="n">
        <f>SUM(Q75:Q84)</f>
        <v>433.66327480000001</v>
      </c>
      <c r="R73" s="434" t="n">
        <f>SUM(R75:R84)</f>
        <v>500.88603199999994</v>
      </c>
      <c r="S73" s="434" t="n">
        <f>SUM(S75:S84)</f>
        <v>486.87586800000008</v>
      </c>
      <c r="T73" s="452" t="n">
        <f t="shared" ref="T73:AF73" si="29">SUM(T75:T84)</f>
        <v>445.45392800000008</v>
      </c>
      <c r="U73" s="400" t="n">
        <f>SUM(U75:U84)</f>
        <v>439.61154320000009</v>
      </c>
      <c r="V73" s="400" t="n">
        <f>SUM(V75:V84)</f>
        <v>429.15772000000004</v>
      </c>
      <c r="W73" s="400" t="n">
        <f>SUM(W75:W84)</f>
        <v>415.61894400000006</v>
      </c>
      <c r="X73" s="400" t="n">
        <f t="shared" si="29"/>
        <v>427.53694400000006</v>
      </c>
      <c r="Y73" s="489" t="n">
        <f t="shared" si="29"/>
        <v>427.26494400000001</v>
      </c>
      <c r="Z73" s="489" t="n">
        <f t="shared" si="29"/>
        <v>433.05410899999998</v>
      </c>
      <c r="AA73" s="489" t="n">
        <f t="shared" si="29"/>
        <v>437.68235278290689</v>
      </c>
      <c r="AB73" s="489" t="n">
        <f t="shared" si="29"/>
        <v>442.60315304930305</v>
      </c>
      <c r="AC73" s="407" t="n">
        <f t="shared" si="29"/>
        <v>425.94367459098942</v>
      </c>
      <c r="AD73" s="407" t="n">
        <f t="shared" si="29"/>
        <v>421.4434594999999</v>
      </c>
      <c r="AE73" s="407" t="n">
        <f>SUM(AE75:AE84)</f>
        <v>424.14651169422308</v>
      </c>
      <c r="AF73" s="407" t="n">
        <f t="shared" si="29"/>
        <v>422.99049924327517</v>
      </c>
      <c r="AG73" s="405" t="n">
        <f>SUM(AG75:AG84)</f>
        <v>425.87322349462897</v>
      </c>
      <c r="AH73" s="405" t="n">
        <f>SUM(AH75:AH84)</f>
        <v>425.98135239999993</v>
      </c>
      <c r="AI73" s="419"/>
      <c r="AJ73" s="419"/>
    </row>
    <row r="74" ht="19.399999999999999" customHeight="1">
      <c r="B74" s="503" t="s">
        <v>378</v>
      </c>
      <c r="C74" s="287"/>
      <c r="D74" s="329"/>
      <c r="E74" s="287"/>
      <c r="F74" s="287"/>
      <c r="G74" s="287"/>
      <c r="H74" s="400"/>
      <c r="I74" s="400"/>
      <c r="J74" s="400"/>
      <c r="K74" s="400"/>
      <c r="L74" s="400"/>
      <c r="M74" s="400"/>
      <c r="N74" s="400"/>
      <c r="O74" s="400"/>
      <c r="P74" s="283"/>
      <c r="Q74" s="400"/>
      <c r="R74" s="400"/>
      <c r="S74" s="400"/>
      <c r="T74" s="400"/>
      <c r="U74" s="400"/>
      <c r="V74" s="400"/>
      <c r="W74" s="400"/>
      <c r="X74" s="400"/>
      <c r="Y74" s="408"/>
      <c r="Z74" s="408"/>
      <c r="AA74" s="408"/>
      <c r="AB74" s="408"/>
      <c r="AC74" s="408"/>
      <c r="AD74" s="408"/>
      <c r="AE74" s="408"/>
      <c r="AF74" s="408"/>
      <c r="AG74" s="408"/>
      <c r="AH74" s="408"/>
      <c r="AI74" s="419"/>
      <c r="AJ74" s="419"/>
    </row>
    <row r="75">
      <c r="B75" s="442" t="s">
        <v>152</v>
      </c>
      <c r="C75" s="64"/>
      <c r="D75" s="438"/>
      <c r="E75" s="64"/>
      <c r="F75" s="64"/>
      <c r="G75" s="64"/>
      <c r="H75" s="400"/>
      <c r="I75" s="400"/>
      <c r="J75" s="400" t="n">
        <f t="shared" ref="J75:AG75" si="30">J14</f>
        <v>64.400000000000006</v>
      </c>
      <c r="K75" s="400" t="n">
        <f t="shared" si="30"/>
        <v>23.4</v>
      </c>
      <c r="L75" s="400" t="n">
        <f t="shared" si="30"/>
        <v>13.8</v>
      </c>
      <c r="M75" s="400" t="n">
        <f t="shared" si="30"/>
        <v>12</v>
      </c>
      <c r="N75" s="400" t="n">
        <f t="shared" si="30"/>
        <v>7.5</v>
      </c>
      <c r="O75" s="400" t="n">
        <f t="shared" si="30"/>
        <v>10.5</v>
      </c>
      <c r="P75" s="283" t="n">
        <f t="shared" si="30"/>
        <v>18</v>
      </c>
      <c r="Q75" s="400" t="n">
        <f t="shared" si="30"/>
        <v>15</v>
      </c>
      <c r="R75" s="400" t="n">
        <f t="shared" si="30"/>
        <v>11.2</v>
      </c>
      <c r="S75" s="400" t="n">
        <f t="shared" si="30"/>
        <v>7.5</v>
      </c>
      <c r="T75" s="400" t="n">
        <f t="shared" si="30"/>
        <v>6.2</v>
      </c>
      <c r="U75" s="400" t="n">
        <f t="shared" si="30"/>
        <v>0</v>
      </c>
      <c r="V75" s="400" t="n">
        <f t="shared" si="30"/>
        <v>0</v>
      </c>
      <c r="W75" s="400" t="n">
        <f t="shared" si="30"/>
        <v>0</v>
      </c>
      <c r="X75" s="400" t="n">
        <f t="shared" si="30"/>
        <v>0</v>
      </c>
      <c r="Y75" s="408" t="n">
        <f t="shared" si="30"/>
        <v>0</v>
      </c>
      <c r="Z75" s="408" t="n">
        <f t="shared" si="30"/>
        <v>0</v>
      </c>
      <c r="AA75" s="408" t="n">
        <f t="shared" si="30"/>
        <v>0</v>
      </c>
      <c r="AB75" s="408" t="n">
        <f t="shared" si="30"/>
        <v>0</v>
      </c>
      <c r="AC75" s="408" t="n">
        <f t="shared" si="30"/>
        <v>0</v>
      </c>
      <c r="AD75" s="408" t="n">
        <f t="shared" si="30"/>
        <v>0</v>
      </c>
      <c r="AE75" s="408" t="n">
        <f t="shared" si="30"/>
        <v>0</v>
      </c>
      <c r="AF75" s="408" t="n">
        <f t="shared" si="30"/>
        <v>0</v>
      </c>
      <c r="AG75" s="408" t="n">
        <f t="shared" si="30"/>
        <v>0</v>
      </c>
      <c r="AH75" s="408" t="n">
        <f t="shared" ref="AH75" si="31">AH14</f>
        <v>0</v>
      </c>
      <c r="AI75" s="400"/>
      <c r="AJ75" s="400"/>
    </row>
    <row r="76">
      <c r="B76" s="442" t="s">
        <v>343</v>
      </c>
      <c r="C76" s="64"/>
      <c r="D76" s="438"/>
      <c r="E76" s="64"/>
      <c r="F76" s="64"/>
      <c r="G76" s="64"/>
      <c r="H76" s="400"/>
      <c r="I76" s="400"/>
      <c r="J76" s="400"/>
      <c r="K76" s="400"/>
      <c r="L76" s="400"/>
      <c r="M76" s="400" t="n">
        <f>M28</f>
        <v>9.6666666666666661</v>
      </c>
      <c r="N76" s="400" t="n">
        <f t="shared" ref="N76:AC76" si="32">N28</f>
        <v>9.6666666666666661</v>
      </c>
      <c r="O76" s="400" t="n">
        <f t="shared" si="32"/>
        <v>9.6666666666666661</v>
      </c>
      <c r="P76" s="283" t="n">
        <f t="shared" si="32"/>
        <v>9.6666666666666661</v>
      </c>
      <c r="Q76" s="400" t="n">
        <f>Q28</f>
        <v>9.6666666666666661</v>
      </c>
      <c r="R76" s="400" t="n">
        <f>R28</f>
        <v>9.6666666666666661</v>
      </c>
      <c r="S76" s="400" t="n">
        <f>S28</f>
        <v>9.6666666666666661</v>
      </c>
      <c r="T76" s="400" t="n">
        <f t="shared" si="32"/>
        <v>9.6666666666666661</v>
      </c>
      <c r="U76" s="400" t="n">
        <f t="shared" si="32"/>
        <v>9.6666666666666661</v>
      </c>
      <c r="V76" s="400" t="n">
        <f t="shared" si="32"/>
        <v>9.6666666666666661</v>
      </c>
      <c r="W76" s="400" t="n">
        <f t="shared" si="32"/>
        <v>9.6666666666666661</v>
      </c>
      <c r="X76" s="400" t="n">
        <f t="shared" si="32"/>
        <v>9.6666666666666661</v>
      </c>
      <c r="Y76" s="408" t="n">
        <f t="shared" si="32"/>
        <v>0</v>
      </c>
      <c r="Z76" s="408" t="n">
        <f t="shared" si="32"/>
        <v>0</v>
      </c>
      <c r="AA76" s="408" t="n">
        <f t="shared" si="32"/>
        <v>0</v>
      </c>
      <c r="AB76" s="408" t="n">
        <f t="shared" si="32"/>
        <v>0</v>
      </c>
      <c r="AC76" s="408" t="n">
        <f t="shared" si="32"/>
        <v>0</v>
      </c>
      <c r="AD76" s="408" t="n">
        <f t="shared" ref="AD76:AG76" si="33">AD28</f>
        <v>0</v>
      </c>
      <c r="AE76" s="408" t="n">
        <f t="shared" si="33"/>
        <v>0</v>
      </c>
      <c r="AF76" s="408" t="n">
        <f t="shared" si="33"/>
        <v>0</v>
      </c>
      <c r="AG76" s="408" t="n">
        <f t="shared" si="33"/>
        <v>0</v>
      </c>
      <c r="AH76" s="408" t="n">
        <f t="shared" ref="AH76" si="34">AH28</f>
        <v>0</v>
      </c>
      <c r="AI76" s="400"/>
      <c r="AJ76" s="400"/>
    </row>
    <row r="77">
      <c r="B77" s="442" t="s">
        <v>379</v>
      </c>
      <c r="C77" s="64"/>
      <c r="D77" s="438"/>
      <c r="E77" s="64"/>
      <c r="F77" s="64"/>
      <c r="G77" s="64"/>
      <c r="H77" s="400"/>
      <c r="I77" s="400"/>
      <c r="J77" s="400"/>
      <c r="K77" s="400"/>
      <c r="L77" s="400"/>
      <c r="M77" s="400" t="n">
        <f t="shared" ref="M77:AG77" si="35">M16</f>
        <v>12</v>
      </c>
      <c r="N77" s="400" t="n">
        <f t="shared" si="35"/>
        <v>12</v>
      </c>
      <c r="O77" s="400" t="n">
        <f t="shared" si="35"/>
        <v>12</v>
      </c>
      <c r="P77" s="283" t="n">
        <f t="shared" si="35"/>
        <v>12</v>
      </c>
      <c r="Q77" s="400" t="n">
        <f t="shared" si="35"/>
        <v>12</v>
      </c>
      <c r="R77" s="400" t="n">
        <f t="shared" si="35"/>
        <v>12</v>
      </c>
      <c r="S77" s="400" t="n">
        <f t="shared" si="35"/>
        <v>12</v>
      </c>
      <c r="T77" s="400" t="n">
        <f t="shared" si="35"/>
        <v>12</v>
      </c>
      <c r="U77" s="400" t="n">
        <f t="shared" si="35"/>
        <v>12</v>
      </c>
      <c r="V77" s="400" t="n">
        <f t="shared" si="35"/>
        <v>12</v>
      </c>
      <c r="W77" s="400" t="n">
        <f t="shared" si="35"/>
        <v>12</v>
      </c>
      <c r="X77" s="400" t="n">
        <f t="shared" si="35"/>
        <v>12</v>
      </c>
      <c r="Y77" s="408" t="n">
        <f t="shared" si="35"/>
        <v>0</v>
      </c>
      <c r="Z77" s="408" t="n">
        <f t="shared" si="35"/>
        <v>0</v>
      </c>
      <c r="AA77" s="408" t="n">
        <f t="shared" si="35"/>
        <v>0</v>
      </c>
      <c r="AB77" s="408" t="n">
        <f t="shared" si="35"/>
        <v>0</v>
      </c>
      <c r="AC77" s="408" t="n">
        <f t="shared" si="35"/>
        <v>0</v>
      </c>
      <c r="AD77" s="408" t="n">
        <f t="shared" si="35"/>
        <v>0</v>
      </c>
      <c r="AE77" s="408" t="n">
        <f t="shared" si="35"/>
        <v>0</v>
      </c>
      <c r="AF77" s="408" t="n">
        <f t="shared" si="35"/>
        <v>0</v>
      </c>
      <c r="AG77" s="408" t="n">
        <f t="shared" si="35"/>
        <v>0</v>
      </c>
      <c r="AH77" s="408" t="n">
        <f t="shared" ref="AH77" si="36">AH16</f>
        <v>0</v>
      </c>
      <c r="AI77" s="400"/>
      <c r="AJ77" s="400"/>
    </row>
    <row r="78">
      <c r="B78" s="442" t="s">
        <v>380</v>
      </c>
      <c r="C78" s="64"/>
      <c r="D78" s="438"/>
      <c r="E78" s="64"/>
      <c r="F78" s="64"/>
      <c r="G78" s="64"/>
      <c r="H78" s="67" t="n">
        <f t="shared" ref="H78:AH78" si="37">H20</f>
        <v>206.82899999999995</v>
      </c>
      <c r="I78" s="67" t="n">
        <f t="shared" si="37"/>
        <v>214.11100000000005</v>
      </c>
      <c r="J78" s="67" t="n">
        <f t="shared" si="37"/>
        <v>192.44999999999993</v>
      </c>
      <c r="K78" s="67" t="n">
        <f t="shared" si="37"/>
        <v>213.93400000000003</v>
      </c>
      <c r="L78" s="67" t="n">
        <f t="shared" si="37"/>
        <v>215.54399999999998</v>
      </c>
      <c r="M78" s="67" t="n">
        <f t="shared" si="37"/>
        <v>217.77433333333329</v>
      </c>
      <c r="N78" s="67" t="n">
        <f t="shared" si="37"/>
        <v>217.59133333333352</v>
      </c>
      <c r="O78" s="67" t="n">
        <f t="shared" si="37"/>
        <v>222.7093333333334</v>
      </c>
      <c r="P78" s="398" t="n">
        <f t="shared" si="37"/>
        <v>244.61933333333332</v>
      </c>
      <c r="Q78" s="67" t="n">
        <f t="shared" si="37"/>
        <v>248.60033333333331</v>
      </c>
      <c r="R78" s="67" t="n">
        <f t="shared" si="37"/>
        <v>262.76933333333329</v>
      </c>
      <c r="S78" s="67" t="n">
        <f t="shared" si="37"/>
        <v>260.1133333333334</v>
      </c>
      <c r="T78" s="67" t="n">
        <f t="shared" si="37"/>
        <v>222.98033333333342</v>
      </c>
      <c r="U78" s="429" t="n">
        <f t="shared" si="37"/>
        <v>236.8250000000001</v>
      </c>
      <c r="V78" s="67" t="n">
        <f t="shared" si="37"/>
        <v>227.57700000000006</v>
      </c>
      <c r="W78" s="67" t="n">
        <f t="shared" si="37"/>
        <v>220.74100000000004</v>
      </c>
      <c r="X78" s="67" t="n">
        <f t="shared" si="37"/>
        <v>243.04900000000009</v>
      </c>
      <c r="Y78" s="409" t="n">
        <f t="shared" si="37"/>
        <v>258.27700000000004</v>
      </c>
      <c r="Z78" s="409" t="n">
        <f t="shared" si="37"/>
        <v>275.846</v>
      </c>
      <c r="AA78" s="409" t="n">
        <f t="shared" si="37"/>
        <v>278.56402278290687</v>
      </c>
      <c r="AB78" s="409" t="n">
        <f t="shared" si="37"/>
        <v>281.30882734930304</v>
      </c>
      <c r="AC78" s="409" t="n">
        <f t="shared" si="37"/>
        <v>284.08067759098941</v>
      </c>
      <c r="AD78" s="409" t="n">
        <f t="shared" si="37"/>
        <v>286.87983999999994</v>
      </c>
      <c r="AE78" s="409" t="n">
        <f t="shared" si="37"/>
        <v>289.70658369422307</v>
      </c>
      <c r="AF78" s="409" t="n">
        <f t="shared" si="37"/>
        <v>292.56118044327513</v>
      </c>
      <c r="AG78" s="409" t="n">
        <f t="shared" si="37"/>
        <v>295.44390469462894</v>
      </c>
      <c r="AH78" s="409" t="n">
        <f t="shared" si="37"/>
        <v>298.3550335999999</v>
      </c>
      <c r="AI78" s="67"/>
      <c r="AJ78" s="67"/>
    </row>
    <row r="79">
      <c r="B79" s="442" t="s">
        <v>1185</v>
      </c>
      <c r="C79" s="64"/>
      <c r="D79" s="438"/>
      <c r="E79" s="64"/>
      <c r="F79" s="64"/>
      <c r="G79" s="64"/>
      <c r="H79" s="67"/>
      <c r="I79" s="67"/>
      <c r="J79" s="67"/>
      <c r="K79" s="67"/>
      <c r="L79" s="67"/>
      <c r="M79" s="67"/>
      <c r="N79" s="67"/>
      <c r="O79" s="67"/>
      <c r="P79" s="398"/>
      <c r="Q79" s="67"/>
      <c r="R79" s="67"/>
      <c r="S79" s="402" t="n">
        <f>'IRA and CHIPS'!E184</f>
        <v>0</v>
      </c>
      <c r="T79" s="402" t="n">
        <f>'IRA and CHIPS'!F184</f>
        <v>6.8000000000000005E-2</v>
      </c>
      <c r="U79" s="402" t="n">
        <f>'IRA and CHIPS'!G184</f>
        <v>6.8000000000000005E-2</v>
      </c>
      <c r="V79" s="402" t="n">
        <f>'IRA and CHIPS'!H184</f>
        <v>6.8000000000000005E-2</v>
      </c>
      <c r="W79" s="402" t="n">
        <f>'IRA and CHIPS'!I184</f>
        <v>6.8000000000000005E-2</v>
      </c>
      <c r="X79" s="402" t="n">
        <f>'IRA and CHIPS'!J184</f>
        <v>1.363</v>
      </c>
      <c r="Y79" s="424" t="n">
        <f>'IRA and CHIPS'!K184</f>
        <v>1.363</v>
      </c>
      <c r="Z79" s="424" t="n">
        <f>'IRA and CHIPS'!L184</f>
        <v>1.363</v>
      </c>
      <c r="AA79" s="424" t="n">
        <f>'IRA and CHIPS'!M184</f>
        <v>1.363</v>
      </c>
      <c r="AB79" s="424" t="n">
        <f>'IRA and CHIPS'!N184</f>
        <v>2.4329999999999998</v>
      </c>
      <c r="AC79" s="424" t="n">
        <f>'IRA and CHIPS'!O184</f>
        <v>2.4329999999999998</v>
      </c>
      <c r="AD79" s="424" t="n">
        <f>'IRA and CHIPS'!P184</f>
        <v>2.4329999999999998</v>
      </c>
      <c r="AE79" s="424" t="n">
        <f>'IRA and CHIPS'!Q184</f>
        <v>2.4329999999999998</v>
      </c>
      <c r="AF79" s="424" t="n">
        <f>'IRA and CHIPS'!R184</f>
        <v>2.8029999999999999</v>
      </c>
      <c r="AG79" s="424" t="n">
        <f>'IRA and CHIPS'!S184</f>
        <v>2.8029999999999999</v>
      </c>
      <c r="AH79" s="424"/>
      <c r="AI79" s="67"/>
      <c r="AJ79" s="67"/>
    </row>
    <row r="80" ht="14.9" customHeight="1">
      <c r="B80" s="481" t="s">
        <v>381</v>
      </c>
      <c r="C80" s="64"/>
      <c r="D80" s="438"/>
      <c r="E80" s="64"/>
      <c r="F80" s="64"/>
      <c r="G80" s="64"/>
      <c r="H80" s="400"/>
      <c r="I80" s="400"/>
      <c r="J80" s="400"/>
      <c r="K80" s="400"/>
      <c r="L80" s="400"/>
      <c r="M80" s="400"/>
      <c r="N80" s="400"/>
      <c r="O80" s="400"/>
      <c r="P80" s="283"/>
      <c r="Q80" s="400"/>
      <c r="R80" s="400"/>
      <c r="S80" s="400"/>
      <c r="T80" s="400"/>
      <c r="U80" s="400"/>
      <c r="V80" s="400"/>
      <c r="W80" s="400"/>
      <c r="X80" s="400"/>
      <c r="Y80" s="408"/>
      <c r="Z80" s="408"/>
      <c r="AA80" s="408"/>
      <c r="AB80" s="408"/>
      <c r="AC80" s="408"/>
      <c r="AD80" s="408"/>
      <c r="AE80" s="408"/>
      <c r="AF80" s="408"/>
      <c r="AG80" s="408"/>
      <c r="AH80" s="408"/>
      <c r="AI80" s="400"/>
      <c r="AJ80" s="400"/>
    </row>
    <row r="81" ht="14.9" customHeight="1">
      <c r="B81" s="442" t="s">
        <v>150</v>
      </c>
      <c r="C81" s="64"/>
      <c r="D81" s="438"/>
      <c r="E81" s="64"/>
      <c r="F81" s="64"/>
      <c r="G81" s="64"/>
      <c r="H81" s="400"/>
      <c r="I81" s="400"/>
      <c r="J81" s="400" t="n">
        <f t="shared" ref="J81:Y81" si="38">J13</f>
        <v>28.4</v>
      </c>
      <c r="K81" s="400" t="n">
        <f t="shared" si="38"/>
        <v>15.8</v>
      </c>
      <c r="L81" s="400" t="n">
        <f t="shared" si="38"/>
        <v>15.2</v>
      </c>
      <c r="M81" s="400" t="n">
        <f t="shared" si="38"/>
        <v>28.9</v>
      </c>
      <c r="N81" s="400" t="n">
        <f t="shared" si="38"/>
        <v>67.599999999999994</v>
      </c>
      <c r="O81" s="400" t="n">
        <f t="shared" si="38"/>
        <v>80.7</v>
      </c>
      <c r="P81" s="283" t="n">
        <f t="shared" si="38"/>
        <v>87.2</v>
      </c>
      <c r="Q81" s="400" t="n">
        <f t="shared" si="38"/>
        <v>72.400000000000006</v>
      </c>
      <c r="R81" s="400" t="n">
        <f t="shared" si="38"/>
        <v>85.9</v>
      </c>
      <c r="S81" s="400" t="n">
        <f t="shared" si="38"/>
        <v>68.3</v>
      </c>
      <c r="T81" s="400" t="n">
        <f t="shared" si="38"/>
        <v>64</v>
      </c>
      <c r="U81" s="400" t="n">
        <f t="shared" si="38"/>
        <v>60.929333333333297</v>
      </c>
      <c r="V81" s="400" t="n">
        <f t="shared" si="38"/>
        <v>60.929333333333297</v>
      </c>
      <c r="W81" s="400" t="n">
        <f t="shared" si="38"/>
        <v>60.929333333333297</v>
      </c>
      <c r="X81" s="400" t="n">
        <f t="shared" si="38"/>
        <v>54.244333333333302</v>
      </c>
      <c r="Y81" s="407" t="n">
        <f t="shared" si="38"/>
        <v>50.911000000000001</v>
      </c>
      <c r="Z81" s="408" t="n">
        <f>Z25+Z29+'ARP Quarterly'!P28</f>
        <v>44.428388999999996</v>
      </c>
      <c r="AA81" s="408" t="n">
        <f>AA25+AA29+'ARP Quarterly'!Q28</f>
        <v>46.338610000000003</v>
      </c>
      <c r="AB81" s="408" t="n">
        <f>AB25+AB29+'ARP Quarterly'!R28</f>
        <v>47.279744500000007</v>
      </c>
      <c r="AC81" s="408" t="n">
        <f>AC25+AC29+'ARP Quarterly'!S28</f>
        <v>46.283419000000009</v>
      </c>
      <c r="AD81" s="408" t="n">
        <f>AD25+AD29+'ARP Quarterly'!T28</f>
        <v>45.578489500000011</v>
      </c>
      <c r="AE81" s="408" t="n">
        <f>AE25+AE29+'ARP Quarterly'!U28</f>
        <v>45.454798000000011</v>
      </c>
      <c r="AF81" s="408" t="n">
        <f>AF25+AF29+'ARP Quarterly'!V28</f>
        <v>45.360580000000013</v>
      </c>
      <c r="AG81" s="405" t="n">
        <f>AF81</f>
        <v>45.360580000000013</v>
      </c>
      <c r="AH81" s="405" t="n">
        <f>AG81</f>
        <v>45.360580000000013</v>
      </c>
      <c r="AI81" s="422"/>
      <c r="AJ81" s="400"/>
    </row>
    <row r="82">
      <c r="B82" s="442" t="s">
        <v>149</v>
      </c>
      <c r="C82" s="67"/>
      <c r="D82" s="507"/>
      <c r="E82" s="67"/>
      <c r="F82" s="67"/>
      <c r="G82" s="67"/>
      <c r="H82" s="400"/>
      <c r="I82" s="400"/>
      <c r="J82" s="400" t="n">
        <v>35</v>
      </c>
      <c r="K82" s="400" t="n">
        <v>45</v>
      </c>
      <c r="L82" s="400" t="n">
        <v>45</v>
      </c>
      <c r="M82" s="400" t="n">
        <v>40</v>
      </c>
      <c r="N82" s="400" t="n">
        <v>40</v>
      </c>
      <c r="O82" s="400" t="n">
        <v>40</v>
      </c>
      <c r="P82" s="283" t="n">
        <v>40</v>
      </c>
      <c r="Q82" s="400" t="n">
        <v>50</v>
      </c>
      <c r="R82" s="400" t="n">
        <v>50</v>
      </c>
      <c r="S82" s="400" t="n">
        <v>50</v>
      </c>
      <c r="T82" s="400" t="n">
        <v>50</v>
      </c>
      <c r="U82" s="430" t="n">
        <v>40</v>
      </c>
      <c r="V82" s="400" t="n">
        <v>30</v>
      </c>
      <c r="W82" s="400" t="n">
        <v>20</v>
      </c>
      <c r="X82" s="400" t="n">
        <v>15</v>
      </c>
      <c r="Y82" s="408" t="n">
        <v>10</v>
      </c>
      <c r="Z82" s="408" t="n">
        <v>0</v>
      </c>
      <c r="AA82" s="408" t="n">
        <v>0</v>
      </c>
      <c r="AB82" s="408" t="n">
        <v>0</v>
      </c>
      <c r="AC82" s="408" t="n">
        <v>0</v>
      </c>
      <c r="AD82" s="408" t="n">
        <v>0</v>
      </c>
      <c r="AE82" s="408" t="n">
        <v>0</v>
      </c>
      <c r="AF82" s="408" t="n">
        <v>0</v>
      </c>
      <c r="AG82" s="408" t="n">
        <v>0</v>
      </c>
      <c r="AH82" s="408"/>
      <c r="AI82" s="393"/>
    </row>
    <row r="83" ht="28.5" customHeight="1">
      <c r="B83" s="455" t="s">
        <v>382</v>
      </c>
      <c r="C83" s="467"/>
      <c r="D83" s="438"/>
      <c r="E83" s="64"/>
      <c r="F83" s="64"/>
      <c r="G83" s="64"/>
      <c r="H83" s="400"/>
      <c r="I83" s="400"/>
      <c r="J83" s="400"/>
      <c r="K83" s="400"/>
      <c r="L83" s="400"/>
      <c r="M83" s="400"/>
      <c r="N83" s="400" t="n">
        <f>'ARP Quarterly'!D47</f>
        <v>0</v>
      </c>
      <c r="O83" s="400" t="n">
        <f>'ARP Quarterly'!E47</f>
        <v>0</v>
      </c>
      <c r="P83" s="283" t="n">
        <f>'ARP Quarterly'!F47</f>
        <v>34.620851999999999</v>
      </c>
      <c r="Q83" s="400" t="n">
        <f>'ARP Quarterly'!G47</f>
        <v>50.996274799999995</v>
      </c>
      <c r="R83" s="400" t="n">
        <f>'ARP Quarterly'!H47</f>
        <v>69.350031999999999</v>
      </c>
      <c r="S83" s="400" t="n">
        <f>'ARP Quarterly'!I47</f>
        <v>79.295867999999999</v>
      </c>
      <c r="T83" s="400" t="n">
        <f>'ARP Quarterly'!J47</f>
        <v>80.538927999999999</v>
      </c>
      <c r="U83" s="400" t="n">
        <f>'ARP Quarterly'!K47</f>
        <v>80.122543199999996</v>
      </c>
      <c r="V83" s="400" t="n">
        <f>'ARP Quarterly'!L47</f>
        <v>88.916719999999998</v>
      </c>
      <c r="W83" s="401" t="n">
        <f>'ARP Quarterly'!M47</f>
        <v>92.213943999999998</v>
      </c>
      <c r="X83" s="401" t="n">
        <f>'ARP Quarterly'!N47</f>
        <v>92.213943999999998</v>
      </c>
      <c r="Y83" s="492" t="n">
        <f>'ARP Quarterly'!O47</f>
        <v>94.213943999999998</v>
      </c>
      <c r="Z83" s="492" t="n">
        <f>'ARP Quarterly'!P47</f>
        <v>98.916719999999998</v>
      </c>
      <c r="AA83" s="492" t="n">
        <f>'ARP Quarterly'!Q47</f>
        <v>98.916719999999998</v>
      </c>
      <c r="AB83" s="492" t="n">
        <f>'ARP Quarterly'!R47</f>
        <v>99.081581199999988</v>
      </c>
      <c r="AC83" s="408" t="n">
        <f>'ARP Quarterly'!S47</f>
        <v>93.146578000000005</v>
      </c>
      <c r="AD83" s="408" t="n">
        <f>'ARP Quarterly'!T47</f>
        <v>86.552129999999991</v>
      </c>
      <c r="AE83" s="408" t="n">
        <f>'ARP Quarterly'!U47</f>
        <v>86.552129999999991</v>
      </c>
      <c r="AF83" s="408" t="n">
        <f>'ARP Quarterly'!V47</f>
        <v>82.265738799999994</v>
      </c>
      <c r="AG83" s="405" t="n">
        <f>AF83</f>
        <v>82.265738799999994</v>
      </c>
      <c r="AH83" s="405" t="n">
        <f>AG83</f>
        <v>82.265738799999994</v>
      </c>
      <c r="AI83" s="480"/>
    </row>
    <row r="84" ht="55.4" customHeight="1">
      <c r="B84" s="461" t="s">
        <v>829</v>
      </c>
      <c r="C84" s="462"/>
      <c r="D84" s="436"/>
      <c r="E84" s="437"/>
      <c r="F84" s="437"/>
      <c r="G84" s="437"/>
      <c r="H84" s="437"/>
      <c r="I84" s="462"/>
      <c r="J84" s="462"/>
      <c r="K84" s="462"/>
      <c r="L84" s="462"/>
      <c r="M84" s="462"/>
      <c r="N84" s="462"/>
      <c r="O84" s="462"/>
      <c r="P84" s="462" t="n">
        <v>-50</v>
      </c>
      <c r="Q84" s="462" t="n">
        <v>-25</v>
      </c>
      <c r="R84" s="462"/>
      <c r="S84" s="462"/>
      <c r="T84" s="462"/>
      <c r="U84" s="508"/>
      <c r="V84" s="437"/>
      <c r="W84" s="462"/>
      <c r="X84" s="462"/>
      <c r="Y84" s="462" t="n">
        <v>12.5</v>
      </c>
      <c r="Z84" s="462" t="n">
        <v>12.5</v>
      </c>
      <c r="AA84" s="462" t="n">
        <v>12.5</v>
      </c>
      <c r="AB84" s="462" t="n">
        <v>12.5</v>
      </c>
      <c r="AC84" s="508"/>
      <c r="AD84" s="297"/>
      <c r="AE84" s="297"/>
      <c r="AF84" s="297"/>
      <c r="AG84" s="297"/>
      <c r="AH84" s="297"/>
    </row>
    <row r="85">
      <c r="B85" s="338"/>
      <c r="C85" s="297"/>
      <c r="D85" s="297"/>
      <c r="E85" s="297"/>
      <c r="F85" s="297"/>
      <c r="G85" s="297"/>
      <c r="H85" s="297"/>
      <c r="I85" s="297"/>
      <c r="J85" s="297"/>
      <c r="K85" s="297"/>
      <c r="L85" s="297"/>
      <c r="M85" s="297"/>
      <c r="Z85" s="297"/>
      <c r="AA85" s="297"/>
      <c r="AB85" s="297"/>
      <c r="AC85" s="297"/>
      <c r="AD85" s="297"/>
      <c r="AE85" s="297"/>
      <c r="AF85" s="297"/>
      <c r="AG85" s="297"/>
      <c r="AH85" s="297"/>
    </row>
    <row r="86">
      <c r="B86" s="338"/>
      <c r="C86" s="297"/>
      <c r="D86" s="297"/>
      <c r="E86" s="297"/>
      <c r="F86" s="297"/>
      <c r="G86" s="297"/>
      <c r="H86" s="297"/>
      <c r="I86" s="297"/>
      <c r="J86" s="297"/>
      <c r="K86" s="297"/>
      <c r="L86" s="297"/>
      <c r="M86" s="297"/>
      <c r="N86" s="297"/>
      <c r="O86" s="297"/>
      <c r="P86" s="297"/>
      <c r="Q86" s="297"/>
      <c r="R86" s="297"/>
      <c r="S86" s="297"/>
      <c r="T86" s="297"/>
      <c r="U86" s="297"/>
      <c r="V86" s="297"/>
      <c r="W86" s="297"/>
      <c r="X86" s="297"/>
      <c r="Y86" s="297"/>
      <c r="Z86" s="297"/>
      <c r="AA86" s="297"/>
      <c r="AB86" s="297"/>
      <c r="AC86" s="297"/>
      <c r="AD86" s="297"/>
      <c r="AE86" s="297"/>
      <c r="AF86" s="297"/>
      <c r="AG86" s="297"/>
      <c r="AH86" s="297"/>
    </row>
    <row r="87" ht="14.5" customHeight="1">
      <c r="B87" s="338"/>
      <c r="C87" s="297"/>
      <c r="D87" s="297"/>
      <c r="E87" s="297"/>
      <c r="F87" s="297"/>
      <c r="G87" s="297"/>
      <c r="H87" s="297"/>
      <c r="I87" s="297"/>
      <c r="J87" s="297"/>
      <c r="K87" s="297"/>
      <c r="L87" s="297"/>
      <c r="M87" s="297"/>
      <c r="N87" s="297"/>
      <c r="O87" s="297"/>
      <c r="P87" s="297"/>
      <c r="Q87" s="297"/>
      <c r="R87" s="297"/>
      <c r="S87" s="297"/>
      <c r="T87" s="297"/>
      <c r="U87" s="297"/>
      <c r="V87" s="297"/>
      <c r="W87" s="297"/>
      <c r="X87" s="297"/>
      <c r="Y87" s="297"/>
      <c r="Z87" s="297"/>
      <c r="AA87" s="297"/>
      <c r="AB87" s="297"/>
      <c r="AC87" s="297"/>
      <c r="AD87" s="297"/>
      <c r="AE87" s="297"/>
      <c r="AF87" s="297"/>
      <c r="AG87" s="297"/>
      <c r="AH87" s="297"/>
    </row>
    <row r="88">
      <c r="B88" s="257" t="s">
        <v>134</v>
      </c>
      <c r="C88" s="257"/>
      <c r="D88" s="257"/>
      <c r="E88" s="257"/>
      <c r="F88" s="257"/>
      <c r="G88" s="257"/>
      <c r="H88" s="257"/>
      <c r="I88" s="257"/>
      <c r="J88" s="257"/>
      <c r="K88" s="257"/>
      <c r="L88" s="257"/>
      <c r="M88" s="257"/>
      <c r="N88" s="257"/>
      <c r="O88" s="257"/>
      <c r="P88" s="257"/>
      <c r="Q88" s="257"/>
      <c r="R88" s="257"/>
      <c r="S88" s="257"/>
      <c r="T88" s="257"/>
      <c r="U88" s="257"/>
      <c r="V88" s="257"/>
      <c r="W88" s="257"/>
      <c r="X88" s="257"/>
      <c r="Y88" s="257"/>
      <c r="Z88" s="257"/>
      <c r="AA88" s="257"/>
      <c r="AB88" s="257"/>
      <c r="AC88" s="257"/>
      <c r="AD88" s="257"/>
      <c r="AE88" s="257"/>
      <c r="AF88" s="257"/>
      <c r="AG88" s="257"/>
      <c r="AH88" s="257"/>
      <c r="AI88" s="390"/>
      <c r="AJ88" s="390"/>
    </row>
    <row r="89" ht="19.399999999999999" customHeight="1">
      <c r="B89" s="258" t="s">
        <v>1835</v>
      </c>
      <c r="C89" s="258"/>
      <c r="D89" s="258"/>
      <c r="E89" s="258"/>
      <c r="F89" s="258"/>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row>
    <row r="90" ht="11.9" customHeight="1">
      <c r="B90" s="304"/>
      <c r="C90" s="304"/>
      <c r="D90" s="304"/>
      <c r="E90" s="304"/>
      <c r="F90" s="304"/>
      <c r="G90" s="304"/>
      <c r="H90" s="304"/>
      <c r="I90" s="304"/>
      <c r="J90" s="304"/>
      <c r="K90" s="304"/>
      <c r="L90" s="304"/>
      <c r="M90" s="304"/>
      <c r="V90" s="291"/>
      <c r="W90" s="291"/>
      <c r="X90" s="291"/>
      <c r="Y90" s="291"/>
      <c r="Z90" s="291"/>
      <c r="AA90" s="291"/>
      <c r="AB90" s="291"/>
      <c r="AC90" s="291"/>
      <c r="AD90" s="291"/>
      <c r="AE90" s="291"/>
      <c r="AF90" s="291"/>
      <c r="AG90" s="291"/>
      <c r="AH90" s="291"/>
      <c r="AI90" s="291"/>
      <c r="AJ90" s="291"/>
    </row>
    <row r="91" ht="14.9" customHeight="1">
      <c r="B91" s="262" t="s">
        <v>279</v>
      </c>
      <c r="C91" s="263"/>
      <c r="D91" s="266" t="s">
        <v>280</v>
      </c>
      <c r="E91" s="277"/>
      <c r="F91" s="277"/>
      <c r="G91" s="277"/>
      <c r="H91" s="277"/>
      <c r="I91" s="277"/>
      <c r="J91" s="277"/>
      <c r="K91" s="277"/>
      <c r="L91" s="277"/>
      <c r="M91" s="277"/>
      <c r="N91" s="277"/>
      <c r="O91" s="277"/>
      <c r="P91" s="277"/>
      <c r="Q91" s="277"/>
      <c r="R91" s="277"/>
      <c r="S91" s="277"/>
      <c r="T91" s="277"/>
      <c r="U91" s="278"/>
      <c r="V91" s="265"/>
      <c r="W91" s="379" t="s">
        <v>281</v>
      </c>
      <c r="X91" s="295"/>
      <c r="Y91" s="380"/>
      <c r="Z91" s="380"/>
      <c r="AA91" s="380"/>
      <c r="AB91" s="380"/>
      <c r="AC91" s="380"/>
      <c r="AD91" s="380"/>
      <c r="AE91" s="380"/>
      <c r="AF91" s="380"/>
      <c r="AG91" s="380"/>
      <c r="AH91" s="295"/>
      <c r="AI91" s="390"/>
      <c r="AJ91" s="390"/>
    </row>
    <row r="92">
      <c r="B92" s="264"/>
      <c r="C92" s="265"/>
      <c r="D92" s="270" t="n">
        <v>2018</v>
      </c>
      <c r="E92" s="269" t="n">
        <v>2019</v>
      </c>
      <c r="F92" s="270"/>
      <c r="G92" s="270"/>
      <c r="H92" s="271"/>
      <c r="I92" s="269" t="n">
        <v>2020</v>
      </c>
      <c r="J92" s="270"/>
      <c r="K92" s="270"/>
      <c r="L92" s="270"/>
      <c r="M92" s="269" t="n">
        <v>2021</v>
      </c>
      <c r="N92" s="270"/>
      <c r="O92" s="270"/>
      <c r="P92" s="270"/>
      <c r="Q92" s="269" t="n">
        <v>2022</v>
      </c>
      <c r="R92" s="358"/>
      <c r="S92" s="358"/>
      <c r="T92" s="358"/>
      <c r="U92" s="296"/>
      <c r="V92" s="343" t="n">
        <v>2023</v>
      </c>
      <c r="W92" s="344"/>
      <c r="X92" s="316"/>
      <c r="Y92" s="268" t="n">
        <v>2024</v>
      </c>
      <c r="Z92" s="347"/>
      <c r="AA92" s="347"/>
      <c r="AB92" s="268"/>
      <c r="AC92" s="255" t="n">
        <v>2025</v>
      </c>
      <c r="AD92" s="268"/>
      <c r="AE92" s="268"/>
      <c r="AF92" s="256"/>
      <c r="AG92" s="420" t="n">
        <v>2026</v>
      </c>
      <c r="AH92" s="514"/>
      <c r="AI92" s="291"/>
      <c r="AJ92" s="291"/>
    </row>
    <row r="93">
      <c r="B93" s="264"/>
      <c r="C93" s="265"/>
      <c r="D93" s="260" t="s">
        <v>282</v>
      </c>
      <c r="E93" s="259" t="s">
        <v>283</v>
      </c>
      <c r="F93" s="260" t="s">
        <v>284</v>
      </c>
      <c r="G93" s="260" t="s">
        <v>238</v>
      </c>
      <c r="H93" s="261" t="s">
        <v>282</v>
      </c>
      <c r="I93" s="260" t="s">
        <v>283</v>
      </c>
      <c r="J93" s="260" t="s">
        <v>284</v>
      </c>
      <c r="K93" s="260" t="s">
        <v>238</v>
      </c>
      <c r="L93" s="260" t="s">
        <v>282</v>
      </c>
      <c r="M93" s="259" t="s">
        <v>283</v>
      </c>
      <c r="N93" s="260" t="s">
        <v>284</v>
      </c>
      <c r="O93" s="260" t="s">
        <v>238</v>
      </c>
      <c r="P93" s="260" t="s">
        <v>282</v>
      </c>
      <c r="Q93" s="259" t="s">
        <v>283</v>
      </c>
      <c r="R93" s="260" t="s">
        <v>284</v>
      </c>
      <c r="S93" s="260" t="s">
        <v>238</v>
      </c>
      <c r="T93" s="260" t="s">
        <v>282</v>
      </c>
      <c r="U93" s="259" t="s">
        <v>283</v>
      </c>
      <c r="V93" s="260" t="s">
        <v>284</v>
      </c>
      <c r="W93" s="406" t="s">
        <v>238</v>
      </c>
      <c r="X93" s="509" t="s">
        <v>282</v>
      </c>
      <c r="Y93" s="406" t="s">
        <v>283</v>
      </c>
      <c r="Z93" s="413" t="s">
        <v>284</v>
      </c>
      <c r="AA93" s="406" t="s">
        <v>238</v>
      </c>
      <c r="AB93" s="406" t="s">
        <v>282</v>
      </c>
      <c r="AC93" s="510" t="s">
        <v>283</v>
      </c>
      <c r="AD93" s="413" t="s">
        <v>284</v>
      </c>
      <c r="AE93" s="406" t="s">
        <v>238</v>
      </c>
      <c r="AF93" s="509" t="s">
        <v>282</v>
      </c>
      <c r="AG93" s="423" t="s">
        <v>283</v>
      </c>
      <c r="AH93" s="413"/>
      <c r="AI93" s="291"/>
      <c r="AJ93" s="291"/>
    </row>
    <row r="94" ht="14.9" customHeight="1">
      <c r="B94" s="506" t="s">
        <v>383</v>
      </c>
      <c r="C94" s="448" t="s">
        <v>384</v>
      </c>
      <c r="D94" s="449"/>
      <c r="E94" s="450"/>
      <c r="F94" s="450"/>
      <c r="G94" s="450"/>
      <c r="H94" s="403" t="n">
        <f>'Haver Pivoted'!GS41</f>
        <v>72.156000000000006</v>
      </c>
      <c r="I94" s="403" t="n">
        <f>'Haver Pivoted'!GT41</f>
        <v>75.245999999999995</v>
      </c>
      <c r="J94" s="403" t="n">
        <f>'Haver Pivoted'!GU41</f>
        <v>75.986000000000004</v>
      </c>
      <c r="K94" s="403" t="n">
        <f>'Haver Pivoted'!GV41</f>
        <v>79.650999999999996</v>
      </c>
      <c r="L94" s="403" t="n">
        <f>'Haver Pivoted'!GW41</f>
        <v>75.400999999999996</v>
      </c>
      <c r="M94" s="403" t="n">
        <f>'Haver Pivoted'!GX41</f>
        <v>73.034999999999997</v>
      </c>
      <c r="N94" s="403" t="n">
        <f>'Haver Pivoted'!GY41</f>
        <v>75.13</v>
      </c>
      <c r="O94" s="403" t="n">
        <f>'Haver Pivoted'!GZ41</f>
        <v>70.191999999999993</v>
      </c>
      <c r="P94" s="403" t="n">
        <f>'Haver Pivoted'!HA41</f>
        <v>72.266999999999996</v>
      </c>
      <c r="Q94" s="403" t="n">
        <f>'Haver Pivoted'!HB41</f>
        <v>74.974000000000004</v>
      </c>
      <c r="R94" s="403" t="n">
        <f t="shared" ref="R94:S94" si="39">AVERAGE($H$94:$N$94)</f>
        <v>75.229285714285723</v>
      </c>
      <c r="S94" s="403" t="n">
        <f t="shared" si="39"/>
        <v>75.229285714285723</v>
      </c>
      <c r="T94" s="403" t="n">
        <f t="shared" ref="T94:AC94" si="40">AVERAGE($H$94:$N$94)+T95</f>
        <v>76.048285714285726</v>
      </c>
      <c r="U94" s="403" t="n">
        <f t="shared" si="40"/>
        <v>76.048285714285726</v>
      </c>
      <c r="V94" s="403" t="n">
        <f t="shared" si="40"/>
        <v>76.048285714285726</v>
      </c>
      <c r="W94" s="403" t="n">
        <f t="shared" si="40"/>
        <v>76.048285714285726</v>
      </c>
      <c r="X94" s="440" t="n">
        <f t="shared" si="40"/>
        <v>77.707285714285717</v>
      </c>
      <c r="Y94" s="440" t="n">
        <f t="shared" si="40"/>
        <v>77.707285714285717</v>
      </c>
      <c r="Z94" s="440" t="n">
        <f t="shared" si="40"/>
        <v>77.707285714285717</v>
      </c>
      <c r="AA94" s="440" t="n">
        <f t="shared" si="40"/>
        <v>77.707285714285717</v>
      </c>
      <c r="AB94" s="440" t="n">
        <f t="shared" si="40"/>
        <v>79.301285714285726</v>
      </c>
      <c r="AC94" s="440" t="n">
        <f t="shared" si="40"/>
        <v>79.301285714285726</v>
      </c>
      <c r="AD94" s="440" t="n">
        <f>AVERAGE($H$94:$N$94)+AD95</f>
        <v>75.229285714285723</v>
      </c>
      <c r="AE94" s="440" t="n">
        <f t="shared" ref="AE94:AF94" si="41">AVERAGE($H$94:$N$94)+AE95</f>
        <v>75.229285714285723</v>
      </c>
      <c r="AF94" s="440" t="n">
        <f t="shared" si="41"/>
        <v>75.229285714285723</v>
      </c>
      <c r="AG94" s="440" t="n">
        <f>AVERAGE($H$94:$N$94)+AG95</f>
        <v>75.229285714285723</v>
      </c>
      <c r="AH94" s="440" t="n">
        <f>AVERAGE($H$94:$N$94)+AH95</f>
        <v>75.229285714285723</v>
      </c>
      <c r="AI94" s="285"/>
      <c r="AJ94" s="285"/>
    </row>
    <row r="95">
      <c r="B95" s="399" t="s">
        <v>1184</v>
      </c>
      <c r="C95" s="86"/>
      <c r="D95" s="399"/>
      <c r="E95" s="86"/>
      <c r="F95" s="86"/>
      <c r="G95" s="86"/>
      <c r="H95" s="86"/>
      <c r="I95" s="86"/>
      <c r="J95" s="86"/>
      <c r="K95" s="86"/>
      <c r="L95" s="86"/>
      <c r="M95" s="86"/>
      <c r="N95" s="86"/>
      <c r="O95" s="86"/>
      <c r="P95" s="86"/>
      <c r="Q95" s="86"/>
      <c r="R95" s="86"/>
      <c r="S95" s="404" t="n">
        <f>'IRA and CHIPS'!E185</f>
        <v>0</v>
      </c>
      <c r="T95" s="404" t="n">
        <f>'IRA and CHIPS'!F185</f>
        <v>0.81899999999999995</v>
      </c>
      <c r="U95" s="404" t="n">
        <f>'IRA and CHIPS'!G185</f>
        <v>0.81899999999999995</v>
      </c>
      <c r="V95" s="404" t="n">
        <f>'IRA and CHIPS'!H185</f>
        <v>0.81899999999999995</v>
      </c>
      <c r="W95" s="404" t="n">
        <f>'IRA and CHIPS'!I185</f>
        <v>0.81899999999999995</v>
      </c>
      <c r="X95" s="439" t="n">
        <f>'IRA and CHIPS'!J185</f>
        <v>2.4780000000000002</v>
      </c>
      <c r="Y95" s="439" t="n">
        <f>'IRA and CHIPS'!K185</f>
        <v>2.4780000000000002</v>
      </c>
      <c r="Z95" s="439" t="n">
        <f>'IRA and CHIPS'!L185</f>
        <v>2.4780000000000002</v>
      </c>
      <c r="AA95" s="439" t="n">
        <f>'IRA and CHIPS'!M185</f>
        <v>2.4780000000000002</v>
      </c>
      <c r="AB95" s="439" t="n">
        <f>'IRA and CHIPS'!N185</f>
        <v>4.0720000000000001</v>
      </c>
      <c r="AC95" s="439" t="n">
        <f>'IRA and CHIPS'!O185</f>
        <v>4.0720000000000001</v>
      </c>
      <c r="AD95" s="439" t="n">
        <f>'IRA and CHIPS'!T185</f>
        <v>0</v>
      </c>
      <c r="AE95" s="439" t="n">
        <v>0</v>
      </c>
      <c r="AF95" s="439" t="n">
        <v>0</v>
      </c>
      <c r="AG95" s="441" t="n">
        <v>0</v>
      </c>
      <c r="AH95" s="441" t="n">
        <v>0</v>
      </c>
    </row>
    <row r="96" ht="18.75" customHeight="1"/>
    <row r="97" ht="21.75" customHeight="1"/>
  </sheetData>
  <mergeCells count="43">
    <mergeCell ref="A64:A65"/>
    <mergeCell ref="B89:AC89"/>
    <mergeCell ref="Y71:AB71"/>
    <mergeCell ref="B70:C72"/>
    <mergeCell ref="I71:L71"/>
    <mergeCell ref="B88:Y88"/>
    <mergeCell ref="E71:H71"/>
    <mergeCell ref="M71:P71"/>
    <mergeCell ref="AC71:AF71"/>
    <mergeCell ref="D70:V70"/>
    <mergeCell ref="W70:AG70"/>
    <mergeCell ref="B91:C93"/>
    <mergeCell ref="I92:L92"/>
    <mergeCell ref="E92:H92"/>
    <mergeCell ref="Y92:AB92"/>
    <mergeCell ref="B1:Y1"/>
    <mergeCell ref="B6:C8"/>
    <mergeCell ref="I7:L7"/>
    <mergeCell ref="M92:P92"/>
    <mergeCell ref="Q92:T92"/>
    <mergeCell ref="B2:AC4"/>
    <mergeCell ref="B22:AC22"/>
    <mergeCell ref="Q71:R71"/>
    <mergeCell ref="Q46:AM46"/>
    <mergeCell ref="Q47:S47"/>
    <mergeCell ref="T47:Y47"/>
    <mergeCell ref="AI47:AL47"/>
    <mergeCell ref="AC92:AF92"/>
    <mergeCell ref="W91:AG91"/>
    <mergeCell ref="D91:V91"/>
    <mergeCell ref="AI6:AI8"/>
    <mergeCell ref="AJ6:AJ8"/>
    <mergeCell ref="E7:H7"/>
    <mergeCell ref="Y7:AB7"/>
    <mergeCell ref="M7:P7"/>
    <mergeCell ref="Q7:T7"/>
    <mergeCell ref="D6:V6"/>
    <mergeCell ref="W6:AG6"/>
    <mergeCell ref="AC7:AF7"/>
    <mergeCell ref="AJ23:AK23"/>
    <mergeCell ref="AJ27:AK28"/>
    <mergeCell ref="AJ33:AK33"/>
    <mergeCell ref="AG7:AH7"/>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3" zoomScaleNormal="110" workbookViewId="0">
      <pane xSplit="2" ySplit="4" topLeftCell="Q8" activePane="bottomRight" state="frozen"/>
      <selection pane="topRight" activeCell="C1" sqref="C1"/>
      <selection pane="bottomLeft" activeCell="A5" sqref="A5"/>
      <selection pane="bottomRight" activeCell="Z30" sqref="Z30"/>
    </sheetView>
  </sheetViews>
  <sheetFormatPr defaultRowHeight="15.0" baseColWidth="10"/>
  <cols>
    <col min="2" max="2" width="56.81640625" hidden="0" customWidth="1"/>
    <col min="3" max="3" width="18" hidden="0" customWidth="1"/>
    <col min="4" max="4" width="10" hidden="0" customWidth="1"/>
    <col min="5" max="5" width="10" hidden="0" customWidth="1"/>
    <col min="6" max="6" width="10" hidden="0" customWidth="1"/>
    <col min="7" max="7" width="10" hidden="0" customWidth="1"/>
    <col min="8" max="8" width="14.1796875" hidden="0" customWidth="1"/>
    <col min="9" max="9" width="10.1796875" hidden="0" customWidth="1"/>
    <col min="10" max="10" width="11.81640625" hidden="0" customWidth="1"/>
    <col min="11" max="11" width="13.453125" hidden="0" customWidth="1"/>
    <col min="12" max="12" width="11.453125" hidden="0" customWidth="1"/>
    <col min="13" max="13" width="12" hidden="0" customWidth="1"/>
    <col min="14" max="14" width="9" hidden="0" customWidth="1"/>
    <col min="15" max="15" width="10.1796875" hidden="0" customWidth="1"/>
    <col min="16" max="16" width="10.1796875" hidden="0" customWidth="1"/>
    <col min="17" max="17" width="12.1796875" hidden="0" customWidth="1"/>
    <col min="18" max="18" width="10" hidden="0" customWidth="1"/>
    <col min="19" max="19" width="9" hidden="0" customWidth="1"/>
    <col min="20" max="20" width="8.81640625" hidden="0" customWidth="1"/>
    <col min="21" max="21" width="8.81640625" hidden="0" customWidth="1"/>
    <col min="22" max="22" width="8.81640625" hidden="0" customWidth="1"/>
    <col min="23" max="23" width="8.81640625" hidden="0" customWidth="1"/>
    <col min="24" max="24" width="8.81640625" hidden="0" customWidth="1"/>
    <col min="25" max="25" width="8.81640625" hidden="0" customWidth="1"/>
    <col min="26" max="26" width="8.81640625" hidden="0" customWidth="1"/>
    <col min="38" max="38" width="14.1796875" hidden="0" customWidth="1"/>
    <col min="44" max="44" width="31.81640625" hidden="0" customWidth="1"/>
    <col min="46" max="46" width="10.1796875" hidden="0" customWidth="1"/>
  </cols>
  <sheetData>
    <row r="1" ht="20.25" customHeight="1">
      <c r="B1" s="257" t="s">
        <v>385</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row>
    <row r="2" ht="14.25" customHeight="1">
      <c r="B2" s="304" t="s">
        <v>386</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c r="AF2" s="304"/>
      <c r="AG2" s="304"/>
      <c r="AH2" s="304"/>
    </row>
    <row r="3" ht="9" customHeight="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row>
    <row r="4" ht="27" customHeight="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J4" s="581"/>
      <c r="AK4" s="581"/>
      <c r="AL4" s="581"/>
      <c r="AM4" s="581"/>
      <c r="AN4" s="581"/>
      <c r="AO4" s="581"/>
      <c r="AP4" s="581"/>
      <c r="AQ4" s="581"/>
      <c r="AR4" s="581"/>
    </row>
    <row r="5">
      <c r="B5" s="338"/>
      <c r="AC5" s="280"/>
      <c r="AD5" s="280"/>
      <c r="AE5" s="280"/>
      <c r="AF5" s="280"/>
      <c r="AG5" s="280"/>
      <c r="AH5" s="280"/>
      <c r="AI5" s="280"/>
      <c r="AJ5" s="280"/>
      <c r="AK5" s="280"/>
    </row>
    <row r="6" ht="14.9" customHeight="1">
      <c r="B6" s="515" t="s">
        <v>279</v>
      </c>
      <c r="C6" s="516"/>
      <c r="D6" s="523" t="s">
        <v>280</v>
      </c>
      <c r="E6" s="524"/>
      <c r="F6" s="524"/>
      <c r="G6" s="524"/>
      <c r="H6" s="524"/>
      <c r="I6" s="524"/>
      <c r="J6" s="524"/>
      <c r="K6" s="524"/>
      <c r="L6" s="524"/>
      <c r="M6" s="524"/>
      <c r="N6" s="524"/>
      <c r="O6" s="524"/>
      <c r="P6" s="524"/>
      <c r="Q6" s="524"/>
      <c r="R6" s="524"/>
      <c r="S6" s="524"/>
      <c r="T6" s="524"/>
      <c r="U6" s="525"/>
      <c r="V6" s="518"/>
      <c r="W6" s="379" t="s">
        <v>281</v>
      </c>
      <c r="X6" s="295"/>
      <c r="Y6" s="380"/>
      <c r="Z6" s="380"/>
      <c r="AA6" s="380"/>
      <c r="AB6" s="380"/>
      <c r="AC6" s="380"/>
      <c r="AD6" s="380"/>
      <c r="AE6" s="380"/>
      <c r="AF6" s="380"/>
      <c r="AG6" s="295"/>
      <c r="AH6" s="295"/>
    </row>
    <row r="7" ht="14.9" customHeight="1">
      <c r="B7" s="517"/>
      <c r="C7" s="518"/>
      <c r="D7" s="519" t="n">
        <v>2018</v>
      </c>
      <c r="E7" s="519" t="n">
        <v>2019</v>
      </c>
      <c r="F7" s="520"/>
      <c r="G7" s="520"/>
      <c r="H7" s="521"/>
      <c r="I7" s="519" t="n">
        <v>2020</v>
      </c>
      <c r="J7" s="520"/>
      <c r="K7" s="520"/>
      <c r="L7" s="520"/>
      <c r="M7" s="519" t="n">
        <v>2021</v>
      </c>
      <c r="N7" s="522"/>
      <c r="O7" s="522"/>
      <c r="P7" s="522"/>
      <c r="Q7" s="519" t="n">
        <v>2022</v>
      </c>
      <c r="R7" s="522"/>
      <c r="S7" s="522"/>
      <c r="T7" s="521"/>
      <c r="U7" s="296"/>
      <c r="V7" s="343" t="n">
        <v>2023</v>
      </c>
      <c r="W7" s="344"/>
      <c r="X7" s="316"/>
      <c r="Y7" s="268" t="n">
        <v>2024</v>
      </c>
      <c r="Z7" s="347"/>
      <c r="AA7" s="347"/>
      <c r="AB7" s="256"/>
      <c r="AC7" s="255" t="n">
        <v>2025</v>
      </c>
      <c r="AD7" s="268"/>
      <c r="AE7" s="268"/>
      <c r="AF7" s="268"/>
      <c r="AG7" s="255" t="n">
        <v>2026</v>
      </c>
      <c r="AH7" s="256"/>
    </row>
    <row r="8">
      <c r="B8" s="517"/>
      <c r="C8" s="518"/>
      <c r="D8" s="567" t="s">
        <v>282</v>
      </c>
      <c r="E8" s="567" t="s">
        <v>283</v>
      </c>
      <c r="F8" s="552" t="s">
        <v>284</v>
      </c>
      <c r="G8" s="552" t="s">
        <v>238</v>
      </c>
      <c r="H8" s="568" t="s">
        <v>282</v>
      </c>
      <c r="I8" s="552" t="s">
        <v>283</v>
      </c>
      <c r="J8" s="552" t="s">
        <v>284</v>
      </c>
      <c r="K8" s="552" t="s">
        <v>238</v>
      </c>
      <c r="L8" s="552" t="s">
        <v>282</v>
      </c>
      <c r="M8" s="532" t="s">
        <v>283</v>
      </c>
      <c r="N8" s="533" t="s">
        <v>284</v>
      </c>
      <c r="O8" s="533" t="s">
        <v>238</v>
      </c>
      <c r="P8" s="533" t="s">
        <v>282</v>
      </c>
      <c r="Q8" s="532" t="s">
        <v>283</v>
      </c>
      <c r="R8" s="533" t="s">
        <v>284</v>
      </c>
      <c r="S8" s="533" t="s">
        <v>238</v>
      </c>
      <c r="T8" s="534" t="s">
        <v>282</v>
      </c>
      <c r="U8" s="259" t="s">
        <v>283</v>
      </c>
      <c r="V8" s="260" t="s">
        <v>284</v>
      </c>
      <c r="W8" s="406" t="s">
        <v>238</v>
      </c>
      <c r="X8" s="509" t="s">
        <v>282</v>
      </c>
      <c r="Y8" s="326" t="s">
        <v>283</v>
      </c>
      <c r="Z8" s="323" t="s">
        <v>284</v>
      </c>
      <c r="AA8" s="326" t="s">
        <v>238</v>
      </c>
      <c r="AB8" s="326" t="s">
        <v>282</v>
      </c>
      <c r="AC8" s="510" t="s">
        <v>283</v>
      </c>
      <c r="AD8" s="413" t="s">
        <v>284</v>
      </c>
      <c r="AE8" s="326" t="s">
        <v>238</v>
      </c>
      <c r="AF8" s="326" t="s">
        <v>282</v>
      </c>
      <c r="AG8" s="325" t="s">
        <v>283</v>
      </c>
      <c r="AH8" s="528" t="s">
        <v>284</v>
      </c>
    </row>
    <row r="9" ht="18" customHeight="1">
      <c r="B9" s="561" t="s">
        <v>1922</v>
      </c>
      <c r="C9" s="562"/>
      <c r="D9" s="563"/>
      <c r="E9" s="563"/>
      <c r="F9" s="563"/>
      <c r="G9" s="563"/>
      <c r="H9" s="563"/>
      <c r="I9" s="563"/>
      <c r="J9" s="563"/>
      <c r="K9" s="563"/>
      <c r="L9" s="563"/>
      <c r="M9" s="530" t="n">
        <v>1609.9</v>
      </c>
      <c r="N9" s="530" t="n">
        <v>1588.5</v>
      </c>
      <c r="O9" s="530" t="n">
        <v>1576.4</v>
      </c>
      <c r="P9" s="530" t="n">
        <v>1602.5</v>
      </c>
      <c r="Q9" s="530" t="n">
        <v>1601.7</v>
      </c>
      <c r="R9" s="530" t="n">
        <v>1612.3</v>
      </c>
      <c r="S9" s="530" t="n">
        <v>1636.3</v>
      </c>
      <c r="T9" s="530" t="n">
        <v>1691.8</v>
      </c>
      <c r="U9" s="530" t="n">
        <v>1730.6</v>
      </c>
      <c r="V9" s="530" t="n">
        <v>1744.3</v>
      </c>
      <c r="W9" s="530" t="n">
        <v>1791.9</v>
      </c>
      <c r="X9" s="530" t="n">
        <v>1820</v>
      </c>
      <c r="Y9" s="530" t="n">
        <v>1837.3</v>
      </c>
      <c r="Z9" s="531" t="n">
        <v>1825.6</v>
      </c>
      <c r="AA9" s="531" t="n">
        <v>1824.6</v>
      </c>
      <c r="AB9" s="531" t="n">
        <v>1842.6</v>
      </c>
      <c r="AC9" s="531" t="n">
        <v>1864.3</v>
      </c>
      <c r="AD9" s="531" t="n">
        <v>1886.9</v>
      </c>
      <c r="AE9" s="531" t="n">
        <v>1910.1</v>
      </c>
      <c r="AF9" s="531" t="n">
        <v>1923.8</v>
      </c>
      <c r="AG9" s="531" t="n">
        <v>1936.1</v>
      </c>
      <c r="AH9" s="531" t="n">
        <v>1950.7</v>
      </c>
      <c r="AI9" s="531" t="n">
        <v>1964.1</v>
      </c>
      <c r="AJ9" s="531" t="n">
        <v>1978.7</v>
      </c>
      <c r="AK9" s="531" t="n">
        <v>1993.5</v>
      </c>
      <c r="AL9" s="531" t="n">
        <v>2007</v>
      </c>
      <c r="AM9" s="531" t="n">
        <v>2019.8</v>
      </c>
      <c r="AN9" s="531" t="n">
        <v>2031.9</v>
      </c>
      <c r="AO9" s="531" t="n">
        <v>2043.4</v>
      </c>
      <c r="AP9" s="531" t="n">
        <v>2054.6</v>
      </c>
      <c r="AQ9" s="531" t="n">
        <v>2065.9</v>
      </c>
      <c r="AR9" s="531" t="n">
        <v>2077.3000000000002</v>
      </c>
      <c r="AS9" s="531" t="n">
        <v>2089.9</v>
      </c>
      <c r="AT9" s="531" t="n">
        <v>2102</v>
      </c>
      <c r="AU9" s="531" t="n">
        <v>2114.3000000000002</v>
      </c>
      <c r="AV9" s="531" t="n">
        <v>2125.1</v>
      </c>
      <c r="AW9" s="531" t="n">
        <v>2137.1999999999998</v>
      </c>
      <c r="AX9" s="531" t="n">
        <v>2149.5</v>
      </c>
      <c r="AY9" s="531" t="n">
        <v>2161.8000000000002</v>
      </c>
      <c r="AZ9" s="531" t="n">
        <v>2174.1999999999998</v>
      </c>
      <c r="BA9" s="531" t="n">
        <v>2187.3000000000002</v>
      </c>
      <c r="BB9" s="531" t="n">
        <v>2200.6</v>
      </c>
      <c r="BC9" s="531" t="n">
        <v>2213.9</v>
      </c>
      <c r="BD9" s="531" t="n">
        <v>2217.1999999999998</v>
      </c>
      <c r="BE9" s="531" t="n">
        <v>2226.4</v>
      </c>
      <c r="BF9" s="531" t="n">
        <v>2236.9</v>
      </c>
      <c r="BG9" s="531" t="n">
        <v>2250.1999999999998</v>
      </c>
      <c r="BH9" s="531" t="n">
        <v>2265.5</v>
      </c>
      <c r="BI9" s="531" t="n">
        <v>2280.5</v>
      </c>
      <c r="BJ9" s="531" t="n">
        <v>2294.6</v>
      </c>
      <c r="BK9" s="531" t="n">
        <v>2308.5</v>
      </c>
      <c r="BL9" s="531" t="n">
        <v>2322.1999999999998</v>
      </c>
      <c r="BM9" s="531" t="n">
        <v>2336</v>
      </c>
      <c r="BN9" s="531" t="n">
        <v>2350</v>
      </c>
      <c r="BO9" s="531" t="n">
        <v>2364</v>
      </c>
      <c r="BP9" s="531" t="n">
        <v>2378.5</v>
      </c>
      <c r="BQ9" s="531" t="n">
        <v>2378.5</v>
      </c>
    </row>
    <row r="10" ht="17.25" customHeight="1">
      <c r="B10" s="566" t="s">
        <v>1923</v>
      </c>
      <c r="C10" s="558"/>
      <c r="D10" s="558"/>
      <c r="E10" s="558"/>
      <c r="F10" s="558"/>
      <c r="G10" s="558"/>
      <c r="H10" s="559"/>
      <c r="I10" s="559"/>
      <c r="J10" s="559"/>
      <c r="K10" s="559"/>
      <c r="L10" s="559"/>
      <c r="M10" s="280" t="n">
        <v>22.143000000000001</v>
      </c>
      <c r="N10" s="280" t="n">
        <v>-5.2320000000000002</v>
      </c>
      <c r="O10" s="280" t="n">
        <v>-2.996</v>
      </c>
      <c r="P10" s="280" t="n">
        <v>6.7709999999999999</v>
      </c>
      <c r="Q10" s="280" t="n">
        <v>-0.192</v>
      </c>
      <c r="R10" s="280" t="n">
        <v>2.6680000000000001</v>
      </c>
      <c r="S10" s="280" t="n">
        <v>6.1040000000000001</v>
      </c>
      <c r="T10" s="280" t="n">
        <v>14.257</v>
      </c>
      <c r="U10" s="280" t="n">
        <v>9.5150000000000006</v>
      </c>
      <c r="V10" s="280" t="n">
        <v>3.1989999999999998</v>
      </c>
      <c r="W10" s="280" t="n">
        <v>11.372</v>
      </c>
      <c r="X10" s="280" t="n">
        <v>6.4130000000000003</v>
      </c>
      <c r="Y10" s="280" t="n">
        <v>3.851</v>
      </c>
      <c r="Z10" s="529" t="n">
        <v>-2.524</v>
      </c>
      <c r="AA10" s="529" t="n">
        <v>-0.216</v>
      </c>
      <c r="AB10" s="529" t="n">
        <v>4.008</v>
      </c>
      <c r="AC10" s="529" t="n">
        <v>4.8029999999999999</v>
      </c>
      <c r="AD10" s="529" t="n">
        <v>4.9379999999999997</v>
      </c>
      <c r="AE10" s="529" t="n">
        <v>5.0030000000000001</v>
      </c>
      <c r="AF10" s="529" t="n">
        <v>2.887</v>
      </c>
      <c r="AG10" s="529" t="n">
        <v>2.5859999999999999</v>
      </c>
      <c r="AH10" s="529" t="n">
        <v>3.056</v>
      </c>
      <c r="AI10" s="529" t="n">
        <v>2.7789999999999999</v>
      </c>
      <c r="AJ10" s="529" t="n">
        <v>2.9980000000000002</v>
      </c>
      <c r="AK10" s="529" t="n">
        <v>3.0270000000000001</v>
      </c>
      <c r="AL10" s="529" t="n">
        <v>2.7360000000000002</v>
      </c>
      <c r="AM10" s="529" t="n">
        <v>2.573</v>
      </c>
      <c r="AN10" s="529" t="n">
        <v>2.4159999999999999</v>
      </c>
      <c r="AO10" s="529" t="n">
        <v>2.29</v>
      </c>
      <c r="AP10" s="529" t="n">
        <v>2.21</v>
      </c>
      <c r="AQ10" s="529" t="n">
        <v>2.2189999999999999</v>
      </c>
      <c r="AR10" s="529" t="n">
        <v>2.226</v>
      </c>
      <c r="AS10" s="529" t="n">
        <v>2.4359999999999999</v>
      </c>
      <c r="AT10" s="529" t="n">
        <v>2.3479999999999999</v>
      </c>
      <c r="AU10" s="529" t="n">
        <v>2.351</v>
      </c>
      <c r="AV10" s="529" t="n">
        <v>2.0609999999999999</v>
      </c>
      <c r="AW10" s="529" t="n">
        <v>2.3069999999999999</v>
      </c>
      <c r="AX10" s="529" t="n">
        <v>2.3079999999999998</v>
      </c>
      <c r="AY10" s="529" t="n">
        <v>2.3090000000000002</v>
      </c>
      <c r="AZ10" s="529" t="n">
        <v>2.31</v>
      </c>
      <c r="BA10" s="529" t="n">
        <v>2.4460000000000002</v>
      </c>
      <c r="BB10" s="529" t="n">
        <v>2.4470000000000001</v>
      </c>
      <c r="BC10" s="529" t="n">
        <v>2.4470000000000001</v>
      </c>
      <c r="BD10" s="529" t="n">
        <v>0.58599999999999997</v>
      </c>
      <c r="BE10" s="529" t="n">
        <v>1.6830000000000001</v>
      </c>
      <c r="BF10" s="529" t="n">
        <v>1.8919999999999999</v>
      </c>
      <c r="BG10" s="529" t="n">
        <v>2.4009999999999998</v>
      </c>
      <c r="BH10" s="529" t="n">
        <v>2.7450000000000001</v>
      </c>
      <c r="BI10" s="529" t="n">
        <v>2.673</v>
      </c>
      <c r="BJ10" s="529" t="n">
        <v>2.4969999999999999</v>
      </c>
      <c r="BK10" s="529" t="n">
        <v>2.4359999999999999</v>
      </c>
      <c r="BL10" s="529" t="n">
        <v>2.4079999999999999</v>
      </c>
      <c r="BM10" s="529" t="n">
        <v>2.4</v>
      </c>
      <c r="BN10" s="529" t="n">
        <v>2.4039999999999999</v>
      </c>
      <c r="BO10" s="529" t="n">
        <v>2.4079999999999999</v>
      </c>
      <c r="BP10" s="529" t="n">
        <v>2.4790000000000001</v>
      </c>
      <c r="BQ10" s="529" t="n">
        <v>2.4790000000000001</v>
      </c>
    </row>
    <row r="11" ht="17.25" customHeight="1">
      <c r="B11" s="572" t="s">
        <v>195</v>
      </c>
      <c r="C11" s="558" t="s">
        <v>908</v>
      </c>
      <c r="D11" s="558"/>
      <c r="E11" s="558"/>
      <c r="F11" s="558"/>
      <c r="G11" s="558"/>
      <c r="H11" s="548" t="n">
        <f>'Haver Pivoted'!GS23</f>
        <v>1442</v>
      </c>
      <c r="I11" s="548" t="n">
        <f>'Haver Pivoted'!GT23</f>
        <v>1464.7</v>
      </c>
      <c r="J11" s="548" t="n">
        <f>'Haver Pivoted'!GU23</f>
        <v>1569.8</v>
      </c>
      <c r="K11" s="548" t="n">
        <f>'Haver Pivoted'!GV23</f>
        <v>1527.7</v>
      </c>
      <c r="L11" s="548" t="n">
        <f>'Haver Pivoted'!GW23</f>
        <v>1531.4</v>
      </c>
      <c r="M11" s="548" t="n">
        <f>'Haver Pivoted'!GX23</f>
        <v>1609.9</v>
      </c>
      <c r="N11" s="548" t="n">
        <f>'Haver Pivoted'!GY23</f>
        <v>1588.5</v>
      </c>
      <c r="O11" s="548" t="n">
        <f>'Haver Pivoted'!GZ23</f>
        <v>1576.4</v>
      </c>
      <c r="P11" s="548" t="n">
        <f>'Haver Pivoted'!HA23</f>
        <v>1602.5</v>
      </c>
      <c r="Q11" s="548" t="n">
        <f>'Haver Pivoted'!HB23</f>
        <v>1601.7</v>
      </c>
      <c r="R11" s="548" t="n">
        <f>'Haver Pivoted'!HC23</f>
        <v>1612.3</v>
      </c>
      <c r="S11" s="560" t="n">
        <f>'Haver Pivoted'!HD23</f>
        <v>1636.3</v>
      </c>
      <c r="T11" s="560" t="n">
        <f>'Haver Pivoted'!HE23</f>
        <v>1691.8</v>
      </c>
      <c r="U11" s="560" t="n">
        <f>'Haver Pivoted'!HF23</f>
        <v>1730.6</v>
      </c>
      <c r="V11" s="560" t="n">
        <f>'Haver Pivoted'!HG23</f>
        <v>1744.3</v>
      </c>
      <c r="W11" s="560" t="n">
        <f>'Haver Pivoted'!HH23</f>
        <v>1791.9</v>
      </c>
      <c r="X11" s="560" t="n">
        <f>'Haver Pivoted'!HI23</f>
        <v>1820</v>
      </c>
      <c r="Y11" s="560" t="n">
        <f>'Haver Pivoted'!HJ23</f>
        <v>1837.4</v>
      </c>
      <c r="Z11" s="560" t="n">
        <f>'Haver Pivoted'!HK23</f>
        <v>1865.5</v>
      </c>
      <c r="AA11" s="550" t="n">
        <f t="shared" ref="AA11:AE11" si="0">(1+(AA10/100))^(1/4)*Z11</f>
        <v>1864.4918130006488</v>
      </c>
      <c r="AB11" s="550" t="n">
        <f t="shared" si="0"/>
        <v>1882.8996167086359</v>
      </c>
      <c r="AC11" s="550" t="n">
        <f t="shared" si="0"/>
        <v>1905.112364477146</v>
      </c>
      <c r="AD11" s="550" t="n">
        <f t="shared" si="0"/>
        <v>1928.207604765124</v>
      </c>
      <c r="AE11" s="550" t="n">
        <f t="shared" si="0"/>
        <v>1951.8849623051435</v>
      </c>
      <c r="AF11" s="550" t="n">
        <f>(1+(AF10/100))^(1/4)*AE11</f>
        <v>1965.8226933538424</v>
      </c>
      <c r="AG11" s="550" t="n">
        <f>(1+(AG10/100))^(1/4)*AF11</f>
        <v>1978.4103178547402</v>
      </c>
      <c r="AH11" s="550" t="n">
        <f>(1+(AH10/100))^(1/4)*AG11</f>
        <v>1993.3551786387</v>
      </c>
    </row>
    <row r="12">
      <c r="B12" s="569" t="s">
        <v>387</v>
      </c>
      <c r="C12" s="570"/>
      <c r="D12" s="570"/>
      <c r="E12" s="570"/>
      <c r="F12" s="570"/>
      <c r="G12" s="570"/>
      <c r="H12" s="546" t="n">
        <f t="shared" ref="H12:AB12" si="1">H11+H50</f>
        <v>1720.9849999999999</v>
      </c>
      <c r="I12" s="546" t="n">
        <f t="shared" si="1"/>
        <v>1754.057</v>
      </c>
      <c r="J12" s="546" t="n">
        <f t="shared" si="1"/>
        <v>1966.0359999999998</v>
      </c>
      <c r="K12" s="546" t="n">
        <f t="shared" si="1"/>
        <v>1905.4850000000001</v>
      </c>
      <c r="L12" s="546" t="n">
        <f t="shared" si="1"/>
        <v>1896.345</v>
      </c>
      <c r="M12" s="546" t="n">
        <f t="shared" si="1"/>
        <v>2003.2760000000001</v>
      </c>
      <c r="N12" s="546" t="n">
        <f t="shared" si="1"/>
        <v>2017.9880000000003</v>
      </c>
      <c r="O12" s="546" t="n">
        <f t="shared" si="1"/>
        <v>2022.1680000000001</v>
      </c>
      <c r="P12" s="546" t="n">
        <f t="shared" si="1"/>
        <v>2070.8738520000002</v>
      </c>
      <c r="Q12" s="546" t="n">
        <f t="shared" si="1"/>
        <v>2110.3372748000002</v>
      </c>
      <c r="R12" s="546" t="n">
        <f t="shared" si="1"/>
        <v>2188.4153177142857</v>
      </c>
      <c r="S12" s="546" t="n">
        <f t="shared" si="1"/>
        <v>2198.4051537142859</v>
      </c>
      <c r="T12" s="546" t="n">
        <f t="shared" si="1"/>
        <v>2213.3022137142857</v>
      </c>
      <c r="U12" s="547" t="n">
        <f t="shared" si="1"/>
        <v>2246.2598289142857</v>
      </c>
      <c r="V12" s="547" t="n">
        <f t="shared" si="1"/>
        <v>2249.5060057142855</v>
      </c>
      <c r="W12" s="547" t="n">
        <f t="shared" si="1"/>
        <v>2283.567229714286</v>
      </c>
      <c r="X12" s="547" t="n">
        <f t="shared" si="1"/>
        <v>2325.2442297142857</v>
      </c>
      <c r="Y12" s="571" t="n">
        <f t="shared" si="1"/>
        <v>2342.3722297142858</v>
      </c>
      <c r="Z12" s="571" t="n">
        <f t="shared" si="1"/>
        <v>2376.2613947142859</v>
      </c>
      <c r="AA12" s="571" t="n">
        <f t="shared" si="1"/>
        <v>2379.8814514978412</v>
      </c>
      <c r="AB12" s="571" t="n">
        <f t="shared" si="1"/>
        <v>2404.8040554722247</v>
      </c>
      <c r="AC12" s="549" t="n">
        <f>AC11+AC50</f>
        <v>2410.3573247824211</v>
      </c>
      <c r="AD12" s="549"/>
      <c r="AE12" s="549"/>
      <c r="AF12" s="549"/>
      <c r="AG12" s="549"/>
      <c r="AH12" s="549"/>
      <c r="AI12" s="297" t="s">
        <v>388</v>
      </c>
    </row>
    <row r="13" ht="15.75" customHeight="1">
      <c r="B13" s="306"/>
      <c r="C13" s="306"/>
      <c r="D13" s="306"/>
      <c r="E13" s="306"/>
      <c r="F13" s="306"/>
      <c r="G13" s="306"/>
      <c r="H13" s="288"/>
      <c r="I13" s="288"/>
      <c r="J13" s="288"/>
      <c r="K13" s="288"/>
      <c r="L13" s="288"/>
      <c r="M13" s="288"/>
      <c r="N13" s="288"/>
      <c r="O13" s="288"/>
      <c r="AC13" s="85"/>
      <c r="AD13" s="85"/>
      <c r="AI13" s="297"/>
    </row>
    <row r="14">
      <c r="B14" s="306"/>
      <c r="C14" s="306"/>
      <c r="D14" s="306"/>
      <c r="E14" s="306"/>
      <c r="F14" s="306"/>
      <c r="G14" s="306"/>
      <c r="H14" s="288"/>
      <c r="I14" s="288"/>
      <c r="J14" s="288"/>
      <c r="K14" s="288"/>
      <c r="L14" s="288"/>
      <c r="M14" s="288"/>
      <c r="N14" s="288"/>
      <c r="O14" s="288"/>
      <c r="P14" s="578"/>
      <c r="Q14" s="578"/>
      <c r="R14" s="578"/>
      <c r="S14" s="578"/>
      <c r="T14" s="578"/>
      <c r="U14" s="578"/>
      <c r="V14" s="578"/>
      <c r="W14" s="578"/>
      <c r="X14" s="578"/>
      <c r="Y14" s="578"/>
      <c r="Z14" s="578"/>
      <c r="AA14" s="578"/>
      <c r="AB14" s="578"/>
      <c r="AC14" s="578"/>
      <c r="AD14" s="578"/>
      <c r="AE14" s="578"/>
      <c r="AF14" s="578"/>
      <c r="AG14" s="578"/>
      <c r="AH14" s="578"/>
    </row>
    <row r="15" ht="21.75" customHeight="1">
      <c r="B15" s="257" t="s">
        <v>165</v>
      </c>
      <c r="C15" s="257"/>
      <c r="D15" s="257"/>
      <c r="E15" s="257"/>
      <c r="F15" s="257"/>
      <c r="G15" s="257"/>
      <c r="H15" s="257"/>
      <c r="I15" s="257"/>
      <c r="J15" s="257"/>
      <c r="K15" s="257"/>
      <c r="L15" s="257"/>
      <c r="M15" s="257"/>
      <c r="N15" s="257"/>
      <c r="O15" s="257"/>
      <c r="P15" s="257"/>
      <c r="Q15" s="257"/>
      <c r="R15" s="257"/>
      <c r="S15" s="257"/>
      <c r="T15" s="257"/>
      <c r="U15" s="257"/>
      <c r="V15" s="257"/>
      <c r="W15" s="257"/>
      <c r="X15" s="257"/>
      <c r="Y15" s="257"/>
      <c r="Z15" s="257"/>
      <c r="AA15" s="257"/>
      <c r="AB15" s="257"/>
      <c r="AC15" s="257"/>
      <c r="AD15" s="257"/>
      <c r="AE15" s="257"/>
      <c r="AF15" s="257"/>
      <c r="AG15" s="257"/>
      <c r="AH15" s="257"/>
      <c r="AJ15" s="586"/>
    </row>
    <row r="16" ht="14.25" customHeight="1">
      <c r="B16" s="258" t="s">
        <v>389</v>
      </c>
      <c r="C16" s="258"/>
      <c r="D16" s="258"/>
      <c r="E16" s="258"/>
      <c r="F16" s="258"/>
      <c r="G16" s="258"/>
      <c r="H16" s="258"/>
      <c r="I16" s="258"/>
      <c r="J16" s="258"/>
      <c r="K16" s="258"/>
      <c r="L16" s="258"/>
      <c r="M16" s="258"/>
      <c r="N16" s="258"/>
      <c r="O16" s="258"/>
      <c r="P16" s="258"/>
      <c r="Q16" s="258"/>
      <c r="R16" s="258"/>
      <c r="S16" s="258"/>
      <c r="T16" s="258"/>
      <c r="U16" s="258"/>
      <c r="V16" s="258"/>
      <c r="W16" s="258"/>
      <c r="X16" s="258"/>
      <c r="Y16" s="258"/>
      <c r="Z16" s="258"/>
      <c r="AA16" s="258"/>
      <c r="AB16" s="258"/>
      <c r="AC16" s="258"/>
      <c r="AD16" s="258"/>
      <c r="AE16" s="258"/>
      <c r="AF16" s="258"/>
      <c r="AG16" s="258"/>
      <c r="AH16" s="258"/>
      <c r="AJ16" s="586"/>
    </row>
    <row r="17">
      <c r="B17" s="258"/>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8"/>
      <c r="AA17" s="258"/>
      <c r="AB17" s="258"/>
      <c r="AC17" s="258"/>
      <c r="AD17" s="258"/>
      <c r="AE17" s="258"/>
      <c r="AF17" s="258"/>
      <c r="AG17" s="258"/>
      <c r="AH17" s="258"/>
    </row>
    <row r="18">
      <c r="B18" s="258"/>
      <c r="C18" s="258"/>
      <c r="D18" s="258"/>
      <c r="E18" s="258"/>
      <c r="F18" s="258"/>
      <c r="G18" s="258"/>
      <c r="H18" s="258"/>
      <c r="I18" s="258"/>
      <c r="J18" s="258"/>
      <c r="K18" s="258"/>
      <c r="L18" s="258"/>
      <c r="M18" s="258"/>
      <c r="N18" s="258"/>
      <c r="O18" s="258"/>
      <c r="P18" s="258"/>
      <c r="Q18" s="258"/>
      <c r="R18" s="258"/>
      <c r="S18" s="258"/>
      <c r="T18" s="258"/>
      <c r="U18" s="258"/>
      <c r="V18" s="258"/>
      <c r="W18" s="258"/>
      <c r="X18" s="258"/>
      <c r="Y18" s="258"/>
      <c r="Z18" s="258"/>
      <c r="AA18" s="258"/>
      <c r="AB18" s="258"/>
      <c r="AC18" s="258"/>
      <c r="AD18" s="258"/>
      <c r="AE18" s="258"/>
      <c r="AF18" s="258"/>
      <c r="AG18" s="258"/>
      <c r="AH18" s="258"/>
    </row>
    <row r="20">
      <c r="B20" s="262" t="s">
        <v>279</v>
      </c>
      <c r="C20" s="263"/>
      <c r="D20" s="264" t="s">
        <v>280</v>
      </c>
      <c r="E20" s="278"/>
      <c r="F20" s="278"/>
      <c r="G20" s="278"/>
      <c r="H20" s="278"/>
      <c r="I20" s="278"/>
      <c r="J20" s="278"/>
      <c r="K20" s="278"/>
      <c r="L20" s="278"/>
      <c r="M20" s="278"/>
      <c r="N20" s="278"/>
      <c r="O20" s="278"/>
      <c r="P20" s="278"/>
      <c r="Q20" s="278"/>
      <c r="R20" s="278"/>
      <c r="S20" s="278"/>
      <c r="T20" s="278"/>
      <c r="U20" s="278"/>
      <c r="V20" s="278"/>
      <c r="W20" s="295" t="s">
        <v>281</v>
      </c>
      <c r="X20" s="295"/>
      <c r="Y20" s="295"/>
      <c r="Z20" s="295"/>
      <c r="AA20" s="295"/>
      <c r="AB20" s="295"/>
      <c r="AC20" s="295"/>
      <c r="AD20" s="295"/>
      <c r="AE20" s="295"/>
      <c r="AF20" s="295"/>
      <c r="AG20" s="295"/>
      <c r="AH20" s="295"/>
    </row>
    <row r="21">
      <c r="B21" s="264"/>
      <c r="C21" s="265"/>
      <c r="D21" s="269" t="n">
        <v>2018</v>
      </c>
      <c r="E21" s="269" t="n">
        <v>2019</v>
      </c>
      <c r="F21" s="358"/>
      <c r="G21" s="358"/>
      <c r="H21" s="271"/>
      <c r="I21" s="269" t="n">
        <v>2020</v>
      </c>
      <c r="J21" s="358"/>
      <c r="K21" s="358"/>
      <c r="L21" s="358"/>
      <c r="M21" s="269" t="n">
        <v>2021</v>
      </c>
      <c r="N21" s="358"/>
      <c r="O21" s="358"/>
      <c r="P21" s="358"/>
      <c r="Q21" s="269" t="n">
        <v>2022</v>
      </c>
      <c r="R21" s="358"/>
      <c r="S21" s="358"/>
      <c r="T21" s="271"/>
      <c r="U21" s="296"/>
      <c r="V21" s="343" t="n">
        <v>2023</v>
      </c>
      <c r="W21" s="344"/>
      <c r="X21" s="316"/>
      <c r="Y21" s="255" t="n">
        <v>2024</v>
      </c>
      <c r="Z21" s="268"/>
      <c r="AA21" s="268"/>
      <c r="AB21" s="256"/>
      <c r="AC21" s="255" t="n">
        <v>2025</v>
      </c>
      <c r="AD21" s="268"/>
      <c r="AE21" s="268"/>
      <c r="AF21" s="268"/>
      <c r="AG21" s="255" t="n">
        <v>2026</v>
      </c>
      <c r="AH21" s="256"/>
    </row>
    <row r="22">
      <c r="B22" s="264"/>
      <c r="C22" s="265"/>
      <c r="D22" s="259" t="s">
        <v>282</v>
      </c>
      <c r="E22" s="259" t="s">
        <v>283</v>
      </c>
      <c r="F22" s="260" t="s">
        <v>284</v>
      </c>
      <c r="G22" s="260" t="s">
        <v>238</v>
      </c>
      <c r="H22" s="261" t="s">
        <v>282</v>
      </c>
      <c r="I22" s="260" t="s">
        <v>283</v>
      </c>
      <c r="J22" s="260" t="s">
        <v>284</v>
      </c>
      <c r="K22" s="260" t="s">
        <v>238</v>
      </c>
      <c r="L22" s="260" t="s">
        <v>282</v>
      </c>
      <c r="M22" s="259" t="s">
        <v>283</v>
      </c>
      <c r="N22" s="260" t="s">
        <v>284</v>
      </c>
      <c r="O22" s="260" t="s">
        <v>238</v>
      </c>
      <c r="P22" s="260" t="s">
        <v>282</v>
      </c>
      <c r="Q22" s="259" t="s">
        <v>283</v>
      </c>
      <c r="R22" s="260" t="s">
        <v>284</v>
      </c>
      <c r="S22" s="260" t="s">
        <v>238</v>
      </c>
      <c r="T22" s="261" t="s">
        <v>282</v>
      </c>
      <c r="U22" s="340" t="s">
        <v>283</v>
      </c>
      <c r="V22" s="341" t="s">
        <v>284</v>
      </c>
      <c r="W22" s="326" t="s">
        <v>238</v>
      </c>
      <c r="X22" s="327" t="s">
        <v>282</v>
      </c>
      <c r="Y22" s="325" t="s">
        <v>283</v>
      </c>
      <c r="Z22" s="323" t="s">
        <v>284</v>
      </c>
      <c r="AA22" s="326" t="s">
        <v>238</v>
      </c>
      <c r="AB22" s="327" t="s">
        <v>282</v>
      </c>
      <c r="AC22" s="325" t="s">
        <v>283</v>
      </c>
      <c r="AD22" s="323" t="s">
        <v>284</v>
      </c>
      <c r="AE22" s="326" t="s">
        <v>238</v>
      </c>
      <c r="AF22" s="326" t="s">
        <v>282</v>
      </c>
      <c r="AG22" s="325" t="s">
        <v>283</v>
      </c>
      <c r="AH22" s="327" t="s">
        <v>284</v>
      </c>
    </row>
    <row r="23">
      <c r="B23" s="582" t="s">
        <v>111</v>
      </c>
      <c r="C23" s="576" t="s">
        <v>390</v>
      </c>
      <c r="D23" s="576"/>
      <c r="E23" s="576"/>
      <c r="F23" s="576"/>
      <c r="G23" s="576"/>
      <c r="H23" s="555" t="n">
        <f>'Haver Pivoted'!GS24</f>
        <v>2423.4</v>
      </c>
      <c r="I23" s="555" t="n">
        <f>'Haver Pivoted'!GT24</f>
        <v>2478.9</v>
      </c>
      <c r="J23" s="555" t="n">
        <f>'Haver Pivoted'!GU24</f>
        <v>2451.3000000000002</v>
      </c>
      <c r="K23" s="555" t="n">
        <f>'Haver Pivoted'!GV24</f>
        <v>2468.3000000000002</v>
      </c>
      <c r="L23" s="555" t="n">
        <f>'Haver Pivoted'!GW24</f>
        <v>2486.9</v>
      </c>
      <c r="M23" s="555" t="n">
        <f>'Haver Pivoted'!GX24</f>
        <v>2533.9</v>
      </c>
      <c r="N23" s="555" t="n">
        <f>'Haver Pivoted'!GY24</f>
        <v>2571.6999999999998</v>
      </c>
      <c r="O23" s="555" t="n">
        <f>'Haver Pivoted'!GZ24</f>
        <v>2625.1</v>
      </c>
      <c r="P23" s="555" t="n">
        <f>'Haver Pivoted'!HA24</f>
        <v>2664.2</v>
      </c>
      <c r="Q23" s="555" t="n">
        <f>'Haver Pivoted'!HB24</f>
        <v>2719.7</v>
      </c>
      <c r="R23" s="555" t="n">
        <f>'Haver Pivoted'!HC24</f>
        <v>2803.4</v>
      </c>
      <c r="S23" s="565" t="n">
        <f>'Haver Pivoted'!HD24</f>
        <v>2841.5</v>
      </c>
      <c r="T23" s="565" t="n">
        <f>'Haver Pivoted'!HE24</f>
        <v>2880.6</v>
      </c>
      <c r="U23" s="359" t="n">
        <f>'Haver Pivoted'!HF24</f>
        <v>2913.2</v>
      </c>
      <c r="V23" s="359" t="n">
        <f>'Haver Pivoted'!HG24</f>
        <v>2925.5</v>
      </c>
      <c r="W23" s="359" t="n">
        <f>'Haver Pivoted'!HH24</f>
        <v>3002.9</v>
      </c>
      <c r="X23" s="359" t="n">
        <f>'Haver Pivoted'!HI24</f>
        <v>3051.8</v>
      </c>
      <c r="Y23" s="359" t="n">
        <f>'Haver Pivoted'!HJ24</f>
        <v>3103.6</v>
      </c>
      <c r="Z23" s="359" t="n">
        <f>'Haver Pivoted'!HK24</f>
        <v>3134.6</v>
      </c>
      <c r="AA23" s="293"/>
      <c r="AB23" s="293"/>
      <c r="AC23" s="293"/>
      <c r="AD23" s="293"/>
      <c r="AE23" s="293"/>
      <c r="AF23" s="293"/>
      <c r="AG23" s="293"/>
      <c r="AH23" s="293"/>
    </row>
    <row r="24" ht="29.25" customHeight="1">
      <c r="B24" s="585" t="s">
        <v>1924</v>
      </c>
      <c r="C24" s="564"/>
      <c r="D24" s="564"/>
      <c r="E24" s="564"/>
      <c r="F24" s="564"/>
      <c r="G24" s="564"/>
      <c r="H24" s="288"/>
      <c r="I24" s="288"/>
      <c r="J24" s="288"/>
      <c r="K24" s="288"/>
      <c r="L24" s="288"/>
      <c r="M24" s="530" t="n">
        <v>2533.9</v>
      </c>
      <c r="N24" s="530" t="n">
        <v>2571.6999999999998</v>
      </c>
      <c r="O24" s="530" t="n">
        <v>2625.1</v>
      </c>
      <c r="P24" s="530" t="n">
        <v>2664.2</v>
      </c>
      <c r="Q24" s="530" t="n">
        <v>2719.7</v>
      </c>
      <c r="R24" s="530" t="n">
        <v>2803.4</v>
      </c>
      <c r="S24" s="530" t="n">
        <v>2841.5</v>
      </c>
      <c r="T24" s="530" t="n">
        <v>2880.6</v>
      </c>
      <c r="U24" s="530" t="n">
        <v>2913.2</v>
      </c>
      <c r="V24" s="530" t="n">
        <v>2925.5</v>
      </c>
      <c r="W24" s="530" t="n">
        <v>3002.9</v>
      </c>
      <c r="X24" s="530" t="n">
        <v>3051.8</v>
      </c>
      <c r="Y24" s="530" t="n">
        <v>3094.7</v>
      </c>
      <c r="Z24" s="531" t="n">
        <v>3131</v>
      </c>
      <c r="AA24" s="531" t="n">
        <v>3158.7</v>
      </c>
      <c r="AB24" s="531" t="n">
        <v>3185.3</v>
      </c>
      <c r="AC24" s="531" t="n">
        <v>3213.1</v>
      </c>
      <c r="AD24" s="531" t="n">
        <v>3241</v>
      </c>
      <c r="AE24" s="531" t="n">
        <v>3268</v>
      </c>
      <c r="AF24" s="531" t="n">
        <v>3294.9</v>
      </c>
      <c r="AG24" s="531" t="n">
        <v>3323</v>
      </c>
      <c r="AH24" s="531" t="n">
        <v>3350.6</v>
      </c>
      <c r="AI24" s="531" t="n">
        <v>3378.6</v>
      </c>
      <c r="AJ24" s="531" t="n">
        <v>3406.2</v>
      </c>
      <c r="AK24" s="531" t="n">
        <v>3432.7</v>
      </c>
      <c r="AL24" s="531" t="n">
        <v>3459.9</v>
      </c>
      <c r="AM24" s="531" t="n">
        <v>3486.6</v>
      </c>
      <c r="AN24" s="531" t="n">
        <v>3513.5</v>
      </c>
      <c r="AO24" s="531" t="n">
        <v>3540.6</v>
      </c>
      <c r="AP24" s="531" t="n">
        <v>3567.5</v>
      </c>
      <c r="AQ24" s="531" t="n">
        <v>3594.6</v>
      </c>
      <c r="AR24" s="531" t="n">
        <v>3622.1</v>
      </c>
      <c r="AS24" s="531" t="n">
        <v>3649.4</v>
      </c>
      <c r="AT24" s="531" t="n">
        <v>3677.5</v>
      </c>
      <c r="AU24" s="531" t="n">
        <v>3705.3</v>
      </c>
      <c r="AV24" s="531" t="n">
        <v>3733.6</v>
      </c>
      <c r="AW24" s="531" t="n">
        <v>3762.8</v>
      </c>
      <c r="AX24" s="531" t="n">
        <v>3792.4</v>
      </c>
      <c r="AY24" s="531" t="n">
        <v>3822.3</v>
      </c>
      <c r="AZ24" s="531" t="n">
        <v>3852.7</v>
      </c>
      <c r="BA24" s="531" t="n">
        <v>3883.6</v>
      </c>
      <c r="BB24" s="531" t="n">
        <v>3915</v>
      </c>
      <c r="BC24" s="531" t="n">
        <v>3946.7</v>
      </c>
      <c r="BD24" s="531" t="n">
        <v>3978.2</v>
      </c>
      <c r="BE24" s="531" t="n">
        <v>4010.4</v>
      </c>
      <c r="BF24" s="531" t="n">
        <v>4043.1</v>
      </c>
      <c r="BG24" s="531" t="n">
        <v>4076.2</v>
      </c>
      <c r="BH24" s="531" t="n">
        <v>4109.7</v>
      </c>
      <c r="BI24" s="531" t="n">
        <v>4143.3999999999996</v>
      </c>
      <c r="BJ24" s="531" t="n">
        <v>4177.3999999999996</v>
      </c>
      <c r="BK24" s="531" t="n">
        <v>4211.7</v>
      </c>
      <c r="BL24" s="531" t="n">
        <v>4246.3</v>
      </c>
      <c r="BM24" s="531" t="n">
        <v>4281.3</v>
      </c>
      <c r="BN24" s="531" t="n">
        <v>4316.6000000000004</v>
      </c>
      <c r="BO24" s="531" t="n">
        <v>4352.2</v>
      </c>
      <c r="BP24" s="531" t="n">
        <v>4388.3</v>
      </c>
      <c r="BQ24" s="531" t="n">
        <v>4388.3</v>
      </c>
    </row>
    <row r="25" ht="29.25" customHeight="1">
      <c r="B25" s="585" t="s">
        <v>1925</v>
      </c>
      <c r="C25" s="564"/>
      <c r="D25" s="564"/>
      <c r="E25" s="564"/>
      <c r="F25" s="564"/>
      <c r="G25" s="564"/>
      <c r="H25" s="288"/>
      <c r="I25" s="280"/>
      <c r="J25" s="280"/>
      <c r="K25" s="280"/>
      <c r="L25" s="280"/>
      <c r="M25" s="280" t="n">
        <v>7.7759999999999998</v>
      </c>
      <c r="N25" s="280" t="n">
        <v>6.1050000000000004</v>
      </c>
      <c r="O25" s="280" t="n">
        <v>8.5640000000000001</v>
      </c>
      <c r="P25" s="280" t="n">
        <v>6.0890000000000004</v>
      </c>
      <c r="Q25" s="280" t="n">
        <v>8.6</v>
      </c>
      <c r="R25" s="280" t="n">
        <v>12.888999999999999</v>
      </c>
      <c r="S25" s="280" t="n">
        <v>5.55</v>
      </c>
      <c r="T25" s="280" t="n">
        <v>5.62</v>
      </c>
      <c r="U25" s="280" t="n">
        <v>4.6040000000000001</v>
      </c>
      <c r="V25" s="280" t="n">
        <v>1.69</v>
      </c>
      <c r="W25" s="280" t="n">
        <v>11.012</v>
      </c>
      <c r="X25" s="280" t="n">
        <v>6.6790000000000003</v>
      </c>
      <c r="Y25" s="280" t="n">
        <v>5.74</v>
      </c>
      <c r="Z25" s="529" t="n">
        <v>4.7670000000000003</v>
      </c>
      <c r="AA25" s="529" t="n">
        <v>3.59</v>
      </c>
      <c r="AB25" s="529" t="n">
        <v>3.4060000000000001</v>
      </c>
      <c r="AC25" s="529" t="n">
        <v>3.54</v>
      </c>
      <c r="AD25" s="529" t="n">
        <v>3.5259999999999998</v>
      </c>
      <c r="AE25" s="529" t="n">
        <v>3.367</v>
      </c>
      <c r="AF25" s="529" t="n">
        <v>3.3359999999999999</v>
      </c>
      <c r="AG25" s="529" t="n">
        <v>3.448</v>
      </c>
      <c r="AH25" s="529" t="n">
        <v>3.371</v>
      </c>
      <c r="AI25" s="529" t="n">
        <v>3.3809999999999998</v>
      </c>
      <c r="AJ25" s="529" t="n">
        <v>3.3090000000000002</v>
      </c>
      <c r="AK25" s="529" t="n">
        <v>3.1520000000000001</v>
      </c>
      <c r="AL25" s="529" t="n">
        <v>3.202</v>
      </c>
      <c r="AM25" s="529" t="n">
        <v>3.1219999999999999</v>
      </c>
      <c r="AN25" s="529" t="n">
        <v>3.117</v>
      </c>
      <c r="AO25" s="529" t="n">
        <v>3.1269999999999998</v>
      </c>
      <c r="AP25" s="529" t="n">
        <v>3.069</v>
      </c>
      <c r="AQ25" s="529" t="n">
        <v>3.081</v>
      </c>
      <c r="AR25" s="529" t="n">
        <v>3.0859999999999999</v>
      </c>
      <c r="AS25" s="529" t="n">
        <v>3.0489999999999999</v>
      </c>
      <c r="AT25" s="529" t="n">
        <v>3.1139999999999999</v>
      </c>
      <c r="AU25" s="529" t="n">
        <v>3.0670000000000002</v>
      </c>
      <c r="AV25" s="529" t="n">
        <v>3.0880000000000001</v>
      </c>
      <c r="AW25" s="529" t="n">
        <v>3.1659999999999999</v>
      </c>
      <c r="AX25" s="529" t="n">
        <v>3.1749999999999998</v>
      </c>
      <c r="AY25" s="529" t="n">
        <v>3.1960000000000002</v>
      </c>
      <c r="AZ25" s="529" t="n">
        <v>3.2229999999999999</v>
      </c>
      <c r="BA25" s="529" t="n">
        <v>3.246</v>
      </c>
      <c r="BB25" s="529" t="n">
        <v>3.2730000000000001</v>
      </c>
      <c r="BC25" s="529" t="n">
        <v>3.2709999999999999</v>
      </c>
      <c r="BD25" s="529" t="n">
        <v>3.23</v>
      </c>
      <c r="BE25" s="529" t="n">
        <v>3.2839999999999998</v>
      </c>
      <c r="BF25" s="529" t="n">
        <v>3.298</v>
      </c>
      <c r="BG25" s="529" t="n">
        <v>3.3170000000000002</v>
      </c>
      <c r="BH25" s="529" t="n">
        <v>3.3290000000000002</v>
      </c>
      <c r="BI25" s="529" t="n">
        <v>3.32</v>
      </c>
      <c r="BJ25" s="529" t="n">
        <v>3.3220000000000001</v>
      </c>
      <c r="BK25" s="529" t="n">
        <v>3.323</v>
      </c>
      <c r="BL25" s="529" t="n">
        <v>3.3290000000000002</v>
      </c>
      <c r="BM25" s="529" t="n">
        <v>3.3290000000000002</v>
      </c>
      <c r="BN25" s="529" t="n">
        <v>3.3380000000000001</v>
      </c>
      <c r="BO25" s="529" t="n">
        <v>3.347</v>
      </c>
      <c r="BP25" s="529" t="n">
        <v>3.3559999999999999</v>
      </c>
      <c r="BQ25" s="529" t="n">
        <v>3.3559999999999999</v>
      </c>
    </row>
    <row r="26" ht="21" customHeight="1">
      <c r="B26" s="573" t="s">
        <v>1926</v>
      </c>
      <c r="C26" s="306"/>
      <c r="D26" s="306"/>
      <c r="E26" s="306"/>
      <c r="F26" s="306"/>
      <c r="G26" s="306"/>
      <c r="H26" s="283"/>
      <c r="I26" s="283"/>
      <c r="J26" s="283"/>
      <c r="K26" s="283"/>
      <c r="L26" s="283"/>
      <c r="M26" s="283" t="n">
        <f t="shared" ref="M26:V26" si="2">((M23/L23)^4-1)*100</f>
        <v>7.7766292401933779</v>
      </c>
      <c r="N26" s="283" t="n">
        <f t="shared" si="2"/>
        <v>6.101942113226988</v>
      </c>
      <c r="O26" s="283" t="n">
        <f t="shared" si="2"/>
        <v>8.5680877371025801</v>
      </c>
      <c r="P26" s="283" t="n">
        <f t="shared" si="2"/>
        <v>6.0923056825790356</v>
      </c>
      <c r="Q26" s="283" t="n">
        <f t="shared" si="2"/>
        <v>8.5967202401499456</v>
      </c>
      <c r="R26" s="283" t="n">
        <f t="shared" si="2"/>
        <v>12.890207409855471</v>
      </c>
      <c r="S26" s="283" t="n">
        <f t="shared" si="2"/>
        <v>5.5480867891862351</v>
      </c>
      <c r="T26" s="283" t="n">
        <f t="shared" si="2"/>
        <v>5.618789054672324</v>
      </c>
      <c r="U26" s="283" t="n">
        <f t="shared" si="2"/>
        <v>4.6042619795704454</v>
      </c>
      <c r="V26" s="283" t="n">
        <f t="shared" si="2"/>
        <v>1.6995906045958797</v>
      </c>
      <c r="W26" s="535" t="n">
        <f>((W23/V23)^4-1)*100</f>
        <v>11.010247254253724</v>
      </c>
      <c r="X26" s="535" t="n">
        <f>((X23/W23)^4-1)*100</f>
        <v>6.6745439826610298</v>
      </c>
      <c r="Y26" s="535" t="n">
        <f>((Y23/X23)^4-1)*100</f>
        <v>6.9642617395680562</v>
      </c>
      <c r="Z26" s="535" t="n">
        <f>((Z23/Y23)^4-1)*100</f>
        <v>4.0556207194167415</v>
      </c>
      <c r="AA26" s="293" t="n">
        <f>AA25+0.2</f>
        <v>3.79</v>
      </c>
      <c r="AB26" s="293" t="n">
        <f>AB25+0.3</f>
        <v>3.706</v>
      </c>
      <c r="AC26" s="293" t="n">
        <f t="shared" ref="AC26:AD26" si="3">AC25</f>
        <v>3.54</v>
      </c>
      <c r="AD26" s="293" t="n">
        <f t="shared" si="3"/>
        <v>3.5259999999999998</v>
      </c>
      <c r="AE26" s="293" t="n">
        <f>AE25</f>
        <v>3.367</v>
      </c>
      <c r="AF26" s="293" t="n">
        <f>AF25</f>
        <v>3.3359999999999999</v>
      </c>
      <c r="AG26" s="293" t="n">
        <f>AG25</f>
        <v>3.448</v>
      </c>
      <c r="AH26" s="293" t="n">
        <f>AH25</f>
        <v>3.371</v>
      </c>
      <c r="AI26" s="581" t="s">
        <v>391</v>
      </c>
    </row>
    <row r="27" ht="17.899999999999999" customHeight="1">
      <c r="B27" s="584" t="s">
        <v>392</v>
      </c>
      <c r="C27" s="311"/>
      <c r="D27" s="311"/>
      <c r="E27" s="311"/>
      <c r="F27" s="311"/>
      <c r="G27" s="311"/>
      <c r="H27" s="286" t="n">
        <f t="shared" ref="H27:T27" si="4">H23</f>
        <v>2423.4</v>
      </c>
      <c r="I27" s="286" t="n">
        <f t="shared" si="4"/>
        <v>2478.9</v>
      </c>
      <c r="J27" s="286" t="n">
        <f t="shared" si="4"/>
        <v>2451.3000000000002</v>
      </c>
      <c r="K27" s="286" t="n">
        <f t="shared" si="4"/>
        <v>2468.3000000000002</v>
      </c>
      <c r="L27" s="286" t="n">
        <f t="shared" si="4"/>
        <v>2486.9</v>
      </c>
      <c r="M27" s="286" t="n">
        <f t="shared" si="4"/>
        <v>2533.9</v>
      </c>
      <c r="N27" s="286" t="n">
        <f t="shared" si="4"/>
        <v>2571.6999999999998</v>
      </c>
      <c r="O27" s="286" t="n">
        <f t="shared" si="4"/>
        <v>2625.1</v>
      </c>
      <c r="P27" s="286" t="n">
        <f t="shared" si="4"/>
        <v>2664.2</v>
      </c>
      <c r="Q27" s="286" t="n">
        <f t="shared" si="4"/>
        <v>2719.7</v>
      </c>
      <c r="R27" s="286" t="n">
        <f t="shared" si="4"/>
        <v>2803.4</v>
      </c>
      <c r="S27" s="360" t="n">
        <f t="shared" si="4"/>
        <v>2841.5</v>
      </c>
      <c r="T27" s="360" t="n">
        <f t="shared" si="4"/>
        <v>2880.6</v>
      </c>
      <c r="U27" s="360" t="n">
        <f t="shared" ref="U27:Z27" si="5">U23</f>
        <v>2913.2</v>
      </c>
      <c r="V27" s="360" t="n">
        <f t="shared" si="5"/>
        <v>2925.5</v>
      </c>
      <c r="W27" s="360" t="n">
        <f t="shared" si="5"/>
        <v>3002.9</v>
      </c>
      <c r="X27" s="360" t="n">
        <f t="shared" si="5"/>
        <v>3051.8</v>
      </c>
      <c r="Y27" s="360" t="n">
        <f t="shared" si="5"/>
        <v>3103.6</v>
      </c>
      <c r="Z27" s="360" t="n">
        <f t="shared" si="5"/>
        <v>3134.6</v>
      </c>
      <c r="AA27" s="553" t="n">
        <f t="shared" ref="AA27" si="6">Z27*((1+AA26/100)^0.25)</f>
        <v>3163.8873148168473</v>
      </c>
      <c r="AB27" s="553" t="n">
        <f>AA27*((1+AB26/100)^0.25)</f>
        <v>3192.8019362053014</v>
      </c>
      <c r="AC27" s="553" t="n">
        <f>AB27*((1+AC26/100)^0.25)</f>
        <v>3220.6906932134739</v>
      </c>
      <c r="AD27" s="553" t="n">
        <f>AC27*((1+AD26/100)^0.25)</f>
        <v>3248.7132285929556</v>
      </c>
      <c r="AE27" s="553" t="n">
        <f t="shared" ref="AE27:AF27" si="7">AD27*((1+AE26/100)^0.25)</f>
        <v>3275.7206226401404</v>
      </c>
      <c r="AF27" s="553" t="n">
        <f t="shared" si="7"/>
        <v>3302.7048675326673</v>
      </c>
      <c r="AG27" s="553" t="n">
        <f>AF27*((1+AG26/100)^0.25)</f>
        <v>3330.8133080286152</v>
      </c>
      <c r="AH27" s="553" t="n">
        <f>AG27*((1+AH26/100)^0.25)</f>
        <v>3358.5357118757793</v>
      </c>
    </row>
    <row r="28">
      <c r="B28" s="574" t="s">
        <v>393</v>
      </c>
      <c r="C28" s="575"/>
      <c r="D28" s="575"/>
      <c r="E28" s="575"/>
      <c r="F28" s="575"/>
      <c r="G28" s="575"/>
      <c r="H28" s="580" t="n">
        <f t="shared" ref="H28:P28" si="8">H23-H50</f>
        <v>2144.415</v>
      </c>
      <c r="I28" s="580" t="n">
        <f t="shared" si="8"/>
        <v>2189.5430000000001</v>
      </c>
      <c r="J28" s="580" t="n">
        <f t="shared" si="8"/>
        <v>2055.0640000000003</v>
      </c>
      <c r="K28" s="580" t="n">
        <f t="shared" si="8"/>
        <v>2090.5150000000003</v>
      </c>
      <c r="L28" s="580" t="n">
        <f t="shared" si="8"/>
        <v>2121.9549999999999</v>
      </c>
      <c r="M28" s="580" t="n">
        <f t="shared" si="8"/>
        <v>2140.5240000000003</v>
      </c>
      <c r="N28" s="580" t="n">
        <f t="shared" si="8"/>
        <v>2142.2119999999995</v>
      </c>
      <c r="O28" s="580" t="n">
        <f t="shared" si="8"/>
        <v>2179.3319999999999</v>
      </c>
      <c r="P28" s="580" t="n">
        <f t="shared" si="8"/>
        <v>2195.8261479999996</v>
      </c>
      <c r="Q28" s="580" t="n">
        <f t="shared" ref="Q28:AC28" si="9">Q27-Q50</f>
        <v>2211.0627251999999</v>
      </c>
      <c r="R28" s="580" t="n">
        <f t="shared" si="9"/>
        <v>2227.2846822857146</v>
      </c>
      <c r="S28" s="580" t="n">
        <f t="shared" si="9"/>
        <v>2279.3948462857143</v>
      </c>
      <c r="T28" s="580" t="n">
        <f t="shared" si="9"/>
        <v>2359.0977862857144</v>
      </c>
      <c r="U28" s="580" t="n">
        <f t="shared" si="9"/>
        <v>2397.5401710857141</v>
      </c>
      <c r="V28" s="288" t="n">
        <f t="shared" si="9"/>
        <v>2420.2939942857142</v>
      </c>
      <c r="W28" s="288" t="n">
        <f t="shared" si="9"/>
        <v>2511.2327702857142</v>
      </c>
      <c r="X28" s="288" t="n">
        <f t="shared" si="9"/>
        <v>2546.5557702857145</v>
      </c>
      <c r="Y28" s="413" t="n">
        <f t="shared" si="9"/>
        <v>2598.6277702857142</v>
      </c>
      <c r="Z28" s="413" t="n">
        <f t="shared" si="9"/>
        <v>2623.838605285714</v>
      </c>
      <c r="AA28" s="413" t="n">
        <f t="shared" si="9"/>
        <v>2648.4976763196546</v>
      </c>
      <c r="AB28" s="413" t="n">
        <f t="shared" si="9"/>
        <v>2670.8974974417124</v>
      </c>
      <c r="AC28" s="413" t="n">
        <f t="shared" si="9"/>
        <v>2715.4457329081988</v>
      </c>
      <c r="AD28" s="413"/>
      <c r="AE28" s="413"/>
      <c r="AF28" s="413"/>
      <c r="AG28" s="413"/>
      <c r="AH28" s="413"/>
      <c r="AI28" s="297" t="s">
        <v>394</v>
      </c>
    </row>
    <row r="29">
      <c r="B29" s="85"/>
      <c r="C29" s="85"/>
      <c r="D29" s="85"/>
      <c r="E29" s="85"/>
      <c r="F29" s="85"/>
      <c r="G29" s="85"/>
      <c r="H29" s="85"/>
      <c r="I29" s="85"/>
      <c r="J29" s="85"/>
      <c r="K29" s="85"/>
      <c r="L29" s="85"/>
      <c r="M29" s="586"/>
      <c r="N29" s="586"/>
      <c r="O29" s="586"/>
      <c r="P29" s="586"/>
      <c r="Q29" s="586"/>
      <c r="R29" s="586"/>
      <c r="S29" s="197"/>
      <c r="T29" s="197"/>
      <c r="U29" s="197"/>
      <c r="V29" s="197"/>
      <c r="Y29" s="197"/>
      <c r="Z29" s="197"/>
      <c r="AA29" s="197"/>
      <c r="AB29" s="197"/>
      <c r="AC29" s="197"/>
      <c r="AD29" s="197"/>
      <c r="AE29" s="197"/>
      <c r="AF29" s="197"/>
      <c r="AG29" s="197"/>
      <c r="AH29" s="197"/>
    </row>
    <row r="30">
      <c r="B30" s="85"/>
      <c r="C30" s="85"/>
      <c r="D30" s="85"/>
      <c r="E30" s="85"/>
      <c r="F30" s="85"/>
      <c r="G30" s="85"/>
      <c r="H30" s="85"/>
      <c r="I30" s="85"/>
      <c r="J30" s="85"/>
      <c r="K30" s="85"/>
      <c r="L30" s="85"/>
      <c r="M30" s="586"/>
      <c r="N30" s="586"/>
      <c r="O30" s="586"/>
      <c r="P30" s="586"/>
      <c r="Q30" s="586"/>
      <c r="R30" s="586"/>
      <c r="S30" s="197"/>
      <c r="T30" s="197"/>
      <c r="U30" s="197"/>
      <c r="V30" s="197"/>
      <c r="Y30" s="197"/>
      <c r="Z30" s="197"/>
      <c r="AA30" s="197"/>
      <c r="AB30" s="197"/>
      <c r="AC30" s="197"/>
      <c r="AD30" s="197"/>
      <c r="AE30" s="197"/>
      <c r="AF30" s="197"/>
      <c r="AG30" s="197"/>
      <c r="AH30" s="197"/>
    </row>
    <row r="31">
      <c r="B31" s="306"/>
      <c r="C31" s="306"/>
      <c r="D31" s="306"/>
      <c r="E31" s="306"/>
      <c r="F31" s="306"/>
      <c r="G31" s="306"/>
      <c r="H31" s="288"/>
      <c r="I31" s="288"/>
      <c r="J31" s="288"/>
      <c r="K31" s="288"/>
      <c r="L31" s="288"/>
      <c r="M31" s="288"/>
      <c r="N31" s="288"/>
      <c r="O31" s="288"/>
      <c r="P31" s="288"/>
      <c r="Q31" s="579"/>
      <c r="R31" s="288"/>
      <c r="S31" s="288"/>
      <c r="T31" s="288"/>
      <c r="U31" s="288"/>
      <c r="V31" s="288"/>
      <c r="W31" s="288"/>
      <c r="X31" s="288"/>
      <c r="Y31" s="288"/>
      <c r="Z31" s="288"/>
    </row>
    <row r="32" ht="85.4" customHeight="1">
      <c r="B32" s="538" t="s">
        <v>882</v>
      </c>
      <c r="C32" s="541" t="s">
        <v>881</v>
      </c>
      <c r="D32" s="539" t="n">
        <v>44197</v>
      </c>
      <c r="E32" s="540" t="n">
        <v>44228</v>
      </c>
      <c r="F32" s="540" t="n">
        <v>44256</v>
      </c>
      <c r="G32" s="540" t="n">
        <v>44287</v>
      </c>
      <c r="H32" s="540" t="n">
        <v>44317</v>
      </c>
      <c r="I32" s="540" t="n">
        <v>44348</v>
      </c>
      <c r="J32" s="540" t="n">
        <v>44378</v>
      </c>
      <c r="K32" s="540" t="n">
        <v>44409</v>
      </c>
      <c r="L32" s="540" t="n">
        <v>44440</v>
      </c>
      <c r="M32" s="540" t="n">
        <v>44470</v>
      </c>
      <c r="N32" s="540" t="n">
        <v>44501</v>
      </c>
      <c r="O32" s="540" t="n">
        <v>44531</v>
      </c>
      <c r="P32" s="199" t="n">
        <v>44562</v>
      </c>
      <c r="Q32" s="537" t="n">
        <v>44593</v>
      </c>
      <c r="R32" s="199" t="n">
        <v>44621</v>
      </c>
      <c r="S32" s="199" t="n">
        <v>44652</v>
      </c>
      <c r="T32" s="199" t="n">
        <v>44682</v>
      </c>
      <c r="U32" s="199" t="n">
        <v>44713</v>
      </c>
      <c r="V32" s="199" t="n">
        <v>44743</v>
      </c>
      <c r="W32" s="199" t="n">
        <v>44774</v>
      </c>
      <c r="X32" s="199" t="n">
        <v>44805</v>
      </c>
      <c r="Y32" s="199" t="n">
        <v>44835</v>
      </c>
      <c r="Z32" s="199" t="n">
        <v>44866</v>
      </c>
      <c r="AA32" s="199" t="n">
        <v>44896</v>
      </c>
      <c r="AB32" s="199" t="n">
        <v>44927</v>
      </c>
      <c r="AC32" s="199" t="n">
        <v>44958</v>
      </c>
      <c r="AD32" s="199" t="n">
        <v>44986</v>
      </c>
      <c r="AE32" s="199" t="n">
        <v>45017</v>
      </c>
      <c r="AF32" s="199" t="n">
        <v>45047</v>
      </c>
      <c r="AG32" s="199" t="n">
        <v>45078</v>
      </c>
      <c r="AH32" s="199" t="n">
        <v>45108</v>
      </c>
      <c r="AI32" s="199" t="n">
        <v>45139</v>
      </c>
      <c r="AJ32" s="199" t="n">
        <v>45170</v>
      </c>
      <c r="AK32" s="199" t="n">
        <v>45200</v>
      </c>
      <c r="AL32" s="199" t="n">
        <v>45231</v>
      </c>
      <c r="AM32" s="199" t="n">
        <v>45261</v>
      </c>
      <c r="AN32" s="199" t="n">
        <v>45292</v>
      </c>
      <c r="AO32" s="199" t="n">
        <v>45323</v>
      </c>
      <c r="AP32" s="199" t="n">
        <v>45352</v>
      </c>
      <c r="AQ32" s="199" t="n">
        <v>45383</v>
      </c>
      <c r="AR32" s="199" t="n">
        <v>45413</v>
      </c>
      <c r="AS32" s="199" t="n">
        <v>45444</v>
      </c>
      <c r="AT32" s="199" t="n">
        <v>45474</v>
      </c>
    </row>
    <row r="33" ht="19.5" customHeight="1">
      <c r="B33" s="431" t="s">
        <v>395</v>
      </c>
      <c r="C33" s="536" t="s">
        <v>396</v>
      </c>
      <c r="D33" s="85" t="n">
        <v>5159</v>
      </c>
      <c r="E33" s="85" t="n">
        <v>5166</v>
      </c>
      <c r="F33" s="85" t="n">
        <v>5196</v>
      </c>
      <c r="G33" s="85" t="n">
        <v>5189</v>
      </c>
      <c r="H33" s="85" t="n">
        <v>5174</v>
      </c>
      <c r="I33" s="85" t="n">
        <v>5188</v>
      </c>
      <c r="J33" s="85" t="n">
        <v>5164</v>
      </c>
      <c r="K33" s="85" t="n">
        <v>5150</v>
      </c>
      <c r="L33" s="85" t="n">
        <v>5141</v>
      </c>
      <c r="M33" s="85" t="n">
        <v>5136</v>
      </c>
      <c r="N33" s="85" t="n">
        <v>5123</v>
      </c>
      <c r="O33" s="85" t="n">
        <v>5121</v>
      </c>
      <c r="P33" s="85" t="n">
        <v>5094</v>
      </c>
      <c r="Q33" s="85" t="n">
        <v>5083</v>
      </c>
      <c r="R33" s="85" t="n">
        <v>5065</v>
      </c>
      <c r="S33" s="85" t="n">
        <v>5080</v>
      </c>
      <c r="T33" s="85" t="n">
        <v>5096</v>
      </c>
      <c r="U33" s="85" t="n">
        <v>5103</v>
      </c>
      <c r="V33" s="85" t="n">
        <v>5129</v>
      </c>
      <c r="W33" s="85" t="n">
        <v>5139</v>
      </c>
      <c r="X33" s="85" t="n">
        <v>5148</v>
      </c>
      <c r="Y33" s="543" t="n">
        <v>5143</v>
      </c>
      <c r="Z33" s="544" t="n">
        <v>5161</v>
      </c>
      <c r="AA33" s="543" t="n">
        <v>5131</v>
      </c>
      <c r="AB33" s="543" t="n">
        <v>5206</v>
      </c>
      <c r="AC33" s="543" t="n">
        <v>5229</v>
      </c>
      <c r="AD33" s="543" t="n">
        <v>5249</v>
      </c>
      <c r="AE33" s="543" t="n">
        <v>5263</v>
      </c>
      <c r="AF33" s="543" t="n">
        <v>5280</v>
      </c>
      <c r="AG33" s="543" t="n">
        <v>5301</v>
      </c>
      <c r="AH33" s="542" t="n">
        <v>5301</v>
      </c>
      <c r="AI33" t="n">
        <v>5329</v>
      </c>
      <c r="AJ33" t="n">
        <v>5346</v>
      </c>
      <c r="AK33" t="n">
        <v>5375</v>
      </c>
      <c r="AL33" t="n">
        <v>5383</v>
      </c>
      <c r="AM33" t="n">
        <v>5404</v>
      </c>
      <c r="AN33" t="n">
        <v>5420</v>
      </c>
      <c r="AO33" t="n">
        <v>5434</v>
      </c>
      <c r="AP33" t="n">
        <v>5444</v>
      </c>
      <c r="AQ33" t="n">
        <v>5448</v>
      </c>
      <c r="AR33" t="n">
        <v>5429</v>
      </c>
      <c r="AS33" t="n">
        <v>5445</v>
      </c>
      <c r="AT33" t="n">
        <v>5452</v>
      </c>
    </row>
    <row r="34" ht="18" customHeight="1">
      <c r="B34" s="305" t="s">
        <v>397</v>
      </c>
      <c r="C34" s="297" t="s">
        <v>398</v>
      </c>
      <c r="D34" s="85" t="n">
        <v>13746</v>
      </c>
      <c r="E34" s="85" t="n">
        <v>13733</v>
      </c>
      <c r="F34" s="85" t="n">
        <v>13781</v>
      </c>
      <c r="G34" s="85" t="n">
        <v>13830</v>
      </c>
      <c r="H34" s="85" t="n">
        <v>13854</v>
      </c>
      <c r="I34" s="85" t="n">
        <v>13941</v>
      </c>
      <c r="J34" s="85" t="n">
        <v>14023</v>
      </c>
      <c r="K34" s="85" t="n">
        <v>14053</v>
      </c>
      <c r="L34" s="85" t="n">
        <v>14047</v>
      </c>
      <c r="M34" s="85" t="n">
        <v>14022</v>
      </c>
      <c r="N34" s="85" t="n">
        <v>14028</v>
      </c>
      <c r="O34" s="85" t="n">
        <v>14063</v>
      </c>
      <c r="P34" s="85" t="n">
        <v>14084</v>
      </c>
      <c r="Q34" s="85" t="n">
        <v>14099</v>
      </c>
      <c r="R34" s="545" t="n">
        <v>14118</v>
      </c>
      <c r="S34" s="545" t="n">
        <v>14140</v>
      </c>
      <c r="T34" s="545" t="n">
        <v>14153</v>
      </c>
      <c r="U34" s="545" t="n">
        <v>14161</v>
      </c>
      <c r="V34" s="545" t="n">
        <v>14272</v>
      </c>
      <c r="W34" s="545" t="n">
        <v>14266</v>
      </c>
      <c r="X34" s="545" t="n">
        <v>14260</v>
      </c>
      <c r="Y34" s="545" t="n">
        <v>14287</v>
      </c>
      <c r="Z34" s="545" t="n">
        <v>14328</v>
      </c>
      <c r="AA34" s="545" t="n">
        <v>14360</v>
      </c>
      <c r="AB34" s="545" t="n">
        <v>14402</v>
      </c>
      <c r="AC34" s="545" t="n">
        <v>14430</v>
      </c>
      <c r="AD34" s="545" t="n">
        <v>14457</v>
      </c>
      <c r="AE34" s="545" t="n">
        <v>14482</v>
      </c>
      <c r="AF34" s="545" t="n">
        <v>14508</v>
      </c>
      <c r="AG34" s="545" t="n">
        <v>14536</v>
      </c>
      <c r="AH34" s="545" t="n">
        <v>14564</v>
      </c>
      <c r="AI34" s="545" t="n">
        <v>14585</v>
      </c>
      <c r="AJ34" s="545" t="n">
        <v>14612</v>
      </c>
      <c r="AK34" s="545" t="n">
        <v>14642</v>
      </c>
      <c r="AL34" s="545" t="n">
        <v>14665</v>
      </c>
      <c r="AM34" s="545" t="n">
        <v>14711</v>
      </c>
      <c r="AN34" s="545" t="n">
        <v>14742</v>
      </c>
      <c r="AO34" s="545" t="n">
        <v>14776</v>
      </c>
      <c r="AP34" t="n">
        <v>14832</v>
      </c>
      <c r="AQ34" s="545" t="n">
        <v>14828</v>
      </c>
      <c r="AR34" t="n">
        <v>14856</v>
      </c>
      <c r="AS34" t="n">
        <v>14881</v>
      </c>
      <c r="AT34" t="n">
        <v>14890</v>
      </c>
    </row>
    <row r="35" ht="18" customHeight="1">
      <c r="B35" s="305" t="s">
        <v>1899</v>
      </c>
      <c r="C35" s="297"/>
      <c r="D35" s="85"/>
      <c r="E35" s="85"/>
      <c r="F35" s="85"/>
      <c r="G35" s="85"/>
      <c r="H35" s="85"/>
      <c r="I35" s="85"/>
      <c r="J35" s="85"/>
      <c r="K35" s="85"/>
      <c r="L35" s="85"/>
      <c r="M35" s="85"/>
      <c r="N35" s="85"/>
      <c r="O35" s="85"/>
      <c r="P35" s="85"/>
      <c r="Q35" s="85"/>
      <c r="R35" s="545"/>
      <c r="S35" s="545"/>
      <c r="T35" s="545"/>
      <c r="U35" s="545"/>
      <c r="V35" s="545" t="n">
        <f>V33+V34</f>
        <v>19401</v>
      </c>
      <c r="W35" s="545" t="n">
        <f t="shared" ref="W35:AR35" si="10">W33+W34</f>
        <v>19405</v>
      </c>
      <c r="X35" s="545" t="n">
        <f t="shared" si="10"/>
        <v>19408</v>
      </c>
      <c r="Y35" s="545" t="n">
        <f t="shared" si="10"/>
        <v>19430</v>
      </c>
      <c r="Z35" s="545" t="n">
        <f t="shared" si="10"/>
        <v>19489</v>
      </c>
      <c r="AA35" s="545" t="n">
        <f t="shared" si="10"/>
        <v>19491</v>
      </c>
      <c r="AB35" s="545" t="n">
        <f t="shared" si="10"/>
        <v>19608</v>
      </c>
      <c r="AC35" s="545" t="n">
        <f t="shared" si="10"/>
        <v>19659</v>
      </c>
      <c r="AD35" s="545" t="n">
        <f t="shared" si="10"/>
        <v>19706</v>
      </c>
      <c r="AE35" s="545" t="n">
        <f t="shared" si="10"/>
        <v>19745</v>
      </c>
      <c r="AF35" s="545" t="n">
        <f t="shared" si="10"/>
        <v>19788</v>
      </c>
      <c r="AG35" s="545" t="n">
        <f t="shared" si="10"/>
        <v>19837</v>
      </c>
      <c r="AH35" s="545" t="n">
        <f t="shared" si="10"/>
        <v>19865</v>
      </c>
      <c r="AI35" s="545" t="n">
        <f t="shared" si="10"/>
        <v>19914</v>
      </c>
      <c r="AJ35" s="545" t="n">
        <f t="shared" si="10"/>
        <v>19958</v>
      </c>
      <c r="AK35" s="545" t="n">
        <f t="shared" si="10"/>
        <v>20017</v>
      </c>
      <c r="AL35" s="545" t="n">
        <f t="shared" si="10"/>
        <v>20048</v>
      </c>
      <c r="AM35" s="545" t="n">
        <f t="shared" si="10"/>
        <v>20115</v>
      </c>
      <c r="AN35" s="545" t="n">
        <f t="shared" si="10"/>
        <v>20162</v>
      </c>
      <c r="AO35" s="545" t="n">
        <f t="shared" si="10"/>
        <v>20210</v>
      </c>
      <c r="AP35" s="545" t="n">
        <f t="shared" si="10"/>
        <v>20276</v>
      </c>
      <c r="AQ35" s="545" t="n">
        <f t="shared" si="10"/>
        <v>20276</v>
      </c>
      <c r="AR35" s="545" t="n">
        <f t="shared" si="10"/>
        <v>20285</v>
      </c>
      <c r="AS35" s="545" t="n">
        <f>AS33+AS34</f>
        <v>20326</v>
      </c>
      <c r="AT35" s="545" t="n">
        <f>AT33+AT34</f>
        <v>20342</v>
      </c>
    </row>
    <row r="36" ht="19.5" customHeight="1">
      <c r="B36" s="574" t="s">
        <v>399</v>
      </c>
      <c r="C36" s="437" t="s">
        <v>400</v>
      </c>
      <c r="D36" s="85" t="n">
        <v>345102</v>
      </c>
      <c r="E36" s="545" t="n">
        <v>335151</v>
      </c>
      <c r="F36" s="545" t="n">
        <v>336955</v>
      </c>
      <c r="G36" s="545" t="n">
        <v>335574</v>
      </c>
      <c r="H36" s="545" t="n">
        <v>338521</v>
      </c>
      <c r="I36" s="545" t="n">
        <v>329746</v>
      </c>
      <c r="J36" s="545" t="n">
        <v>328919</v>
      </c>
      <c r="K36" s="545" t="n">
        <v>333989</v>
      </c>
      <c r="L36" s="545" t="n">
        <v>326840</v>
      </c>
      <c r="M36" s="545" t="n">
        <v>327373</v>
      </c>
      <c r="N36" s="545" t="n">
        <v>331380</v>
      </c>
      <c r="O36" s="545" t="n">
        <v>331492</v>
      </c>
      <c r="P36" s="545" t="n">
        <v>334244</v>
      </c>
      <c r="Q36" s="545" t="n">
        <v>338416</v>
      </c>
      <c r="R36" s="545" t="n">
        <v>339417</v>
      </c>
      <c r="S36" s="545" t="n">
        <v>345062</v>
      </c>
      <c r="T36" s="545" t="n">
        <v>339178</v>
      </c>
      <c r="U36" s="545" t="n">
        <v>342484</v>
      </c>
      <c r="V36" s="545" t="n">
        <v>350972</v>
      </c>
      <c r="W36" s="545" t="n">
        <v>350286</v>
      </c>
      <c r="X36" s="545" t="n">
        <v>355116</v>
      </c>
      <c r="Y36" s="545" t="n">
        <v>354474</v>
      </c>
      <c r="Z36" s="545" t="n">
        <v>359543</v>
      </c>
      <c r="AA36" s="545" t="n">
        <v>361033</v>
      </c>
      <c r="AB36" s="545" t="n">
        <v>364867</v>
      </c>
      <c r="AC36" s="545" t="n">
        <v>371673</v>
      </c>
      <c r="AD36" s="545" t="n">
        <v>374555</v>
      </c>
      <c r="AE36" s="545" t="n">
        <v>382073</v>
      </c>
      <c r="AF36" s="545" t="n">
        <v>388978</v>
      </c>
      <c r="AG36" s="545" t="n">
        <v>396538</v>
      </c>
      <c r="AH36" s="545" t="n">
        <v>404059</v>
      </c>
      <c r="AI36" s="545" t="n">
        <v>407847</v>
      </c>
      <c r="AJ36" s="545" t="n">
        <v>418897</v>
      </c>
      <c r="AK36" s="297" t="n">
        <v>432334</v>
      </c>
      <c r="AL36" s="545" t="n">
        <v>440095</v>
      </c>
      <c r="AM36" s="545" t="n">
        <v>446894</v>
      </c>
      <c r="AN36" s="545" t="n">
        <v>445408</v>
      </c>
      <c r="AO36" t="n">
        <v>448458</v>
      </c>
      <c r="AP36" s="545" t="n">
        <v>453062</v>
      </c>
      <c r="AQ36" t="n">
        <v>451154</v>
      </c>
    </row>
    <row r="37" ht="15.65" customHeight="1">
      <c r="B37" s="311"/>
      <c r="C37" s="306"/>
      <c r="D37" t="e">
        <f>(D36/C36)^3</f>
        <v>#VALUE!</v>
      </c>
      <c r="E37" t="n">
        <f>(E36/D36)^3-1</f>
        <v>-8.4034470816570894E-2</v>
      </c>
      <c r="F37" t="n">
        <f t="shared" ref="F37:AJ37" si="11">(F36/E36)^3-1</f>
        <v>1.6235019917463678E-2</v>
      </c>
      <c r="G37" t="n">
        <f t="shared" si="11"/>
        <v>-1.2245086838220676E-2</v>
      </c>
      <c r="H37" t="n">
        <f t="shared" si="11"/>
        <v>2.657794899790078E-2</v>
      </c>
      <c r="I37" t="n">
        <f t="shared" si="11"/>
        <v>-7.576637938265407E-2</v>
      </c>
      <c r="J37" t="n">
        <f t="shared" si="11"/>
        <v>-7.5051187161534472E-3</v>
      </c>
      <c r="K37" t="n">
        <f t="shared" si="11"/>
        <v>4.6958836417060335E-2</v>
      </c>
      <c r="L37" t="n">
        <f t="shared" si="11"/>
        <v>-6.2849987986868472E-2</v>
      </c>
      <c r="M37" t="n">
        <f t="shared" si="11"/>
        <v>4.9002845871091161E-3</v>
      </c>
      <c r="N37" t="n">
        <f t="shared" si="11"/>
        <v>3.7170859154568525E-2</v>
      </c>
      <c r="O37" t="n">
        <f>(O36/N36)^3-1</f>
        <v>1.014284429549317E-3</v>
      </c>
      <c r="P37" t="n">
        <f t="shared" si="11"/>
        <v>2.5112913198612752E-2</v>
      </c>
      <c r="Q37" t="n">
        <f t="shared" si="11"/>
        <v>3.791503644644223E-2</v>
      </c>
      <c r="R37" t="n">
        <f t="shared" si="11"/>
        <v>8.899967275538323E-3</v>
      </c>
      <c r="S37" t="n">
        <f t="shared" si="11"/>
        <v>5.0728794373513075E-2</v>
      </c>
      <c r="T37" t="n">
        <f t="shared" si="11"/>
        <v>-5.02886694287622E-2</v>
      </c>
      <c r="U37" t="n">
        <f t="shared" si="11"/>
        <v>2.9527226919363381E-2</v>
      </c>
      <c r="V37" t="n">
        <f t="shared" si="11"/>
        <v>7.6208827772647814E-2</v>
      </c>
      <c r="W37" t="n">
        <f t="shared" si="11"/>
        <v>-5.8522620375497381E-3</v>
      </c>
      <c r="X37" t="n">
        <f t="shared" si="11"/>
        <v>4.1939206989926925E-2</v>
      </c>
      <c r="Y37" t="n">
        <f t="shared" si="11"/>
        <v>-5.4137807364055268E-3</v>
      </c>
      <c r="Z37" t="n">
        <f t="shared" si="11"/>
        <v>4.3516584020125482E-2</v>
      </c>
      <c r="AA37" t="n">
        <f t="shared" si="11"/>
        <v>1.248404207060072E-2</v>
      </c>
      <c r="AB37" t="n">
        <f t="shared" si="11"/>
        <v>3.2198104290543039E-2</v>
      </c>
      <c r="AC37" t="n">
        <f t="shared" si="11"/>
        <v>5.7010452280555901E-2</v>
      </c>
      <c r="AD37" t="n">
        <f t="shared" si="11"/>
        <v>2.3443229599369841E-2</v>
      </c>
      <c r="AE37" t="n">
        <f t="shared" si="11"/>
        <v>6.1432175866859451E-2</v>
      </c>
      <c r="AF37" t="n">
        <f t="shared" si="11"/>
        <v>5.5203132206688155E-2</v>
      </c>
      <c r="AG37" t="n">
        <f t="shared" si="11"/>
        <v>5.9447202443772218E-2</v>
      </c>
      <c r="AH37" t="n">
        <f>(AH36/AG36)^3-1</f>
        <v>5.7985994352212078E-2</v>
      </c>
      <c r="AI37" t="n">
        <f t="shared" si="11"/>
        <v>2.8389093984368063E-2</v>
      </c>
      <c r="AJ37" t="n">
        <f t="shared" si="11"/>
        <v>8.3502540511725343E-2</v>
      </c>
      <c r="AK37" s="297" t="n">
        <f>(AK35/AJ35)^12</f>
        <v>1.0360570030341696</v>
      </c>
      <c r="AL37" s="297" t="n">
        <f t="shared" ref="AL37:AM37" si="12">(AL35/AK35)^12</f>
        <v>1.01874331923136</v>
      </c>
      <c r="AM37" s="297" t="n">
        <f t="shared" si="12"/>
        <v>1.0408491672630216</v>
      </c>
      <c r="AN37" s="297" t="n">
        <f>(AN35/AM35)^12</f>
        <v>1.0284019275837375</v>
      </c>
      <c r="AO37" s="297" t="n">
        <f>(AO35/AN35)^12</f>
        <v>1.0289456543406541</v>
      </c>
    </row>
    <row r="38" ht="12.75" customHeight="1">
      <c r="AE38" t="n">
        <f>AVERAGE(AE35:AG35)</f>
        <v>19790</v>
      </c>
      <c r="AI38" t="n">
        <f>AVERAGE(AH35:AJ35)</f>
        <v>19912.333333333332</v>
      </c>
      <c r="AL38" s="297" t="n">
        <f>(AK34/AJ34)^3</f>
        <v>1.0061719755057918</v>
      </c>
    </row>
    <row r="39">
      <c r="B39" s="526" t="s">
        <v>401</v>
      </c>
      <c r="C39" s="526"/>
      <c r="D39" s="526"/>
      <c r="E39" s="526"/>
      <c r="F39" s="526"/>
      <c r="G39" s="526"/>
      <c r="H39" s="526"/>
      <c r="I39" s="526"/>
      <c r="J39" s="526"/>
      <c r="K39" s="526"/>
      <c r="L39" s="526"/>
      <c r="M39" s="526"/>
      <c r="N39" s="526"/>
      <c r="O39" s="526"/>
      <c r="P39" s="526"/>
      <c r="Q39" s="526"/>
      <c r="R39" s="526"/>
      <c r="S39" s="526"/>
      <c r="T39" s="526"/>
      <c r="U39" s="526"/>
      <c r="V39" s="526"/>
      <c r="W39" s="526"/>
      <c r="X39" s="526"/>
      <c r="Y39" s="526"/>
      <c r="Z39" s="526"/>
      <c r="AA39" s="526"/>
      <c r="AB39" s="526"/>
      <c r="AC39" s="526"/>
      <c r="AD39" s="257"/>
      <c r="AE39" t="n">
        <f>AVERAGE(AE36:AG36)</f>
        <v>389196.33333333331</v>
      </c>
      <c r="AF39" s="257"/>
      <c r="AG39" s="257"/>
      <c r="AH39" s="257"/>
      <c r="AI39" t="n">
        <f>AVERAGE(AH36:AJ36)</f>
        <v>410267.66666666669</v>
      </c>
      <c r="AL39" s="297"/>
    </row>
    <row r="40" ht="20.25" customHeight="1">
      <c r="B40" s="526"/>
      <c r="C40" s="526"/>
      <c r="D40" s="526"/>
      <c r="E40" s="526"/>
      <c r="F40" s="526"/>
      <c r="G40" s="526"/>
      <c r="H40" s="526"/>
      <c r="I40" s="526"/>
      <c r="J40" s="526"/>
      <c r="K40" s="526"/>
      <c r="L40" s="526"/>
      <c r="M40" s="526"/>
      <c r="N40" s="526"/>
      <c r="O40" s="526"/>
      <c r="P40" s="526"/>
      <c r="Q40" s="526"/>
      <c r="R40" s="526"/>
      <c r="S40" s="526"/>
      <c r="T40" s="526"/>
      <c r="U40" s="526"/>
      <c r="V40" s="526"/>
      <c r="W40" s="526"/>
      <c r="X40" s="526"/>
      <c r="Y40" s="526"/>
      <c r="Z40" s="526"/>
      <c r="AA40" s="526"/>
      <c r="AB40" s="526"/>
      <c r="AC40" s="526"/>
      <c r="AD40" s="257"/>
      <c r="AE40" s="257"/>
      <c r="AF40" s="257"/>
      <c r="AG40" s="257"/>
      <c r="AH40" s="257"/>
      <c r="AI40" t="n">
        <f>AI38/AE38</f>
        <v>1.0061815731851103</v>
      </c>
      <c r="AL40" s="297"/>
    </row>
    <row r="41" ht="14.25" customHeight="1">
      <c r="B41" s="458" t="s">
        <v>402</v>
      </c>
      <c r="C41" s="458"/>
      <c r="D41" s="458"/>
      <c r="E41" s="458"/>
      <c r="F41" s="458"/>
      <c r="G41" s="458"/>
      <c r="H41" s="458"/>
      <c r="I41" s="458"/>
      <c r="J41" s="458"/>
      <c r="K41" s="458"/>
      <c r="L41" s="458"/>
      <c r="M41" s="458"/>
      <c r="N41" s="458"/>
      <c r="O41" s="458"/>
      <c r="P41" s="458"/>
      <c r="Q41" s="458"/>
      <c r="R41" s="458"/>
      <c r="S41" s="458"/>
      <c r="T41" s="458"/>
      <c r="U41" s="458"/>
      <c r="V41" s="458"/>
      <c r="W41" s="458"/>
      <c r="X41" s="458"/>
      <c r="Y41" s="458"/>
      <c r="Z41" s="458"/>
      <c r="AA41" s="458"/>
      <c r="AB41" s="458"/>
      <c r="AC41" s="458"/>
      <c r="AD41" s="458"/>
      <c r="AE41" s="458"/>
      <c r="AF41" s="458"/>
      <c r="AG41" s="458"/>
      <c r="AH41" s="458"/>
      <c r="AI41" t="n">
        <f>AI39/AE39</f>
        <v>1.0541406265389621</v>
      </c>
      <c r="AL41" s="297"/>
    </row>
    <row r="42">
      <c r="B42" s="458"/>
      <c r="C42" s="458"/>
      <c r="D42" s="458"/>
      <c r="E42" s="458"/>
      <c r="F42" s="458"/>
      <c r="G42" s="458"/>
      <c r="H42" s="458"/>
      <c r="I42" s="458"/>
      <c r="J42" s="458"/>
      <c r="K42" s="458"/>
      <c r="L42" s="458"/>
      <c r="M42" s="458"/>
      <c r="N42" s="458"/>
      <c r="O42" s="458"/>
      <c r="P42" s="458"/>
      <c r="Q42" s="458"/>
      <c r="R42" s="458"/>
      <c r="S42" s="458"/>
      <c r="T42" s="458"/>
      <c r="U42" s="458"/>
      <c r="V42" s="458"/>
      <c r="W42" s="458"/>
      <c r="X42" s="458"/>
      <c r="Y42" s="458"/>
      <c r="Z42" s="458"/>
      <c r="AA42" s="458"/>
      <c r="AB42" s="458"/>
      <c r="AC42" s="458"/>
      <c r="AD42" s="458"/>
      <c r="AE42" s="458"/>
      <c r="AF42" s="458"/>
      <c r="AG42" s="458"/>
      <c r="AH42" s="458"/>
      <c r="AL42" s="297"/>
    </row>
    <row r="43" ht="8.9" customHeight="1">
      <c r="B43" s="458"/>
      <c r="C43" s="458"/>
      <c r="D43" s="458"/>
      <c r="E43" s="458"/>
      <c r="F43" s="458"/>
      <c r="G43" s="458"/>
      <c r="H43" s="458"/>
      <c r="I43" s="458"/>
      <c r="J43" s="458"/>
      <c r="K43" s="458"/>
      <c r="L43" s="458"/>
      <c r="M43" s="458"/>
      <c r="N43" s="458"/>
      <c r="O43" s="458"/>
      <c r="P43" s="458"/>
      <c r="Q43" s="458"/>
      <c r="R43" s="458"/>
      <c r="S43" s="458"/>
      <c r="T43" s="458"/>
      <c r="U43" s="458"/>
      <c r="V43" s="458"/>
      <c r="W43" s="458"/>
      <c r="X43" s="458"/>
      <c r="Y43" s="458"/>
      <c r="Z43" s="458"/>
      <c r="AA43" s="458"/>
      <c r="AB43" s="458"/>
      <c r="AC43" s="458"/>
      <c r="AD43" s="458"/>
      <c r="AE43" s="458"/>
      <c r="AF43" s="458"/>
      <c r="AG43" s="458"/>
      <c r="AH43" s="458"/>
      <c r="AL43" s="297"/>
    </row>
    <row r="44" ht="12.75" customHeight="1">
      <c r="AL44" s="297"/>
    </row>
    <row r="45" ht="30.75" customHeight="1">
      <c r="B45" s="262" t="s">
        <v>279</v>
      </c>
      <c r="C45" s="527"/>
      <c r="D45" s="266" t="s">
        <v>280</v>
      </c>
      <c r="E45" s="277"/>
      <c r="F45" s="277"/>
      <c r="G45" s="277"/>
      <c r="H45" s="277"/>
      <c r="I45" s="277"/>
      <c r="J45" s="277"/>
      <c r="K45" s="277"/>
      <c r="L45" s="277"/>
      <c r="M45" s="277"/>
      <c r="N45" s="277"/>
      <c r="O45" s="277"/>
      <c r="P45" s="277"/>
      <c r="Q45" s="277"/>
      <c r="R45" s="277"/>
      <c r="S45" s="277"/>
      <c r="T45" s="277"/>
      <c r="U45" s="278"/>
      <c r="V45" s="265"/>
      <c r="W45" s="379" t="s">
        <v>281</v>
      </c>
      <c r="X45" s="295"/>
      <c r="Y45" s="295"/>
      <c r="Z45" s="295"/>
      <c r="AA45" s="295"/>
      <c r="AB45" s="295"/>
      <c r="AC45" s="295"/>
      <c r="AD45" s="295"/>
      <c r="AE45" s="295"/>
      <c r="AF45" s="295"/>
      <c r="AG45" s="295"/>
      <c r="AH45" s="295"/>
      <c r="AL45" s="297"/>
    </row>
    <row r="46">
      <c r="B46" s="264"/>
      <c r="C46" s="278"/>
      <c r="D46" s="269" t="n">
        <v>2018</v>
      </c>
      <c r="E46" s="269" t="n">
        <v>2019</v>
      </c>
      <c r="F46" s="270"/>
      <c r="G46" s="270"/>
      <c r="H46" s="271"/>
      <c r="I46" s="269" t="n">
        <v>2020</v>
      </c>
      <c r="J46" s="270"/>
      <c r="K46" s="270"/>
      <c r="L46" s="270"/>
      <c r="M46" s="269" t="n">
        <v>2021</v>
      </c>
      <c r="N46" s="270"/>
      <c r="O46" s="270"/>
      <c r="P46" s="270"/>
      <c r="Q46" s="269" t="n">
        <v>2022</v>
      </c>
      <c r="R46" s="358"/>
      <c r="S46" s="358"/>
      <c r="T46" s="358"/>
      <c r="U46" s="296"/>
      <c r="V46" s="343" t="n">
        <v>2023</v>
      </c>
      <c r="W46" s="344"/>
      <c r="X46" s="316"/>
      <c r="Y46" s="255" t="n">
        <v>2024</v>
      </c>
      <c r="Z46" s="268"/>
      <c r="AA46" s="268"/>
      <c r="AB46" s="256"/>
      <c r="AC46" s="255" t="n">
        <v>2025</v>
      </c>
      <c r="AD46" s="268"/>
      <c r="AE46" s="268"/>
      <c r="AF46" s="256"/>
      <c r="AG46" s="356" t="n">
        <v>2026</v>
      </c>
      <c r="AH46" s="406"/>
      <c r="AL46" s="297"/>
    </row>
    <row r="47">
      <c r="B47" s="266"/>
      <c r="C47" s="277"/>
      <c r="D47" s="259" t="s">
        <v>282</v>
      </c>
      <c r="E47" s="259" t="s">
        <v>283</v>
      </c>
      <c r="F47" s="260" t="s">
        <v>284</v>
      </c>
      <c r="G47" s="260" t="s">
        <v>238</v>
      </c>
      <c r="H47" s="261" t="s">
        <v>282</v>
      </c>
      <c r="I47" s="260" t="s">
        <v>283</v>
      </c>
      <c r="J47" s="260" t="s">
        <v>284</v>
      </c>
      <c r="K47" s="260" t="s">
        <v>238</v>
      </c>
      <c r="L47" s="260" t="s">
        <v>282</v>
      </c>
      <c r="M47" s="259" t="s">
        <v>283</v>
      </c>
      <c r="N47" s="260" t="s">
        <v>284</v>
      </c>
      <c r="O47" s="260" t="s">
        <v>238</v>
      </c>
      <c r="P47" s="260" t="s">
        <v>282</v>
      </c>
      <c r="Q47" s="259" t="s">
        <v>283</v>
      </c>
      <c r="R47" s="260" t="s">
        <v>284</v>
      </c>
      <c r="S47" s="260" t="s">
        <v>238</v>
      </c>
      <c r="T47" s="260" t="s">
        <v>282</v>
      </c>
      <c r="U47" s="340" t="s">
        <v>283</v>
      </c>
      <c r="V47" s="341" t="s">
        <v>284</v>
      </c>
      <c r="W47" s="326" t="s">
        <v>238</v>
      </c>
      <c r="X47" s="327" t="s">
        <v>282</v>
      </c>
      <c r="Y47" s="325" t="s">
        <v>283</v>
      </c>
      <c r="Z47" s="323" t="s">
        <v>284</v>
      </c>
      <c r="AA47" s="326" t="s">
        <v>238</v>
      </c>
      <c r="AB47" s="327" t="s">
        <v>282</v>
      </c>
      <c r="AC47" s="325" t="s">
        <v>283</v>
      </c>
      <c r="AD47" s="323" t="s">
        <v>284</v>
      </c>
      <c r="AE47" s="326" t="s">
        <v>238</v>
      </c>
      <c r="AF47" s="327" t="s">
        <v>282</v>
      </c>
      <c r="AG47" s="357" t="s">
        <v>283</v>
      </c>
      <c r="AH47" s="406"/>
      <c r="AL47" s="297"/>
    </row>
    <row r="48">
      <c r="B48" s="582" t="s">
        <v>134</v>
      </c>
      <c r="C48" s="328"/>
      <c r="D48" s="307"/>
      <c r="E48" s="576"/>
      <c r="F48" s="576"/>
      <c r="G48" s="576"/>
      <c r="H48" s="511" t="n">
        <f>Grants!H94</f>
        <v>72.156000000000006</v>
      </c>
      <c r="I48" s="511" t="n">
        <f>Grants!I94</f>
        <v>75.245999999999995</v>
      </c>
      <c r="J48" s="511" t="n">
        <f>Grants!J94</f>
        <v>75.986000000000004</v>
      </c>
      <c r="K48" s="511" t="n">
        <f>Grants!K94</f>
        <v>79.650999999999996</v>
      </c>
      <c r="L48" s="511" t="n">
        <f>Grants!L94</f>
        <v>75.400999999999996</v>
      </c>
      <c r="M48" s="511" t="n">
        <f>Grants!M94</f>
        <v>73.034999999999997</v>
      </c>
      <c r="N48" s="511" t="n">
        <f>Grants!N94</f>
        <v>75.13</v>
      </c>
      <c r="O48" s="511" t="n">
        <f>Grants!O94</f>
        <v>70.191999999999993</v>
      </c>
      <c r="P48" s="511" t="n">
        <f>Grants!P94</f>
        <v>72.266999999999996</v>
      </c>
      <c r="Q48" s="511" t="n">
        <f>Grants!Q94</f>
        <v>74.974000000000004</v>
      </c>
      <c r="R48" s="511" t="n">
        <f>Grants!R94</f>
        <v>75.229285714285723</v>
      </c>
      <c r="S48" s="577" t="n">
        <f>Grants!S94</f>
        <v>75.229285714285723</v>
      </c>
      <c r="T48" s="556" t="n">
        <f>Grants!T94</f>
        <v>76.048285714285726</v>
      </c>
      <c r="U48" s="283" t="n">
        <f>Grants!U94</f>
        <v>76.048285714285726</v>
      </c>
      <c r="V48" s="283" t="n">
        <f>Grants!V94</f>
        <v>76.048285714285726</v>
      </c>
      <c r="W48" s="283" t="n">
        <f>Grants!W94</f>
        <v>76.048285714285726</v>
      </c>
      <c r="X48" s="293" t="n">
        <f>Grants!X94</f>
        <v>77.707285714285717</v>
      </c>
      <c r="Y48" s="293" t="n">
        <f>Grants!Y94</f>
        <v>77.707285714285717</v>
      </c>
      <c r="Z48" s="293" t="n">
        <f>Grants!Z94</f>
        <v>77.707285714285717</v>
      </c>
      <c r="AA48" s="293" t="n">
        <f>Grants!AA94</f>
        <v>77.707285714285717</v>
      </c>
      <c r="AB48" s="293" t="n">
        <f>Grants!AB94</f>
        <v>79.301285714285726</v>
      </c>
      <c r="AC48" s="293" t="n">
        <f>Grants!AC94</f>
        <v>79.301285714285726</v>
      </c>
      <c r="AD48" s="293" t="n">
        <f>Grants!AD94</f>
        <v>75.229285714285723</v>
      </c>
      <c r="AE48" s="293" t="n">
        <f>Grants!AE94</f>
        <v>75.229285714285723</v>
      </c>
      <c r="AF48" s="293" t="n">
        <f>Grants!AF94</f>
        <v>75.229285714285723</v>
      </c>
      <c r="AG48" s="293" t="n">
        <f>Grants!AG94</f>
        <v>75.229285714285723</v>
      </c>
      <c r="AH48" s="293"/>
    </row>
    <row r="49">
      <c r="B49" s="573" t="s">
        <v>192</v>
      </c>
      <c r="C49" s="564"/>
      <c r="D49" s="554"/>
      <c r="E49" s="564"/>
      <c r="F49" s="564"/>
      <c r="G49" s="564"/>
      <c r="H49" s="283" t="n">
        <f>Grants!H73</f>
        <v>206.82899999999995</v>
      </c>
      <c r="I49" s="283" t="n">
        <f>Grants!I73</f>
        <v>214.11100000000005</v>
      </c>
      <c r="J49" s="283" t="n">
        <f>Grants!J73</f>
        <v>320.24999999999989</v>
      </c>
      <c r="K49" s="283" t="n">
        <f>Grants!K73</f>
        <v>298.13400000000001</v>
      </c>
      <c r="L49" s="283" t="n">
        <f>Grants!L73</f>
        <v>289.54399999999998</v>
      </c>
      <c r="M49" s="283" t="n">
        <f>Grants!M73</f>
        <v>320.34099999999995</v>
      </c>
      <c r="N49" s="283" t="n">
        <f>Grants!N73</f>
        <v>354.35800000000017</v>
      </c>
      <c r="O49" s="283" t="n">
        <f>Grants!O73</f>
        <v>375.57600000000008</v>
      </c>
      <c r="P49" s="283" t="n">
        <f>Grants!P73</f>
        <v>396.106852</v>
      </c>
      <c r="Q49" s="283" t="n">
        <f>Grants!Q73</f>
        <v>433.66327480000001</v>
      </c>
      <c r="R49" s="283" t="n">
        <f>Grants!R73</f>
        <v>500.88603199999994</v>
      </c>
      <c r="S49" s="283" t="n">
        <f>Grants!S73</f>
        <v>486.87586800000008</v>
      </c>
      <c r="T49" s="283" t="n">
        <f>Grants!T73</f>
        <v>445.45392800000008</v>
      </c>
      <c r="U49" s="551" t="n">
        <f>Grants!U73</f>
        <v>439.61154320000009</v>
      </c>
      <c r="V49" s="551" t="n">
        <f>Grants!V73</f>
        <v>429.15772000000004</v>
      </c>
      <c r="W49" s="551" t="n">
        <f>Grants!W73</f>
        <v>415.61894400000006</v>
      </c>
      <c r="X49" s="551" t="n">
        <f>Grants!X73</f>
        <v>427.53694400000006</v>
      </c>
      <c r="Y49" s="551" t="n">
        <f>Grants!Y73</f>
        <v>427.26494400000001</v>
      </c>
      <c r="Z49" s="551" t="n">
        <f>Grants!Z73</f>
        <v>433.05410899999998</v>
      </c>
      <c r="AA49" s="551" t="n">
        <f>Grants!AA73</f>
        <v>437.68235278290689</v>
      </c>
      <c r="AB49" s="551" t="n">
        <f>Grants!AB73</f>
        <v>442.60315304930305</v>
      </c>
      <c r="AC49" s="551" t="n">
        <f>Grants!AC73</f>
        <v>425.94367459098942</v>
      </c>
      <c r="AD49" s="551" t="n">
        <f>Grants!AD73</f>
        <v>421.4434594999999</v>
      </c>
      <c r="AE49" s="551" t="n">
        <f>Grants!AE73</f>
        <v>424.14651169422308</v>
      </c>
      <c r="AF49" s="551" t="n">
        <f>Grants!AF73</f>
        <v>422.99049924327517</v>
      </c>
      <c r="AG49" s="551" t="n">
        <f>Grants!AG73</f>
        <v>425.87322349462897</v>
      </c>
      <c r="AH49" s="551"/>
    </row>
    <row r="50">
      <c r="B50" s="583" t="s">
        <v>403</v>
      </c>
      <c r="C50" s="575"/>
      <c r="D50" s="574"/>
      <c r="E50" s="575"/>
      <c r="F50" s="575"/>
      <c r="G50" s="575"/>
      <c r="H50" s="557" t="n">
        <f>H48+H49</f>
        <v>278.98499999999996</v>
      </c>
      <c r="I50" s="557" t="n">
        <f t="shared" ref="I50:AG50" si="13">I48+I49</f>
        <v>289.35700000000003</v>
      </c>
      <c r="J50" s="557" t="n">
        <f t="shared" si="13"/>
        <v>396.23599999999988</v>
      </c>
      <c r="K50" s="557" t="n">
        <f t="shared" si="13"/>
        <v>377.78500000000003</v>
      </c>
      <c r="L50" s="557" t="n">
        <f t="shared" si="13"/>
        <v>364.94499999999999</v>
      </c>
      <c r="M50" s="557" t="n">
        <f t="shared" si="13"/>
        <v>393.37599999999998</v>
      </c>
      <c r="N50" s="557" t="n">
        <f t="shared" si="13"/>
        <v>429.48800000000017</v>
      </c>
      <c r="O50" s="557" t="n">
        <f t="shared" si="13"/>
        <v>445.76800000000009</v>
      </c>
      <c r="P50" s="557" t="n">
        <f t="shared" si="13"/>
        <v>468.373852</v>
      </c>
      <c r="Q50" s="557" t="n">
        <f t="shared" si="13"/>
        <v>508.6372748</v>
      </c>
      <c r="R50" s="557" t="n">
        <f t="shared" si="13"/>
        <v>576.11531771428565</v>
      </c>
      <c r="S50" s="557" t="n">
        <f t="shared" si="13"/>
        <v>562.10515371428585</v>
      </c>
      <c r="T50" s="557" t="n">
        <f t="shared" si="13"/>
        <v>521.50221371428574</v>
      </c>
      <c r="U50" s="557" t="n">
        <f t="shared" si="13"/>
        <v>515.65982891428575</v>
      </c>
      <c r="V50" s="283" t="n">
        <f t="shared" si="13"/>
        <v>505.20600571428577</v>
      </c>
      <c r="W50" s="283" t="n">
        <f t="shared" si="13"/>
        <v>491.66722971428578</v>
      </c>
      <c r="X50" s="293" t="n">
        <f t="shared" si="13"/>
        <v>505.24422971428578</v>
      </c>
      <c r="Y50" s="293" t="n">
        <f t="shared" si="13"/>
        <v>504.97222971428573</v>
      </c>
      <c r="Z50" s="293" t="n">
        <f t="shared" si="13"/>
        <v>510.7613947142857</v>
      </c>
      <c r="AA50" s="293" t="n">
        <f t="shared" si="13"/>
        <v>515.38963849719266</v>
      </c>
      <c r="AB50" s="293" t="n">
        <f t="shared" si="13"/>
        <v>521.90443876358881</v>
      </c>
      <c r="AC50" s="293" t="n">
        <f t="shared" si="13"/>
        <v>505.24496030527513</v>
      </c>
      <c r="AD50" s="293" t="n">
        <f t="shared" si="13"/>
        <v>496.67274521428561</v>
      </c>
      <c r="AE50" s="293" t="n">
        <f t="shared" si="13"/>
        <v>499.37579740850879</v>
      </c>
      <c r="AF50" s="293" t="n">
        <f t="shared" si="13"/>
        <v>498.21978495756088</v>
      </c>
      <c r="AG50" s="293" t="n">
        <f t="shared" si="13"/>
        <v>501.10250920891468</v>
      </c>
      <c r="AH50" s="293"/>
    </row>
    <row r="52">
      <c r="S52" s="393"/>
      <c r="T52" s="393"/>
      <c r="U52" s="393"/>
      <c r="V52" s="393"/>
      <c r="W52" s="393"/>
      <c r="X52" s="393"/>
      <c r="Y52" s="393"/>
      <c r="Z52" s="393"/>
      <c r="AA52" s="393"/>
      <c r="AB52" s="393"/>
      <c r="AC52" s="393"/>
      <c r="AD52" s="393"/>
      <c r="AE52" s="393"/>
      <c r="AF52" s="393"/>
      <c r="AG52" s="393"/>
      <c r="AH52" s="393"/>
    </row>
    <row r="53">
      <c r="S53" s="393"/>
      <c r="T53" s="393"/>
      <c r="U53" s="393"/>
      <c r="V53" s="393"/>
      <c r="W53" s="393"/>
      <c r="X53" s="393"/>
      <c r="Y53" s="393"/>
      <c r="Z53" s="393"/>
      <c r="AA53" s="393"/>
      <c r="AB53" s="393"/>
      <c r="AC53" s="393"/>
      <c r="AD53" s="393"/>
      <c r="AE53" s="393"/>
      <c r="AF53" s="393"/>
      <c r="AG53" s="393"/>
      <c r="AH53" s="393"/>
    </row>
    <row r="54" ht="27.65" customHeight="1">
      <c r="S54" s="393"/>
      <c r="T54" s="393"/>
      <c r="U54" s="393"/>
      <c r="V54" s="393"/>
      <c r="W54" s="393"/>
      <c r="X54" s="393"/>
      <c r="Y54" s="393"/>
      <c r="Z54" s="393"/>
      <c r="AA54" s="393"/>
      <c r="AB54" s="393"/>
      <c r="AC54" s="393"/>
      <c r="AD54" s="393"/>
      <c r="AE54" s="393"/>
      <c r="AF54" s="393"/>
      <c r="AG54" s="393"/>
      <c r="AH54" s="393"/>
    </row>
    <row r="55" ht="27.65" customHeight="1"/>
    <row r="56" ht="27.65" customHeight="1">
      <c r="BI56" s="530"/>
      <c r="BJ56" s="530"/>
      <c r="BK56" s="530"/>
    </row>
    <row r="58" ht="27.65" customHeight="1"/>
    <row r="59" ht="27.65" customHeight="1"/>
    <row r="60" ht="27.65" customHeight="1"/>
  </sheetData>
  <mergeCells count="35">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AG21:AH21"/>
    <mergeCell ref="B1:AC1"/>
    <mergeCell ref="B6:C8"/>
    <mergeCell ref="E7:H7"/>
    <mergeCell ref="I7:L7"/>
    <mergeCell ref="Y7:AB7"/>
    <mergeCell ref="B2:AC4"/>
    <mergeCell ref="Q7:T7"/>
    <mergeCell ref="AC7:AF7"/>
    <mergeCell ref="W6:AG6"/>
    <mergeCell ref="D6:V6"/>
    <mergeCell ref="M7:P7"/>
    <mergeCell ref="AG7:AH7"/>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00" workbookViewId="0">
      <pane xSplit="3" ySplit="10" topLeftCell="N61" activePane="bottomRight" state="frozen"/>
      <selection pane="topRight" activeCell="D1" sqref="D1"/>
      <selection pane="bottomLeft" activeCell="A11" sqref="A11"/>
      <selection pane="bottomRight" activeCell="AJ34" sqref="AJ34"/>
    </sheetView>
  </sheetViews>
  <sheetFormatPr defaultRowHeight="15.0" baseColWidth="10"/>
  <cols>
    <col min="2" max="2" width="49.453125" hidden="0" customWidth="1"/>
    <col min="6" max="6" width="6.453125" hidden="0" customWidth="1"/>
    <col min="7" max="7" width="6.453125" hidden="0" customWidth="1"/>
    <col min="8" max="8" width="6.453125" hidden="0" customWidth="1"/>
    <col min="9" max="9" width="6.453125" hidden="0" customWidth="1"/>
    <col min="10" max="10" width="6.453125" hidden="0" customWidth="1"/>
    <col min="11" max="11" width="6.453125" hidden="0" customWidth="1"/>
    <col min="12" max="12" width="6.453125" hidden="0" customWidth="1"/>
    <col min="13" max="13" width="6.453125" hidden="0" customWidth="1"/>
    <col min="14" max="14" width="6.453125" hidden="0" customWidth="1"/>
    <col min="15" max="15" width="6.453125" hidden="0" customWidth="1"/>
    <col min="16" max="16" width="6.453125" hidden="0" customWidth="1"/>
    <col min="17" max="17" width="6.453125" hidden="0" customWidth="1"/>
    <col min="18" max="18" width="6.453125" hidden="0" customWidth="1"/>
    <col min="19" max="19" width="6.453125" hidden="0" customWidth="1"/>
    <col min="20" max="20" width="6.453125" hidden="0" customWidth="1"/>
    <col min="21" max="21" width="6.453125" hidden="0" customWidth="1"/>
    <col min="22" max="22" width="6.453125" hidden="0" customWidth="1"/>
    <col min="23" max="23" width="6.453125" hidden="0" customWidth="1"/>
    <col min="24" max="24" width="6.453125" hidden="0" customWidth="1"/>
    <col min="25" max="25" width="6.453125" hidden="0" customWidth="1"/>
    <col min="27" max="27" width="10.1796875" hidden="0" customWidth="1"/>
  </cols>
  <sheetData>
    <row r="1">
      <c r="B1" s="257" t="s">
        <v>52</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ht="14.9" customHeight="1">
      <c r="B2" s="258" t="s">
        <v>858</v>
      </c>
      <c r="C2" s="258"/>
      <c r="D2" s="258"/>
      <c r="E2" s="258"/>
      <c r="F2" s="258"/>
      <c r="G2" s="258"/>
      <c r="H2" s="258"/>
      <c r="I2" s="258"/>
      <c r="J2" s="258"/>
      <c r="K2" s="258"/>
      <c r="L2" s="258"/>
      <c r="M2" s="258"/>
      <c r="N2" s="258"/>
      <c r="O2" s="258"/>
      <c r="P2" s="258"/>
      <c r="Q2" s="258"/>
      <c r="R2" s="258"/>
      <c r="S2" s="258"/>
      <c r="T2" s="258"/>
      <c r="U2" s="258"/>
      <c r="V2" s="258"/>
      <c r="W2" s="258"/>
      <c r="X2" s="258"/>
      <c r="Y2" s="258"/>
      <c r="Z2" s="258"/>
      <c r="AA2" s="258"/>
      <c r="AB2" s="258"/>
      <c r="AC2" s="258"/>
    </row>
    <row r="3" ht="14.9" customHeight="1">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row>
    <row r="4" ht="5.9" customHeight="1">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row>
    <row r="5" ht="1.5" customHeight="1">
      <c r="B5" s="258"/>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row>
    <row r="6" ht="14.9" customHeight="1">
      <c r="B6" s="258"/>
      <c r="C6" s="258"/>
      <c r="D6" s="258"/>
      <c r="E6" s="258"/>
      <c r="F6" s="258"/>
      <c r="G6" s="258"/>
      <c r="H6" s="258"/>
      <c r="I6" s="258"/>
      <c r="J6" s="258"/>
      <c r="K6" s="258"/>
      <c r="L6" s="258"/>
      <c r="M6" s="258"/>
      <c r="N6" s="258"/>
      <c r="O6" s="258"/>
      <c r="P6" s="258"/>
      <c r="Q6" s="258"/>
      <c r="R6" s="258"/>
      <c r="S6" s="258"/>
      <c r="T6" s="258"/>
      <c r="U6" s="258"/>
      <c r="V6" s="258"/>
      <c r="W6" s="258"/>
      <c r="X6" s="258"/>
      <c r="Y6" s="258"/>
      <c r="Z6" s="258"/>
      <c r="AA6" s="258"/>
      <c r="AB6" s="258"/>
      <c r="AC6" s="258"/>
    </row>
    <row r="7" ht="33.75" customHeight="1">
      <c r="B7" s="84"/>
      <c r="C7" s="84"/>
      <c r="D7" s="84"/>
      <c r="E7" s="84"/>
      <c r="F7" s="84"/>
      <c r="G7" s="84"/>
      <c r="H7" s="84"/>
      <c r="I7" s="84"/>
      <c r="J7" s="84"/>
      <c r="K7" s="84"/>
      <c r="L7" s="84"/>
      <c r="M7" s="84"/>
      <c r="N7" s="84"/>
      <c r="O7" s="84"/>
      <c r="P7" s="84"/>
      <c r="Q7" s="84"/>
      <c r="R7" s="84"/>
      <c r="S7" s="84"/>
      <c r="T7" s="84"/>
      <c r="U7" s="84"/>
      <c r="V7" s="84"/>
      <c r="W7" s="84"/>
      <c r="X7" s="84"/>
      <c r="Y7" s="84"/>
    </row>
    <row r="8" ht="14.9" customHeight="1">
      <c r="B8" s="262" t="s">
        <v>404</v>
      </c>
      <c r="C8" s="263"/>
      <c r="D8" s="591" t="s">
        <v>280</v>
      </c>
      <c r="E8" s="592"/>
      <c r="F8" s="592"/>
      <c r="G8" s="592"/>
      <c r="H8" s="592"/>
      <c r="I8" s="592"/>
      <c r="J8" s="592"/>
      <c r="K8" s="592"/>
      <c r="L8" s="592"/>
      <c r="M8" s="592"/>
      <c r="N8" s="592"/>
      <c r="O8" s="592"/>
      <c r="P8" s="592"/>
      <c r="Q8" s="592"/>
      <c r="R8" s="592"/>
      <c r="S8" s="592"/>
      <c r="T8" s="592"/>
      <c r="U8" s="593"/>
      <c r="V8" s="263"/>
      <c r="W8" s="392" t="s">
        <v>281</v>
      </c>
      <c r="X8" s="380"/>
      <c r="Y8" s="380"/>
      <c r="Z8" s="380"/>
      <c r="AA8" s="380"/>
      <c r="AB8" s="380"/>
      <c r="AC8" s="380"/>
      <c r="AD8" s="380"/>
      <c r="AE8" s="380"/>
      <c r="AF8" s="380"/>
      <c r="AG8" s="295"/>
      <c r="AH8" s="295"/>
    </row>
    <row r="9">
      <c r="B9" s="264"/>
      <c r="C9" s="265"/>
      <c r="D9" s="259" t="n">
        <v>2018</v>
      </c>
      <c r="E9" s="259" t="n">
        <v>2019</v>
      </c>
      <c r="F9" s="260"/>
      <c r="G9" s="260"/>
      <c r="H9" s="261"/>
      <c r="I9" s="259" t="n">
        <v>2020</v>
      </c>
      <c r="J9" s="260"/>
      <c r="K9" s="260"/>
      <c r="L9" s="260"/>
      <c r="M9" s="259" t="n">
        <v>2021</v>
      </c>
      <c r="N9" s="260"/>
      <c r="O9" s="260"/>
      <c r="P9" s="260"/>
      <c r="Q9" s="269" t="n">
        <v>2022</v>
      </c>
      <c r="R9" s="358"/>
      <c r="S9" s="358"/>
      <c r="T9" s="358"/>
      <c r="U9" s="296"/>
      <c r="V9" s="343" t="n">
        <v>2023</v>
      </c>
      <c r="W9" s="344"/>
      <c r="X9" s="316"/>
      <c r="Y9" s="255" t="n">
        <v>2024</v>
      </c>
      <c r="Z9" s="347"/>
      <c r="AA9" s="347"/>
      <c r="AB9" s="256"/>
      <c r="AC9" s="255" t="n">
        <v>2025</v>
      </c>
      <c r="AD9" s="347"/>
      <c r="AE9" s="347"/>
      <c r="AF9" s="256"/>
      <c r="AG9" s="255" t="n">
        <v>2026</v>
      </c>
      <c r="AH9" s="256"/>
      <c r="AI9" s="297"/>
      <c r="AJ9" s="297"/>
      <c r="AK9" s="297"/>
    </row>
    <row r="10">
      <c r="B10" s="266"/>
      <c r="C10" s="267"/>
      <c r="D10" s="259" t="s">
        <v>282</v>
      </c>
      <c r="E10" s="259" t="s">
        <v>283</v>
      </c>
      <c r="F10" s="260" t="s">
        <v>284</v>
      </c>
      <c r="G10" s="260" t="s">
        <v>238</v>
      </c>
      <c r="H10" s="261" t="s">
        <v>282</v>
      </c>
      <c r="I10" s="260" t="s">
        <v>283</v>
      </c>
      <c r="J10" s="260" t="s">
        <v>284</v>
      </c>
      <c r="K10" s="260" t="s">
        <v>238</v>
      </c>
      <c r="L10" s="260" t="s">
        <v>282</v>
      </c>
      <c r="M10" s="259" t="s">
        <v>283</v>
      </c>
      <c r="N10" s="260" t="s">
        <v>284</v>
      </c>
      <c r="O10" s="260" t="s">
        <v>238</v>
      </c>
      <c r="P10" s="260" t="s">
        <v>282</v>
      </c>
      <c r="Q10" s="259" t="s">
        <v>283</v>
      </c>
      <c r="R10" s="260" t="s">
        <v>284</v>
      </c>
      <c r="S10" s="260" t="s">
        <v>238</v>
      </c>
      <c r="T10" s="260" t="s">
        <v>282</v>
      </c>
      <c r="U10" s="340" t="s">
        <v>283</v>
      </c>
      <c r="V10" s="341" t="s">
        <v>284</v>
      </c>
      <c r="W10" s="326" t="s">
        <v>238</v>
      </c>
      <c r="X10" s="327" t="s">
        <v>282</v>
      </c>
      <c r="Y10" s="325" t="s">
        <v>283</v>
      </c>
      <c r="Z10" s="323" t="s">
        <v>284</v>
      </c>
      <c r="AA10" s="326" t="s">
        <v>238</v>
      </c>
      <c r="AB10" s="326" t="s">
        <v>282</v>
      </c>
      <c r="AC10" s="325" t="s">
        <v>283</v>
      </c>
      <c r="AD10" s="323" t="s">
        <v>284</v>
      </c>
      <c r="AE10" s="326" t="s">
        <v>238</v>
      </c>
      <c r="AF10" s="326" t="s">
        <v>282</v>
      </c>
      <c r="AG10" s="325" t="s">
        <v>283</v>
      </c>
      <c r="AH10" s="327" t="s">
        <v>284</v>
      </c>
    </row>
    <row r="11">
      <c r="B11" s="622" t="s">
        <v>864</v>
      </c>
      <c r="C11" s="84" t="s">
        <v>519</v>
      </c>
      <c r="D11" s="587"/>
      <c r="E11" s="628"/>
      <c r="F11" s="632" t="n">
        <v>60.5</v>
      </c>
      <c r="G11" s="632" t="n">
        <v>81.400000000000006</v>
      </c>
      <c r="H11" s="632" t="n">
        <f>'Haver Pivoted'!GS42</f>
        <v>82.1</v>
      </c>
      <c r="I11" s="632" t="n">
        <f>'Haver Pivoted'!GT42</f>
        <v>80</v>
      </c>
      <c r="J11" s="632" t="n">
        <f>'Haver Pivoted'!GU42</f>
        <v>975.8</v>
      </c>
      <c r="K11" s="632" t="n">
        <f>'Haver Pivoted'!GV42</f>
        <v>1108.4000000000001</v>
      </c>
      <c r="L11" s="632" t="n">
        <f>'Haver Pivoted'!GW42</f>
        <v>460.7</v>
      </c>
      <c r="M11" s="632" t="n">
        <f>'Haver Pivoted'!GX42</f>
        <v>385.5</v>
      </c>
      <c r="N11" s="632" t="n">
        <f>'Haver Pivoted'!GY42</f>
        <v>692.7</v>
      </c>
      <c r="O11" s="632" t="n">
        <f>'Haver Pivoted'!GZ42</f>
        <v>547.1</v>
      </c>
      <c r="P11" s="632" t="n">
        <f>'Haver Pivoted'!HA42</f>
        <v>293.2</v>
      </c>
      <c r="Q11" s="632" t="n">
        <f>'Haver Pivoted'!HB42</f>
        <v>151.4</v>
      </c>
      <c r="R11" s="632" t="n">
        <f>'Haver Pivoted'!HC42</f>
        <v>129.5</v>
      </c>
      <c r="S11" s="633" t="n">
        <f>'Haver Pivoted'!HD42</f>
        <v>117.7</v>
      </c>
      <c r="T11" s="633" t="n">
        <f>'Haver Pivoted'!HE42</f>
        <v>108.6</v>
      </c>
      <c r="U11" s="410" t="n">
        <f>'Haver Pivoted'!HF42</f>
        <v>100.7</v>
      </c>
      <c r="V11" s="410" t="n">
        <f>'Haver Pivoted'!HG42</f>
        <v>99.2</v>
      </c>
      <c r="W11" s="410" t="n">
        <f>'Haver Pivoted'!HH42</f>
        <v>102.4</v>
      </c>
      <c r="X11" s="410" t="n">
        <f>'Haver Pivoted'!HI42</f>
        <v>99.3</v>
      </c>
      <c r="Y11" s="410" t="n">
        <f>'Haver Pivoted'!HJ42</f>
        <v>96.5</v>
      </c>
      <c r="Z11" s="410" t="n">
        <f>'Haver Pivoted'!HK42</f>
        <v>94</v>
      </c>
      <c r="AA11" s="640" t="n">
        <f t="shared" ref="AA11:AC11" si="0">AA12+AA13</f>
        <v>94</v>
      </c>
      <c r="AB11" s="640" t="n">
        <f t="shared" si="0"/>
        <v>98.832999999999998</v>
      </c>
      <c r="AC11" s="607" t="n">
        <f t="shared" si="0"/>
        <v>98.832999999999998</v>
      </c>
      <c r="AD11" s="607" t="n">
        <f t="shared" ref="AD11:AE11" si="1">AD12+AD13</f>
        <v>90.811000000000007</v>
      </c>
      <c r="AE11" s="607" t="n">
        <f t="shared" si="1"/>
        <v>90.811000000000007</v>
      </c>
      <c r="AF11" s="607" t="n">
        <f t="shared" ref="AF11" si="2">AF12+AF13</f>
        <v>93.900999999999996</v>
      </c>
      <c r="AG11" s="414" t="n">
        <f>AG12+AG13</f>
        <v>93.900999999999996</v>
      </c>
      <c r="AH11" s="414" t="n">
        <f>AH12+AH13</f>
        <v>93.900999999999996</v>
      </c>
    </row>
    <row r="12" ht="16.5" customHeight="1">
      <c r="B12" s="502" t="s">
        <v>405</v>
      </c>
      <c r="C12" s="84"/>
      <c r="D12" s="622"/>
      <c r="E12" s="84"/>
      <c r="F12" s="83" t="n">
        <f>F11</f>
        <v>60.5</v>
      </c>
      <c r="G12" s="83" t="n">
        <f>G11</f>
        <v>81.400000000000006</v>
      </c>
      <c r="H12" s="83" t="n">
        <f t="shared" ref="H12:M12" si="3">H11-H13</f>
        <v>82.1</v>
      </c>
      <c r="I12" s="83" t="n">
        <f t="shared" si="3"/>
        <v>80</v>
      </c>
      <c r="J12" s="83" t="n">
        <f>J11-J13</f>
        <v>-13.700000000000045</v>
      </c>
      <c r="K12" s="83" t="n">
        <f t="shared" si="3"/>
        <v>-18.199999999999818</v>
      </c>
      <c r="L12" s="83" t="n">
        <f>L11-L13</f>
        <v>-77.700000000000102</v>
      </c>
      <c r="M12" s="83" t="n">
        <f t="shared" si="3"/>
        <v>77.699999999999989</v>
      </c>
      <c r="N12" s="83" t="n">
        <f t="shared" ref="N12:T12" si="4">N11-N13</f>
        <v>89.100000000000023</v>
      </c>
      <c r="O12" s="83" t="n">
        <f t="shared" si="4"/>
        <v>91.083520000000021</v>
      </c>
      <c r="P12" s="83" t="n">
        <f t="shared" si="4"/>
        <v>88.299999999999983</v>
      </c>
      <c r="Q12" s="83" t="n">
        <f t="shared" si="4"/>
        <v>90.7</v>
      </c>
      <c r="R12" s="83" t="n">
        <f t="shared" si="4"/>
        <v>76</v>
      </c>
      <c r="S12" s="410" t="n">
        <f t="shared" si="4"/>
        <v>75</v>
      </c>
      <c r="T12" s="410" t="n">
        <f t="shared" si="4"/>
        <v>76.777999999999992</v>
      </c>
      <c r="U12" s="410" t="n">
        <f t="shared" ref="U12:V12" si="5">U11-U13</f>
        <v>88.192000000000007</v>
      </c>
      <c r="V12" s="410" t="n">
        <f t="shared" si="5"/>
        <v>86.692000000000007</v>
      </c>
      <c r="W12" s="410" t="n">
        <f>W11-W13</f>
        <v>89.891999999999996</v>
      </c>
      <c r="X12" s="410" t="n">
        <f>X11-X13</f>
        <v>89.668999999999997</v>
      </c>
      <c r="Y12" s="410" t="n">
        <f>Y11-Y13</f>
        <v>86.869</v>
      </c>
      <c r="Z12" s="410" t="n">
        <f>Z11-Z13</f>
        <v>84.369</v>
      </c>
      <c r="AA12" s="414" t="n">
        <f t="shared" ref="AA12:AF12" si="6">Z12</f>
        <v>84.369</v>
      </c>
      <c r="AB12" s="414" t="n">
        <f t="shared" si="6"/>
        <v>84.369</v>
      </c>
      <c r="AC12" s="414" t="n">
        <f t="shared" si="6"/>
        <v>84.369</v>
      </c>
      <c r="AD12" s="414" t="n">
        <f t="shared" si="6"/>
        <v>84.369</v>
      </c>
      <c r="AE12" s="414" t="n">
        <f t="shared" si="6"/>
        <v>84.369</v>
      </c>
      <c r="AF12" s="414" t="n">
        <f t="shared" si="6"/>
        <v>84.369</v>
      </c>
      <c r="AG12" s="414" t="n">
        <f>AF12</f>
        <v>84.369</v>
      </c>
      <c r="AH12" s="414" t="n">
        <f>AG12</f>
        <v>84.369</v>
      </c>
    </row>
    <row r="13">
      <c r="B13" s="501" t="s">
        <v>406</v>
      </c>
      <c r="C13" s="84"/>
      <c r="D13" s="622"/>
      <c r="E13" s="84"/>
      <c r="F13" s="630"/>
      <c r="G13" s="630"/>
      <c r="H13" s="83" t="n">
        <f>SUM(H16:H25)</f>
        <v>0</v>
      </c>
      <c r="I13" s="83" t="n">
        <f>SUM(I16:I25)</f>
        <v>0</v>
      </c>
      <c r="J13" s="83" t="n">
        <f t="shared" ref="J13:S13" si="7">SUM(J16:J25)+J14</f>
        <v>989.5</v>
      </c>
      <c r="K13" s="83" t="n">
        <f t="shared" si="7"/>
        <v>1126.5999999999999</v>
      </c>
      <c r="L13" s="83" t="n">
        <f t="shared" si="7"/>
        <v>538.40000000000009</v>
      </c>
      <c r="M13" s="83" t="n">
        <f t="shared" si="7"/>
        <v>307.8</v>
      </c>
      <c r="N13" s="65" t="n">
        <f t="shared" si="7"/>
        <v>603.6</v>
      </c>
      <c r="O13" s="65" t="n">
        <f>SUM(O16:O25)+O14</f>
        <v>456.01648</v>
      </c>
      <c r="P13" s="65" t="n">
        <f>SUM(P16:P25)+P14</f>
        <v>204.9</v>
      </c>
      <c r="Q13" s="65" t="n">
        <f t="shared" si="7"/>
        <v>60.7</v>
      </c>
      <c r="R13" s="65" t="n">
        <f t="shared" si="7"/>
        <v>53.5</v>
      </c>
      <c r="S13" s="65" t="n">
        <f t="shared" si="7"/>
        <v>42.7</v>
      </c>
      <c r="T13" s="65" t="n">
        <f t="shared" ref="T13:AC13" si="8">SUM(T16:T27)+T14</f>
        <v>31.822000000000003</v>
      </c>
      <c r="U13" s="65" t="n">
        <f t="shared" si="8"/>
        <v>12.508000000000003</v>
      </c>
      <c r="V13" s="65" t="n">
        <f t="shared" si="8"/>
        <v>12.508000000000003</v>
      </c>
      <c r="W13" s="65" t="n">
        <f>SUM(W16:W27)+W14</f>
        <v>12.508000000000003</v>
      </c>
      <c r="X13" s="65" t="n">
        <f>SUM(X16:X27)+X14</f>
        <v>9.6310000000000002</v>
      </c>
      <c r="Y13" s="414" t="n">
        <f t="shared" si="8"/>
        <v>9.6310000000000002</v>
      </c>
      <c r="Z13" s="414" t="n">
        <f t="shared" si="8"/>
        <v>9.6310000000000002</v>
      </c>
      <c r="AA13" s="414" t="n">
        <f t="shared" si="8"/>
        <v>9.6310000000000002</v>
      </c>
      <c r="AB13" s="414" t="n">
        <f t="shared" si="8"/>
        <v>14.464</v>
      </c>
      <c r="AC13" s="414" t="n">
        <f t="shared" si="8"/>
        <v>14.464</v>
      </c>
      <c r="AD13" s="414" t="n">
        <f t="shared" ref="AD13:AE13" si="9">SUM(AD16:AD27)+AD14</f>
        <v>6.4420000000000002</v>
      </c>
      <c r="AE13" s="414" t="n">
        <f t="shared" si="9"/>
        <v>6.4420000000000002</v>
      </c>
      <c r="AF13" s="414" t="n">
        <f t="shared" ref="AF13:AH13" si="10">SUM(AF16:AF27)+AF14</f>
        <v>9.532</v>
      </c>
      <c r="AG13" s="414" t="n">
        <f>SUM(AG16:AG27)+AG14</f>
        <v>9.532</v>
      </c>
      <c r="AH13" s="414" t="n">
        <f t="shared" si="10"/>
        <v>9.532</v>
      </c>
    </row>
    <row r="14">
      <c r="B14" s="442" t="s">
        <v>50</v>
      </c>
      <c r="C14" s="64" t="s">
        <v>329</v>
      </c>
      <c r="D14" s="438"/>
      <c r="E14" s="64"/>
      <c r="F14" s="83"/>
      <c r="G14" s="83"/>
      <c r="H14" s="83" t="n">
        <f>'Haver Pivoted'!GS49</f>
        <v>0</v>
      </c>
      <c r="I14" s="83" t="n">
        <f>'Haver Pivoted'!GT49</f>
        <v>0</v>
      </c>
      <c r="J14" s="83" t="n">
        <f>'Haver Pivoted'!GU49</f>
        <v>576.9</v>
      </c>
      <c r="K14" s="83" t="n">
        <f>'Haver Pivoted'!GV49</f>
        <v>819.5</v>
      </c>
      <c r="L14" s="83" t="n">
        <f>'Haver Pivoted'!GW49</f>
        <v>246.3</v>
      </c>
      <c r="M14" s="83" t="n">
        <f>'Haver Pivoted'!GX49</f>
        <v>197</v>
      </c>
      <c r="N14" s="83" t="n">
        <f>'Haver Pivoted'!GY49</f>
        <v>441.2</v>
      </c>
      <c r="O14" s="83" t="n">
        <f>'Haver Pivoted'!GZ49</f>
        <v>276.7</v>
      </c>
      <c r="P14" s="83" t="n">
        <f>'Haver Pivoted'!HA49</f>
        <v>28.2</v>
      </c>
      <c r="Q14" s="83" t="n">
        <f>'Haver Pivoted'!HB49</f>
        <v>0</v>
      </c>
      <c r="R14" s="83" t="n">
        <f>'Haver Pivoted'!HC49</f>
        <v>0</v>
      </c>
      <c r="S14" s="410" t="n">
        <f>'Haver Pivoted'!HD49</f>
        <v>0</v>
      </c>
      <c r="T14" s="410" t="n">
        <f>'Haver Pivoted'!HE49</f>
        <v>0</v>
      </c>
      <c r="U14" s="410" t="n">
        <f>'Haver Pivoted'!HF49</f>
        <v>0</v>
      </c>
      <c r="V14" s="410" t="n">
        <f>'Haver Pivoted'!HG49</f>
        <v>0</v>
      </c>
      <c r="W14" s="641" t="n">
        <f>'Haver Pivoted'!HH49</f>
        <v>0</v>
      </c>
      <c r="X14" s="641" t="n">
        <f>'Haver Pivoted'!HI49</f>
        <v>0</v>
      </c>
      <c r="Y14" s="641" t="n">
        <f>'Haver Pivoted'!HJ49</f>
        <v>0</v>
      </c>
      <c r="Z14" s="641" t="n">
        <f>'Haver Pivoted'!HK49</f>
        <v>0</v>
      </c>
      <c r="AA14" s="602"/>
      <c r="AB14" s="602"/>
      <c r="AC14" s="602"/>
      <c r="AD14" s="602"/>
      <c r="AE14" s="602"/>
      <c r="AF14" s="602"/>
      <c r="AG14" s="602"/>
      <c r="AH14" s="602"/>
    </row>
    <row r="15">
      <c r="B15" s="501" t="s">
        <v>407</v>
      </c>
      <c r="C15" s="84"/>
      <c r="D15" s="622"/>
      <c r="E15" s="84"/>
      <c r="F15" s="630"/>
      <c r="G15" s="630"/>
      <c r="H15" s="83" t="n">
        <f t="shared" ref="H15:AC15" si="11">SUM(H16:H25)</f>
        <v>0</v>
      </c>
      <c r="I15" s="83" t="n">
        <f t="shared" si="11"/>
        <v>0</v>
      </c>
      <c r="J15" s="83" t="n">
        <f t="shared" si="11"/>
        <v>412.6</v>
      </c>
      <c r="K15" s="83" t="n">
        <f t="shared" si="11"/>
        <v>307.10000000000002</v>
      </c>
      <c r="L15" s="83" t="n">
        <f t="shared" si="11"/>
        <v>292.10000000000002</v>
      </c>
      <c r="M15" s="83" t="n">
        <f t="shared" si="11"/>
        <v>110.8</v>
      </c>
      <c r="N15" s="83" t="n">
        <f t="shared" si="11"/>
        <v>162.4</v>
      </c>
      <c r="O15" s="83" t="n">
        <f t="shared" si="11"/>
        <v>179.31648000000001</v>
      </c>
      <c r="P15" s="83" t="n">
        <f>SUM(P16:P25)</f>
        <v>176.70000000000002</v>
      </c>
      <c r="Q15" s="83" t="n">
        <f t="shared" si="11"/>
        <v>60.7</v>
      </c>
      <c r="R15" s="83" t="n">
        <f t="shared" si="11"/>
        <v>53.5</v>
      </c>
      <c r="S15" s="83" t="n">
        <f t="shared" si="11"/>
        <v>42.7</v>
      </c>
      <c r="T15" s="83" t="n">
        <f t="shared" si="11"/>
        <v>28.200000000000003</v>
      </c>
      <c r="U15" s="83" t="n">
        <f t="shared" si="11"/>
        <v>8.886000000000001</v>
      </c>
      <c r="V15" s="83" t="n">
        <f t="shared" si="11"/>
        <v>8.886000000000001</v>
      </c>
      <c r="W15" s="479" t="n">
        <f t="shared" si="11"/>
        <v>8.886000000000001</v>
      </c>
      <c r="X15" s="83" t="n">
        <f t="shared" si="11"/>
        <v>0.2</v>
      </c>
      <c r="Y15" s="608" t="n">
        <f t="shared" si="11"/>
        <v>0.2</v>
      </c>
      <c r="Z15" s="608" t="n">
        <f t="shared" si="11"/>
        <v>0.2</v>
      </c>
      <c r="AA15" s="608" t="n">
        <f t="shared" si="11"/>
        <v>0.2</v>
      </c>
      <c r="AB15" s="608" t="n">
        <f t="shared" si="11"/>
        <v>0</v>
      </c>
      <c r="AC15" s="608" t="n">
        <f t="shared" si="11"/>
        <v>0</v>
      </c>
      <c r="AD15" s="608" t="n">
        <f t="shared" ref="AD15:AE15" si="12">SUM(AD16:AD25)</f>
        <v>0</v>
      </c>
      <c r="AE15" s="608" t="n">
        <f t="shared" si="12"/>
        <v>0</v>
      </c>
      <c r="AF15" s="608" t="n">
        <f t="shared" ref="AF15:AG15" si="13">SUM(AF16:AF25)</f>
        <v>0</v>
      </c>
      <c r="AG15" s="608" t="n">
        <f t="shared" si="13"/>
        <v>0</v>
      </c>
      <c r="AH15" s="608"/>
    </row>
    <row r="16">
      <c r="B16" s="618" t="s">
        <v>145</v>
      </c>
      <c r="C16" s="67" t="s">
        <v>408</v>
      </c>
      <c r="D16" s="507"/>
      <c r="E16" s="67"/>
      <c r="F16" s="83"/>
      <c r="G16" s="83"/>
      <c r="H16" s="83" t="n">
        <f>'Haver Pivoted'!GS53</f>
        <v>0</v>
      </c>
      <c r="I16" s="83" t="n">
        <f>'Haver Pivoted'!GT53</f>
        <v>0</v>
      </c>
      <c r="J16" s="83" t="n">
        <f>'Haver Pivoted'!GU53</f>
        <v>16.899999999999999</v>
      </c>
      <c r="K16" s="83" t="n">
        <f>'Haver Pivoted'!GV53</f>
        <v>18.399999999999999</v>
      </c>
      <c r="L16" s="83" t="n">
        <f>'Haver Pivoted'!GW53</f>
        <v>46.2</v>
      </c>
      <c r="M16" s="83" t="n">
        <f>'Haver Pivoted'!GX53</f>
        <v>0.9</v>
      </c>
      <c r="N16" s="83" t="n">
        <f>'Haver Pivoted'!GY53</f>
        <v>14.1</v>
      </c>
      <c r="O16" s="83" t="n">
        <f>'Haver Pivoted'!GZ53</f>
        <v>8.6</v>
      </c>
      <c r="P16" s="83" t="n">
        <f>'Haver Pivoted'!HA53</f>
        <v>1.2</v>
      </c>
      <c r="Q16" s="83" t="n">
        <f>'Haver Pivoted'!HB53</f>
        <v>0.6</v>
      </c>
      <c r="R16" s="83" t="n">
        <f>'Haver Pivoted'!HC53</f>
        <v>0</v>
      </c>
      <c r="S16" s="410" t="n">
        <f>'Haver Pivoted'!HD53</f>
        <v>0</v>
      </c>
      <c r="T16" s="410" t="n">
        <f>'Haver Pivoted'!HE53</f>
        <v>0</v>
      </c>
      <c r="U16" s="410" t="n">
        <f>'Haver Pivoted'!HF53</f>
        <v>0</v>
      </c>
      <c r="V16" s="410" t="n">
        <f>'Haver Pivoted'!HG53</f>
        <v>0</v>
      </c>
      <c r="W16" s="641" t="n">
        <f>'Haver Pivoted'!HH53</f>
        <v>0</v>
      </c>
      <c r="X16" s="641" t="n">
        <f>'Haver Pivoted'!HI53</f>
        <v>0</v>
      </c>
      <c r="Y16" s="641" t="n">
        <f>'Haver Pivoted'!HJ53</f>
        <v>0</v>
      </c>
      <c r="Z16" s="641" t="n">
        <f>'Haver Pivoted'!HK53</f>
        <v>0</v>
      </c>
      <c r="AA16" s="602"/>
      <c r="AB16" s="602"/>
      <c r="AC16" s="602"/>
      <c r="AD16" s="602"/>
      <c r="AE16" s="602"/>
      <c r="AF16" s="602"/>
      <c r="AG16" s="602"/>
      <c r="AH16" s="602"/>
    </row>
    <row r="17">
      <c r="B17" s="618" t="s">
        <v>143</v>
      </c>
      <c r="C17" s="67" t="s">
        <v>409</v>
      </c>
      <c r="D17" s="507"/>
      <c r="E17" s="67"/>
      <c r="F17" s="83"/>
      <c r="G17" s="83"/>
      <c r="H17" s="83" t="n">
        <f>'Haver Pivoted'!GS51</f>
        <v>0</v>
      </c>
      <c r="I17" s="83" t="n">
        <f>'Haver Pivoted'!GT51</f>
        <v>0</v>
      </c>
      <c r="J17" s="83" t="n">
        <f>'Haver Pivoted'!GU51</f>
        <v>73.3</v>
      </c>
      <c r="K17" s="83" t="n">
        <f>'Haver Pivoted'!GV51</f>
        <v>73.3</v>
      </c>
      <c r="L17" s="83" t="n">
        <f>'Haver Pivoted'!GW51</f>
        <v>73.3</v>
      </c>
      <c r="M17" s="83" t="n">
        <f>'Haver Pivoted'!GX51</f>
        <v>39.799999999999997</v>
      </c>
      <c r="N17" s="83" t="n">
        <f>'Haver Pivoted'!GY51</f>
        <v>43</v>
      </c>
      <c r="O17" s="83" t="n">
        <f>'Haver Pivoted'!GZ51</f>
        <v>45.7</v>
      </c>
      <c r="P17" s="83" t="n">
        <f>'Haver Pivoted'!HA51</f>
        <v>51.5</v>
      </c>
      <c r="Q17" s="83" t="n">
        <f>'Haver Pivoted'!HB51</f>
        <v>0</v>
      </c>
      <c r="R17" s="83" t="n">
        <f>'Haver Pivoted'!HC51</f>
        <v>0</v>
      </c>
      <c r="S17" s="410" t="n">
        <f>'Haver Pivoted'!HD51</f>
        <v>0</v>
      </c>
      <c r="T17" s="410" t="n">
        <f>'Haver Pivoted'!HE51</f>
        <v>0</v>
      </c>
      <c r="U17" s="410" t="n">
        <f>'Haver Pivoted'!HF51</f>
        <v>0</v>
      </c>
      <c r="V17" s="410" t="n">
        <f>'Haver Pivoted'!HG51</f>
        <v>0</v>
      </c>
      <c r="W17" s="641" t="n">
        <f>'Haver Pivoted'!HH51</f>
        <v>0</v>
      </c>
      <c r="X17" s="641" t="n">
        <f>'Haver Pivoted'!HI51</f>
        <v>0</v>
      </c>
      <c r="Y17" s="641" t="n">
        <f>'Haver Pivoted'!HJ51</f>
        <v>0</v>
      </c>
      <c r="Z17" s="641" t="n">
        <f>'Haver Pivoted'!HK51</f>
        <v>0</v>
      </c>
      <c r="AA17" s="414" t="n">
        <f t="shared" ref="AA17:AD17" si="14">Z17</f>
        <v>0</v>
      </c>
      <c r="AB17" s="414" t="n">
        <f t="shared" si="14"/>
        <v>0</v>
      </c>
      <c r="AC17" s="414" t="n">
        <f t="shared" si="14"/>
        <v>0</v>
      </c>
      <c r="AD17" s="414" t="n">
        <f t="shared" si="14"/>
        <v>0</v>
      </c>
      <c r="AE17" s="414" t="n">
        <f t="shared" ref="AE17" si="15">AD17</f>
        <v>0</v>
      </c>
      <c r="AF17" s="414" t="n">
        <f t="shared" ref="AF17" si="16">AE17</f>
        <v>0</v>
      </c>
      <c r="AG17" s="414" t="n">
        <f t="shared" ref="AG17:AH17" si="17">AF17</f>
        <v>0</v>
      </c>
      <c r="AH17" s="414" t="n">
        <f t="shared" si="17"/>
        <v>0</v>
      </c>
    </row>
    <row r="18">
      <c r="B18" s="618" t="s">
        <v>142</v>
      </c>
      <c r="C18" s="64" t="s">
        <v>410</v>
      </c>
      <c r="D18" s="438"/>
      <c r="E18" s="64"/>
      <c r="F18" s="83"/>
      <c r="G18" s="83"/>
      <c r="H18" s="83" t="n">
        <f>'Haver Pivoted'!GS50</f>
        <v>0</v>
      </c>
      <c r="I18" s="83" t="n">
        <f>'Haver Pivoted'!GT50</f>
        <v>0</v>
      </c>
      <c r="J18" s="83" t="n">
        <f>'Haver Pivoted'!GU50</f>
        <v>63.8</v>
      </c>
      <c r="K18" s="83" t="n">
        <f>'Haver Pivoted'!GV50</f>
        <v>15</v>
      </c>
      <c r="L18" s="83" t="n">
        <f>'Haver Pivoted'!GW50</f>
        <v>0.1</v>
      </c>
      <c r="M18" s="83" t="n">
        <f>'Haver Pivoted'!GX50</f>
        <v>38</v>
      </c>
      <c r="N18" s="83" t="n">
        <f>'Haver Pivoted'!GY50</f>
        <v>47.3</v>
      </c>
      <c r="O18" s="83" t="n">
        <f>'Haver Pivoted'!GZ50</f>
        <v>0.7</v>
      </c>
      <c r="P18" s="83" t="n">
        <f>'Haver Pivoted'!HA50</f>
        <v>0</v>
      </c>
      <c r="Q18" s="83" t="n">
        <f>'Haver Pivoted'!HB50</f>
        <v>0.3</v>
      </c>
      <c r="R18" s="83" t="n">
        <f>'Haver Pivoted'!HC50</f>
        <v>0.2</v>
      </c>
      <c r="S18" s="410" t="n">
        <f>'Haver Pivoted'!HD50</f>
        <v>0.3</v>
      </c>
      <c r="T18" s="410" t="n">
        <f>'Haver Pivoted'!HE50</f>
        <v>0.4</v>
      </c>
      <c r="U18" s="410" t="n">
        <f>'Haver Pivoted'!HF50</f>
        <v>0</v>
      </c>
      <c r="V18" s="410" t="n">
        <f>'Haver Pivoted'!HG50</f>
        <v>0</v>
      </c>
      <c r="W18" s="641" t="n">
        <f>'Haver Pivoted'!HH50</f>
        <v>0</v>
      </c>
      <c r="X18" s="641" t="n">
        <f>'Haver Pivoted'!HI50</f>
        <v>0</v>
      </c>
      <c r="Y18" s="641" t="n">
        <f>'Haver Pivoted'!HJ50</f>
        <v>0</v>
      </c>
      <c r="Z18" s="641" t="n">
        <f>'Haver Pivoted'!HK50</f>
        <v>0</v>
      </c>
      <c r="AA18" s="414" t="n">
        <f t="shared" ref="AA18:AC18" si="18">AA30</f>
        <v>0</v>
      </c>
      <c r="AB18" s="414" t="n">
        <f t="shared" si="18"/>
        <v>0</v>
      </c>
      <c r="AC18" s="414" t="n">
        <f t="shared" si="18"/>
        <v>0</v>
      </c>
      <c r="AD18" s="414" t="n">
        <f t="shared" ref="AD18:AE18" si="19">AD30</f>
        <v>0</v>
      </c>
      <c r="AE18" s="414" t="n">
        <f t="shared" si="19"/>
        <v>0</v>
      </c>
      <c r="AF18" s="414" t="n">
        <f t="shared" ref="AF18:AG18" si="20">AF30</f>
        <v>0</v>
      </c>
      <c r="AG18" s="414" t="n">
        <f t="shared" si="20"/>
        <v>0</v>
      </c>
      <c r="AH18" s="414" t="n">
        <f t="shared" ref="AH18" si="21">AH30</f>
        <v>0</v>
      </c>
    </row>
    <row r="19">
      <c r="B19" s="618" t="s">
        <v>411</v>
      </c>
      <c r="C19" s="64" t="s">
        <v>309</v>
      </c>
      <c r="D19" s="438"/>
      <c r="E19" s="64"/>
      <c r="F19" s="83"/>
      <c r="G19" s="83"/>
      <c r="H19" s="83" t="n">
        <f>'Haver Pivoted'!GS54</f>
        <v>0</v>
      </c>
      <c r="I19" s="83" t="n">
        <f>'Haver Pivoted'!GT54</f>
        <v>0</v>
      </c>
      <c r="J19" s="83" t="n">
        <f>'Haver Pivoted'!GU54</f>
        <v>96.6</v>
      </c>
      <c r="K19" s="83" t="n">
        <f>'Haver Pivoted'!GV54</f>
        <v>35.1</v>
      </c>
      <c r="L19" s="83" t="n">
        <f>'Haver Pivoted'!GW54</f>
        <v>20.7</v>
      </c>
      <c r="M19" s="83" t="n">
        <f>'Haver Pivoted'!GX54</f>
        <v>15.4</v>
      </c>
      <c r="N19" s="83" t="n">
        <f>'Haver Pivoted'!GY54</f>
        <v>9.6</v>
      </c>
      <c r="O19" s="83" t="n">
        <f>'Haver Pivoted'!GZ54</f>
        <v>13.5</v>
      </c>
      <c r="P19" s="83" t="n">
        <f>'Haver Pivoted'!HA54</f>
        <v>23.2</v>
      </c>
      <c r="Q19" s="83" t="n">
        <f>'Haver Pivoted'!HB54</f>
        <v>19.3</v>
      </c>
      <c r="R19" s="83" t="n">
        <f>'Haver Pivoted'!HC54</f>
        <v>14.4</v>
      </c>
      <c r="S19" s="410" t="n">
        <f>'Haver Pivoted'!HD54</f>
        <v>5.9</v>
      </c>
      <c r="T19" s="410" t="n">
        <f>'Haver Pivoted'!HE54</f>
        <v>3.6</v>
      </c>
      <c r="U19" s="410" t="n">
        <f>'Haver Pivoted'!HF54</f>
        <v>0</v>
      </c>
      <c r="V19" s="410" t="n">
        <f>'Haver Pivoted'!HG54</f>
        <v>0</v>
      </c>
      <c r="W19" s="641" t="n">
        <f>'Haver Pivoted'!HH54</f>
        <v>0</v>
      </c>
      <c r="X19" s="641" t="n">
        <f>'Haver Pivoted'!HI54</f>
        <v>0</v>
      </c>
      <c r="Y19" s="641" t="n">
        <f>'Haver Pivoted'!HJ54</f>
        <v>0</v>
      </c>
      <c r="Z19" s="641" t="n">
        <f>'Haver Pivoted'!HK54</f>
        <v>0</v>
      </c>
      <c r="AA19" s="602"/>
      <c r="AB19" s="602"/>
      <c r="AC19" s="602"/>
      <c r="AD19" s="602"/>
      <c r="AE19" s="602"/>
      <c r="AF19" s="602"/>
      <c r="AG19" s="602"/>
      <c r="AH19" s="602"/>
    </row>
    <row r="20">
      <c r="B20" s="618" t="s">
        <v>144</v>
      </c>
      <c r="C20" s="64" t="s">
        <v>412</v>
      </c>
      <c r="D20" s="438"/>
      <c r="E20" s="64"/>
      <c r="F20" s="83"/>
      <c r="G20" s="83"/>
      <c r="H20" s="83" t="n">
        <f>'Haver Pivoted'!GS52</f>
        <v>0</v>
      </c>
      <c r="I20" s="83" t="n">
        <f>'Haver Pivoted'!GT52</f>
        <v>0</v>
      </c>
      <c r="J20" s="83" t="n">
        <f>'Haver Pivoted'!GU52</f>
        <v>22</v>
      </c>
      <c r="K20" s="83" t="n">
        <f>'Haver Pivoted'!GV52</f>
        <v>25.3</v>
      </c>
      <c r="L20" s="83" t="n">
        <f>'Haver Pivoted'!GW52</f>
        <v>11.8</v>
      </c>
      <c r="M20" s="83" t="n">
        <f>'Haver Pivoted'!GX52</f>
        <v>11.9</v>
      </c>
      <c r="N20" s="83" t="n">
        <f>'Haver Pivoted'!GY52</f>
        <v>11.3</v>
      </c>
      <c r="O20" s="83" t="n">
        <f>'Haver Pivoted'!GZ52</f>
        <v>13.6</v>
      </c>
      <c r="P20" s="83" t="n">
        <f>'Haver Pivoted'!HA52</f>
        <v>19</v>
      </c>
      <c r="Q20" s="83" t="n">
        <f>'Haver Pivoted'!HB52</f>
        <v>21.8</v>
      </c>
      <c r="R20" s="83" t="n">
        <f>'Haver Pivoted'!HC52</f>
        <v>22.3</v>
      </c>
      <c r="S20" s="410" t="n">
        <f>'Haver Pivoted'!HD52</f>
        <v>20.2</v>
      </c>
      <c r="T20" s="410" t="n">
        <f>'Haver Pivoted'!HE52</f>
        <v>15.8</v>
      </c>
      <c r="U20" s="65" t="n">
        <f t="shared" ref="U20:AC20" si="22">U37</f>
        <v>0.48599999999999993</v>
      </c>
      <c r="V20" s="65" t="n">
        <f t="shared" si="22"/>
        <v>0.48599999999999993</v>
      </c>
      <c r="W20" s="479" t="n">
        <f t="shared" si="22"/>
        <v>0.48599999999999993</v>
      </c>
      <c r="X20" s="65" t="n">
        <f t="shared" si="22"/>
        <v>0</v>
      </c>
      <c r="Y20" s="414" t="n">
        <f t="shared" si="22"/>
        <v>0</v>
      </c>
      <c r="Z20" s="414" t="n">
        <f t="shared" si="22"/>
        <v>0</v>
      </c>
      <c r="AA20" s="414" t="n">
        <f t="shared" si="22"/>
        <v>0</v>
      </c>
      <c r="AB20" s="414" t="n">
        <f t="shared" si="22"/>
        <v>0</v>
      </c>
      <c r="AC20" s="414" t="n">
        <f t="shared" si="22"/>
        <v>0</v>
      </c>
      <c r="AD20" s="414" t="n">
        <f t="shared" ref="AD20:AE20" si="23">AD37</f>
        <v>0</v>
      </c>
      <c r="AE20" s="414" t="n">
        <f t="shared" si="23"/>
        <v>0</v>
      </c>
      <c r="AF20" s="414" t="n">
        <f t="shared" ref="AF20:AG20" si="24">AF37</f>
        <v>0</v>
      </c>
      <c r="AG20" s="414" t="n">
        <f t="shared" si="24"/>
        <v>0</v>
      </c>
      <c r="AH20" s="414" t="n">
        <f t="shared" ref="AH20" si="25">AH37</f>
        <v>0</v>
      </c>
      <c r="AI20" s="103"/>
    </row>
    <row r="21">
      <c r="B21" s="618" t="s">
        <v>148</v>
      </c>
      <c r="C21" s="64" t="s">
        <v>413</v>
      </c>
      <c r="D21" s="438"/>
      <c r="E21" s="64"/>
      <c r="F21" s="83"/>
      <c r="G21" s="83"/>
      <c r="H21" s="83" t="n">
        <f>'Haver Pivoted'!GS55</f>
        <v>0</v>
      </c>
      <c r="I21" s="83" t="n">
        <f>'Haver Pivoted'!GT55</f>
        <v>0</v>
      </c>
      <c r="J21" s="83" t="n">
        <f>'Haver Pivoted'!GU55</f>
        <v>140</v>
      </c>
      <c r="K21" s="83" t="n">
        <f>'Haver Pivoted'!GV55</f>
        <v>140</v>
      </c>
      <c r="L21" s="83" t="n">
        <f>'Haver Pivoted'!GW55</f>
        <v>140</v>
      </c>
      <c r="M21" s="83" t="n">
        <f>'Haver Pivoted'!GX55</f>
        <v>4.8</v>
      </c>
      <c r="N21" s="83" t="n">
        <f>'Haver Pivoted'!GY55</f>
        <v>4.4000000000000004</v>
      </c>
      <c r="O21" s="83" t="n">
        <f>'Haver Pivoted'!GZ55</f>
        <v>5.3</v>
      </c>
      <c r="P21" s="83" t="n">
        <f>'Haver Pivoted'!HA55</f>
        <v>4.7</v>
      </c>
      <c r="Q21" s="83" t="n">
        <f>'Haver Pivoted'!HB55</f>
        <v>0</v>
      </c>
      <c r="R21" s="83" t="n">
        <f>'Haver Pivoted'!HC55</f>
        <v>0</v>
      </c>
      <c r="S21" s="410" t="n">
        <f>'Haver Pivoted'!HD55</f>
        <v>0</v>
      </c>
      <c r="T21" s="410" t="n">
        <f>'Haver Pivoted'!HE55</f>
        <v>0</v>
      </c>
      <c r="U21" s="410" t="n">
        <f>'Haver Pivoted'!HF55</f>
        <v>0</v>
      </c>
      <c r="V21" s="410" t="n">
        <f>'Haver Pivoted'!HG55</f>
        <v>0</v>
      </c>
      <c r="W21" s="641" t="n">
        <f>'Haver Pivoted'!HH55</f>
        <v>0</v>
      </c>
      <c r="X21" s="641" t="n">
        <f>'Haver Pivoted'!HI55</f>
        <v>0</v>
      </c>
      <c r="Y21" s="641" t="n">
        <f>'Haver Pivoted'!HJ55</f>
        <v>0</v>
      </c>
      <c r="Z21" s="641" t="n">
        <f>'Haver Pivoted'!HK55</f>
        <v>0</v>
      </c>
      <c r="AA21" s="414" t="n">
        <f t="shared" ref="AA21:AD21" si="26">Z21</f>
        <v>0</v>
      </c>
      <c r="AB21" s="414" t="n">
        <f t="shared" si="26"/>
        <v>0</v>
      </c>
      <c r="AC21" s="414" t="n">
        <f t="shared" si="26"/>
        <v>0</v>
      </c>
      <c r="AD21" s="414" t="n">
        <f t="shared" si="26"/>
        <v>0</v>
      </c>
      <c r="AE21" s="414" t="n">
        <f t="shared" ref="AE21" si="27">AD21</f>
        <v>0</v>
      </c>
      <c r="AF21" s="414" t="n">
        <f t="shared" ref="AF21" si="28">AE21</f>
        <v>0</v>
      </c>
      <c r="AG21" s="414" t="n">
        <f t="shared" ref="AG21:AH21" si="29">AF21</f>
        <v>0</v>
      </c>
      <c r="AH21" s="414" t="n">
        <f t="shared" si="29"/>
        <v>0</v>
      </c>
    </row>
    <row r="22">
      <c r="B22" s="618" t="s">
        <v>414</v>
      </c>
      <c r="C22" s="64" t="s">
        <v>787</v>
      </c>
      <c r="D22" s="451"/>
      <c r="E22" s="83"/>
      <c r="F22" s="83"/>
      <c r="G22" s="83"/>
      <c r="H22" s="83"/>
      <c r="I22" s="83"/>
      <c r="J22" s="83"/>
      <c r="K22" s="83"/>
      <c r="L22" s="83"/>
      <c r="M22" s="83"/>
      <c r="N22" s="83" t="n">
        <f>'Haver Pivoted'!GY87</f>
        <v>11.3</v>
      </c>
      <c r="O22" s="83" t="n">
        <f>'Haver Pivoted'!GZ87</f>
        <v>10.4</v>
      </c>
      <c r="P22" s="83" t="n">
        <f>'Haver Pivoted'!HA87</f>
        <v>5.3</v>
      </c>
      <c r="Q22" s="83" t="n">
        <f>'Haver Pivoted'!HB87</f>
        <v>2.4</v>
      </c>
      <c r="R22" s="83" t="n">
        <f>'Haver Pivoted'!HC87</f>
        <v>0.3</v>
      </c>
      <c r="S22" s="410" t="n">
        <f>'Haver Pivoted'!HD87</f>
        <v>0</v>
      </c>
      <c r="T22" s="410" t="n">
        <f>'Haver Pivoted'!HE87</f>
        <v>0</v>
      </c>
      <c r="U22" s="410" t="n">
        <f>'Haver Pivoted'!HF87</f>
        <v>0</v>
      </c>
      <c r="V22" s="410" t="n">
        <f>'Haver Pivoted'!HG87</f>
        <v>0</v>
      </c>
      <c r="W22" s="641" t="n">
        <f>'Haver Pivoted'!HH87</f>
        <v>0</v>
      </c>
      <c r="X22" s="641" t="n">
        <f>'Haver Pivoted'!HI87</f>
        <v>0</v>
      </c>
      <c r="Y22" s="641" t="n">
        <f>'Haver Pivoted'!HJ87</f>
        <v>0</v>
      </c>
      <c r="Z22" s="641" t="n">
        <f>'Haver Pivoted'!HK87</f>
        <v>0</v>
      </c>
      <c r="AA22" s="414" t="n">
        <v>0</v>
      </c>
      <c r="AB22" s="414" t="n">
        <v>0</v>
      </c>
      <c r="AC22" s="414" t="n">
        <v>0</v>
      </c>
      <c r="AD22" s="414" t="n">
        <v>0</v>
      </c>
      <c r="AE22" s="414" t="n">
        <v>0</v>
      </c>
      <c r="AF22" s="414" t="n">
        <v>0</v>
      </c>
      <c r="AG22" s="414" t="n">
        <v>0</v>
      </c>
      <c r="AH22" s="414" t="n">
        <v>0</v>
      </c>
    </row>
    <row r="23">
      <c r="B23" s="618" t="s">
        <v>415</v>
      </c>
      <c r="C23" s="64" t="s">
        <v>786</v>
      </c>
      <c r="D23" s="438"/>
      <c r="E23" s="64"/>
      <c r="F23" s="83"/>
      <c r="G23" s="631"/>
      <c r="H23" s="83"/>
      <c r="I23" s="83"/>
      <c r="J23" s="83"/>
      <c r="K23" s="83"/>
      <c r="L23" s="83"/>
      <c r="M23" s="83"/>
      <c r="N23" s="83" t="n">
        <f>'Haver Pivoted'!GY86</f>
        <v>21.4</v>
      </c>
      <c r="O23" s="83" t="n">
        <f>'Haver Pivoted'!GZ86</f>
        <v>57</v>
      </c>
      <c r="P23" s="83" t="n">
        <f>'Haver Pivoted'!HA86</f>
        <v>35.5</v>
      </c>
      <c r="Q23" s="83" t="n">
        <f>'Haver Pivoted'!HB86</f>
        <v>0</v>
      </c>
      <c r="R23" s="83" t="n">
        <f>'Haver Pivoted'!HC86</f>
        <v>0</v>
      </c>
      <c r="S23" s="410" t="n">
        <f>'Haver Pivoted'!HD86</f>
        <v>0</v>
      </c>
      <c r="T23" s="410" t="n">
        <f>'Haver Pivoted'!HE86</f>
        <v>0</v>
      </c>
      <c r="U23" s="410" t="n">
        <f>'Haver Pivoted'!HF86</f>
        <v>0</v>
      </c>
      <c r="V23" s="410" t="n">
        <f>'Haver Pivoted'!HG86</f>
        <v>0</v>
      </c>
      <c r="W23" s="641" t="n">
        <f>'Haver Pivoted'!HH86</f>
        <v>0</v>
      </c>
      <c r="X23" s="641" t="n">
        <f>'Haver Pivoted'!HI86</f>
        <v>0</v>
      </c>
      <c r="Y23" s="641" t="n">
        <f>'Haver Pivoted'!HJ86</f>
        <v>0</v>
      </c>
      <c r="Z23" s="641" t="n">
        <f>'Haver Pivoted'!HK86</f>
        <v>0</v>
      </c>
      <c r="AA23" s="414" t="n">
        <f t="shared" ref="AA23:AD23" si="30">Z23</f>
        <v>0</v>
      </c>
      <c r="AB23" s="414" t="n">
        <f t="shared" si="30"/>
        <v>0</v>
      </c>
      <c r="AC23" s="414" t="n">
        <f t="shared" si="30"/>
        <v>0</v>
      </c>
      <c r="AD23" s="414" t="n">
        <f t="shared" si="30"/>
        <v>0</v>
      </c>
      <c r="AE23" s="414" t="n">
        <f t="shared" ref="AE23" si="31">AD23</f>
        <v>0</v>
      </c>
      <c r="AF23" s="414" t="n">
        <f t="shared" ref="AF23" si="32">AE23</f>
        <v>0</v>
      </c>
      <c r="AG23" s="414" t="n">
        <f t="shared" ref="AG23:AH23" si="33">AF23</f>
        <v>0</v>
      </c>
      <c r="AH23" s="414" t="n">
        <f t="shared" si="33"/>
        <v>0</v>
      </c>
    </row>
    <row r="24">
      <c r="B24" s="618" t="s">
        <v>416</v>
      </c>
      <c r="C24" s="64"/>
      <c r="D24" s="438"/>
      <c r="E24" s="64"/>
      <c r="F24" s="83"/>
      <c r="G24" s="83"/>
      <c r="H24" s="83"/>
      <c r="I24" s="83"/>
      <c r="J24" s="83"/>
      <c r="K24" s="83"/>
      <c r="L24" s="83"/>
      <c r="M24" s="83"/>
      <c r="N24" s="83"/>
      <c r="O24" s="65" t="n">
        <f>O41+O42</f>
        <v>12.51648</v>
      </c>
      <c r="P24" s="65" t="n">
        <f>P41+P42</f>
        <v>11.3</v>
      </c>
      <c r="Q24" s="65" t="n">
        <f t="shared" ref="Q24:AC24" si="34">Q41+Q42</f>
        <v>11.3</v>
      </c>
      <c r="R24" s="65" t="n">
        <f t="shared" si="34"/>
        <v>11.3</v>
      </c>
      <c r="S24" s="65" t="n">
        <f t="shared" si="34"/>
        <v>11.3</v>
      </c>
      <c r="T24" s="65" t="n">
        <f t="shared" si="34"/>
        <v>8.4</v>
      </c>
      <c r="U24" s="65" t="n">
        <f t="shared" si="34"/>
        <v>8.4</v>
      </c>
      <c r="V24" s="65" t="n">
        <f t="shared" si="34"/>
        <v>8.4</v>
      </c>
      <c r="W24" s="479" t="n">
        <f t="shared" si="34"/>
        <v>8.4</v>
      </c>
      <c r="X24" s="65" t="n">
        <f t="shared" si="34"/>
        <v>0.2</v>
      </c>
      <c r="Y24" s="414" t="n">
        <f t="shared" si="34"/>
        <v>0.2</v>
      </c>
      <c r="Z24" s="414" t="n">
        <f t="shared" si="34"/>
        <v>0.2</v>
      </c>
      <c r="AA24" s="414" t="n">
        <f t="shared" si="34"/>
        <v>0.2</v>
      </c>
      <c r="AB24" s="414" t="n">
        <f t="shared" si="34"/>
        <v>0</v>
      </c>
      <c r="AC24" s="414" t="n">
        <f t="shared" si="34"/>
        <v>0</v>
      </c>
      <c r="AD24" s="414" t="n">
        <f t="shared" ref="AD24:AE24" si="35">AD41+AD42</f>
        <v>0</v>
      </c>
      <c r="AE24" s="414" t="n">
        <f t="shared" si="35"/>
        <v>0</v>
      </c>
      <c r="AF24" s="414" t="n">
        <f t="shared" ref="AF24:AG24" si="36">AF41+AF42</f>
        <v>0</v>
      </c>
      <c r="AG24" s="414" t="n">
        <f t="shared" si="36"/>
        <v>0</v>
      </c>
      <c r="AH24" s="414" t="n">
        <f t="shared" ref="AH24" si="37">AH41+AH42</f>
        <v>0</v>
      </c>
    </row>
    <row r="25">
      <c r="B25" s="618" t="s">
        <v>417</v>
      </c>
      <c r="C25" s="64"/>
      <c r="D25" s="438"/>
      <c r="E25" s="64"/>
      <c r="F25" s="65"/>
      <c r="G25" s="65"/>
      <c r="H25" s="287"/>
      <c r="I25" s="287"/>
      <c r="J25" s="287"/>
      <c r="K25" s="287"/>
      <c r="L25" s="287"/>
      <c r="M25" s="287"/>
      <c r="N25" s="65"/>
      <c r="O25" s="65" t="n">
        <f>O34</f>
        <v>12</v>
      </c>
      <c r="P25" s="65" t="n">
        <v>25</v>
      </c>
      <c r="Q25" s="65" t="n">
        <v>5</v>
      </c>
      <c r="R25" s="65" t="n">
        <v>5</v>
      </c>
      <c r="S25" s="65" t="n">
        <v>5</v>
      </c>
      <c r="T25" s="65" t="n">
        <f t="shared" ref="T25:AC25" si="38">T34</f>
        <v>0</v>
      </c>
      <c r="U25" s="65" t="n">
        <f t="shared" si="38"/>
        <v>0</v>
      </c>
      <c r="V25" s="65" t="n">
        <f t="shared" si="38"/>
        <v>0</v>
      </c>
      <c r="W25" s="479" t="n">
        <f t="shared" si="38"/>
        <v>0</v>
      </c>
      <c r="X25" s="65" t="n">
        <f t="shared" si="38"/>
        <v>0</v>
      </c>
      <c r="Y25" s="414" t="n">
        <f t="shared" si="38"/>
        <v>0</v>
      </c>
      <c r="Z25" s="414" t="n">
        <f t="shared" si="38"/>
        <v>0</v>
      </c>
      <c r="AA25" s="414" t="n">
        <f t="shared" si="38"/>
        <v>0</v>
      </c>
      <c r="AB25" s="414" t="n">
        <f t="shared" si="38"/>
        <v>0</v>
      </c>
      <c r="AC25" s="414" t="n">
        <f t="shared" si="38"/>
        <v>0</v>
      </c>
      <c r="AD25" s="414" t="n">
        <f t="shared" ref="AD25:AE25" si="39">AD34</f>
        <v>0</v>
      </c>
      <c r="AE25" s="414" t="n">
        <f t="shared" si="39"/>
        <v>0</v>
      </c>
      <c r="AF25" s="414" t="n">
        <f t="shared" ref="AF25:AG25" si="40">AF34</f>
        <v>0</v>
      </c>
      <c r="AG25" s="414" t="n">
        <f t="shared" si="40"/>
        <v>0</v>
      </c>
      <c r="AH25" s="414" t="n">
        <f t="shared" ref="AH25" si="41">AH34</f>
        <v>0</v>
      </c>
    </row>
    <row r="26">
      <c r="B26" s="618" t="s">
        <v>1377</v>
      </c>
      <c r="C26" s="64"/>
      <c r="D26" s="438"/>
      <c r="E26" s="64"/>
      <c r="F26" s="65"/>
      <c r="G26" s="65"/>
      <c r="H26" s="287"/>
      <c r="I26" s="287"/>
      <c r="J26" s="287"/>
      <c r="K26" s="287"/>
      <c r="L26" s="287"/>
      <c r="M26" s="287"/>
      <c r="N26" s="65"/>
      <c r="O26" s="65"/>
      <c r="P26" s="65"/>
      <c r="Q26" s="65"/>
      <c r="R26" s="65"/>
      <c r="S26" s="598" t="n">
        <f>'IRA and CHIPS'!E198</f>
        <v>0</v>
      </c>
      <c r="T26" s="598" t="n">
        <f>'IRA and CHIPS'!F198</f>
        <v>2.3250000000000002</v>
      </c>
      <c r="U26" s="598" t="n">
        <f>'IRA and CHIPS'!G198</f>
        <v>2.3250000000000002</v>
      </c>
      <c r="V26" s="598" t="n">
        <f>'IRA and CHIPS'!H198</f>
        <v>2.3250000000000002</v>
      </c>
      <c r="W26" s="594" t="n">
        <f>'IRA and CHIPS'!I198</f>
        <v>2.3250000000000002</v>
      </c>
      <c r="X26" s="598" t="n">
        <f>'IRA and CHIPS'!J198</f>
        <v>5.5830000000000002</v>
      </c>
      <c r="Y26" s="609" t="n">
        <f>'IRA and CHIPS'!K198</f>
        <v>5.5830000000000002</v>
      </c>
      <c r="Z26" s="609" t="n">
        <f>'IRA and CHIPS'!L198</f>
        <v>5.5830000000000002</v>
      </c>
      <c r="AA26" s="609" t="n">
        <f>'IRA and CHIPS'!M198</f>
        <v>5.5830000000000002</v>
      </c>
      <c r="AB26" s="609" t="n">
        <f>'IRA and CHIPS'!N198</f>
        <v>8.0220000000000002</v>
      </c>
      <c r="AC26" s="609" t="n">
        <f>'IRA and CHIPS'!O198</f>
        <v>8.0220000000000002</v>
      </c>
      <c r="AD26" s="609" t="n">
        <f>'IRA and CHIPS'!P198</f>
        <v>0</v>
      </c>
      <c r="AE26" s="609" t="n">
        <f>'IRA and CHIPS'!Q198</f>
        <v>0</v>
      </c>
      <c r="AF26" s="609" t="n">
        <f>'IRA and CHIPS'!R198</f>
        <v>0</v>
      </c>
      <c r="AG26" s="609" t="n">
        <f>'IRA and CHIPS'!S198</f>
        <v>0</v>
      </c>
      <c r="AH26" s="609" t="n">
        <f>'IRA and CHIPS'!T198</f>
        <v>0</v>
      </c>
    </row>
    <row r="27">
      <c r="B27" s="618" t="s">
        <v>1185</v>
      </c>
      <c r="C27" s="467"/>
      <c r="D27" s="465"/>
      <c r="E27" s="467"/>
      <c r="F27" s="472"/>
      <c r="G27" s="472"/>
      <c r="H27" s="619"/>
      <c r="I27" s="619"/>
      <c r="J27" s="619"/>
      <c r="K27" s="619"/>
      <c r="L27" s="619"/>
      <c r="M27" s="619"/>
      <c r="N27" s="472"/>
      <c r="O27" s="472"/>
      <c r="P27" s="472"/>
      <c r="Q27" s="472"/>
      <c r="R27" s="472"/>
      <c r="S27" s="599" t="n">
        <f>'IRA and CHIPS'!E187</f>
        <v>0</v>
      </c>
      <c r="T27" s="599" t="n">
        <f>'IRA and CHIPS'!F187</f>
        <v>1.2969999999999999</v>
      </c>
      <c r="U27" s="599" t="n">
        <f>'IRA and CHIPS'!G187</f>
        <v>1.2969999999999999</v>
      </c>
      <c r="V27" s="599" t="n">
        <f>'IRA and CHIPS'!H187</f>
        <v>1.2969999999999999</v>
      </c>
      <c r="W27" s="595" t="n">
        <f>'IRA and CHIPS'!I187</f>
        <v>1.2969999999999999</v>
      </c>
      <c r="X27" s="599" t="n">
        <f>'IRA and CHIPS'!J187</f>
        <v>3.8479999999999999</v>
      </c>
      <c r="Y27" s="620" t="n">
        <f>'IRA and CHIPS'!K187</f>
        <v>3.8479999999999999</v>
      </c>
      <c r="Z27" s="620" t="n">
        <f>'IRA and CHIPS'!L187</f>
        <v>3.8479999999999999</v>
      </c>
      <c r="AA27" s="620" t="n">
        <f>'IRA and CHIPS'!M187</f>
        <v>3.8479999999999999</v>
      </c>
      <c r="AB27" s="620" t="n">
        <f>'IRA and CHIPS'!N187</f>
        <v>6.4420000000000002</v>
      </c>
      <c r="AC27" s="620" t="n">
        <f>'IRA and CHIPS'!O187</f>
        <v>6.4420000000000002</v>
      </c>
      <c r="AD27" s="620" t="n">
        <f>'IRA and CHIPS'!P187</f>
        <v>6.4420000000000002</v>
      </c>
      <c r="AE27" s="620" t="n">
        <f>'IRA and CHIPS'!Q187</f>
        <v>6.4420000000000002</v>
      </c>
      <c r="AF27" s="620" t="n">
        <f>'IRA and CHIPS'!R187</f>
        <v>9.532</v>
      </c>
      <c r="AG27" s="620" t="n">
        <f>'IRA and CHIPS'!S187</f>
        <v>9.532</v>
      </c>
      <c r="AH27" s="620" t="n">
        <f>AG27</f>
        <v>9.532</v>
      </c>
    </row>
    <row r="28" ht="15" customHeight="1">
      <c r="B28" s="589" t="s">
        <v>418</v>
      </c>
      <c r="C28" s="590"/>
      <c r="D28" s="621"/>
      <c r="E28" s="590"/>
      <c r="F28" s="590"/>
      <c r="G28" s="590"/>
      <c r="H28" s="65"/>
      <c r="I28" s="65"/>
      <c r="J28" s="65"/>
      <c r="K28" s="65"/>
      <c r="L28" s="65"/>
      <c r="M28" s="65"/>
      <c r="N28" s="65"/>
      <c r="O28" s="65"/>
      <c r="P28" s="512"/>
      <c r="Q28" s="65"/>
      <c r="R28" s="65"/>
      <c r="S28" s="65"/>
      <c r="T28" s="65"/>
      <c r="U28" s="65"/>
      <c r="V28" s="597"/>
      <c r="W28" s="597"/>
      <c r="X28" s="597"/>
      <c r="Y28" s="601"/>
      <c r="Z28" s="601"/>
      <c r="AA28" s="601"/>
      <c r="AB28" s="601"/>
      <c r="AC28" s="601"/>
      <c r="AD28" s="602"/>
      <c r="AE28" s="610"/>
      <c r="AF28" s="610"/>
      <c r="AG28" s="602"/>
      <c r="AH28" s="602"/>
    </row>
    <row r="29">
      <c r="B29" s="501" t="s">
        <v>419</v>
      </c>
      <c r="C29" s="338"/>
      <c r="D29" s="573"/>
      <c r="E29" s="338"/>
      <c r="F29" s="287"/>
      <c r="G29" s="287"/>
      <c r="H29" s="65"/>
      <c r="I29" s="65"/>
      <c r="J29" s="65"/>
      <c r="K29" s="65"/>
      <c r="L29" s="65"/>
      <c r="M29" s="65"/>
      <c r="N29" s="65" t="n">
        <f>SUM(N30:N34)</f>
        <v>23</v>
      </c>
      <c r="O29" s="65" t="n">
        <f>SUM(O30:O34)</f>
        <v>162</v>
      </c>
      <c r="P29" s="65"/>
      <c r="Q29" s="65"/>
      <c r="R29" s="65"/>
      <c r="S29" s="65"/>
      <c r="T29" s="65"/>
      <c r="U29" s="65"/>
      <c r="V29" s="85"/>
      <c r="W29" s="85"/>
      <c r="X29" s="85"/>
      <c r="Y29" s="602"/>
      <c r="Z29" s="602"/>
      <c r="AA29" s="602"/>
      <c r="AB29" s="602"/>
      <c r="AC29" s="602"/>
      <c r="AD29" s="602"/>
      <c r="AE29" s="610"/>
      <c r="AF29" s="610"/>
      <c r="AG29" s="602"/>
      <c r="AH29" s="602"/>
    </row>
    <row r="30">
      <c r="B30" s="442" t="s">
        <v>420</v>
      </c>
      <c r="C30" s="338"/>
      <c r="D30" s="573"/>
      <c r="E30" s="338"/>
      <c r="F30" s="287"/>
      <c r="G30" s="287"/>
      <c r="H30" s="65"/>
      <c r="I30" s="65"/>
      <c r="J30" s="65"/>
      <c r="K30" s="65"/>
      <c r="L30" s="625"/>
      <c r="M30" s="65"/>
      <c r="N30" s="65" t="n">
        <f>(4*'Response and Relief Act Score'!$F$15-$M$18)/2</f>
        <v>11</v>
      </c>
      <c r="O30" s="65" t="n">
        <f>(4*'Response and Relief Act Score'!$F$15-$M$18)/2</f>
        <v>11</v>
      </c>
      <c r="P30" s="65"/>
      <c r="Q30" s="65"/>
      <c r="R30" s="65"/>
      <c r="S30" s="65"/>
      <c r="T30" s="65"/>
      <c r="U30" s="65"/>
      <c r="V30" s="85"/>
      <c r="W30" s="85"/>
      <c r="X30" s="85"/>
      <c r="Y30" s="602"/>
      <c r="Z30" s="602"/>
      <c r="AA30" s="602"/>
      <c r="AB30" s="602"/>
      <c r="AC30" s="602"/>
      <c r="AD30" s="602"/>
      <c r="AE30" s="610"/>
      <c r="AF30" s="610"/>
      <c r="AG30" s="602"/>
      <c r="AH30" s="602"/>
    </row>
    <row r="31">
      <c r="B31" s="442" t="s">
        <v>417</v>
      </c>
      <c r="C31" s="338"/>
      <c r="D31" s="573"/>
      <c r="E31" s="338"/>
      <c r="F31" s="287"/>
      <c r="G31" s="287"/>
      <c r="H31" s="65"/>
      <c r="I31" s="65"/>
      <c r="J31" s="65"/>
      <c r="K31" s="65"/>
      <c r="L31" s="625"/>
      <c r="M31" s="65"/>
      <c r="N31" s="65"/>
      <c r="O31" s="65"/>
      <c r="P31" s="65"/>
      <c r="Q31" s="65"/>
      <c r="R31" s="65"/>
      <c r="S31" s="65"/>
      <c r="T31" s="65"/>
      <c r="U31" s="65"/>
      <c r="V31" s="85"/>
      <c r="W31" s="85"/>
      <c r="X31" s="85"/>
      <c r="Y31" s="602"/>
      <c r="Z31" s="602"/>
      <c r="AA31" s="602"/>
      <c r="AB31" s="602"/>
      <c r="AC31" s="602"/>
      <c r="AD31" s="602"/>
      <c r="AE31" s="610"/>
      <c r="AF31" s="610"/>
      <c r="AG31" s="602"/>
      <c r="AH31" s="602"/>
    </row>
    <row r="32">
      <c r="B32" s="638" t="s">
        <v>414</v>
      </c>
      <c r="C32" s="338"/>
      <c r="D32" s="573"/>
      <c r="E32" s="338"/>
      <c r="F32" s="287"/>
      <c r="G32" s="287"/>
      <c r="H32" s="65"/>
      <c r="I32" s="65"/>
      <c r="J32" s="65"/>
      <c r="K32" s="65"/>
      <c r="L32" s="65"/>
      <c r="M32" s="65"/>
      <c r="N32" s="65"/>
      <c r="O32" s="65" t="n">
        <v>79</v>
      </c>
      <c r="P32" s="65"/>
      <c r="Q32" s="479"/>
      <c r="R32" s="479"/>
      <c r="S32" s="479"/>
      <c r="T32" s="479"/>
      <c r="U32" s="479"/>
      <c r="V32" s="85"/>
      <c r="W32" s="85"/>
      <c r="X32" s="85"/>
      <c r="Y32" s="602"/>
      <c r="Z32" s="602"/>
      <c r="AA32" s="602"/>
      <c r="AB32" s="602"/>
      <c r="AC32" s="602"/>
      <c r="AD32" s="602"/>
      <c r="AE32" s="610"/>
      <c r="AF32" s="610"/>
      <c r="AG32" s="602"/>
      <c r="AH32" s="602"/>
    </row>
    <row r="33">
      <c r="B33" s="639" t="s">
        <v>421</v>
      </c>
      <c r="C33" s="338"/>
      <c r="D33" s="573"/>
      <c r="E33" s="338"/>
      <c r="F33" s="287"/>
      <c r="G33" s="287"/>
      <c r="H33" s="65"/>
      <c r="I33" s="65"/>
      <c r="J33" s="65"/>
      <c r="K33" s="65"/>
      <c r="L33" s="65"/>
      <c r="M33" s="65"/>
      <c r="N33" s="65"/>
      <c r="O33" s="65" t="n">
        <f>'Response and Relief Act Score'!F13*4</f>
        <v>60</v>
      </c>
      <c r="P33" s="65"/>
      <c r="Q33" s="479"/>
      <c r="R33" s="479"/>
      <c r="S33" s="479"/>
      <c r="T33" s="479"/>
      <c r="U33" s="479"/>
      <c r="V33" s="85"/>
      <c r="W33" s="85"/>
      <c r="X33" s="85"/>
      <c r="Y33" s="602"/>
      <c r="Z33" s="602"/>
      <c r="AA33" s="602"/>
      <c r="AB33" s="602"/>
      <c r="AC33" s="602"/>
      <c r="AD33" s="602"/>
      <c r="AE33" s="610"/>
      <c r="AF33" s="610"/>
      <c r="AG33" s="602"/>
      <c r="AH33" s="602"/>
    </row>
    <row r="34" ht="27.65" customHeight="1">
      <c r="B34" s="639" t="s">
        <v>422</v>
      </c>
      <c r="C34" s="338"/>
      <c r="D34" s="623"/>
      <c r="E34" s="624"/>
      <c r="F34" s="619"/>
      <c r="G34" s="619"/>
      <c r="H34" s="472"/>
      <c r="I34" s="472"/>
      <c r="J34" s="472"/>
      <c r="K34" s="472"/>
      <c r="L34" s="629"/>
      <c r="M34" s="472"/>
      <c r="N34" s="472" t="n">
        <f>'Response and Relief Act Score'!F14*4/2</f>
        <v>12</v>
      </c>
      <c r="O34" s="472" t="n">
        <f>'Response and Relief Act Score'!F14*4/2</f>
        <v>12</v>
      </c>
      <c r="P34" s="472"/>
      <c r="Q34" s="472"/>
      <c r="R34" s="472"/>
      <c r="S34" s="472"/>
      <c r="T34" s="472"/>
      <c r="U34" s="65"/>
      <c r="V34" s="85"/>
      <c r="W34" s="85"/>
      <c r="X34" s="85"/>
      <c r="Y34" s="602"/>
      <c r="Z34" s="602"/>
      <c r="AA34" s="602"/>
      <c r="AB34" s="602"/>
      <c r="AC34" s="602"/>
      <c r="AD34" s="602"/>
      <c r="AE34" s="610"/>
      <c r="AF34" s="610"/>
      <c r="AG34" s="602"/>
      <c r="AH34" s="602"/>
    </row>
    <row r="35" ht="15" customHeight="1">
      <c r="B35" s="587" t="s">
        <v>423</v>
      </c>
      <c r="C35" s="588"/>
      <c r="D35" s="573"/>
      <c r="E35" s="338"/>
      <c r="F35" s="287"/>
      <c r="G35" s="287"/>
      <c r="H35" s="65"/>
      <c r="I35" s="65"/>
      <c r="J35" s="65"/>
      <c r="K35" s="65"/>
      <c r="L35" s="625"/>
      <c r="M35" s="65"/>
      <c r="N35" s="65"/>
      <c r="O35" s="65"/>
      <c r="P35" s="65"/>
      <c r="Q35" s="65"/>
      <c r="R35" s="65"/>
      <c r="S35" s="65"/>
      <c r="T35" s="491"/>
      <c r="U35" s="604"/>
      <c r="V35" s="597"/>
      <c r="W35" s="597"/>
      <c r="X35" s="597"/>
      <c r="Y35" s="601"/>
      <c r="Z35" s="601"/>
      <c r="AA35" s="601"/>
      <c r="AB35" s="601"/>
      <c r="AC35" s="601"/>
      <c r="AD35" s="602"/>
      <c r="AE35" s="610"/>
      <c r="AF35" s="610"/>
      <c r="AG35" s="602"/>
      <c r="AH35" s="602"/>
    </row>
    <row r="36" ht="13.5" customHeight="1">
      <c r="B36" s="639" t="s">
        <v>143</v>
      </c>
      <c r="C36" s="338"/>
      <c r="D36" s="573"/>
      <c r="E36" s="338"/>
      <c r="F36" s="287"/>
      <c r="G36" s="287"/>
      <c r="H36" s="65"/>
      <c r="I36" s="65"/>
      <c r="J36" s="65"/>
      <c r="K36" s="65"/>
      <c r="L36" s="625"/>
      <c r="M36" s="65" t="n">
        <f>'ARP Quarterly'!C18</f>
        <v>0</v>
      </c>
      <c r="N36" s="65" t="n">
        <f>'ARP Quarterly'!D18</f>
        <v>2.2132800000000001</v>
      </c>
      <c r="O36" s="65" t="n">
        <f>'ARP Quarterly'!E18</f>
        <v>10.082720000000002</v>
      </c>
      <c r="P36" s="65" t="n">
        <f>'ARP Quarterly'!F18</f>
        <v>7.1439999999999992</v>
      </c>
      <c r="Q36" s="65" t="n">
        <f>'ARP Quarterly'!G18</f>
        <v>7.1439999999999992</v>
      </c>
      <c r="R36" s="65" t="n">
        <f>'ARP Quarterly'!H18</f>
        <v>7.1439999999999992</v>
      </c>
      <c r="S36" s="65" t="n">
        <f>'ARP Quarterly'!I18</f>
        <v>7.1439999999999992</v>
      </c>
      <c r="T36" s="65" t="n">
        <f>'ARP Quarterly'!J18</f>
        <v>0</v>
      </c>
      <c r="U36" s="65" t="n">
        <f>'ARP Quarterly'!K18</f>
        <v>0</v>
      </c>
      <c r="V36" s="65" t="n">
        <f>'ARP Quarterly'!L18</f>
        <v>0</v>
      </c>
      <c r="W36" s="65" t="n">
        <f>'ARP Quarterly'!M18</f>
        <v>0</v>
      </c>
      <c r="X36" s="65" t="n">
        <f>'ARP Quarterly'!N18</f>
        <v>0</v>
      </c>
      <c r="Y36" s="414" t="n">
        <f>'ARP Quarterly'!O18</f>
        <v>0</v>
      </c>
      <c r="Z36" s="414" t="n">
        <f>'ARP Quarterly'!P18</f>
        <v>0</v>
      </c>
      <c r="AA36" s="414" t="n">
        <f>'ARP Quarterly'!Q18</f>
        <v>0</v>
      </c>
      <c r="AB36" s="414" t="n">
        <f>'ARP Quarterly'!R18</f>
        <v>0</v>
      </c>
      <c r="AC36" s="414" t="n">
        <f>'ARP Quarterly'!S18</f>
        <v>0</v>
      </c>
      <c r="AD36" s="602"/>
      <c r="AE36" s="610"/>
      <c r="AF36" s="610"/>
      <c r="AG36" s="602"/>
      <c r="AH36" s="602"/>
    </row>
    <row r="37">
      <c r="B37" s="639" t="s">
        <v>424</v>
      </c>
      <c r="C37" s="338"/>
      <c r="D37" s="573"/>
      <c r="E37" s="338"/>
      <c r="F37" s="287"/>
      <c r="G37" s="287"/>
      <c r="H37" s="65"/>
      <c r="I37" s="65"/>
      <c r="J37" s="65"/>
      <c r="K37" s="65"/>
      <c r="L37" s="625"/>
      <c r="M37" s="65" t="n">
        <f>'ARP Quarterly'!C19</f>
        <v>0</v>
      </c>
      <c r="N37" s="65" t="n">
        <f>'ARP Quarterly'!D19</f>
        <v>15.128640000000001</v>
      </c>
      <c r="O37" s="65" t="n">
        <f>'ARP Quarterly'!E19</f>
        <v>68.919360000000012</v>
      </c>
      <c r="P37" s="65" t="n">
        <f>'ARP Quarterly'!F19</f>
        <v>5.6120000000000001</v>
      </c>
      <c r="Q37" s="65" t="n">
        <f>'ARP Quarterly'!G19</f>
        <v>5.6120000000000001</v>
      </c>
      <c r="R37" s="65" t="n">
        <f>'ARP Quarterly'!H19</f>
        <v>5.6120000000000001</v>
      </c>
      <c r="S37" s="65" t="n">
        <f>'ARP Quarterly'!I19</f>
        <v>5.6120000000000001</v>
      </c>
      <c r="T37" s="65" t="n">
        <f>'ARP Quarterly'!J19</f>
        <v>0.48599999999999993</v>
      </c>
      <c r="U37" s="65" t="n">
        <f>'ARP Quarterly'!K19</f>
        <v>0.48599999999999993</v>
      </c>
      <c r="V37" s="65" t="n">
        <f>'ARP Quarterly'!L19</f>
        <v>0.48599999999999993</v>
      </c>
      <c r="W37" s="65" t="n">
        <f>'ARP Quarterly'!M19</f>
        <v>0.48599999999999993</v>
      </c>
      <c r="X37" s="65" t="n">
        <f>'ARP Quarterly'!N19</f>
        <v>0</v>
      </c>
      <c r="Y37" s="414" t="n">
        <f>'ARP Quarterly'!O19</f>
        <v>0</v>
      </c>
      <c r="Z37" s="414" t="n">
        <f>'ARP Quarterly'!P19</f>
        <v>0</v>
      </c>
      <c r="AA37" s="414" t="n">
        <f>'ARP Quarterly'!Q19</f>
        <v>0</v>
      </c>
      <c r="AB37" s="414" t="n">
        <f>'ARP Quarterly'!R19</f>
        <v>0</v>
      </c>
      <c r="AC37" s="414" t="n">
        <f>'ARP Quarterly'!S19</f>
        <v>0</v>
      </c>
      <c r="AD37" s="602"/>
      <c r="AE37" s="610"/>
      <c r="AF37" s="610"/>
      <c r="AG37" s="602"/>
      <c r="AH37" s="602"/>
    </row>
    <row r="38">
      <c r="B38" s="639" t="s">
        <v>148</v>
      </c>
      <c r="C38" s="338"/>
      <c r="D38" s="573"/>
      <c r="E38" s="338"/>
      <c r="F38" s="287"/>
      <c r="G38" s="287"/>
      <c r="H38" s="65"/>
      <c r="I38" s="65"/>
      <c r="J38" s="65"/>
      <c r="K38" s="65"/>
      <c r="L38" s="625"/>
      <c r="M38" s="65" t="n">
        <f>'ARP Quarterly'!C20</f>
        <v>0</v>
      </c>
      <c r="N38" s="65" t="n">
        <f>'ARP Quarterly'!D20</f>
        <v>3.2479199999999997</v>
      </c>
      <c r="O38" s="65" t="n">
        <f>'ARP Quarterly'!E20</f>
        <v>14.796080000000002</v>
      </c>
      <c r="P38" s="65" t="n">
        <f>'ARP Quarterly'!F20</f>
        <v>1.7329999999999999</v>
      </c>
      <c r="Q38" s="65" t="n">
        <f>'ARP Quarterly'!G20</f>
        <v>1.7329999999999999</v>
      </c>
      <c r="R38" s="65" t="n">
        <f>'ARP Quarterly'!H20</f>
        <v>1.7329999999999999</v>
      </c>
      <c r="S38" s="65" t="n">
        <f>'ARP Quarterly'!I20</f>
        <v>1.7329999999999999</v>
      </c>
      <c r="T38" s="65" t="n">
        <f>'ARP Quarterly'!J20</f>
        <v>0</v>
      </c>
      <c r="U38" s="65" t="n">
        <f>'ARP Quarterly'!K20</f>
        <v>0</v>
      </c>
      <c r="V38" s="65" t="n">
        <f>'ARP Quarterly'!L20</f>
        <v>0</v>
      </c>
      <c r="W38" s="65" t="n">
        <f>'ARP Quarterly'!M20</f>
        <v>0</v>
      </c>
      <c r="X38" s="65" t="n">
        <f>'ARP Quarterly'!N20</f>
        <v>0</v>
      </c>
      <c r="Y38" s="414" t="n">
        <f>'ARP Quarterly'!O20</f>
        <v>0</v>
      </c>
      <c r="Z38" s="414" t="n">
        <f>'ARP Quarterly'!P20</f>
        <v>0</v>
      </c>
      <c r="AA38" s="414" t="n">
        <f>'ARP Quarterly'!Q20</f>
        <v>0</v>
      </c>
      <c r="AB38" s="414" t="n">
        <f>'ARP Quarterly'!R20</f>
        <v>0</v>
      </c>
      <c r="AC38" s="414" t="n">
        <f>'ARP Quarterly'!S20</f>
        <v>0</v>
      </c>
      <c r="AD38" s="602"/>
      <c r="AE38" s="610"/>
      <c r="AF38" s="610"/>
      <c r="AG38" s="602"/>
      <c r="AH38" s="602"/>
    </row>
    <row r="39">
      <c r="B39" s="639" t="s">
        <v>414</v>
      </c>
      <c r="C39" s="338"/>
      <c r="D39" s="573"/>
      <c r="E39" s="338"/>
      <c r="F39" s="287"/>
      <c r="G39" s="287"/>
      <c r="H39" s="65"/>
      <c r="I39" s="65"/>
      <c r="J39" s="65"/>
      <c r="K39" s="65"/>
      <c r="L39" s="625"/>
      <c r="M39" s="65" t="n">
        <f>'ARP Quarterly'!C21</f>
        <v>0</v>
      </c>
      <c r="N39" s="65" t="n">
        <f>'ARP Quarterly'!D21</f>
        <v>13.2921</v>
      </c>
      <c r="O39" s="65" t="n">
        <f>'ARP Quarterly'!E21</f>
        <v>60.552900000000008</v>
      </c>
      <c r="P39" s="65" t="n">
        <f>'ARP Quarterly'!F21</f>
        <v>1.0687500000000001</v>
      </c>
      <c r="Q39" s="65" t="n">
        <f>'ARP Quarterly'!G21</f>
        <v>1.0687500000000001</v>
      </c>
      <c r="R39" s="65" t="n">
        <f>'ARP Quarterly'!H21</f>
        <v>1.0687500000000001</v>
      </c>
      <c r="S39" s="65" t="n">
        <f>'ARP Quarterly'!I21</f>
        <v>1.0687500000000001</v>
      </c>
      <c r="T39" s="65" t="n">
        <f>'ARP Quarterly'!J21</f>
        <v>0.78750000000000009</v>
      </c>
      <c r="U39" s="65" t="n">
        <f>'ARP Quarterly'!K21</f>
        <v>0.78750000000000009</v>
      </c>
      <c r="V39" s="65" t="n">
        <f>'ARP Quarterly'!L21</f>
        <v>0.78750000000000009</v>
      </c>
      <c r="W39" s="65" t="n">
        <f>'ARP Quarterly'!M21</f>
        <v>0.78750000000000009</v>
      </c>
      <c r="X39" s="65" t="n">
        <f>'ARP Quarterly'!N21</f>
        <v>0</v>
      </c>
      <c r="Y39" s="414" t="n">
        <f>'ARP Quarterly'!O21</f>
        <v>0</v>
      </c>
      <c r="Z39" s="414" t="n">
        <f>'ARP Quarterly'!P21</f>
        <v>0</v>
      </c>
      <c r="AA39" s="414" t="n">
        <f>'ARP Quarterly'!Q21</f>
        <v>0</v>
      </c>
      <c r="AB39" s="414" t="n">
        <f>'ARP Quarterly'!R21</f>
        <v>0</v>
      </c>
      <c r="AC39" s="414" t="n">
        <f>'ARP Quarterly'!S21</f>
        <v>0</v>
      </c>
      <c r="AD39" s="602"/>
      <c r="AE39" s="610"/>
      <c r="AF39" s="610"/>
      <c r="AG39" s="602"/>
      <c r="AH39" s="602"/>
    </row>
    <row r="40" ht="30" customHeight="1">
      <c r="B40" s="639" t="s">
        <v>425</v>
      </c>
      <c r="C40" s="338"/>
      <c r="D40" s="573"/>
      <c r="E40" s="338"/>
      <c r="F40" s="287"/>
      <c r="G40" s="287"/>
      <c r="H40" s="65"/>
      <c r="I40" s="65"/>
      <c r="J40" s="65"/>
      <c r="K40" s="65"/>
      <c r="L40" s="625"/>
      <c r="M40" s="65" t="n">
        <f>'ARP Quarterly'!C22</f>
        <v>0</v>
      </c>
      <c r="N40" s="65" t="n">
        <f>'ARP Quarterly'!D22</f>
        <v>22.153499999999998</v>
      </c>
      <c r="O40" s="65" t="n">
        <f>'ARP Quarterly'!E22</f>
        <v>100.92150000000002</v>
      </c>
      <c r="P40" s="65" t="n">
        <f>'ARP Quarterly'!F22</f>
        <v>1.7812500000000002</v>
      </c>
      <c r="Q40" s="65" t="n">
        <f>'ARP Quarterly'!G22</f>
        <v>1.7812500000000002</v>
      </c>
      <c r="R40" s="65" t="n">
        <f>'ARP Quarterly'!H22</f>
        <v>1.7812500000000002</v>
      </c>
      <c r="S40" s="65" t="n">
        <f>'ARP Quarterly'!I22</f>
        <v>1.7812500000000002</v>
      </c>
      <c r="T40" s="65" t="n">
        <f>'ARP Quarterly'!J22</f>
        <v>1.3125000000000002</v>
      </c>
      <c r="U40" s="65" t="n">
        <f>'ARP Quarterly'!K22</f>
        <v>1.3125000000000002</v>
      </c>
      <c r="V40" s="65" t="n">
        <f>'ARP Quarterly'!L22</f>
        <v>1.3125000000000002</v>
      </c>
      <c r="W40" s="65" t="n">
        <f>'ARP Quarterly'!M22</f>
        <v>1.3125000000000002</v>
      </c>
      <c r="X40" s="65" t="n">
        <f>'ARP Quarterly'!N22</f>
        <v>0</v>
      </c>
      <c r="Y40" s="414" t="n">
        <f>'ARP Quarterly'!O22</f>
        <v>0</v>
      </c>
      <c r="Z40" s="414" t="n">
        <f>'ARP Quarterly'!P22</f>
        <v>0</v>
      </c>
      <c r="AA40" s="414" t="n">
        <f>'ARP Quarterly'!Q22</f>
        <v>0</v>
      </c>
      <c r="AB40" s="414" t="n">
        <f>'ARP Quarterly'!R22</f>
        <v>0</v>
      </c>
      <c r="AC40" s="414" t="n">
        <f>'ARP Quarterly'!S22</f>
        <v>0</v>
      </c>
      <c r="AD40" s="602"/>
      <c r="AE40" s="610"/>
      <c r="AF40" s="610"/>
      <c r="AG40" s="602"/>
      <c r="AH40" s="602"/>
    </row>
    <row r="41">
      <c r="B41" s="639" t="s">
        <v>426</v>
      </c>
      <c r="C41" s="338"/>
      <c r="D41" s="573"/>
      <c r="E41" s="338"/>
      <c r="F41" s="287"/>
      <c r="G41" s="287"/>
      <c r="H41" s="65"/>
      <c r="I41" s="65"/>
      <c r="J41" s="65"/>
      <c r="K41" s="65"/>
      <c r="L41" s="625"/>
      <c r="M41" s="65" t="n">
        <f>'ARP Quarterly'!C23</f>
        <v>0</v>
      </c>
      <c r="N41" s="65" t="n">
        <f>'ARP Quarterly'!D23</f>
        <v>2.9519999999999995</v>
      </c>
      <c r="O41" s="65" t="n">
        <f>'ARP Quarterly'!E23</f>
        <v>13.448</v>
      </c>
      <c r="P41" s="65" t="n">
        <f>'ARP Quarterly'!F23</f>
        <v>11.3</v>
      </c>
      <c r="Q41" s="65" t="n">
        <f>'ARP Quarterly'!G23</f>
        <v>11.3</v>
      </c>
      <c r="R41" s="65" t="n">
        <f>'ARP Quarterly'!H23</f>
        <v>11.3</v>
      </c>
      <c r="S41" s="65" t="n">
        <f>'ARP Quarterly'!I23</f>
        <v>11.3</v>
      </c>
      <c r="T41" s="65" t="n">
        <f>'ARP Quarterly'!J23</f>
        <v>8.4</v>
      </c>
      <c r="U41" s="65" t="n">
        <f>'ARP Quarterly'!K23</f>
        <v>8.4</v>
      </c>
      <c r="V41" s="65" t="n">
        <f>'ARP Quarterly'!L23</f>
        <v>8.4</v>
      </c>
      <c r="W41" s="65" t="n">
        <f>'ARP Quarterly'!M23</f>
        <v>8.4</v>
      </c>
      <c r="X41" s="65" t="n">
        <f>'ARP Quarterly'!N23</f>
        <v>0.2</v>
      </c>
      <c r="Y41" s="414" t="n">
        <f>'ARP Quarterly'!O23</f>
        <v>0.2</v>
      </c>
      <c r="Z41" s="414" t="n">
        <f>'ARP Quarterly'!P23</f>
        <v>0.2</v>
      </c>
      <c r="AA41" s="414" t="n">
        <f>'ARP Quarterly'!Q23</f>
        <v>0.2</v>
      </c>
      <c r="AB41" s="414" t="n">
        <f>'ARP Quarterly'!R23</f>
        <v>0</v>
      </c>
      <c r="AC41" s="414" t="n">
        <f>'ARP Quarterly'!S23</f>
        <v>0</v>
      </c>
      <c r="AD41" s="602"/>
      <c r="AE41" s="610"/>
      <c r="AF41" s="610"/>
      <c r="AG41" s="602"/>
      <c r="AH41" s="602"/>
    </row>
    <row r="42">
      <c r="B42" s="639" t="s">
        <v>427</v>
      </c>
      <c r="C42" s="338"/>
      <c r="D42" s="573"/>
      <c r="E42" s="338"/>
      <c r="F42" s="287"/>
      <c r="G42" s="287"/>
      <c r="H42" s="65"/>
      <c r="I42" s="65"/>
      <c r="J42" s="65"/>
      <c r="K42" s="65"/>
      <c r="L42" s="625"/>
      <c r="M42" s="65" t="n">
        <f>'ARP Quarterly'!C24</f>
        <v>0</v>
      </c>
      <c r="N42" s="65" t="n">
        <f>'ARP Quarterly'!D24</f>
        <v>-0.20447999999999997</v>
      </c>
      <c r="O42" s="65" t="n">
        <f>'ARP Quarterly'!E24</f>
        <v>-0.93152000000000001</v>
      </c>
      <c r="P42" s="65" t="n">
        <v>0</v>
      </c>
      <c r="Q42" s="65" t="n">
        <v>0</v>
      </c>
      <c r="R42" s="65" t="n">
        <v>0</v>
      </c>
      <c r="S42" s="65" t="n">
        <v>0</v>
      </c>
      <c r="T42" s="65" t="n">
        <v>0</v>
      </c>
      <c r="U42" s="65" t="n">
        <v>0</v>
      </c>
      <c r="V42" s="65" t="n">
        <v>0</v>
      </c>
      <c r="W42" s="65" t="n">
        <v>0</v>
      </c>
      <c r="X42" s="65" t="n">
        <v>0</v>
      </c>
      <c r="Y42" s="414" t="n">
        <v>0</v>
      </c>
      <c r="Z42" s="414" t="n">
        <v>0</v>
      </c>
      <c r="AA42" s="414" t="n">
        <v>0</v>
      </c>
      <c r="AB42" s="414" t="n">
        <v>0</v>
      </c>
      <c r="AC42" s="414" t="n">
        <v>0</v>
      </c>
      <c r="AD42" s="602"/>
      <c r="AE42" s="610"/>
      <c r="AF42" s="610"/>
      <c r="AG42" s="602"/>
      <c r="AH42" s="602"/>
    </row>
    <row r="43">
      <c r="B43" s="639" t="s">
        <v>312</v>
      </c>
      <c r="C43" s="338"/>
      <c r="D43" s="623"/>
      <c r="E43" s="624"/>
      <c r="F43" s="619"/>
      <c r="G43" s="619"/>
      <c r="H43" s="472"/>
      <c r="I43" s="472"/>
      <c r="J43" s="472"/>
      <c r="K43" s="472"/>
      <c r="L43" s="629"/>
      <c r="M43" s="472" t="n">
        <f>'ARP Quarterly'!C25</f>
        <v>0</v>
      </c>
      <c r="N43" s="472" t="n">
        <f>'ARP Quarterly'!D25</f>
        <v>58.782959999999996</v>
      </c>
      <c r="O43" s="472" t="n">
        <f>'ARP Quarterly'!E25</f>
        <v>267.78904000000006</v>
      </c>
      <c r="P43" s="472" t="n">
        <f>'ARP Quarterly'!F25</f>
        <v>110.24799999999999</v>
      </c>
      <c r="Q43" s="472" t="n">
        <f>'ARP Quarterly'!G25</f>
        <v>110.24799999999999</v>
      </c>
      <c r="R43" s="472" t="n">
        <f>'ARP Quarterly'!H25</f>
        <v>110.24799999999999</v>
      </c>
      <c r="S43" s="472" t="n">
        <f>'ARP Quarterly'!I25</f>
        <v>110.24799999999999</v>
      </c>
      <c r="T43" s="472" t="n">
        <f>'ARP Quarterly'!J25</f>
        <v>12.362</v>
      </c>
      <c r="U43" s="65" t="n">
        <f>'ARP Quarterly'!K25</f>
        <v>12.362</v>
      </c>
      <c r="V43" s="65" t="n">
        <f>'ARP Quarterly'!L25</f>
        <v>12.362</v>
      </c>
      <c r="W43" s="65" t="n">
        <f>'ARP Quarterly'!M25</f>
        <v>12.362</v>
      </c>
      <c r="X43" s="65" t="n">
        <f>'ARP Quarterly'!N25</f>
        <v>-0.67500000000000004</v>
      </c>
      <c r="Y43" s="414" t="n">
        <f>'ARP Quarterly'!O25</f>
        <v>-0.67500000000000004</v>
      </c>
      <c r="Z43" s="414" t="n">
        <f>'ARP Quarterly'!P25</f>
        <v>-0.67500000000000004</v>
      </c>
      <c r="AA43" s="414" t="n">
        <f>'ARP Quarterly'!Q25</f>
        <v>-0.67500000000000004</v>
      </c>
      <c r="AB43" s="414" t="n">
        <f>'ARP Quarterly'!R25</f>
        <v>0</v>
      </c>
      <c r="AC43" s="414" t="n">
        <f>'ARP Quarterly'!S25</f>
        <v>0</v>
      </c>
      <c r="AD43" s="602"/>
      <c r="AE43" s="610"/>
      <c r="AF43" s="610"/>
      <c r="AG43" s="602"/>
      <c r="AH43" s="602"/>
    </row>
    <row r="44" ht="15" customHeight="1">
      <c r="B44" s="587" t="s">
        <v>428</v>
      </c>
      <c r="C44" s="588"/>
      <c r="D44" s="622"/>
      <c r="E44" s="84"/>
      <c r="F44" s="287"/>
      <c r="G44" s="287"/>
      <c r="H44" s="65"/>
      <c r="I44" s="65"/>
      <c r="J44" s="65"/>
      <c r="K44" s="65"/>
      <c r="L44" s="625"/>
      <c r="M44" s="65"/>
      <c r="N44" s="65"/>
      <c r="O44" s="65"/>
      <c r="P44" s="65"/>
      <c r="Q44" s="65"/>
      <c r="R44" s="65"/>
      <c r="S44" s="65"/>
      <c r="T44" s="65"/>
      <c r="U44" s="604"/>
      <c r="V44" s="597"/>
      <c r="W44" s="597"/>
      <c r="X44" s="597"/>
      <c r="Y44" s="601"/>
      <c r="Z44" s="601"/>
      <c r="AA44" s="601"/>
      <c r="AB44" s="601"/>
      <c r="AC44" s="601"/>
      <c r="AD44" s="602"/>
      <c r="AE44" s="610"/>
      <c r="AF44" s="610"/>
      <c r="AG44" s="602"/>
      <c r="AH44" s="602"/>
    </row>
    <row r="45" ht="21" customHeight="1">
      <c r="B45" s="506" t="s">
        <v>429</v>
      </c>
      <c r="C45" s="626"/>
      <c r="D45" s="506"/>
      <c r="E45" s="626"/>
      <c r="F45" s="617"/>
      <c r="G45" s="617"/>
      <c r="H45" s="605"/>
      <c r="I45" s="605"/>
      <c r="J45" s="605"/>
      <c r="K45" s="605"/>
      <c r="L45" s="627"/>
      <c r="M45" s="605" t="n">
        <f>'ARP Quarterly'!C6</f>
        <v>0</v>
      </c>
      <c r="N45" s="605" t="n">
        <f>'ARP Quarterly'!D6</f>
        <v>58.782959999999989</v>
      </c>
      <c r="O45" s="605" t="n">
        <f>'ARP Quarterly'!E6</f>
        <v>267.78904</v>
      </c>
      <c r="P45" s="605" t="n">
        <f>'ARP Quarterly'!F6</f>
        <v>110.24799999999999</v>
      </c>
      <c r="Q45" s="605" t="n">
        <f>'ARP Quarterly'!G6</f>
        <v>110.24799999999999</v>
      </c>
      <c r="R45" s="605" t="n">
        <f>'ARP Quarterly'!H6</f>
        <v>110.24799999999999</v>
      </c>
      <c r="S45" s="605" t="n">
        <f>'ARP Quarterly'!I6</f>
        <v>110.24799999999999</v>
      </c>
      <c r="T45" s="605" t="n">
        <f>'ARP Quarterly'!J6</f>
        <v>12.726000000000001</v>
      </c>
      <c r="U45" s="605" t="n">
        <f>'ARP Quarterly'!K6</f>
        <v>12.726000000000001</v>
      </c>
      <c r="V45" s="605" t="n">
        <f>'ARP Quarterly'!L6</f>
        <v>12.726000000000001</v>
      </c>
      <c r="W45" s="605" t="n">
        <f>'ARP Quarterly'!M6</f>
        <v>12.726000000000001</v>
      </c>
      <c r="X45" s="605" t="n">
        <f>'ARP Quarterly'!N6</f>
        <v>1.365</v>
      </c>
      <c r="Y45" s="603" t="n">
        <f>'ARP Quarterly'!O6</f>
        <v>1.365</v>
      </c>
      <c r="Z45" s="603" t="n">
        <f>'ARP Quarterly'!P6</f>
        <v>1.365</v>
      </c>
      <c r="AA45" s="603" t="n">
        <f>'ARP Quarterly'!Q6</f>
        <v>1.365</v>
      </c>
      <c r="AB45" s="603" t="n">
        <f>'ARP Quarterly'!R6</f>
        <v>-0.90100000000000025</v>
      </c>
      <c r="AC45" s="603" t="n">
        <f>'ARP Quarterly'!S6</f>
        <v>-0.90100000000000025</v>
      </c>
      <c r="AD45" s="603" t="n">
        <f>'ARP Quarterly'!T6</f>
        <v>-0.90100000000000025</v>
      </c>
      <c r="AE45" s="603" t="n">
        <f>'ARP Quarterly'!U6</f>
        <v>-0.90100000000000025</v>
      </c>
      <c r="AF45" s="603" t="n">
        <f>'ARP Quarterly'!V6</f>
        <v>-2.1500000000000004</v>
      </c>
      <c r="AG45" s="600" t="n">
        <v>0</v>
      </c>
      <c r="AH45" s="600" t="n">
        <v>0</v>
      </c>
    </row>
    <row r="46" ht="19.5" customHeight="1">
      <c r="A46" s="596"/>
      <c r="B46" s="634" t="s">
        <v>199</v>
      </c>
      <c r="C46" s="635"/>
      <c r="D46" s="634"/>
      <c r="E46" s="635"/>
      <c r="F46" s="606" t="n">
        <f>F11-F45</f>
        <v>60.5</v>
      </c>
      <c r="G46" s="606" t="n">
        <f>G11-G45</f>
        <v>81.400000000000006</v>
      </c>
      <c r="H46" s="606" t="n">
        <f t="shared" ref="H46:AE46" si="42">H11-H45</f>
        <v>82.1</v>
      </c>
      <c r="I46" s="606" t="n">
        <f>I11-I45</f>
        <v>80</v>
      </c>
      <c r="J46" s="606" t="n">
        <f t="shared" si="42"/>
        <v>975.8</v>
      </c>
      <c r="K46" s="606" t="n">
        <f t="shared" si="42"/>
        <v>1108.4000000000001</v>
      </c>
      <c r="L46" s="606" t="n">
        <f>L11-L45</f>
        <v>460.7</v>
      </c>
      <c r="M46" s="606" t="n">
        <f>M11-M45</f>
        <v>385.5</v>
      </c>
      <c r="N46" s="606" t="n">
        <f t="shared" si="42"/>
        <v>633.91704000000004</v>
      </c>
      <c r="O46" s="606" t="n">
        <f>O11-O45</f>
        <v>279.31096000000002</v>
      </c>
      <c r="P46" s="606" t="n">
        <f>P11-P45</f>
        <v>182.952</v>
      </c>
      <c r="Q46" s="606" t="n">
        <f t="shared" si="42"/>
        <v>41.152000000000015</v>
      </c>
      <c r="R46" s="606" t="n">
        <f t="shared" si="42"/>
        <v>19.25200000000001</v>
      </c>
      <c r="S46" s="606" t="n">
        <f t="shared" si="42"/>
        <v>7.4520000000000124</v>
      </c>
      <c r="T46" s="606" t="n">
        <f t="shared" si="42"/>
        <v>95.873999999999995</v>
      </c>
      <c r="U46" s="606" t="n">
        <f t="shared" si="42"/>
        <v>87.974000000000004</v>
      </c>
      <c r="V46" s="606" t="n">
        <f>V11-V45</f>
        <v>86.474000000000004</v>
      </c>
      <c r="W46" s="606" t="n">
        <f t="shared" si="42"/>
        <v>89.674000000000007</v>
      </c>
      <c r="X46" s="606" t="n">
        <f>X11-X45</f>
        <v>97.935000000000002</v>
      </c>
      <c r="Y46" s="637" t="n">
        <f t="shared" si="42"/>
        <v>95.135000000000005</v>
      </c>
      <c r="Z46" s="637" t="n">
        <f t="shared" si="42"/>
        <v>92.635000000000005</v>
      </c>
      <c r="AA46" s="637" t="n">
        <f t="shared" si="42"/>
        <v>92.635000000000005</v>
      </c>
      <c r="AB46" s="637" t="n">
        <f t="shared" si="42"/>
        <v>99.733999999999995</v>
      </c>
      <c r="AC46" s="637" t="n">
        <f>AC11-AC45</f>
        <v>99.733999999999995</v>
      </c>
      <c r="AD46" s="637" t="n">
        <f t="shared" si="42"/>
        <v>91.712000000000003</v>
      </c>
      <c r="AE46" s="637" t="n">
        <f t="shared" si="42"/>
        <v>91.712000000000003</v>
      </c>
      <c r="AF46" s="637" t="n">
        <f>AF11-AF45</f>
        <v>96.051000000000002</v>
      </c>
      <c r="AG46" s="637" t="n">
        <f>AG11-AG45</f>
        <v>93.900999999999996</v>
      </c>
      <c r="AH46" s="637" t="n">
        <f>AH11-AH45</f>
        <v>93.900999999999996</v>
      </c>
      <c r="AI46" s="596"/>
      <c r="AJ46" s="596"/>
      <c r="AK46" s="596"/>
      <c r="AL46" s="596"/>
      <c r="AM46" s="596"/>
      <c r="AN46" s="596"/>
      <c r="AO46" s="596"/>
      <c r="AP46" s="596"/>
      <c r="AQ46" s="596"/>
      <c r="AR46" s="596"/>
      <c r="AS46" s="596"/>
      <c r="AT46" s="596"/>
      <c r="AU46" s="596"/>
      <c r="AV46" s="596"/>
      <c r="AW46" s="596"/>
      <c r="AX46" s="596"/>
      <c r="AY46" s="596"/>
      <c r="AZ46" s="596"/>
      <c r="BA46" s="596"/>
      <c r="BB46" s="596"/>
      <c r="BC46" s="596"/>
      <c r="BD46" s="596"/>
      <c r="BE46" s="596"/>
      <c r="BF46" s="596"/>
      <c r="BG46" s="596"/>
      <c r="BH46" s="596"/>
      <c r="BI46" s="596"/>
      <c r="BJ46" s="596"/>
      <c r="BK46" s="596"/>
      <c r="BL46" s="596"/>
      <c r="BM46" s="596"/>
      <c r="BN46" s="596"/>
      <c r="BO46" s="596"/>
      <c r="BP46" s="596"/>
      <c r="BQ46" s="596"/>
      <c r="BR46" s="596"/>
      <c r="BS46" s="596"/>
      <c r="BT46" s="596"/>
      <c r="BU46" s="596"/>
      <c r="BV46" s="596"/>
      <c r="BW46" s="596"/>
      <c r="BX46" s="596"/>
      <c r="BY46" s="596"/>
      <c r="BZ46" s="596"/>
      <c r="CA46" s="596"/>
    </row>
    <row r="47" ht="19.5" customHeight="1">
      <c r="A47" s="596"/>
      <c r="B47" s="319"/>
      <c r="C47" s="319"/>
      <c r="D47" s="319"/>
      <c r="E47" s="319"/>
      <c r="F47" s="636"/>
      <c r="G47" s="636"/>
      <c r="H47" s="636"/>
      <c r="I47" s="636"/>
      <c r="J47" s="636"/>
      <c r="K47" s="636"/>
      <c r="L47" s="636"/>
      <c r="M47" s="636"/>
      <c r="N47" s="636"/>
      <c r="O47" s="636"/>
      <c r="P47" s="636"/>
      <c r="Q47" s="636"/>
      <c r="R47" s="636"/>
      <c r="S47" s="636"/>
      <c r="T47" s="636"/>
      <c r="U47" s="636"/>
      <c r="V47" s="636"/>
      <c r="W47" s="636"/>
      <c r="X47" s="636"/>
      <c r="Y47" s="636"/>
      <c r="Z47" s="636"/>
      <c r="AA47" s="636"/>
      <c r="AB47" s="636"/>
      <c r="AC47" s="636"/>
      <c r="AG47" s="596"/>
      <c r="AH47" s="596"/>
      <c r="AI47" s="596"/>
      <c r="AJ47" s="596"/>
      <c r="AK47" s="596"/>
      <c r="AL47" s="596"/>
      <c r="AM47" s="596"/>
      <c r="AN47" s="596"/>
      <c r="AO47" s="596"/>
      <c r="AP47" s="596"/>
      <c r="AQ47" s="596"/>
      <c r="AR47" s="596"/>
      <c r="AS47" s="596"/>
      <c r="AT47" s="596"/>
      <c r="AU47" s="596"/>
      <c r="AV47" s="596"/>
      <c r="AW47" s="596"/>
      <c r="AX47" s="596"/>
      <c r="AY47" s="596"/>
      <c r="AZ47" s="596"/>
      <c r="BA47" s="596"/>
      <c r="BB47" s="596"/>
      <c r="BC47" s="596"/>
      <c r="BD47" s="596"/>
      <c r="BE47" s="596"/>
      <c r="BF47" s="596"/>
      <c r="BG47" s="596"/>
      <c r="BH47" s="596"/>
      <c r="BI47" s="596"/>
      <c r="BJ47" s="596"/>
      <c r="BK47" s="596"/>
      <c r="BL47" s="596"/>
      <c r="BM47" s="596"/>
      <c r="BN47" s="596"/>
      <c r="BO47" s="596"/>
      <c r="BP47" s="596"/>
      <c r="BQ47" s="596"/>
      <c r="BR47" s="596"/>
      <c r="BS47" s="596"/>
      <c r="BT47" s="596"/>
      <c r="BU47" s="596"/>
      <c r="BV47" s="596"/>
      <c r="BW47" s="596"/>
      <c r="BX47" s="596"/>
      <c r="BY47" s="596"/>
      <c r="BZ47" s="596"/>
      <c r="CA47" s="596"/>
    </row>
    <row r="48" ht="19.5" customHeight="1">
      <c r="A48" s="596"/>
      <c r="B48" s="319" t="s">
        <v>864</v>
      </c>
      <c r="C48" s="319"/>
      <c r="D48" s="319"/>
      <c r="E48" s="319"/>
      <c r="F48" s="636"/>
      <c r="G48" s="636"/>
      <c r="H48" s="636"/>
      <c r="I48" s="636"/>
      <c r="J48" s="636"/>
      <c r="K48" s="636"/>
      <c r="L48" s="636"/>
      <c r="M48" s="636"/>
      <c r="N48" s="636"/>
      <c r="O48" s="636"/>
      <c r="P48" s="636"/>
      <c r="Q48" s="636"/>
      <c r="R48" s="636"/>
      <c r="S48" s="636"/>
      <c r="T48" s="636" t="n">
        <v>110.8</v>
      </c>
      <c r="U48" s="616" t="n">
        <v>96.021999999999991</v>
      </c>
      <c r="V48" s="286" t="n">
        <v>88.50800000000001</v>
      </c>
      <c r="W48" s="286" t="n">
        <v>88.50800000000001</v>
      </c>
      <c r="X48" s="286" t="n">
        <v>85.631</v>
      </c>
      <c r="Y48" s="286" t="n">
        <v>85.631</v>
      </c>
      <c r="Z48" s="286" t="n">
        <v>85.631</v>
      </c>
      <c r="AA48" s="286" t="n">
        <v>85.631</v>
      </c>
      <c r="AB48" s="286" t="n">
        <v>90.463999999999999</v>
      </c>
      <c r="AC48" s="286" t="n">
        <v>90.463999999999999</v>
      </c>
      <c r="AD48" s="615" t="n">
        <f>U11-U48</f>
        <v>4.6780000000000115</v>
      </c>
      <c r="AG48" s="596"/>
      <c r="AH48" s="596"/>
      <c r="AI48" s="596"/>
      <c r="AJ48" s="596"/>
      <c r="AK48" s="596"/>
      <c r="AL48" s="596"/>
      <c r="AM48" s="596"/>
      <c r="AN48" s="596"/>
      <c r="AO48" s="596"/>
      <c r="AP48" s="596"/>
      <c r="AQ48" s="596"/>
      <c r="AR48" s="596"/>
      <c r="AS48" s="596"/>
      <c r="AT48" s="596"/>
      <c r="AU48" s="596"/>
      <c r="AV48" s="596"/>
      <c r="AW48" s="596"/>
      <c r="AX48" s="596"/>
      <c r="AY48" s="596"/>
      <c r="AZ48" s="596"/>
      <c r="BA48" s="596"/>
      <c r="BB48" s="596"/>
      <c r="BC48" s="596"/>
      <c r="BD48" s="596"/>
      <c r="BE48" s="596"/>
      <c r="BF48" s="596"/>
      <c r="BG48" s="596"/>
      <c r="BH48" s="596"/>
      <c r="BI48" s="596"/>
      <c r="BJ48" s="596"/>
      <c r="BK48" s="596"/>
      <c r="BL48" s="596"/>
      <c r="BM48" s="596"/>
      <c r="BN48" s="596"/>
      <c r="BO48" s="596"/>
      <c r="BP48" s="596"/>
      <c r="BQ48" s="596"/>
      <c r="BR48" s="596"/>
      <c r="BS48" s="596"/>
      <c r="BT48" s="596"/>
      <c r="BU48" s="596"/>
      <c r="BV48" s="596"/>
      <c r="BW48" s="596"/>
      <c r="BX48" s="596"/>
      <c r="BY48" s="596"/>
      <c r="BZ48" s="596"/>
      <c r="CA48" s="596"/>
    </row>
    <row r="49">
      <c r="B49" s="611" t="s">
        <v>405</v>
      </c>
      <c r="C49" s="297"/>
      <c r="D49" s="297"/>
      <c r="E49" s="297"/>
      <c r="F49" s="297"/>
      <c r="G49" s="297"/>
      <c r="H49" s="297"/>
      <c r="I49" s="297"/>
      <c r="J49" s="297"/>
      <c r="K49" s="297"/>
      <c r="L49" s="297"/>
      <c r="M49" s="297"/>
      <c r="N49" s="297"/>
      <c r="O49" s="297"/>
      <c r="P49" s="578"/>
      <c r="Q49" s="578"/>
      <c r="R49" s="578"/>
      <c r="S49" s="578"/>
      <c r="T49" s="612" t="n">
        <v>78.977999999999994</v>
      </c>
      <c r="U49" s="613" t="n">
        <v>76</v>
      </c>
      <c r="V49" s="613" t="n">
        <v>76</v>
      </c>
      <c r="W49" s="613" t="n">
        <v>76</v>
      </c>
      <c r="X49" s="613" t="n">
        <v>76</v>
      </c>
      <c r="Y49" s="613" t="n">
        <v>76</v>
      </c>
      <c r="Z49" s="613" t="n">
        <v>76</v>
      </c>
      <c r="AA49" s="613" t="n">
        <v>76</v>
      </c>
      <c r="AB49" s="613" t="n">
        <v>76</v>
      </c>
      <c r="AC49" s="613" t="n">
        <v>76</v>
      </c>
      <c r="AD49" s="615" t="n">
        <f t="shared" ref="AD49:AD83" si="43">U12-U49</f>
        <v>12.192000000000007</v>
      </c>
    </row>
    <row r="50">
      <c r="B50" t="s">
        <v>406</v>
      </c>
      <c r="T50" s="243" t="n">
        <v>31.822000000000003</v>
      </c>
      <c r="U50" s="243" t="n">
        <v>20.021999999999998</v>
      </c>
      <c r="V50" s="243" t="n">
        <v>12.508000000000003</v>
      </c>
      <c r="W50" s="243" t="n">
        <v>12.508000000000003</v>
      </c>
      <c r="X50" s="243" t="n">
        <v>9.6310000000000002</v>
      </c>
      <c r="Y50" s="243" t="n">
        <v>9.6310000000000002</v>
      </c>
      <c r="Z50" s="243" t="n">
        <v>9.6310000000000002</v>
      </c>
      <c r="AA50" s="243" t="n">
        <v>9.6310000000000002</v>
      </c>
      <c r="AB50" s="243" t="n">
        <v>14.464</v>
      </c>
      <c r="AC50" s="243" t="n">
        <v>14.464</v>
      </c>
      <c r="AD50" s="615" t="n">
        <f t="shared" si="43"/>
        <v>-7.5139999999999958</v>
      </c>
    </row>
    <row r="51">
      <c r="B51" t="s">
        <v>50</v>
      </c>
      <c r="S51" s="85"/>
      <c r="T51" s="103" t="n">
        <v>0</v>
      </c>
      <c r="U51" s="243"/>
      <c r="V51" s="243"/>
      <c r="W51" s="243"/>
      <c r="X51" s="243"/>
      <c r="Y51" s="243"/>
      <c r="AD51" s="615" t="n">
        <f t="shared" si="43"/>
        <v>0</v>
      </c>
    </row>
    <row r="52">
      <c r="B52" t="s">
        <v>407</v>
      </c>
      <c r="T52" s="103" t="n">
        <v>28.200000000000003</v>
      </c>
      <c r="U52" s="103" t="n">
        <v>16.399999999999999</v>
      </c>
      <c r="V52" s="103" t="n">
        <v>8.886000000000001</v>
      </c>
      <c r="W52" s="103" t="n">
        <v>8.886000000000001</v>
      </c>
      <c r="X52" s="103" t="n">
        <v>0.2</v>
      </c>
      <c r="Y52" s="103" t="n">
        <v>0.2</v>
      </c>
      <c r="Z52" s="103" t="n">
        <v>0.2</v>
      </c>
      <c r="AA52" s="103" t="n">
        <v>0.2</v>
      </c>
      <c r="AB52" s="103" t="n">
        <v>0</v>
      </c>
      <c r="AC52" s="103" t="n">
        <v>0</v>
      </c>
      <c r="AD52" s="615" t="n">
        <f t="shared" si="43"/>
        <v>-7.5139999999999976</v>
      </c>
    </row>
    <row r="53">
      <c r="B53" t="s">
        <v>145</v>
      </c>
      <c r="T53" s="103" t="n">
        <v>0</v>
      </c>
      <c r="U53" s="243"/>
      <c r="V53" s="243"/>
      <c r="W53" s="243"/>
      <c r="X53" s="243"/>
      <c r="Y53" s="243"/>
      <c r="AD53" s="615" t="n">
        <f t="shared" si="43"/>
        <v>0</v>
      </c>
    </row>
    <row r="54">
      <c r="B54" t="s">
        <v>143</v>
      </c>
      <c r="T54" s="103" t="n">
        <v>0</v>
      </c>
      <c r="U54" s="243" t="n">
        <v>0</v>
      </c>
      <c r="V54" s="243" t="n">
        <v>0</v>
      </c>
      <c r="W54" s="243" t="n">
        <v>0</v>
      </c>
      <c r="X54" s="243" t="n">
        <v>0</v>
      </c>
      <c r="Y54" s="243" t="n">
        <v>0</v>
      </c>
      <c r="Z54" s="243" t="n">
        <v>0</v>
      </c>
      <c r="AA54" s="243" t="n">
        <v>0</v>
      </c>
      <c r="AB54" s="243" t="n">
        <v>0</v>
      </c>
      <c r="AC54" s="243" t="n">
        <v>0</v>
      </c>
      <c r="AD54" s="615" t="n">
        <f t="shared" si="43"/>
        <v>0</v>
      </c>
    </row>
    <row r="55">
      <c r="B55" t="s">
        <v>142</v>
      </c>
      <c r="T55" s="103" t="n">
        <v>0.4</v>
      </c>
      <c r="U55" s="243" t="n">
        <v>0</v>
      </c>
      <c r="V55" s="243" t="n">
        <v>0</v>
      </c>
      <c r="W55" s="243" t="n">
        <v>0</v>
      </c>
      <c r="X55" s="243" t="n">
        <v>0</v>
      </c>
      <c r="Y55" s="243" t="n">
        <v>0</v>
      </c>
      <c r="Z55" s="243" t="n">
        <v>0</v>
      </c>
      <c r="AA55" s="243" t="n">
        <v>0</v>
      </c>
      <c r="AB55" s="243" t="n">
        <v>0</v>
      </c>
      <c r="AC55" s="243" t="n">
        <v>0</v>
      </c>
      <c r="AD55" s="615" t="n">
        <f t="shared" si="43"/>
        <v>0</v>
      </c>
    </row>
    <row r="56">
      <c r="B56" t="s">
        <v>411</v>
      </c>
      <c r="T56" s="103" t="n">
        <v>3.6</v>
      </c>
      <c r="U56" s="243"/>
      <c r="V56" s="243"/>
      <c r="W56" s="243"/>
      <c r="X56" s="243"/>
      <c r="Y56" s="243"/>
      <c r="AD56" s="615" t="n">
        <f t="shared" si="43"/>
        <v>0</v>
      </c>
    </row>
    <row r="57">
      <c r="B57" t="s">
        <v>144</v>
      </c>
      <c r="T57" s="103" t="n">
        <v>15.8</v>
      </c>
      <c r="U57" s="243" t="n">
        <v>8</v>
      </c>
      <c r="V57" s="243" t="n">
        <v>0.48599999999999993</v>
      </c>
      <c r="W57" s="243" t="n">
        <v>0.48599999999999993</v>
      </c>
      <c r="X57" s="243" t="n">
        <v>0</v>
      </c>
      <c r="Y57" s="243" t="n">
        <v>0</v>
      </c>
      <c r="Z57" s="243" t="n">
        <v>0</v>
      </c>
      <c r="AA57" s="243" t="n">
        <v>0</v>
      </c>
      <c r="AB57" s="243" t="n">
        <v>0</v>
      </c>
      <c r="AC57" s="243" t="n">
        <v>0</v>
      </c>
      <c r="AD57" s="615" t="n">
        <f t="shared" si="43"/>
        <v>-7.5140000000000002</v>
      </c>
    </row>
    <row r="58">
      <c r="B58" t="s">
        <v>148</v>
      </c>
      <c r="T58" s="103" t="n">
        <v>0</v>
      </c>
      <c r="U58" s="243" t="n">
        <v>0</v>
      </c>
      <c r="V58" s="243" t="n">
        <v>0</v>
      </c>
      <c r="W58" s="243" t="n">
        <v>0</v>
      </c>
      <c r="X58" s="243" t="n">
        <v>0</v>
      </c>
      <c r="Y58" s="243" t="n">
        <v>0</v>
      </c>
      <c r="Z58" s="243" t="n">
        <v>0</v>
      </c>
      <c r="AA58" s="243" t="n">
        <v>0</v>
      </c>
      <c r="AB58" s="243" t="n">
        <v>0</v>
      </c>
      <c r="AC58" s="243" t="n">
        <v>0</v>
      </c>
      <c r="AD58" s="615" t="n">
        <f t="shared" si="43"/>
        <v>0</v>
      </c>
    </row>
    <row r="59">
      <c r="B59" t="s">
        <v>414</v>
      </c>
      <c r="T59" s="103" t="n">
        <v>0</v>
      </c>
      <c r="U59" s="243" t="n">
        <v>0</v>
      </c>
      <c r="V59" s="243" t="n">
        <v>0</v>
      </c>
      <c r="W59" s="243" t="n">
        <v>0</v>
      </c>
      <c r="X59" s="243" t="n">
        <v>0</v>
      </c>
      <c r="Y59" s="243" t="n">
        <v>0</v>
      </c>
      <c r="Z59" s="243" t="n">
        <v>0</v>
      </c>
      <c r="AA59" s="243" t="n">
        <v>0</v>
      </c>
      <c r="AB59" s="243" t="n">
        <v>0</v>
      </c>
      <c r="AC59" s="243" t="n">
        <v>0</v>
      </c>
      <c r="AD59" s="615" t="n">
        <f t="shared" si="43"/>
        <v>0</v>
      </c>
    </row>
    <row r="60">
      <c r="B60" t="s">
        <v>415</v>
      </c>
      <c r="T60" s="103" t="n">
        <v>0</v>
      </c>
      <c r="U60" s="243" t="n">
        <v>0</v>
      </c>
      <c r="V60" s="243" t="n">
        <v>0</v>
      </c>
      <c r="W60" s="243" t="n">
        <v>0</v>
      </c>
      <c r="X60" s="243" t="n">
        <v>0</v>
      </c>
      <c r="Y60" s="243" t="n">
        <v>0</v>
      </c>
      <c r="Z60" s="243" t="n">
        <v>0</v>
      </c>
      <c r="AA60" s="243" t="n">
        <v>0</v>
      </c>
      <c r="AB60" s="243" t="n">
        <v>0</v>
      </c>
      <c r="AC60" s="243" t="n">
        <v>0</v>
      </c>
      <c r="AD60" s="615" t="n">
        <f t="shared" si="43"/>
        <v>0</v>
      </c>
    </row>
    <row r="61">
      <c r="B61" t="s">
        <v>416</v>
      </c>
      <c r="T61" s="243" t="n">
        <v>8.4</v>
      </c>
      <c r="U61" s="243" t="n">
        <v>8.4</v>
      </c>
      <c r="V61" s="243" t="n">
        <v>8.4</v>
      </c>
      <c r="W61" s="243" t="n">
        <v>8.4</v>
      </c>
      <c r="X61" s="243" t="n">
        <v>0.2</v>
      </c>
      <c r="Y61" s="243" t="n">
        <v>0.2</v>
      </c>
      <c r="Z61" s="243" t="n">
        <v>0.2</v>
      </c>
      <c r="AA61" s="243" t="n">
        <v>0.2</v>
      </c>
      <c r="AB61" s="243" t="n">
        <v>0</v>
      </c>
      <c r="AC61" s="243" t="n">
        <v>0</v>
      </c>
      <c r="AD61" s="615" t="n">
        <f t="shared" si="43"/>
        <v>0</v>
      </c>
    </row>
    <row r="62">
      <c r="B62" t="s">
        <v>417</v>
      </c>
      <c r="T62" s="243" t="n">
        <v>0</v>
      </c>
      <c r="U62" s="243" t="n">
        <v>0</v>
      </c>
      <c r="V62" s="243" t="n">
        <v>0</v>
      </c>
      <c r="W62" s="243" t="n">
        <v>0</v>
      </c>
      <c r="X62" s="243" t="n">
        <v>0</v>
      </c>
      <c r="Y62" s="243" t="n">
        <v>0</v>
      </c>
      <c r="Z62" s="243" t="n">
        <v>0</v>
      </c>
      <c r="AA62" s="243" t="n">
        <v>0</v>
      </c>
      <c r="AB62" s="243" t="n">
        <v>0</v>
      </c>
      <c r="AC62" s="243" t="n">
        <v>0</v>
      </c>
      <c r="AD62" s="615" t="n">
        <f t="shared" si="43"/>
        <v>0</v>
      </c>
    </row>
    <row r="63">
      <c r="B63" t="s">
        <v>1377</v>
      </c>
      <c r="T63" s="243" t="n">
        <v>2.3250000000000002</v>
      </c>
      <c r="U63" s="243" t="n">
        <v>2.3250000000000002</v>
      </c>
      <c r="V63" s="243" t="n">
        <v>2.3250000000000002</v>
      </c>
      <c r="W63" s="243" t="n">
        <v>2.3250000000000002</v>
      </c>
      <c r="X63" s="243" t="n">
        <v>5.5830000000000002</v>
      </c>
      <c r="Y63" s="243" t="n">
        <v>5.5830000000000002</v>
      </c>
      <c r="Z63" s="243" t="n">
        <v>5.5830000000000002</v>
      </c>
      <c r="AA63" s="243" t="n">
        <v>5.5830000000000002</v>
      </c>
      <c r="AB63" s="243" t="n">
        <v>8.0220000000000002</v>
      </c>
      <c r="AC63" s="243" t="n">
        <v>8.0220000000000002</v>
      </c>
      <c r="AD63" s="615" t="n">
        <f t="shared" si="43"/>
        <v>0</v>
      </c>
    </row>
    <row r="64">
      <c r="B64" t="s">
        <v>1185</v>
      </c>
      <c r="T64" s="243" t="n">
        <v>1.2969999999999999</v>
      </c>
      <c r="U64" s="243" t="n">
        <v>1.2969999999999999</v>
      </c>
      <c r="V64" s="243" t="n">
        <v>1.2969999999999999</v>
      </c>
      <c r="W64" s="243" t="n">
        <v>1.2969999999999999</v>
      </c>
      <c r="X64" s="243" t="n">
        <v>3.8479999999999999</v>
      </c>
      <c r="Y64" s="243" t="n">
        <v>3.8479999999999999</v>
      </c>
      <c r="Z64" s="243" t="n">
        <v>3.8479999999999999</v>
      </c>
      <c r="AA64" s="243" t="n">
        <v>3.8479999999999999</v>
      </c>
      <c r="AB64" s="243" t="n">
        <v>6.4420000000000002</v>
      </c>
      <c r="AC64" s="243" t="n">
        <v>6.4420000000000002</v>
      </c>
      <c r="AD64" s="615" t="n">
        <f t="shared" si="43"/>
        <v>0</v>
      </c>
    </row>
    <row r="65">
      <c r="B65" t="s">
        <v>418</v>
      </c>
      <c r="T65" s="243"/>
      <c r="U65" s="243"/>
      <c r="AD65" s="615" t="n">
        <f t="shared" si="43"/>
        <v>0</v>
      </c>
    </row>
    <row r="66">
      <c r="B66" t="s">
        <v>419</v>
      </c>
      <c r="T66" s="243"/>
      <c r="U66" s="243"/>
      <c r="AD66" s="615" t="n">
        <f t="shared" si="43"/>
        <v>0</v>
      </c>
    </row>
    <row r="67">
      <c r="B67" t="s">
        <v>420</v>
      </c>
      <c r="T67" s="243"/>
      <c r="U67" s="243"/>
      <c r="AD67" s="615" t="n">
        <f t="shared" si="43"/>
        <v>0</v>
      </c>
    </row>
    <row r="68">
      <c r="B68" t="s">
        <v>417</v>
      </c>
      <c r="T68" s="243"/>
      <c r="U68" s="243"/>
      <c r="AD68" s="615" t="n">
        <f t="shared" si="43"/>
        <v>0</v>
      </c>
    </row>
    <row r="69">
      <c r="B69" t="s">
        <v>414</v>
      </c>
      <c r="T69" s="614"/>
      <c r="U69" s="614"/>
      <c r="AD69" s="615" t="n">
        <f t="shared" si="43"/>
        <v>0</v>
      </c>
    </row>
    <row r="70">
      <c r="B70" t="s">
        <v>421</v>
      </c>
      <c r="T70" s="614"/>
      <c r="U70" s="614"/>
      <c r="AD70" s="615" t="n">
        <f t="shared" si="43"/>
        <v>0</v>
      </c>
    </row>
    <row r="71">
      <c r="B71" t="s">
        <v>422</v>
      </c>
      <c r="T71" s="243"/>
      <c r="U71" s="243"/>
      <c r="AD71" s="615" t="n">
        <f t="shared" si="43"/>
        <v>0</v>
      </c>
    </row>
    <row r="72">
      <c r="B72" t="s">
        <v>423</v>
      </c>
      <c r="T72" s="243"/>
      <c r="U72" s="243"/>
      <c r="AD72" s="615" t="n">
        <f t="shared" si="43"/>
        <v>0</v>
      </c>
    </row>
    <row r="73">
      <c r="B73" t="s">
        <v>143</v>
      </c>
      <c r="T73" s="243" t="n">
        <v>0</v>
      </c>
      <c r="U73" s="243" t="n">
        <v>0</v>
      </c>
      <c r="V73" s="243" t="n">
        <v>0</v>
      </c>
      <c r="W73" s="243" t="n">
        <v>0</v>
      </c>
      <c r="X73" s="243" t="n">
        <v>0</v>
      </c>
      <c r="Y73" s="243" t="n">
        <v>0</v>
      </c>
      <c r="Z73" s="243" t="n">
        <v>0</v>
      </c>
      <c r="AA73" s="243" t="n">
        <v>0</v>
      </c>
      <c r="AB73" s="243" t="n">
        <v>0</v>
      </c>
      <c r="AC73" s="243" t="n">
        <v>0</v>
      </c>
      <c r="AD73" s="615" t="n">
        <f t="shared" si="43"/>
        <v>0</v>
      </c>
    </row>
    <row r="74">
      <c r="B74" t="s">
        <v>424</v>
      </c>
      <c r="T74" s="243" t="n">
        <v>0.48599999999999993</v>
      </c>
      <c r="U74" s="243" t="n">
        <v>0.48599999999999993</v>
      </c>
      <c r="V74" s="243" t="n">
        <v>0.48599999999999993</v>
      </c>
      <c r="W74" s="243" t="n">
        <v>0.48599999999999993</v>
      </c>
      <c r="X74" s="243" t="n">
        <v>0</v>
      </c>
      <c r="Y74" s="243" t="n">
        <v>0</v>
      </c>
      <c r="Z74" s="243" t="n">
        <v>0</v>
      </c>
      <c r="AA74" s="243" t="n">
        <v>0</v>
      </c>
      <c r="AB74" s="243" t="n">
        <v>0</v>
      </c>
      <c r="AC74" s="243" t="n">
        <v>0</v>
      </c>
      <c r="AD74" s="615" t="n">
        <f t="shared" si="43"/>
        <v>0</v>
      </c>
    </row>
    <row r="75">
      <c r="B75" t="s">
        <v>148</v>
      </c>
      <c r="T75" s="243" t="n">
        <v>0</v>
      </c>
      <c r="U75" s="243" t="n">
        <v>0</v>
      </c>
      <c r="V75" s="243" t="n">
        <v>0</v>
      </c>
      <c r="W75" s="243" t="n">
        <v>0</v>
      </c>
      <c r="X75" s="243" t="n">
        <v>0</v>
      </c>
      <c r="Y75" s="243" t="n">
        <v>0</v>
      </c>
      <c r="Z75" s="243" t="n">
        <v>0</v>
      </c>
      <c r="AA75" s="243" t="n">
        <v>0</v>
      </c>
      <c r="AB75" s="243" t="n">
        <v>0</v>
      </c>
      <c r="AC75" s="243" t="n">
        <v>0</v>
      </c>
      <c r="AD75" s="615" t="n">
        <f t="shared" si="43"/>
        <v>0</v>
      </c>
    </row>
    <row r="76">
      <c r="B76" t="s">
        <v>414</v>
      </c>
      <c r="T76" s="243" t="n">
        <v>0.78750000000000009</v>
      </c>
      <c r="U76" s="243" t="n">
        <v>0.78750000000000009</v>
      </c>
      <c r="V76" s="243" t="n">
        <v>0.78750000000000009</v>
      </c>
      <c r="W76" s="243" t="n">
        <v>0.78750000000000009</v>
      </c>
      <c r="X76" s="243" t="n">
        <v>0</v>
      </c>
      <c r="Y76" s="243" t="n">
        <v>0</v>
      </c>
      <c r="Z76" s="243" t="n">
        <v>0</v>
      </c>
      <c r="AA76" s="243" t="n">
        <v>0</v>
      </c>
      <c r="AB76" s="243" t="n">
        <v>0</v>
      </c>
      <c r="AC76" s="243" t="n">
        <v>0</v>
      </c>
      <c r="AD76" s="615" t="n">
        <f t="shared" si="43"/>
        <v>0</v>
      </c>
    </row>
    <row r="77">
      <c r="B77" t="s">
        <v>425</v>
      </c>
      <c r="T77" s="243" t="n">
        <v>1.3125000000000002</v>
      </c>
      <c r="U77" s="243" t="n">
        <v>1.3125000000000002</v>
      </c>
      <c r="V77" s="243" t="n">
        <v>1.3125000000000002</v>
      </c>
      <c r="W77" s="243" t="n">
        <v>1.3125000000000002</v>
      </c>
      <c r="X77" s="243" t="n">
        <v>0</v>
      </c>
      <c r="Y77" s="243" t="n">
        <v>0</v>
      </c>
      <c r="Z77" s="243" t="n">
        <v>0</v>
      </c>
      <c r="AA77" s="243" t="n">
        <v>0</v>
      </c>
      <c r="AB77" s="243" t="n">
        <v>0</v>
      </c>
      <c r="AC77" s="243" t="n">
        <v>0</v>
      </c>
      <c r="AD77" s="615" t="n">
        <f t="shared" si="43"/>
        <v>0</v>
      </c>
    </row>
    <row r="78">
      <c r="B78" t="s">
        <v>426</v>
      </c>
      <c r="T78" s="243" t="n">
        <v>8.4</v>
      </c>
      <c r="U78" s="243" t="n">
        <v>8.4</v>
      </c>
      <c r="V78" s="243" t="n">
        <v>8.4</v>
      </c>
      <c r="W78" s="243" t="n">
        <v>8.4</v>
      </c>
      <c r="X78" s="243" t="n">
        <v>0.2</v>
      </c>
      <c r="Y78" s="243" t="n">
        <v>0.2</v>
      </c>
      <c r="Z78" s="243" t="n">
        <v>0.2</v>
      </c>
      <c r="AA78" s="243" t="n">
        <v>0.2</v>
      </c>
      <c r="AB78" s="243" t="n">
        <v>0</v>
      </c>
      <c r="AC78" s="243" t="n">
        <v>0</v>
      </c>
      <c r="AD78" s="615" t="n">
        <f t="shared" si="43"/>
        <v>0</v>
      </c>
    </row>
    <row r="79">
      <c r="B79" t="s">
        <v>427</v>
      </c>
      <c r="T79" s="243" t="n">
        <v>0</v>
      </c>
      <c r="U79" s="243" t="n">
        <v>0</v>
      </c>
      <c r="V79" s="243" t="n">
        <v>0</v>
      </c>
      <c r="W79" s="243" t="n">
        <v>0</v>
      </c>
      <c r="X79" s="243" t="n">
        <v>0</v>
      </c>
      <c r="Y79" s="243" t="n">
        <v>0</v>
      </c>
      <c r="Z79" s="243" t="n">
        <v>0</v>
      </c>
      <c r="AA79" s="243" t="n">
        <v>0</v>
      </c>
      <c r="AB79" s="243" t="n">
        <v>0</v>
      </c>
      <c r="AC79" s="243" t="n">
        <v>0</v>
      </c>
      <c r="AD79" s="615" t="n">
        <f t="shared" si="43"/>
        <v>0</v>
      </c>
    </row>
    <row r="80">
      <c r="B80" t="s">
        <v>312</v>
      </c>
      <c r="T80" s="243" t="n">
        <v>12.362</v>
      </c>
      <c r="U80" s="243" t="n">
        <v>12.362</v>
      </c>
      <c r="V80" s="243" t="n">
        <v>12.362</v>
      </c>
      <c r="W80" s="243" t="n">
        <v>12.362</v>
      </c>
      <c r="X80" s="243" t="n">
        <v>-0.67500000000000004</v>
      </c>
      <c r="Y80" s="243" t="n">
        <v>-0.67500000000000004</v>
      </c>
      <c r="Z80" s="243" t="n">
        <v>-0.67500000000000004</v>
      </c>
      <c r="AA80" s="243" t="n">
        <v>-0.67500000000000004</v>
      </c>
      <c r="AB80" s="243" t="n">
        <v>0</v>
      </c>
      <c r="AC80" s="243" t="n">
        <v>0</v>
      </c>
      <c r="AD80" s="615" t="n">
        <f t="shared" si="43"/>
        <v>0</v>
      </c>
    </row>
    <row r="81">
      <c r="B81" t="s">
        <v>428</v>
      </c>
      <c r="T81" s="243"/>
      <c r="U81" s="243"/>
      <c r="AD81" s="615" t="n">
        <f t="shared" si="43"/>
        <v>0</v>
      </c>
    </row>
    <row r="82">
      <c r="B82" t="s">
        <v>429</v>
      </c>
      <c r="T82" s="243" t="n">
        <v>12.726000000000001</v>
      </c>
      <c r="U82" s="243" t="n">
        <v>12.726000000000001</v>
      </c>
      <c r="V82" s="243" t="n">
        <v>12.726000000000001</v>
      </c>
      <c r="W82" s="243" t="n">
        <v>12.726000000000001</v>
      </c>
      <c r="X82" s="243" t="n">
        <v>1.365</v>
      </c>
      <c r="Y82" s="243" t="n">
        <v>1.365</v>
      </c>
      <c r="Z82" s="243" t="n">
        <v>1.365</v>
      </c>
      <c r="AA82" s="243" t="n">
        <v>1.365</v>
      </c>
      <c r="AB82" s="243" t="n">
        <v>-0.90100000000000025</v>
      </c>
      <c r="AC82" s="243" t="n">
        <v>-0.90100000000000025</v>
      </c>
      <c r="AD82" s="615" t="n">
        <f t="shared" si="43"/>
        <v>0</v>
      </c>
    </row>
    <row r="83">
      <c r="B83" t="s">
        <v>199</v>
      </c>
      <c r="T83" s="103" t="n">
        <v>98.073999999999998</v>
      </c>
      <c r="U83" s="615" t="n">
        <v>83.295999999999992</v>
      </c>
      <c r="V83" s="103" t="n">
        <v>75.782000000000011</v>
      </c>
      <c r="W83" s="103" t="n">
        <v>75.782000000000011</v>
      </c>
      <c r="X83" s="103" t="n">
        <v>84.266000000000005</v>
      </c>
      <c r="Y83" s="103" t="n">
        <v>84.266000000000005</v>
      </c>
      <c r="Z83" s="103" t="n">
        <v>84.266000000000005</v>
      </c>
      <c r="AA83" s="103" t="n">
        <v>84.266000000000005</v>
      </c>
      <c r="AB83" s="103" t="n">
        <v>91.364999999999995</v>
      </c>
      <c r="AC83" s="103" t="n">
        <v>91.364999999999995</v>
      </c>
      <c r="AD83" s="615" t="n">
        <f t="shared" si="43"/>
        <v>4.6780000000000115</v>
      </c>
    </row>
    <row r="84">
      <c r="AD84" s="615"/>
    </row>
  </sheetData>
  <mergeCells count="15">
    <mergeCell ref="W8:AG8"/>
    <mergeCell ref="Q9:T9"/>
    <mergeCell ref="B1:AC1"/>
    <mergeCell ref="B44:C44"/>
    <mergeCell ref="B28:C28"/>
    <mergeCell ref="B8:C10"/>
    <mergeCell ref="I9:L9"/>
    <mergeCell ref="E9:H9"/>
    <mergeCell ref="B35:C35"/>
    <mergeCell ref="Y9:AB9"/>
    <mergeCell ref="M9:P9"/>
    <mergeCell ref="B2:AC6"/>
    <mergeCell ref="D8:V8"/>
    <mergeCell ref="AC9:AF9"/>
    <mergeCell ref="AG9:AH9"/>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D4" zoomScale="90" zoomScaleNormal="90" workbookViewId="0">
      <selection activeCell="Y18" sqref="Y18"/>
    </sheetView>
  </sheetViews>
  <sheetFormatPr defaultRowHeight="15.0" baseColWidth="10"/>
  <cols>
    <col min="2" max="2" width="31.81640625" hidden="0" customWidth="1"/>
    <col min="6" max="6" width="9" hidden="0" customWidth="1"/>
    <col min="7" max="7" width="10.1796875" hidden="0" customWidth="1"/>
    <col min="8" max="8" width="7.453125" hidden="0" customWidth="1"/>
    <col min="9" max="9" width="7.453125" hidden="0" customWidth="1"/>
    <col min="10" max="10" width="7.453125" hidden="0" customWidth="1"/>
    <col min="11" max="11" width="7.453125" hidden="0" customWidth="1"/>
    <col min="13" max="13" width="8.453125" hidden="0" customWidth="1"/>
    <col min="14" max="14" width="9.1796875" hidden="0" customWidth="1"/>
    <col min="15" max="15" width="9.1796875" hidden="0" customWidth="1"/>
    <col min="16" max="16" width="9.1796875" hidden="0" customWidth="1"/>
    <col min="17" max="17" width="9.1796875" hidden="0" customWidth="1"/>
    <col min="18" max="18" width="9.1796875" hidden="0" customWidth="1"/>
    <col min="19" max="19" width="9.1796875" hidden="0" customWidth="1"/>
    <col min="20" max="20" width="9.1796875" hidden="0" customWidth="1"/>
    <col min="21" max="21" width="9.1796875" hidden="0" customWidth="1"/>
    <col min="22" max="22" width="9.1796875" hidden="0" customWidth="1"/>
    <col min="23" max="23" width="9.1796875" hidden="0" customWidth="1"/>
    <col min="24" max="24" width="9.1796875" hidden="0" customWidth="1"/>
    <col min="25" max="25" width="9.1796875" hidden="0" customWidth="1"/>
    <col min="26" max="26" width="9.1796875" hidden="0" customWidth="1"/>
    <col min="27" max="27" width="9.1796875" hidden="0" customWidth="1"/>
    <col min="28" max="28" width="13" hidden="0" customWidth="1"/>
  </cols>
  <sheetData>
    <row r="1">
      <c r="B1" s="257" t="s">
        <v>54</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row>
    <row r="2" ht="14.25" customHeight="1">
      <c r="B2" s="84" t="s">
        <v>859</v>
      </c>
      <c r="C2" s="84"/>
      <c r="D2" s="84"/>
      <c r="E2" s="84"/>
      <c r="F2" s="84"/>
      <c r="G2" s="84"/>
      <c r="H2" s="84"/>
      <c r="I2" s="84"/>
      <c r="J2" s="84"/>
      <c r="K2" s="84"/>
      <c r="L2" s="84"/>
      <c r="M2" s="84"/>
      <c r="N2" s="84"/>
      <c r="O2" s="84"/>
      <c r="P2" s="84"/>
      <c r="Q2" s="84"/>
      <c r="R2" s="84"/>
      <c r="S2" s="84"/>
      <c r="T2" s="84"/>
      <c r="U2" s="84"/>
      <c r="V2" s="642" t="s">
        <v>910</v>
      </c>
      <c r="W2" s="642"/>
      <c r="X2" s="642"/>
      <c r="Y2" s="642"/>
      <c r="Z2" s="642"/>
      <c r="AA2" s="642"/>
      <c r="AB2" s="642"/>
      <c r="AC2" s="704"/>
      <c r="AD2" s="704"/>
      <c r="AE2" s="704"/>
      <c r="AF2" s="704"/>
      <c r="AG2" s="704"/>
      <c r="AH2" s="704"/>
    </row>
    <row r="3" ht="59.9" customHeight="1">
      <c r="B3" s="84"/>
      <c r="C3" s="84"/>
      <c r="D3" s="84"/>
      <c r="E3" s="84"/>
      <c r="F3" s="84"/>
      <c r="G3" s="84"/>
      <c r="H3" s="84"/>
      <c r="I3" s="84"/>
      <c r="J3" s="84"/>
      <c r="K3" s="84"/>
      <c r="L3" s="84"/>
      <c r="M3" s="84"/>
      <c r="N3" s="84"/>
      <c r="O3" s="84"/>
      <c r="P3" s="84"/>
      <c r="Q3" s="84"/>
      <c r="R3" s="84"/>
      <c r="S3" s="84"/>
      <c r="T3" s="84"/>
      <c r="U3" s="84"/>
      <c r="V3" s="642"/>
      <c r="W3" s="642"/>
      <c r="X3" s="642"/>
      <c r="Y3" s="642"/>
      <c r="Z3" s="642"/>
      <c r="AA3" s="642"/>
      <c r="AB3" s="642"/>
      <c r="AC3" s="704"/>
      <c r="AD3" s="704"/>
      <c r="AE3" s="704"/>
      <c r="AF3" s="704"/>
      <c r="AG3" s="704"/>
      <c r="AH3" s="704"/>
    </row>
    <row r="4" ht="88.5" customHeight="1">
      <c r="B4" s="84"/>
      <c r="C4" s="84"/>
      <c r="D4" s="84"/>
      <c r="E4" s="84"/>
      <c r="F4" s="84"/>
      <c r="G4" s="84"/>
      <c r="H4" s="84"/>
      <c r="I4" s="84"/>
      <c r="J4" s="84"/>
      <c r="K4" s="84"/>
      <c r="L4" s="84"/>
      <c r="M4" s="84"/>
      <c r="N4" s="84"/>
      <c r="O4" s="84"/>
      <c r="P4" s="84"/>
      <c r="Q4" s="84"/>
      <c r="R4" s="84"/>
      <c r="S4" s="84"/>
      <c r="T4" s="84"/>
      <c r="U4" s="84"/>
      <c r="V4" s="642"/>
      <c r="W4" s="642"/>
      <c r="X4" s="642"/>
      <c r="Y4" s="642"/>
      <c r="Z4" s="642"/>
      <c r="AA4" s="642"/>
      <c r="AB4" s="642"/>
      <c r="AC4" s="704"/>
      <c r="AD4" s="704"/>
      <c r="AE4" s="704"/>
      <c r="AF4" s="704"/>
      <c r="AG4" s="704"/>
      <c r="AH4" s="704"/>
    </row>
    <row r="5" ht="33" customHeight="1">
      <c r="B5" s="704"/>
      <c r="C5" s="704"/>
      <c r="D5" s="704"/>
      <c r="E5" s="704"/>
      <c r="F5" s="704"/>
      <c r="G5" s="704"/>
      <c r="H5" s="704"/>
      <c r="I5" s="704"/>
      <c r="J5" s="704"/>
      <c r="K5" s="704"/>
      <c r="L5" s="704"/>
      <c r="M5" s="704"/>
      <c r="N5" s="704"/>
      <c r="O5" s="704"/>
      <c r="P5" s="704"/>
      <c r="Q5" s="704"/>
      <c r="R5" s="704"/>
      <c r="S5" s="704"/>
      <c r="T5" s="704"/>
      <c r="U5" s="704"/>
      <c r="V5" s="704"/>
      <c r="W5" s="704"/>
      <c r="X5" s="704"/>
      <c r="Y5" s="704"/>
      <c r="Z5" s="704"/>
      <c r="AA5" s="704"/>
      <c r="AB5" s="704"/>
      <c r="AC5" s="704"/>
      <c r="AD5" s="704"/>
      <c r="AE5" s="704"/>
      <c r="AF5" s="704"/>
      <c r="AG5" s="704"/>
      <c r="AH5" s="704"/>
    </row>
    <row r="6">
      <c r="B6" s="704"/>
      <c r="C6" s="704"/>
      <c r="D6" s="704"/>
      <c r="E6" s="704"/>
      <c r="F6" s="704"/>
      <c r="G6" s="704"/>
      <c r="H6" s="704"/>
      <c r="I6" s="704"/>
      <c r="J6" s="704"/>
      <c r="K6" s="704"/>
      <c r="L6" s="704"/>
      <c r="M6" s="704"/>
      <c r="N6" s="704"/>
      <c r="O6" s="704"/>
      <c r="P6" s="704"/>
      <c r="Q6" s="704"/>
      <c r="R6" s="704"/>
      <c r="S6" s="704"/>
      <c r="T6" s="704"/>
      <c r="U6" s="704"/>
      <c r="V6" s="704"/>
      <c r="W6" s="704"/>
      <c r="X6" s="704"/>
      <c r="Y6" s="704"/>
      <c r="Z6" s="704"/>
      <c r="AA6" s="704"/>
      <c r="AB6" s="704"/>
      <c r="AC6" s="704"/>
      <c r="AD6" s="704"/>
      <c r="AE6" s="704"/>
      <c r="AF6" s="704"/>
      <c r="AG6" s="704"/>
      <c r="AH6" s="704"/>
    </row>
    <row r="7" ht="14.9" customHeight="1">
      <c r="B7" s="262" t="s">
        <v>404</v>
      </c>
      <c r="C7" s="263"/>
      <c r="D7" s="266" t="s">
        <v>280</v>
      </c>
      <c r="E7" s="277"/>
      <c r="F7" s="277"/>
      <c r="G7" s="277"/>
      <c r="H7" s="277"/>
      <c r="I7" s="277"/>
      <c r="J7" s="277"/>
      <c r="K7" s="277"/>
      <c r="L7" s="277"/>
      <c r="M7" s="277"/>
      <c r="N7" s="277"/>
      <c r="O7" s="277"/>
      <c r="P7" s="277"/>
      <c r="Q7" s="277"/>
      <c r="R7" s="277"/>
      <c r="S7" s="277"/>
      <c r="T7" s="277"/>
      <c r="U7" s="277"/>
      <c r="V7" s="267"/>
      <c r="W7" s="392" t="s">
        <v>281</v>
      </c>
      <c r="X7" s="380"/>
      <c r="Y7" s="380"/>
      <c r="Z7" s="380"/>
      <c r="AA7" s="380"/>
      <c r="AB7" s="380"/>
      <c r="AC7" s="380"/>
      <c r="AD7" s="380"/>
      <c r="AE7" s="380"/>
      <c r="AF7" s="380"/>
      <c r="AG7" s="295"/>
      <c r="AH7" s="295"/>
    </row>
    <row r="8">
      <c r="B8" s="264"/>
      <c r="C8" s="278"/>
      <c r="D8" s="269" t="n">
        <v>2018</v>
      </c>
      <c r="E8" s="269" t="n">
        <v>2019</v>
      </c>
      <c r="F8" s="270"/>
      <c r="G8" s="270"/>
      <c r="H8" s="271"/>
      <c r="I8" s="269" t="n">
        <v>2020</v>
      </c>
      <c r="J8" s="270"/>
      <c r="K8" s="270"/>
      <c r="L8" s="270"/>
      <c r="M8" s="269" t="n">
        <v>2021</v>
      </c>
      <c r="N8" s="270"/>
      <c r="O8" s="270"/>
      <c r="P8" s="270"/>
      <c r="Q8" s="269" t="n">
        <v>2022</v>
      </c>
      <c r="R8" s="358"/>
      <c r="S8" s="358"/>
      <c r="T8" s="271"/>
      <c r="U8" s="343"/>
      <c r="V8" s="343" t="n">
        <v>2023</v>
      </c>
      <c r="W8" s="662"/>
      <c r="X8" s="316"/>
      <c r="Y8" s="255" t="n">
        <v>2024</v>
      </c>
      <c r="Z8" s="347"/>
      <c r="AA8" s="347"/>
      <c r="AB8" s="256"/>
      <c r="AC8" s="255" t="n">
        <v>2025</v>
      </c>
      <c r="AD8" s="347"/>
      <c r="AE8" s="347"/>
      <c r="AF8" s="256"/>
      <c r="AG8" s="255" t="n">
        <v>2026</v>
      </c>
      <c r="AH8" s="256"/>
      <c r="AI8" s="297"/>
      <c r="AJ8" s="297"/>
      <c r="AK8" s="297"/>
    </row>
    <row r="9">
      <c r="B9" s="264"/>
      <c r="C9" s="278"/>
      <c r="D9" s="259" t="s">
        <v>282</v>
      </c>
      <c r="E9" s="259" t="s">
        <v>283</v>
      </c>
      <c r="F9" s="260" t="s">
        <v>284</v>
      </c>
      <c r="G9" s="260" t="s">
        <v>238</v>
      </c>
      <c r="H9" s="261" t="s">
        <v>282</v>
      </c>
      <c r="I9" s="260" t="s">
        <v>283</v>
      </c>
      <c r="J9" s="260" t="s">
        <v>284</v>
      </c>
      <c r="K9" s="260" t="s">
        <v>238</v>
      </c>
      <c r="L9" s="260" t="s">
        <v>282</v>
      </c>
      <c r="M9" s="259" t="s">
        <v>283</v>
      </c>
      <c r="N9" s="260" t="s">
        <v>284</v>
      </c>
      <c r="O9" s="260" t="s">
        <v>238</v>
      </c>
      <c r="P9" s="260" t="s">
        <v>282</v>
      </c>
      <c r="Q9" s="259" t="s">
        <v>283</v>
      </c>
      <c r="R9" s="260" t="s">
        <v>284</v>
      </c>
      <c r="S9" s="260" t="s">
        <v>238</v>
      </c>
      <c r="T9" s="261" t="s">
        <v>282</v>
      </c>
      <c r="U9" s="260" t="s">
        <v>283</v>
      </c>
      <c r="V9" s="341" t="s">
        <v>284</v>
      </c>
      <c r="W9" s="326" t="s">
        <v>238</v>
      </c>
      <c r="X9" s="327" t="s">
        <v>282</v>
      </c>
      <c r="Y9" s="325" t="s">
        <v>283</v>
      </c>
      <c r="Z9" s="323" t="s">
        <v>284</v>
      </c>
      <c r="AA9" s="326" t="s">
        <v>238</v>
      </c>
      <c r="AB9" s="326" t="s">
        <v>282</v>
      </c>
      <c r="AC9" s="325" t="s">
        <v>283</v>
      </c>
      <c r="AD9" s="323" t="s">
        <v>284</v>
      </c>
      <c r="AE9" s="326" t="s">
        <v>238</v>
      </c>
      <c r="AF9" s="326" t="s">
        <v>282</v>
      </c>
      <c r="AG9" s="325" t="s">
        <v>283</v>
      </c>
      <c r="AH9" s="327" t="s">
        <v>284</v>
      </c>
      <c r="AI9" s="288"/>
      <c r="AJ9" s="291"/>
      <c r="AK9" s="291"/>
    </row>
    <row r="10">
      <c r="B10" s="670" t="s">
        <v>101</v>
      </c>
      <c r="C10" s="536" t="s">
        <v>430</v>
      </c>
      <c r="D10" s="679" t="n">
        <f>'Haver Pivoted'!GO13</f>
        <v>589.5</v>
      </c>
      <c r="E10" s="680" t="n">
        <f>'Haver Pivoted'!GP13</f>
        <v>598.70000000000005</v>
      </c>
      <c r="F10" s="680" t="n">
        <f>'Haver Pivoted'!GQ13</f>
        <v>614.4</v>
      </c>
      <c r="G10" s="680" t="n">
        <f>'Haver Pivoted'!GR13</f>
        <v>622.4</v>
      </c>
      <c r="H10" s="680" t="n">
        <f>'Haver Pivoted'!GS13</f>
        <v>620.6</v>
      </c>
      <c r="I10" s="680" t="n">
        <f>'Haver Pivoted'!GT13</f>
        <v>606.4</v>
      </c>
      <c r="J10" s="680" t="n">
        <f>'Haver Pivoted'!GU13</f>
        <v>654.6</v>
      </c>
      <c r="K10" s="680" t="n">
        <f>'Haver Pivoted'!GV13</f>
        <v>690.8</v>
      </c>
      <c r="L10" s="680" t="n">
        <f>'Haver Pivoted'!GW13</f>
        <v>678.6</v>
      </c>
      <c r="M10" s="680" t="n">
        <f>'Haver Pivoted'!GX13</f>
        <v>705</v>
      </c>
      <c r="N10" s="680" t="n">
        <f>'Haver Pivoted'!GY13</f>
        <v>745.7</v>
      </c>
      <c r="O10" s="680" t="n">
        <f>'Haver Pivoted'!GZ13</f>
        <v>749.2</v>
      </c>
      <c r="P10" s="680" t="n">
        <f>'Haver Pivoted'!HA13</f>
        <v>746.1</v>
      </c>
      <c r="Q10" s="680" t="n">
        <f>'Haver Pivoted'!HB13</f>
        <v>791.4</v>
      </c>
      <c r="R10" s="680" t="n">
        <f>'Haver Pivoted'!HC13</f>
        <v>818.7</v>
      </c>
      <c r="S10" s="681" t="n">
        <f>'Haver Pivoted'!HD13</f>
        <v>819</v>
      </c>
      <c r="T10" s="668" t="n">
        <f>'Haver Pivoted'!HE13</f>
        <v>828.4</v>
      </c>
      <c r="U10" s="681" t="n">
        <f>'Haver Pivoted'!HF13</f>
        <v>871.5</v>
      </c>
      <c r="V10" s="681" t="n">
        <f>'Haver Pivoted'!HG13</f>
        <v>911.4</v>
      </c>
      <c r="W10" s="681" t="n">
        <f>'Haver Pivoted'!HH13</f>
        <v>880.6</v>
      </c>
      <c r="X10" s="681" t="n">
        <f>'Haver Pivoted'!HI13</f>
        <v>868.3</v>
      </c>
      <c r="Y10" s="681" t="n">
        <f>'Haver Pivoted'!HJ13</f>
        <v>916.9</v>
      </c>
      <c r="Z10" s="681" t="n">
        <f>'Haver Pivoted'!HK13</f>
        <v>942.7</v>
      </c>
      <c r="AA10" s="347"/>
      <c r="AB10" s="347"/>
      <c r="AC10" s="268"/>
      <c r="AD10" s="406"/>
      <c r="AE10" s="406"/>
      <c r="AF10" s="406"/>
      <c r="AG10" s="406"/>
      <c r="AH10" s="406"/>
      <c r="AI10" t="s">
        <v>1825</v>
      </c>
    </row>
    <row r="11">
      <c r="B11" s="657" t="s">
        <v>431</v>
      </c>
      <c r="C11" s="297" t="s">
        <v>339</v>
      </c>
      <c r="D11" s="700" t="n">
        <f>'Haver Pivoted'!GO40</f>
        <v>391.92099999999999</v>
      </c>
      <c r="E11" s="661" t="n">
        <f>'Haver Pivoted'!GP40</f>
        <v>406.23</v>
      </c>
      <c r="F11" s="661" t="n">
        <f>'Haver Pivoted'!GQ40</f>
        <v>414.87200000000001</v>
      </c>
      <c r="G11" s="661" t="n">
        <f>'Haver Pivoted'!GR40</f>
        <v>418.36200000000002</v>
      </c>
      <c r="H11" s="661" t="n">
        <f>'Haver Pivoted'!GS40</f>
        <v>414.971</v>
      </c>
      <c r="I11" s="661" t="n">
        <f>'Haver Pivoted'!GT40</f>
        <v>424.089</v>
      </c>
      <c r="J11" s="661" t="n">
        <f>'Haver Pivoted'!GU40</f>
        <v>505.45</v>
      </c>
      <c r="K11" s="661" t="n">
        <f>'Haver Pivoted'!GV40</f>
        <v>483.86599999999999</v>
      </c>
      <c r="L11" s="661" t="n">
        <f>'Haver Pivoted'!GW40</f>
        <v>506.75599999999997</v>
      </c>
      <c r="M11" s="661" t="n">
        <f>'Haver Pivoted'!GX40</f>
        <v>501.459</v>
      </c>
      <c r="N11" s="661" t="n">
        <f>'Haver Pivoted'!GY40</f>
        <v>526.38599999999997</v>
      </c>
      <c r="O11" s="661" t="n">
        <f>'Haver Pivoted'!GZ40</f>
        <v>541.66800000000001</v>
      </c>
      <c r="P11" s="661" t="n">
        <f>'Haver Pivoted'!HA40</f>
        <v>563.64300000000003</v>
      </c>
      <c r="Q11" s="661" t="n">
        <f>'Haver Pivoted'!HB40</f>
        <v>594.56200000000001</v>
      </c>
      <c r="R11" s="661" t="n">
        <f>'Haver Pivoted'!HC40</f>
        <v>595.59299999999996</v>
      </c>
      <c r="S11" s="664" t="n">
        <f>'Haver Pivoted'!HD40</f>
        <v>607.94899999999996</v>
      </c>
      <c r="T11" s="664" t="n">
        <f>'Haver Pivoted'!HE40</f>
        <v>607.13699999999994</v>
      </c>
      <c r="U11" s="664" t="n">
        <f>'Haver Pivoted'!HF40</f>
        <v>630.96299999999997</v>
      </c>
      <c r="V11" s="664" t="n">
        <f>'Haver Pivoted'!HG40</f>
        <v>639.71100000000001</v>
      </c>
      <c r="W11" s="664" t="n">
        <f>'Haver Pivoted'!HH40</f>
        <v>590.947</v>
      </c>
      <c r="X11" s="664" t="n">
        <f>'Haver Pivoted'!HI40</f>
        <v>616.99699999999996</v>
      </c>
      <c r="Y11" s="664" t="n">
        <f>'Haver Pivoted'!HJ40</f>
        <v>613.56899999999996</v>
      </c>
      <c r="Z11" s="664" t="n">
        <f>'Haver Pivoted'!HK40</f>
        <v>623</v>
      </c>
      <c r="AA11" s="406"/>
      <c r="AB11" s="406"/>
      <c r="AC11" s="406"/>
      <c r="AD11" s="406"/>
      <c r="AE11" s="406"/>
      <c r="AF11" s="406"/>
      <c r="AG11" s="406"/>
      <c r="AH11" s="406"/>
    </row>
    <row r="12" ht="27.65" customHeight="1">
      <c r="B12" s="623" t="s">
        <v>893</v>
      </c>
      <c r="C12" s="86"/>
      <c r="D12" s="703" t="n">
        <f t="shared" ref="D12:N12" si="0">D11/D10</f>
        <v>0.66483630195080579</v>
      </c>
      <c r="E12" s="687" t="n">
        <f t="shared" si="0"/>
        <v>0.67852012694170705</v>
      </c>
      <c r="F12" s="687" t="n">
        <f t="shared" si="0"/>
        <v>0.67524739583333337</v>
      </c>
      <c r="G12" s="687" t="n">
        <f t="shared" si="0"/>
        <v>0.67217544987146538</v>
      </c>
      <c r="H12" s="687" t="n">
        <f t="shared" si="0"/>
        <v>0.66866097325169194</v>
      </c>
      <c r="I12" s="687" t="n">
        <f t="shared" si="0"/>
        <v>0.69935521108179421</v>
      </c>
      <c r="J12" s="687" t="n">
        <f t="shared" si="0"/>
        <v>0.77215093186678885</v>
      </c>
      <c r="K12" s="687" t="n">
        <f t="shared" si="0"/>
        <v>0.70044296467863354</v>
      </c>
      <c r="L12" s="687" t="n">
        <f t="shared" si="0"/>
        <v>0.74676687297376942</v>
      </c>
      <c r="M12" s="687" t="n">
        <f t="shared" si="0"/>
        <v>0.71128936170212764</v>
      </c>
      <c r="N12" s="687" t="n">
        <f t="shared" si="0"/>
        <v>0.70589513209065302</v>
      </c>
      <c r="O12" s="687" t="n">
        <f t="shared" ref="O12:T12" si="1">O11/O10</f>
        <v>0.72299519487453279</v>
      </c>
      <c r="P12" s="687" t="n">
        <f t="shared" si="1"/>
        <v>0.75545235223160434</v>
      </c>
      <c r="Q12" s="687" t="n">
        <f t="shared" si="1"/>
        <v>0.75127874652514537</v>
      </c>
      <c r="R12" s="687" t="n">
        <f t="shared" si="1"/>
        <v>0.72748625870282146</v>
      </c>
      <c r="S12" s="682" t="n">
        <f>S11/S10</f>
        <v>0.74230647130647121</v>
      </c>
      <c r="T12" s="682" t="n">
        <f t="shared" si="1"/>
        <v>0.73290318686624811</v>
      </c>
      <c r="U12" s="682" t="n">
        <f t="shared" ref="U12:W12" si="2">U11/U10</f>
        <v>0.72399655765920823</v>
      </c>
      <c r="V12" s="682" t="n">
        <f t="shared" si="2"/>
        <v>0.70189927583936806</v>
      </c>
      <c r="W12" s="682" t="n">
        <f t="shared" si="2"/>
        <v>0.6710731319554849</v>
      </c>
      <c r="X12" s="682" t="n">
        <f>X11/X10</f>
        <v>0.71058044454681557</v>
      </c>
      <c r="Y12" s="682" t="n">
        <f>Y11/Y10</f>
        <v>0.6691776638673792</v>
      </c>
      <c r="Z12" s="682" t="n">
        <f>Z11/Z10</f>
        <v>0.66086772037763863</v>
      </c>
      <c r="AA12" s="705" t="n">
        <f t="shared" ref="AA12" si="3">Z12</f>
        <v>0.66086772037763863</v>
      </c>
      <c r="AB12" s="705" t="n">
        <f>AA12</f>
        <v>0.66086772037763863</v>
      </c>
      <c r="AC12" s="705" t="n">
        <f t="shared" ref="AC12" si="4">AB12</f>
        <v>0.66086772037763863</v>
      </c>
      <c r="AD12" s="705" t="n">
        <f t="shared" ref="AD12" si="5">AC12</f>
        <v>0.66086772037763863</v>
      </c>
      <c r="AE12" s="705" t="n">
        <f t="shared" ref="AE12" si="6">AD12</f>
        <v>0.66086772037763863</v>
      </c>
      <c r="AF12" s="705" t="n">
        <f t="shared" ref="AF12" si="7">AE12</f>
        <v>0.66086772037763863</v>
      </c>
      <c r="AG12" s="705" t="n">
        <f t="shared" ref="AG12" si="8">AF12</f>
        <v>0.66086772037763863</v>
      </c>
      <c r="AH12" s="705" t="n">
        <f>AG12</f>
        <v>0.66086772037763863</v>
      </c>
    </row>
    <row r="13" ht="27.65" customHeight="1">
      <c r="O13" s="85"/>
      <c r="P13" s="85"/>
      <c r="Q13" s="85"/>
      <c r="R13" s="85"/>
      <c r="S13" s="85"/>
      <c r="T13" s="85"/>
      <c r="Y13" s="665"/>
      <c r="Z13" s="665"/>
      <c r="AA13" s="665"/>
      <c r="AB13" s="665"/>
      <c r="AC13" s="665"/>
      <c r="AD13" s="665"/>
      <c r="AE13" s="665"/>
      <c r="AF13" s="665"/>
      <c r="AG13" s="665"/>
      <c r="AH13" s="665"/>
      <c r="AI13" s="85"/>
    </row>
    <row r="14">
      <c r="O14" s="85"/>
      <c r="P14" s="297"/>
      <c r="Q14" s="85"/>
      <c r="R14" s="85"/>
      <c r="S14" s="85"/>
      <c r="T14" s="661"/>
      <c r="Y14" s="291"/>
      <c r="Z14" s="291"/>
      <c r="AA14" s="291"/>
      <c r="AB14" s="291"/>
      <c r="AC14" s="291"/>
      <c r="AD14" s="291"/>
      <c r="AE14" s="291"/>
      <c r="AF14" s="291"/>
      <c r="AG14" s="291"/>
      <c r="AH14" s="291"/>
      <c r="AI14" s="85"/>
    </row>
    <row r="15">
      <c r="B15" s="611" t="s">
        <v>352</v>
      </c>
      <c r="G15" t="s">
        <v>1930</v>
      </c>
      <c r="O15" s="85"/>
      <c r="P15" s="297"/>
      <c r="Q15" s="85"/>
      <c r="R15" s="85"/>
      <c r="S15" s="85"/>
      <c r="T15" s="661"/>
      <c r="Y15" s="291"/>
      <c r="Z15" s="291"/>
      <c r="AA15" s="291"/>
      <c r="AB15" s="291"/>
      <c r="AC15" s="291"/>
      <c r="AD15" s="291"/>
      <c r="AE15" s="291"/>
      <c r="AF15" s="291"/>
      <c r="AG15" s="291"/>
      <c r="AH15" s="291"/>
      <c r="AI15" s="85"/>
    </row>
    <row r="16" ht="25.4" customHeight="1">
      <c r="B16" s="674" t="s">
        <v>432</v>
      </c>
      <c r="C16" s="672" t="n">
        <v>2020</v>
      </c>
      <c r="D16" s="672" t="n">
        <v>2021</v>
      </c>
      <c r="E16" s="672" t="n">
        <v>2022</v>
      </c>
      <c r="F16" s="672" t="n">
        <v>2023</v>
      </c>
      <c r="G16" s="672" t="n">
        <v>2024</v>
      </c>
      <c r="H16" s="672" t="n">
        <v>2025</v>
      </c>
      <c r="I16" s="672" t="n">
        <v>2026</v>
      </c>
      <c r="J16" s="673" t="n">
        <v>2027</v>
      </c>
      <c r="O16" s="85"/>
      <c r="P16" s="297"/>
      <c r="Q16" s="85"/>
      <c r="R16" s="85"/>
      <c r="S16" s="85"/>
      <c r="T16" s="665"/>
      <c r="U16" s="665"/>
      <c r="V16" s="665"/>
      <c r="W16" s="665"/>
      <c r="X16" s="665"/>
      <c r="Y16" s="665"/>
      <c r="Z16" s="665"/>
      <c r="AA16" s="665"/>
      <c r="AB16" s="665"/>
      <c r="AC16" s="665"/>
      <c r="AD16" s="665"/>
      <c r="AE16" s="665"/>
      <c r="AF16" s="665"/>
      <c r="AG16" s="665"/>
      <c r="AH16" s="665"/>
      <c r="AI16" s="85"/>
    </row>
    <row r="17" ht="31.5" customHeight="1">
      <c r="B17" s="702" t="s">
        <v>1927</v>
      </c>
      <c r="C17" s="308" t="n">
        <v>458.46800000000002</v>
      </c>
      <c r="D17" s="322" t="n">
        <v>520.58799999999997</v>
      </c>
      <c r="E17" s="322" t="n">
        <v>591.94899999999996</v>
      </c>
      <c r="F17" s="322" t="n">
        <v>615.77200000000005</v>
      </c>
      <c r="G17" s="322" t="n">
        <v>606.89800000000002</v>
      </c>
      <c r="H17" s="322" t="n">
        <v>600.45899999999995</v>
      </c>
      <c r="I17" s="322" t="n">
        <v>614.44100000000003</v>
      </c>
      <c r="J17" s="322" t="n">
        <v>642.08799999999997</v>
      </c>
      <c r="K17" s="322" t="n">
        <v>679.89200000000005</v>
      </c>
      <c r="L17" s="322" t="n">
        <v>717.14099999999996</v>
      </c>
      <c r="M17" s="322" t="n">
        <v>756.26</v>
      </c>
      <c r="N17" s="322" t="n">
        <v>795.53099999999995</v>
      </c>
      <c r="O17" s="322" t="n">
        <v>837.52499999999998</v>
      </c>
      <c r="P17" s="322" t="n">
        <v>885.98900000000003</v>
      </c>
      <c r="Q17" s="322" t="n">
        <v>932.56399999999996</v>
      </c>
      <c r="R17" s="85"/>
      <c r="S17" s="85"/>
      <c r="T17" s="85"/>
      <c r="U17" s="85"/>
      <c r="V17" s="85"/>
      <c r="W17" s="85"/>
      <c r="X17" s="85"/>
      <c r="Y17" s="85"/>
      <c r="Z17" s="85"/>
      <c r="AA17" s="85"/>
      <c r="AB17" s="85"/>
      <c r="AC17" s="85"/>
      <c r="AD17" s="85"/>
      <c r="AE17" s="85"/>
      <c r="AF17" s="85"/>
      <c r="AG17" s="85"/>
      <c r="AH17" s="85"/>
      <c r="AI17" s="85"/>
    </row>
    <row r="18">
      <c r="B18" s="657" t="s">
        <v>433</v>
      </c>
      <c r="C18" s="665" t="n">
        <f>AVERAGE(H12:K12)</f>
        <v>0.71015252021972719</v>
      </c>
      <c r="D18" s="665" t="n">
        <f>AVERAGE(L12:O12)</f>
        <v>0.72173664041027075</v>
      </c>
      <c r="E18" s="665" t="n">
        <f>AVERAGE(P12:S12)</f>
        <v>0.74413095719151068</v>
      </c>
      <c r="F18" s="665" t="n">
        <f>AVERAGE(T12:W12)</f>
        <v>0.70746803808007741</v>
      </c>
      <c r="G18" s="665" t="n">
        <f>AVERAGE(X12:AA12)</f>
        <v>0.67537338729236795</v>
      </c>
      <c r="H18" s="665" t="n">
        <f>AVERAGE(Y12:AB12)</f>
        <v>0.66294520625007369</v>
      </c>
      <c r="I18" s="665" t="n">
        <f>AVERAGE(Z12:AC12)</f>
        <v>0.66086772037763863</v>
      </c>
      <c r="J18" s="686" t="n">
        <f>AVERAGE(AA12:AI12)</f>
        <v>0.66086772037763863</v>
      </c>
    </row>
    <row r="19">
      <c r="B19" s="657" t="s">
        <v>434</v>
      </c>
      <c r="C19" s="291" t="n">
        <f>C17/C18</f>
        <v>645.59089342969048</v>
      </c>
      <c r="D19" s="291" t="n">
        <f>D17/D18</f>
        <v>721.29911501246772</v>
      </c>
      <c r="E19" s="291" t="n">
        <f>E17/E18</f>
        <v>795.49035593697931</v>
      </c>
      <c r="F19" s="291" t="n">
        <f>F17/F18</f>
        <v>870.3884371526924</v>
      </c>
      <c r="G19" s="291" t="n">
        <f>G17/G18</f>
        <v>898.61106673614745</v>
      </c>
      <c r="H19" s="291" t="n">
        <f t="shared" ref="H19:J19" si="9">H17/H18</f>
        <v>905.74453867232137</v>
      </c>
      <c r="I19" s="291" t="n">
        <f t="shared" si="9"/>
        <v>929.74884542536131</v>
      </c>
      <c r="J19" s="677" t="n">
        <f t="shared" si="9"/>
        <v>971.58323852327453</v>
      </c>
    </row>
    <row r="20" ht="32.25" customHeight="1">
      <c r="B20" s="623" t="s">
        <v>435</v>
      </c>
      <c r="C20" s="671"/>
      <c r="D20" s="687" t="n">
        <f>D19/C19-1</f>
        <v>0.11726965537041356</v>
      </c>
      <c r="E20" s="687" t="n">
        <f t="shared" ref="E20" si="10">E19/D19-1</f>
        <v>0.1028578011262764</v>
      </c>
      <c r="F20" s="687" t="n">
        <f>F19/E19-1</f>
        <v>9.4153349134564079E-2</v>
      </c>
      <c r="G20" s="687" t="n">
        <f>G19/F19-1</f>
        <v>3.2425326875641813E-2</v>
      </c>
      <c r="H20" s="687" t="n">
        <f>H19/G19-1+0.01</f>
        <v>1.7938330831027242E-2</v>
      </c>
      <c r="I20" s="687" t="n">
        <f t="shared" ref="I20:J20" si="11">I19/H19-1</f>
        <v>2.6502292564994701E-2</v>
      </c>
      <c r="J20" s="687" t="n">
        <f t="shared" si="11"/>
        <v>4.4995369775128857E-2</v>
      </c>
      <c r="K20" s="689"/>
      <c r="L20" s="689"/>
      <c r="R20" s="85"/>
      <c r="S20" s="614"/>
      <c r="T20" s="614"/>
      <c r="U20" s="614"/>
    </row>
    <row r="21" ht="32.25" customHeight="1">
      <c r="B21" s="338"/>
      <c r="C21" s="291"/>
      <c r="D21" s="665"/>
      <c r="E21" s="665"/>
      <c r="F21" s="665"/>
      <c r="G21" s="665"/>
      <c r="H21" s="665"/>
      <c r="I21" s="665"/>
      <c r="J21" s="665"/>
      <c r="K21" s="689"/>
      <c r="L21" s="689"/>
      <c r="R21" s="85"/>
      <c r="S21" s="614"/>
      <c r="T21" s="614"/>
      <c r="U21" s="614"/>
    </row>
    <row r="23">
      <c r="B23" s="611" t="s">
        <v>365</v>
      </c>
    </row>
    <row r="24">
      <c r="B24" s="262" t="s">
        <v>436</v>
      </c>
      <c r="C24" s="527"/>
      <c r="D24" s="266" t="s">
        <v>280</v>
      </c>
      <c r="E24" s="277"/>
      <c r="F24" s="277"/>
      <c r="G24" s="277"/>
      <c r="H24" s="277"/>
      <c r="I24" s="277"/>
      <c r="J24" s="277"/>
      <c r="K24" s="277"/>
      <c r="L24" s="277"/>
      <c r="M24" s="277"/>
      <c r="N24" s="277"/>
      <c r="O24" s="277"/>
      <c r="P24" s="277"/>
      <c r="Q24" s="277"/>
      <c r="R24" s="277"/>
      <c r="S24" s="277"/>
      <c r="T24" s="277"/>
      <c r="U24" s="277"/>
      <c r="V24" s="267"/>
      <c r="W24" s="379" t="s">
        <v>281</v>
      </c>
      <c r="X24" s="295"/>
      <c r="Y24" s="295"/>
      <c r="Z24" s="295"/>
      <c r="AA24" s="295"/>
      <c r="AB24" s="295"/>
      <c r="AC24" s="295"/>
      <c r="AD24" s="295"/>
      <c r="AE24" s="295"/>
      <c r="AF24" s="295"/>
      <c r="AG24" s="295"/>
      <c r="AH24" s="295"/>
    </row>
    <row r="25">
      <c r="B25" s="264"/>
      <c r="C25" s="278"/>
      <c r="D25" s="269" t="n">
        <v>2018</v>
      </c>
      <c r="E25" s="269" t="n">
        <v>2019</v>
      </c>
      <c r="F25" s="270"/>
      <c r="G25" s="270"/>
      <c r="H25" s="271"/>
      <c r="I25" s="269" t="n">
        <v>2020</v>
      </c>
      <c r="J25" s="270"/>
      <c r="K25" s="270"/>
      <c r="L25" s="270"/>
      <c r="M25" s="269" t="n">
        <v>2021</v>
      </c>
      <c r="N25" s="270"/>
      <c r="O25" s="270"/>
      <c r="P25" s="270"/>
      <c r="Q25" s="269" t="n">
        <v>2022</v>
      </c>
      <c r="R25" s="358"/>
      <c r="S25" s="358"/>
      <c r="T25" s="271"/>
      <c r="U25" s="296"/>
      <c r="V25" s="666" t="n">
        <v>2023</v>
      </c>
      <c r="W25" s="662"/>
      <c r="X25" s="316"/>
      <c r="Y25" s="255" t="n">
        <v>2024</v>
      </c>
      <c r="Z25" s="347"/>
      <c r="AA25" s="347"/>
      <c r="AB25" s="256"/>
      <c r="AC25" s="255" t="n">
        <v>2025</v>
      </c>
      <c r="AD25" s="347"/>
      <c r="AE25" s="347"/>
      <c r="AF25" s="256"/>
      <c r="AG25" s="255" t="n">
        <v>2026</v>
      </c>
      <c r="AH25" s="256"/>
    </row>
    <row r="26">
      <c r="B26" s="266"/>
      <c r="C26" s="277"/>
      <c r="D26" s="259" t="s">
        <v>282</v>
      </c>
      <c r="E26" s="259" t="s">
        <v>283</v>
      </c>
      <c r="F26" s="260" t="s">
        <v>284</v>
      </c>
      <c r="G26" s="260" t="s">
        <v>238</v>
      </c>
      <c r="H26" s="261" t="s">
        <v>282</v>
      </c>
      <c r="I26" s="260" t="s">
        <v>283</v>
      </c>
      <c r="J26" s="260" t="s">
        <v>284</v>
      </c>
      <c r="K26" s="260" t="s">
        <v>238</v>
      </c>
      <c r="L26" s="260" t="s">
        <v>282</v>
      </c>
      <c r="M26" s="259" t="s">
        <v>283</v>
      </c>
      <c r="N26" s="260" t="s">
        <v>284</v>
      </c>
      <c r="O26" s="260" t="s">
        <v>238</v>
      </c>
      <c r="P26" s="260" t="s">
        <v>282</v>
      </c>
      <c r="Q26" s="259" t="s">
        <v>283</v>
      </c>
      <c r="R26" s="260" t="s">
        <v>284</v>
      </c>
      <c r="S26" s="260" t="s">
        <v>238</v>
      </c>
      <c r="T26" s="261" t="s">
        <v>282</v>
      </c>
      <c r="U26" s="340" t="s">
        <v>283</v>
      </c>
      <c r="V26" s="667" t="s">
        <v>284</v>
      </c>
      <c r="W26" s="326" t="s">
        <v>238</v>
      </c>
      <c r="X26" s="326" t="s">
        <v>282</v>
      </c>
      <c r="Y26" s="325" t="s">
        <v>283</v>
      </c>
      <c r="Z26" s="323" t="s">
        <v>284</v>
      </c>
      <c r="AA26" s="326" t="s">
        <v>238</v>
      </c>
      <c r="AB26" s="326" t="s">
        <v>282</v>
      </c>
      <c r="AC26" s="325" t="s">
        <v>283</v>
      </c>
      <c r="AD26" s="323" t="s">
        <v>284</v>
      </c>
      <c r="AE26" s="326" t="s">
        <v>238</v>
      </c>
      <c r="AF26" s="326" t="s">
        <v>282</v>
      </c>
      <c r="AG26" s="325" t="s">
        <v>283</v>
      </c>
      <c r="AH26" s="327" t="s">
        <v>284</v>
      </c>
    </row>
    <row r="27" ht="19.5" customHeight="1">
      <c r="B27" s="697" t="s">
        <v>437</v>
      </c>
      <c r="C27" s="698"/>
      <c r="D27" s="683" t="n">
        <f t="shared" ref="D27:X27" si="12">D10</f>
        <v>589.5</v>
      </c>
      <c r="E27" s="684" t="n">
        <f t="shared" si="12"/>
        <v>598.70000000000005</v>
      </c>
      <c r="F27" s="684" t="n">
        <f t="shared" si="12"/>
        <v>614.4</v>
      </c>
      <c r="G27" s="684" t="n">
        <f t="shared" si="12"/>
        <v>622.4</v>
      </c>
      <c r="H27" s="684" t="n">
        <f t="shared" si="12"/>
        <v>620.6</v>
      </c>
      <c r="I27" s="684" t="n">
        <f t="shared" si="12"/>
        <v>606.4</v>
      </c>
      <c r="J27" s="684" t="n">
        <f t="shared" si="12"/>
        <v>654.6</v>
      </c>
      <c r="K27" s="684" t="n">
        <f t="shared" si="12"/>
        <v>690.8</v>
      </c>
      <c r="L27" s="684" t="n">
        <f t="shared" si="12"/>
        <v>678.6</v>
      </c>
      <c r="M27" s="684" t="n">
        <f t="shared" si="12"/>
        <v>705</v>
      </c>
      <c r="N27" s="684" t="n">
        <f t="shared" si="12"/>
        <v>745.7</v>
      </c>
      <c r="O27" s="684" t="n">
        <f t="shared" si="12"/>
        <v>749.2</v>
      </c>
      <c r="P27" s="684" t="n">
        <f t="shared" si="12"/>
        <v>746.1</v>
      </c>
      <c r="Q27" s="684" t="n">
        <f t="shared" si="12"/>
        <v>791.4</v>
      </c>
      <c r="R27" s="684" t="n">
        <f t="shared" si="12"/>
        <v>818.7</v>
      </c>
      <c r="S27" s="685" t="n">
        <f t="shared" si="12"/>
        <v>819</v>
      </c>
      <c r="T27" s="669" t="n">
        <f t="shared" si="12"/>
        <v>828.4</v>
      </c>
      <c r="U27" s="685" t="n">
        <f t="shared" si="12"/>
        <v>871.5</v>
      </c>
      <c r="V27" s="685" t="n">
        <f t="shared" si="12"/>
        <v>911.4</v>
      </c>
      <c r="W27" s="685" t="n">
        <f t="shared" si="12"/>
        <v>880.6</v>
      </c>
      <c r="X27" s="685" t="n">
        <f t="shared" si="12"/>
        <v>868.3</v>
      </c>
      <c r="Y27" s="685" t="n">
        <f>Y10</f>
        <v>916.9</v>
      </c>
      <c r="Z27" s="685" t="n">
        <f>Z10</f>
        <v>942.7</v>
      </c>
      <c r="AA27" s="696" t="n">
        <f>Z27*(1+$G$20)^0.25+AA28</f>
        <v>946.2506373162654</v>
      </c>
      <c r="AB27" s="675" t="n">
        <f>AA27*(1+$H$20)^0.25+AB28</f>
        <v>950.46592587609643</v>
      </c>
      <c r="AC27" s="696" t="n">
        <f t="shared" ref="AC27:AE27" si="13">AB27*(1+$H$20)^0.25+AC28</f>
        <v>954.69999239701076</v>
      </c>
      <c r="AD27" s="696" t="n">
        <f t="shared" si="13"/>
        <v>958.95292052970467</v>
      </c>
      <c r="AE27" s="696" t="n">
        <f t="shared" si="13"/>
        <v>963.22479429751525</v>
      </c>
      <c r="AF27" s="659" t="n">
        <f>AE27*(1+$I$20)^0.25+AF28</f>
        <v>969.5442478672021</v>
      </c>
      <c r="AG27" s="663" t="n">
        <f>AF27*(1+$I$20)^0.25+AG28</f>
        <v>975.90516163772247</v>
      </c>
      <c r="AH27" s="663" t="n">
        <f>AG27*(1+$I$20)^0.25+AH28</f>
        <v>982.30780761807762</v>
      </c>
      <c r="AI27" s="676" t="s">
        <v>1836</v>
      </c>
    </row>
    <row r="28" ht="19.5" customHeight="1">
      <c r="B28" s="688" t="s">
        <v>1704</v>
      </c>
      <c r="C28" s="319"/>
      <c r="D28" s="699"/>
      <c r="E28" s="658"/>
      <c r="F28" s="658"/>
      <c r="G28" s="658"/>
      <c r="H28" s="658"/>
      <c r="I28" s="658"/>
      <c r="J28" s="658"/>
      <c r="K28" s="658"/>
      <c r="L28" s="658"/>
      <c r="M28" s="658"/>
      <c r="N28" s="658"/>
      <c r="O28" s="658"/>
      <c r="P28" s="658"/>
      <c r="Q28" s="658"/>
      <c r="R28" s="658"/>
      <c r="S28" s="658"/>
      <c r="T28" s="658"/>
      <c r="U28" s="658"/>
      <c r="V28" s="658"/>
      <c r="W28" s="658"/>
      <c r="X28" s="658"/>
      <c r="Y28" s="663"/>
      <c r="Z28" s="663"/>
      <c r="AA28" s="663" t="n">
        <v>-4</v>
      </c>
      <c r="AB28" s="663"/>
      <c r="AC28" s="663"/>
      <c r="AD28" s="663"/>
      <c r="AE28" s="663"/>
      <c r="AF28" s="663"/>
      <c r="AG28" s="663"/>
      <c r="AH28" s="663"/>
    </row>
    <row r="29" ht="19.399999999999999" customHeight="1">
      <c r="B29" s="688" t="s">
        <v>207</v>
      </c>
      <c r="C29" s="319"/>
      <c r="D29" s="699" t="n">
        <f t="shared" ref="D29:Q29" si="14">D10*D12</f>
        <v>391.92099999999999</v>
      </c>
      <c r="E29" s="658" t="n">
        <f t="shared" si="14"/>
        <v>406.23</v>
      </c>
      <c r="F29" s="658" t="n">
        <f t="shared" si="14"/>
        <v>414.87200000000001</v>
      </c>
      <c r="G29" s="658" t="n">
        <f t="shared" si="14"/>
        <v>418.36200000000002</v>
      </c>
      <c r="H29" s="658" t="n">
        <f t="shared" si="14"/>
        <v>414.971</v>
      </c>
      <c r="I29" s="658" t="n">
        <f t="shared" si="14"/>
        <v>424.089</v>
      </c>
      <c r="J29" s="658" t="n">
        <f t="shared" si="14"/>
        <v>505.45</v>
      </c>
      <c r="K29" s="658" t="n">
        <f t="shared" si="14"/>
        <v>483.86600000000004</v>
      </c>
      <c r="L29" s="658" t="n">
        <f t="shared" si="14"/>
        <v>506.75599999999997</v>
      </c>
      <c r="M29" s="658" t="n">
        <f t="shared" si="14"/>
        <v>501.459</v>
      </c>
      <c r="N29" s="658" t="n">
        <f t="shared" si="14"/>
        <v>526.38599999999997</v>
      </c>
      <c r="O29" s="658" t="n">
        <f t="shared" si="14"/>
        <v>541.66800000000001</v>
      </c>
      <c r="P29" s="658" t="n">
        <f t="shared" si="14"/>
        <v>563.64300000000003</v>
      </c>
      <c r="Q29" s="658" t="n">
        <f t="shared" si="14"/>
        <v>594.56200000000001</v>
      </c>
      <c r="R29" s="658" t="n">
        <f t="shared" ref="R29:AG29" si="15">R27*R12</f>
        <v>595.59299999999996</v>
      </c>
      <c r="S29" s="658" t="n">
        <f t="shared" si="15"/>
        <v>607.94899999999996</v>
      </c>
      <c r="T29" s="658" t="n">
        <f t="shared" si="15"/>
        <v>607.13699999999994</v>
      </c>
      <c r="U29" s="658" t="n">
        <f t="shared" si="15"/>
        <v>630.96299999999997</v>
      </c>
      <c r="V29" s="658" t="n">
        <f t="shared" si="15"/>
        <v>639.71100000000001</v>
      </c>
      <c r="W29" s="658" t="n">
        <f t="shared" si="15"/>
        <v>590.947</v>
      </c>
      <c r="X29" s="658" t="n">
        <f t="shared" si="15"/>
        <v>616.99699999999996</v>
      </c>
      <c r="Y29" s="663" t="n">
        <f>Y27*Y12</f>
        <v>613.56899999999996</v>
      </c>
      <c r="Z29" s="663" t="n">
        <f t="shared" si="15"/>
        <v>623</v>
      </c>
      <c r="AA29" s="663" t="n">
        <f t="shared" si="15"/>
        <v>625.34650158908801</v>
      </c>
      <c r="AB29" s="663" t="n">
        <f t="shared" si="15"/>
        <v>628.13224973035756</v>
      </c>
      <c r="AC29" s="663" t="n">
        <f t="shared" si="15"/>
        <v>630.93040761996144</v>
      </c>
      <c r="AD29" s="663" t="n">
        <f t="shared" si="15"/>
        <v>633.74103053994475</v>
      </c>
      <c r="AE29" s="663" t="n">
        <f t="shared" si="15"/>
        <v>636.56417401861881</v>
      </c>
      <c r="AF29" s="663" t="n">
        <f t="shared" si="15"/>
        <v>640.74049689325011</v>
      </c>
      <c r="AG29" s="663" t="n">
        <f t="shared" si="15"/>
        <v>644.94421947629257</v>
      </c>
      <c r="AH29" s="663" t="n">
        <f>AH27*AH12</f>
        <v>649.17552152971496</v>
      </c>
    </row>
    <row r="30" ht="19.399999999999999" customHeight="1">
      <c r="B30" s="436" t="s">
        <v>438</v>
      </c>
      <c r="C30" s="437"/>
      <c r="D30" s="701" t="n">
        <f t="shared" ref="D30:G30" si="16">D27-D29</f>
        <v>197.57900000000001</v>
      </c>
      <c r="E30" s="660" t="n">
        <f t="shared" si="16"/>
        <v>192.47000000000003</v>
      </c>
      <c r="F30" s="660" t="n">
        <f t="shared" si="16"/>
        <v>199.52799999999996</v>
      </c>
      <c r="G30" s="660" t="n">
        <f t="shared" si="16"/>
        <v>204.03799999999995</v>
      </c>
      <c r="H30" s="660" t="n">
        <f t="shared" ref="H30:AC30" si="17">H27-H29</f>
        <v>205.62900000000002</v>
      </c>
      <c r="I30" s="660" t="n">
        <f t="shared" si="17"/>
        <v>182.31099999999998</v>
      </c>
      <c r="J30" s="660" t="n">
        <f t="shared" si="17"/>
        <v>149.15000000000003</v>
      </c>
      <c r="K30" s="660" t="n">
        <f t="shared" si="17"/>
        <v>206.93399999999991</v>
      </c>
      <c r="L30" s="660" t="n">
        <f t="shared" si="17"/>
        <v>171.84400000000005</v>
      </c>
      <c r="M30" s="660" t="n">
        <f t="shared" si="17"/>
        <v>203.541</v>
      </c>
      <c r="N30" s="660" t="n">
        <f t="shared" si="17"/>
        <v>219.31400000000008</v>
      </c>
      <c r="O30" s="660" t="n">
        <f>O27-O29</f>
        <v>207.53200000000004</v>
      </c>
      <c r="P30" s="660" t="n">
        <f>P27-P29</f>
        <v>182.45699999999999</v>
      </c>
      <c r="Q30" s="660" t="n">
        <f t="shared" si="17"/>
        <v>196.83799999999997</v>
      </c>
      <c r="R30" s="660" t="n">
        <f t="shared" si="17"/>
        <v>223.10700000000008</v>
      </c>
      <c r="S30" s="660" t="n">
        <f t="shared" si="17"/>
        <v>211.05100000000004</v>
      </c>
      <c r="T30" s="660" t="n">
        <f t="shared" si="17"/>
        <v>221.26300000000003</v>
      </c>
      <c r="U30" s="660" t="n">
        <f t="shared" si="17"/>
        <v>240.53700000000003</v>
      </c>
      <c r="V30" s="660" t="n">
        <f t="shared" si="17"/>
        <v>271.68899999999996</v>
      </c>
      <c r="W30" s="660" t="n">
        <f t="shared" si="17"/>
        <v>289.65300000000002</v>
      </c>
      <c r="X30" s="660" t="n">
        <f t="shared" si="17"/>
        <v>251.303</v>
      </c>
      <c r="Y30" s="695" t="n">
        <f t="shared" si="17"/>
        <v>303.33100000000002</v>
      </c>
      <c r="Z30" s="695" t="n">
        <f t="shared" si="17"/>
        <v>319.70000000000005</v>
      </c>
      <c r="AA30" s="695" t="n">
        <f t="shared" si="17"/>
        <v>320.90413572717739</v>
      </c>
      <c r="AB30" s="695" t="n">
        <f t="shared" si="17"/>
        <v>322.33367614573888</v>
      </c>
      <c r="AC30" s="695" t="n">
        <f t="shared" si="17"/>
        <v>323.76958477704932</v>
      </c>
      <c r="AD30" s="695" t="n">
        <f t="shared" ref="AD30:AH30" si="18">AD27-AD29</f>
        <v>325.21188998975992</v>
      </c>
      <c r="AE30" s="695" t="n">
        <f t="shared" si="18"/>
        <v>326.66062027889643</v>
      </c>
      <c r="AF30" s="695" t="n">
        <f t="shared" si="18"/>
        <v>328.80375097395199</v>
      </c>
      <c r="AG30" s="695" t="n">
        <f t="shared" si="18"/>
        <v>330.9609421614299</v>
      </c>
      <c r="AH30" s="695" t="n">
        <f t="shared" si="18"/>
        <v>333.13228608836266</v>
      </c>
    </row>
    <row r="31" ht="19.399999999999999" customHeight="1">
      <c r="B31" s="297"/>
      <c r="C31" s="297"/>
      <c r="D31" s="661"/>
      <c r="E31" s="661"/>
      <c r="F31" s="661"/>
      <c r="G31" s="661"/>
      <c r="H31" s="661"/>
      <c r="I31" s="661"/>
      <c r="J31" s="661"/>
      <c r="K31" s="661"/>
      <c r="L31" s="661"/>
      <c r="M31" s="661"/>
      <c r="N31" s="661"/>
      <c r="O31" s="661"/>
      <c r="P31" s="661"/>
      <c r="Q31" s="661"/>
      <c r="R31" s="661"/>
      <c r="S31" s="661"/>
      <c r="T31" s="661"/>
      <c r="Y31" s="661"/>
      <c r="Z31" s="661"/>
      <c r="AA31" s="661"/>
      <c r="AB31" s="661"/>
      <c r="AC31" s="661"/>
      <c r="AD31" s="661"/>
      <c r="AE31" s="661"/>
      <c r="AF31" s="661"/>
      <c r="AG31" s="661"/>
      <c r="AH31" s="661"/>
    </row>
    <row r="32" ht="19.399999999999999" customHeight="1">
      <c r="B32" s="297"/>
      <c r="C32" s="297"/>
      <c r="D32" s="661"/>
      <c r="E32" s="661"/>
      <c r="F32" s="661"/>
      <c r="G32" s="661"/>
      <c r="H32" s="661"/>
      <c r="I32" s="661"/>
      <c r="J32" s="661"/>
      <c r="K32" s="661"/>
      <c r="L32" s="661"/>
      <c r="M32" s="661"/>
      <c r="N32" s="661"/>
      <c r="O32" s="661"/>
      <c r="AG32" s="661"/>
      <c r="AH32" s="661"/>
    </row>
    <row r="33" ht="19.399999999999999" customHeight="1">
      <c r="B33" s="297"/>
      <c r="C33" s="297"/>
      <c r="D33" s="661"/>
      <c r="E33" s="661"/>
      <c r="F33" s="661"/>
      <c r="G33" s="661"/>
      <c r="H33" s="661"/>
      <c r="I33" s="661"/>
      <c r="J33" s="661"/>
      <c r="K33" s="661"/>
      <c r="L33" s="661"/>
      <c r="M33" s="661"/>
      <c r="N33" s="661"/>
      <c r="O33" s="661"/>
      <c r="AG33" s="661"/>
      <c r="AH33" s="661"/>
    </row>
    <row r="34" ht="19.399999999999999" customHeight="1">
      <c r="B34" s="297"/>
      <c r="C34" s="297"/>
      <c r="D34" s="661"/>
      <c r="E34" s="661"/>
      <c r="F34" s="661"/>
      <c r="G34" s="661"/>
      <c r="H34" s="661"/>
      <c r="I34" s="661"/>
      <c r="J34" s="661"/>
      <c r="K34" s="661"/>
      <c r="L34" s="661"/>
      <c r="M34" s="661"/>
      <c r="N34" s="661"/>
      <c r="O34" s="661"/>
      <c r="P34" s="661"/>
      <c r="Q34" s="661"/>
      <c r="R34" s="661"/>
      <c r="S34" s="661"/>
      <c r="T34" s="661"/>
      <c r="Y34" s="661"/>
      <c r="Z34" s="661"/>
      <c r="AA34" s="661"/>
      <c r="AB34" s="661"/>
      <c r="AC34" s="661"/>
      <c r="AD34" s="661"/>
      <c r="AE34" s="661"/>
      <c r="AF34" s="661"/>
      <c r="AG34" s="661"/>
      <c r="AH34" s="661"/>
    </row>
    <row r="35" ht="14.9" customHeight="1">
      <c r="B35" s="690" t="s">
        <v>439</v>
      </c>
      <c r="C35" s="691"/>
      <c r="D35" s="691"/>
      <c r="E35" s="692"/>
      <c r="F35" s="693" t="n">
        <v>2021</v>
      </c>
      <c r="G35" s="693" t="n">
        <v>2022</v>
      </c>
      <c r="H35" s="693" t="n">
        <v>2023</v>
      </c>
      <c r="I35" s="693" t="n">
        <v>2024</v>
      </c>
      <c r="J35" s="693" t="n">
        <v>2025</v>
      </c>
      <c r="K35" s="693" t="n">
        <v>2025</v>
      </c>
      <c r="L35" s="693" t="n">
        <v>2027</v>
      </c>
      <c r="M35" s="693" t="n">
        <v>2028</v>
      </c>
      <c r="N35" s="693" t="n">
        <v>2029</v>
      </c>
      <c r="O35" s="693" t="n">
        <v>2030</v>
      </c>
      <c r="P35" s="694" t="n">
        <v>2031</v>
      </c>
    </row>
    <row r="36" ht="15" customHeight="1">
      <c r="B36" s="649" t="s">
        <v>440</v>
      </c>
      <c r="C36" s="650"/>
      <c r="D36" s="650"/>
      <c r="E36" s="651"/>
      <c r="F36" s="291" t="n">
        <v>287</v>
      </c>
      <c r="G36" s="291" t="n">
        <v>534</v>
      </c>
      <c r="H36" s="291" t="n">
        <v>247</v>
      </c>
      <c r="I36" s="291" t="n">
        <v>63</v>
      </c>
      <c r="J36" s="291"/>
      <c r="K36" s="291"/>
      <c r="L36" s="291"/>
      <c r="M36" s="291"/>
      <c r="N36" s="291"/>
      <c r="O36" s="291"/>
      <c r="P36" s="677"/>
    </row>
    <row r="37" ht="15" customHeight="1">
      <c r="B37" s="646" t="s">
        <v>441</v>
      </c>
      <c r="C37" s="647"/>
      <c r="D37" s="647"/>
      <c r="E37" s="648"/>
      <c r="F37" s="291" t="n">
        <v>0</v>
      </c>
      <c r="G37" s="291" t="n">
        <v>0</v>
      </c>
      <c r="H37" s="291" t="n">
        <v>756</v>
      </c>
      <c r="I37" s="291" t="n">
        <v>1249</v>
      </c>
      <c r="J37" s="291" t="n">
        <v>1417</v>
      </c>
      <c r="K37" s="291" t="n">
        <v>1522</v>
      </c>
      <c r="L37" s="291" t="n">
        <v>1107</v>
      </c>
      <c r="M37" s="291"/>
      <c r="N37" s="291"/>
      <c r="O37" s="291"/>
      <c r="P37" s="677"/>
    </row>
    <row r="38">
      <c r="B38" s="646" t="s">
        <v>442</v>
      </c>
      <c r="C38" s="647"/>
      <c r="D38" s="647"/>
      <c r="E38" s="648"/>
      <c r="F38" s="291" t="n">
        <v>0</v>
      </c>
      <c r="G38" s="291" t="n">
        <v>5</v>
      </c>
      <c r="H38" s="291" t="n">
        <v>77</v>
      </c>
      <c r="I38" s="291" t="n">
        <v>307</v>
      </c>
      <c r="J38" s="291" t="n">
        <v>332</v>
      </c>
      <c r="K38" s="291" t="n">
        <v>270</v>
      </c>
      <c r="L38" s="291" t="n">
        <v>25</v>
      </c>
      <c r="M38" s="291" t="n">
        <v>32</v>
      </c>
      <c r="N38" s="291" t="n">
        <v>40</v>
      </c>
      <c r="O38" s="291" t="n">
        <v>49</v>
      </c>
      <c r="P38" s="677" t="n">
        <v>58</v>
      </c>
    </row>
    <row r="39" ht="32.9" customHeight="1">
      <c r="B39" s="643" t="s">
        <v>443</v>
      </c>
      <c r="C39" s="644"/>
      <c r="D39" s="644"/>
      <c r="E39" s="645"/>
      <c r="F39" s="291" t="n">
        <v>0</v>
      </c>
      <c r="G39" s="291" t="n">
        <v>0</v>
      </c>
      <c r="H39" s="291" t="n">
        <v>3768</v>
      </c>
      <c r="I39" s="291" t="n">
        <v>3428</v>
      </c>
      <c r="J39" s="291" t="n">
        <v>2176</v>
      </c>
      <c r="K39" s="291" t="n">
        <v>2304</v>
      </c>
      <c r="L39" s="291" t="n">
        <v>2129</v>
      </c>
      <c r="M39" s="291" t="n">
        <v>1335</v>
      </c>
      <c r="N39" s="291" t="n">
        <v>478</v>
      </c>
      <c r="O39" s="291" t="n">
        <v>531</v>
      </c>
      <c r="P39" s="677" t="n">
        <v>212</v>
      </c>
    </row>
    <row r="40" ht="32.9" customHeight="1">
      <c r="B40" s="643" t="s">
        <v>444</v>
      </c>
      <c r="C40" s="644"/>
      <c r="D40" s="644"/>
      <c r="E40" s="645"/>
      <c r="F40" s="291" t="n">
        <v>38</v>
      </c>
      <c r="G40" s="291" t="n">
        <v>81</v>
      </c>
      <c r="H40" s="291" t="n">
        <v>43</v>
      </c>
      <c r="I40" s="291"/>
      <c r="J40" s="291"/>
      <c r="K40" s="291"/>
      <c r="L40" s="291"/>
      <c r="M40" s="291"/>
      <c r="N40" s="291"/>
      <c r="O40" s="291"/>
      <c r="P40" s="677"/>
    </row>
    <row r="41">
      <c r="B41" s="646" t="s">
        <v>445</v>
      </c>
      <c r="C41" s="647"/>
      <c r="D41" s="647"/>
      <c r="E41" s="648"/>
      <c r="F41" s="291"/>
      <c r="G41" s="291"/>
      <c r="H41" s="291"/>
      <c r="I41" s="291" t="n">
        <v>-184</v>
      </c>
      <c r="J41" s="291" t="n">
        <v>-1830</v>
      </c>
      <c r="K41" s="291" t="n">
        <v>-2406</v>
      </c>
      <c r="L41" s="291" t="n">
        <v>-2419</v>
      </c>
      <c r="M41" s="291" t="n">
        <v>-2467</v>
      </c>
      <c r="N41" s="291" t="n">
        <v>-2531</v>
      </c>
      <c r="O41" s="291" t="n">
        <v>-2667</v>
      </c>
      <c r="P41" s="677" t="n">
        <v>-2809</v>
      </c>
    </row>
    <row r="42" ht="15.75" customHeight="1">
      <c r="B42" s="653" t="s">
        <v>446</v>
      </c>
      <c r="C42" s="654"/>
      <c r="D42" s="654"/>
      <c r="E42" s="655"/>
      <c r="F42" s="291" t="n">
        <v>6524</v>
      </c>
      <c r="G42" s="291" t="n">
        <v>6143</v>
      </c>
      <c r="H42" s="291"/>
      <c r="I42" s="291"/>
      <c r="J42" s="291"/>
      <c r="K42" s="291"/>
      <c r="L42" s="291"/>
      <c r="M42" s="291"/>
      <c r="N42" s="291"/>
      <c r="O42" s="291"/>
      <c r="P42" s="677"/>
    </row>
    <row r="43">
      <c r="B43" s="646" t="s">
        <v>447</v>
      </c>
      <c r="C43" s="647"/>
      <c r="D43" s="647"/>
      <c r="E43" s="648"/>
      <c r="F43" s="291" t="n">
        <v>50</v>
      </c>
      <c r="G43" s="291" t="n">
        <v>175</v>
      </c>
      <c r="H43" s="291" t="n">
        <v>25</v>
      </c>
      <c r="I43" s="291"/>
      <c r="J43" s="291"/>
      <c r="K43" s="291"/>
      <c r="L43" s="291"/>
      <c r="M43" s="291"/>
      <c r="N43" s="291"/>
      <c r="O43" s="291"/>
      <c r="P43" s="677"/>
    </row>
    <row r="44">
      <c r="B44" s="646" t="s">
        <v>448</v>
      </c>
      <c r="C44" s="647"/>
      <c r="D44" s="647"/>
      <c r="E44" s="648"/>
      <c r="F44" s="291" t="n">
        <v>829</v>
      </c>
      <c r="G44" s="291" t="n">
        <v>844</v>
      </c>
      <c r="H44" s="291"/>
      <c r="I44" s="291"/>
      <c r="J44" s="291"/>
      <c r="K44" s="291"/>
      <c r="L44" s="291"/>
      <c r="M44" s="291"/>
      <c r="N44" s="291"/>
      <c r="O44" s="291"/>
      <c r="P44" s="677"/>
    </row>
    <row r="45">
      <c r="B45" s="305" t="s">
        <v>449</v>
      </c>
      <c r="C45" s="306"/>
      <c r="D45" s="306"/>
      <c r="E45" s="656"/>
      <c r="F45" s="291" t="n">
        <f t="shared" ref="F45:P45" si="19">SUM(F36:F44)</f>
        <v>7728</v>
      </c>
      <c r="G45" s="291" t="n">
        <f t="shared" si="19"/>
        <v>7782</v>
      </c>
      <c r="H45" s="291" t="n">
        <f t="shared" si="19"/>
        <v>4916</v>
      </c>
      <c r="I45" s="291" t="n">
        <f t="shared" si="19"/>
        <v>4863</v>
      </c>
      <c r="J45" s="291" t="n">
        <f t="shared" si="19"/>
        <v>2095</v>
      </c>
      <c r="K45" s="291" t="n">
        <f t="shared" si="19"/>
        <v>1690</v>
      </c>
      <c r="L45" s="291" t="n">
        <f t="shared" si="19"/>
        <v>842</v>
      </c>
      <c r="M45" s="291" t="n">
        <f t="shared" si="19"/>
        <v>-1100</v>
      </c>
      <c r="N45" s="291" t="n">
        <f t="shared" si="19"/>
        <v>-2013</v>
      </c>
      <c r="O45" s="291" t="n">
        <f t="shared" si="19"/>
        <v>-2087</v>
      </c>
      <c r="P45" s="677" t="n">
        <f t="shared" si="19"/>
        <v>-2539</v>
      </c>
    </row>
    <row r="46">
      <c r="B46" s="653" t="s">
        <v>450</v>
      </c>
      <c r="C46" s="654"/>
      <c r="D46" s="654"/>
      <c r="E46" s="655"/>
      <c r="F46" s="291" t="n">
        <f t="shared" ref="F46:P46" si="20">F42+F40+F39</f>
        <v>6562</v>
      </c>
      <c r="G46" s="291" t="n">
        <f t="shared" si="20"/>
        <v>6224</v>
      </c>
      <c r="H46" s="291" t="n">
        <f t="shared" si="20"/>
        <v>3811</v>
      </c>
      <c r="I46" s="291" t="n">
        <f t="shared" si="20"/>
        <v>3428</v>
      </c>
      <c r="J46" s="291" t="n">
        <f t="shared" si="20"/>
        <v>2176</v>
      </c>
      <c r="K46" s="291" t="n">
        <f t="shared" si="20"/>
        <v>2304</v>
      </c>
      <c r="L46" s="291" t="n">
        <f t="shared" si="20"/>
        <v>2129</v>
      </c>
      <c r="M46" s="291" t="n">
        <f t="shared" si="20"/>
        <v>1335</v>
      </c>
      <c r="N46" s="291" t="n">
        <f t="shared" si="20"/>
        <v>478</v>
      </c>
      <c r="O46" s="291" t="n">
        <f t="shared" si="20"/>
        <v>531</v>
      </c>
      <c r="P46" s="677" t="n">
        <f t="shared" si="20"/>
        <v>212</v>
      </c>
      <c r="Q46" s="297" t="s">
        <v>451</v>
      </c>
    </row>
    <row r="47">
      <c r="B47" s="646" t="s">
        <v>452</v>
      </c>
      <c r="C47" s="647"/>
      <c r="D47" s="647"/>
      <c r="E47" s="648"/>
      <c r="F47" s="291" t="n">
        <f>(F46/1000)/M27</f>
        <v>9.3078014184397161E-3</v>
      </c>
      <c r="G47" s="291" t="n">
        <f>(G46/F46)*F47</f>
        <v>8.8283687943262416E-3</v>
      </c>
      <c r="H47" s="291" t="n">
        <f>(H46/G46)*G47+H48</f>
        <v>5.4056737588652481E-3</v>
      </c>
      <c r="I47" s="291" t="n">
        <f>(I46/H46)*H47+I48</f>
        <v>4.8624113475177304E-3</v>
      </c>
      <c r="J47" s="291" t="n">
        <f>J48</f>
        <v>0</v>
      </c>
      <c r="K47" s="291" t="n">
        <f t="shared" ref="K47:L47" si="21">K48</f>
        <v>0</v>
      </c>
      <c r="L47" s="291" t="n">
        <f t="shared" si="21"/>
        <v>0</v>
      </c>
      <c r="M47" s="291"/>
      <c r="N47" s="291"/>
      <c r="O47" s="291"/>
      <c r="P47" s="677"/>
      <c r="Q47" s="297" t="s">
        <v>453</v>
      </c>
    </row>
    <row r="48" ht="29.25" customHeight="1">
      <c r="B48" s="646" t="s">
        <v>894</v>
      </c>
      <c r="C48" s="647"/>
      <c r="D48" s="647"/>
      <c r="E48" s="648"/>
      <c r="F48" s="291"/>
      <c r="G48" s="291"/>
      <c r="H48" s="291"/>
      <c r="I48" s="291"/>
      <c r="J48" s="291"/>
      <c r="K48" s="291"/>
      <c r="L48" s="291"/>
      <c r="M48" s="291"/>
      <c r="N48" s="291"/>
      <c r="O48" s="291"/>
      <c r="P48" s="677"/>
      <c r="Q48" s="297"/>
    </row>
    <row r="49">
      <c r="B49" s="574"/>
      <c r="C49" s="575"/>
      <c r="D49" s="575"/>
      <c r="E49" s="652"/>
      <c r="F49" s="671"/>
      <c r="G49" s="671"/>
      <c r="H49" s="671"/>
      <c r="I49" s="671"/>
      <c r="J49" s="671"/>
      <c r="K49" s="671"/>
      <c r="L49" s="671"/>
      <c r="M49" s="671"/>
      <c r="N49" s="671"/>
      <c r="O49" s="671"/>
      <c r="P49" s="678"/>
    </row>
  </sheetData>
  <mergeCells count="36">
    <mergeCell ref="AG25:AH25"/>
    <mergeCell ref="B49:E49"/>
    <mergeCell ref="B42:E42"/>
    <mergeCell ref="B43:E43"/>
    <mergeCell ref="B44:E44"/>
    <mergeCell ref="B45:E45"/>
    <mergeCell ref="B46:E46"/>
    <mergeCell ref="B47:E47"/>
    <mergeCell ref="B41:E41"/>
    <mergeCell ref="E8:H8"/>
    <mergeCell ref="B7:C9"/>
    <mergeCell ref="I8:L8"/>
    <mergeCell ref="B39:E39"/>
    <mergeCell ref="B40:E40"/>
    <mergeCell ref="B38:E38"/>
    <mergeCell ref="B36:E36"/>
    <mergeCell ref="I25:L25"/>
    <mergeCell ref="B24:C26"/>
    <mergeCell ref="E25:H25"/>
    <mergeCell ref="B37:E3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 ref="AG8:AH8"/>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pane xSplit="2" ySplit="4" topLeftCell="K5" activePane="bottomRight" state="frozen"/>
      <selection pane="topRight" activeCell="C1" sqref="C1"/>
      <selection pane="bottomLeft" activeCell="A5" sqref="A5"/>
      <selection pane="bottomRight" activeCell="W18" sqref="W18"/>
    </sheetView>
  </sheetViews>
  <sheetFormatPr defaultRowHeight="15.0" baseColWidth="10"/>
  <cols>
    <col min="2" max="2" width="42.81640625" hidden="0" customWidth="1"/>
    <col min="3" max="3" width="7.453125" hidden="0" customWidth="1"/>
    <col min="4" max="4" width="8.81640625" hidden="0" customWidth="1"/>
    <col min="5" max="5" width="9" hidden="0" customWidth="1"/>
    <col min="6" max="6" width="8.81640625" hidden="0" customWidth="1"/>
    <col min="7" max="7" width="9.54296875" hidden="0" customWidth="1"/>
    <col min="8" max="8" width="9.81640625" hidden="0" customWidth="1"/>
    <col min="9" max="9" width="10.1796875" hidden="0" customWidth="1"/>
    <col min="10" max="10" width="9.1796875" hidden="0" customWidth="1"/>
    <col min="11" max="11" width="9.81640625" hidden="0" customWidth="1"/>
    <col min="12" max="12" width="8.81640625" hidden="0" customWidth="1"/>
    <col min="13" max="13" width="8.81640625" hidden="0" customWidth="1"/>
    <col min="14" max="14" width="9.1796875" hidden="0" customWidth="1"/>
    <col min="15" max="15" width="8.81640625" hidden="0" customWidth="1"/>
    <col min="16" max="16" width="8.81640625" hidden="0" customWidth="1"/>
    <col min="17" max="17" width="8.81640625" hidden="0" customWidth="1"/>
    <col min="18" max="18" width="8.81640625" hidden="0" customWidth="1"/>
    <col min="19" max="19" width="8.81640625" hidden="0" customWidth="1"/>
    <col min="20" max="20" width="9.1796875" hidden="0" customWidth="1"/>
    <col min="21" max="21" width="9.1796875" hidden="0" customWidth="1"/>
    <col min="22" max="22" width="9.1796875" hidden="0" customWidth="1"/>
  </cols>
  <sheetData>
    <row r="1">
      <c r="B1" s="257" t="s">
        <v>55</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ht="14.25" customHeight="1">
      <c r="B2" s="84" t="s">
        <v>860</v>
      </c>
      <c r="C2" s="84"/>
      <c r="D2" s="84"/>
      <c r="E2" s="84"/>
      <c r="F2" s="84"/>
      <c r="G2" s="84"/>
      <c r="H2" s="84"/>
      <c r="I2" s="84"/>
      <c r="J2" s="84"/>
      <c r="K2" s="84"/>
      <c r="L2" s="84"/>
      <c r="M2" s="84"/>
      <c r="N2" s="84"/>
      <c r="O2" s="84"/>
      <c r="P2" s="84"/>
      <c r="Q2" s="84"/>
      <c r="R2" s="84"/>
      <c r="S2" s="704"/>
      <c r="T2" s="707" t="s">
        <v>911</v>
      </c>
      <c r="U2" s="707"/>
      <c r="V2" s="707"/>
      <c r="W2" s="707"/>
      <c r="X2" s="707"/>
      <c r="Y2" s="707"/>
      <c r="Z2" s="707"/>
      <c r="AA2" s="707"/>
      <c r="AB2" s="707"/>
      <c r="AC2" s="707"/>
    </row>
    <row r="3">
      <c r="B3" s="84"/>
      <c r="C3" s="84"/>
      <c r="D3" s="84"/>
      <c r="E3" s="84"/>
      <c r="F3" s="84"/>
      <c r="G3" s="84"/>
      <c r="H3" s="84"/>
      <c r="I3" s="84"/>
      <c r="J3" s="84"/>
      <c r="K3" s="84"/>
      <c r="L3" s="84"/>
      <c r="M3" s="84"/>
      <c r="N3" s="84"/>
      <c r="O3" s="84"/>
      <c r="P3" s="84"/>
      <c r="Q3" s="84"/>
      <c r="R3" s="84"/>
      <c r="S3" s="704"/>
      <c r="T3" s="707"/>
      <c r="U3" s="707"/>
      <c r="V3" s="707"/>
      <c r="W3" s="707"/>
      <c r="X3" s="707"/>
      <c r="Y3" s="707"/>
      <c r="Z3" s="707"/>
      <c r="AA3" s="707"/>
      <c r="AB3" s="707"/>
      <c r="AC3" s="707"/>
    </row>
    <row r="4" ht="21" customHeight="1">
      <c r="B4" s="84"/>
      <c r="C4" s="84"/>
      <c r="D4" s="84"/>
      <c r="E4" s="84"/>
      <c r="F4" s="84"/>
      <c r="G4" s="84"/>
      <c r="H4" s="84"/>
      <c r="I4" s="84"/>
      <c r="J4" s="84"/>
      <c r="K4" s="84"/>
      <c r="L4" s="84"/>
      <c r="M4" s="84"/>
      <c r="N4" s="84"/>
      <c r="O4" s="84"/>
      <c r="P4" s="84"/>
      <c r="Q4" s="84"/>
      <c r="R4" s="84"/>
      <c r="S4" s="704"/>
      <c r="T4" s="707"/>
      <c r="U4" s="707"/>
      <c r="V4" s="707"/>
      <c r="W4" s="707"/>
      <c r="X4" s="707"/>
      <c r="Y4" s="707"/>
      <c r="Z4" s="707"/>
      <c r="AA4" s="707"/>
      <c r="AB4" s="707"/>
      <c r="AC4" s="707"/>
    </row>
    <row r="6">
      <c r="B6" s="611" t="s">
        <v>333</v>
      </c>
    </row>
    <row r="7" ht="14.9" customHeight="1">
      <c r="B7" s="262" t="s">
        <v>404</v>
      </c>
      <c r="C7" s="263"/>
      <c r="D7" s="266" t="s">
        <v>280</v>
      </c>
      <c r="E7" s="277"/>
      <c r="F7" s="277"/>
      <c r="G7" s="277"/>
      <c r="H7" s="277"/>
      <c r="I7" s="277"/>
      <c r="J7" s="277"/>
      <c r="K7" s="277"/>
      <c r="L7" s="277"/>
      <c r="M7" s="277"/>
      <c r="N7" s="277"/>
      <c r="O7" s="277"/>
      <c r="P7" s="277"/>
      <c r="Q7" s="277"/>
      <c r="R7" s="277"/>
      <c r="S7" s="277"/>
      <c r="T7" s="277"/>
      <c r="U7" s="278"/>
      <c r="V7" s="265"/>
      <c r="W7" s="392" t="s">
        <v>281</v>
      </c>
      <c r="X7" s="380"/>
      <c r="Y7" s="380"/>
      <c r="Z7" s="380"/>
      <c r="AA7" s="380"/>
      <c r="AB7" s="380"/>
      <c r="AC7" s="380"/>
      <c r="AD7" s="380"/>
      <c r="AE7" s="380"/>
      <c r="AF7" s="380"/>
      <c r="AG7" s="380"/>
      <c r="AH7" s="380"/>
      <c r="AI7" s="380"/>
      <c r="AJ7" s="380"/>
    </row>
    <row r="8">
      <c r="B8" s="264"/>
      <c r="C8" s="265"/>
      <c r="D8" s="269" t="n">
        <v>2018</v>
      </c>
      <c r="E8" s="269" t="n">
        <v>2019</v>
      </c>
      <c r="F8" s="270"/>
      <c r="G8" s="270"/>
      <c r="H8" s="271"/>
      <c r="I8" s="269" t="n">
        <v>2020</v>
      </c>
      <c r="J8" s="270"/>
      <c r="K8" s="270"/>
      <c r="L8" s="270"/>
      <c r="M8" s="269" t="n">
        <v>2021</v>
      </c>
      <c r="N8" s="270"/>
      <c r="O8" s="270"/>
      <c r="P8" s="358"/>
      <c r="Q8" s="269" t="n">
        <v>2022</v>
      </c>
      <c r="R8" s="358"/>
      <c r="S8" s="358"/>
      <c r="T8" s="358"/>
      <c r="U8" s="296"/>
      <c r="V8" s="343" t="n">
        <v>2023</v>
      </c>
      <c r="W8" s="344"/>
      <c r="X8" s="316"/>
      <c r="Y8" s="268" t="n">
        <v>2024</v>
      </c>
      <c r="Z8" s="347"/>
      <c r="AA8" s="347"/>
      <c r="AB8" s="256"/>
      <c r="AC8" s="255" t="n">
        <v>2025</v>
      </c>
      <c r="AD8" s="347"/>
      <c r="AE8" s="347"/>
      <c r="AF8" s="256"/>
      <c r="AG8" s="255" t="n">
        <v>2026</v>
      </c>
      <c r="AH8" s="347"/>
      <c r="AI8" s="347"/>
      <c r="AJ8" s="256"/>
    </row>
    <row r="9">
      <c r="B9" s="266"/>
      <c r="C9" s="267"/>
      <c r="D9" s="259" t="s">
        <v>282</v>
      </c>
      <c r="E9" s="259" t="s">
        <v>283</v>
      </c>
      <c r="F9" s="260" t="s">
        <v>284</v>
      </c>
      <c r="G9" s="260" t="s">
        <v>238</v>
      </c>
      <c r="H9" s="261" t="s">
        <v>282</v>
      </c>
      <c r="I9" s="260" t="s">
        <v>283</v>
      </c>
      <c r="J9" s="260" t="s">
        <v>284</v>
      </c>
      <c r="K9" s="260" t="s">
        <v>238</v>
      </c>
      <c r="L9" s="260" t="s">
        <v>282</v>
      </c>
      <c r="M9" s="259" t="s">
        <v>283</v>
      </c>
      <c r="N9" s="260" t="s">
        <v>284</v>
      </c>
      <c r="O9" s="260" t="s">
        <v>238</v>
      </c>
      <c r="P9" s="260" t="s">
        <v>282</v>
      </c>
      <c r="Q9" s="259" t="s">
        <v>283</v>
      </c>
      <c r="R9" s="260" t="s">
        <v>284</v>
      </c>
      <c r="S9" s="260" t="s">
        <v>238</v>
      </c>
      <c r="T9" s="260" t="s">
        <v>282</v>
      </c>
      <c r="U9" s="340" t="s">
        <v>283</v>
      </c>
      <c r="V9" s="341" t="s">
        <v>284</v>
      </c>
      <c r="W9" s="326" t="s">
        <v>238</v>
      </c>
      <c r="X9" s="327" t="s">
        <v>282</v>
      </c>
      <c r="Y9" s="326" t="s">
        <v>283</v>
      </c>
      <c r="Z9" s="323" t="s">
        <v>284</v>
      </c>
      <c r="AA9" s="326" t="s">
        <v>238</v>
      </c>
      <c r="AB9" s="326" t="s">
        <v>282</v>
      </c>
      <c r="AC9" s="325" t="s">
        <v>283</v>
      </c>
      <c r="AD9" s="323" t="s">
        <v>284</v>
      </c>
      <c r="AE9" s="326" t="s">
        <v>238</v>
      </c>
      <c r="AF9" s="326" t="s">
        <v>282</v>
      </c>
      <c r="AG9" s="325" t="s">
        <v>283</v>
      </c>
      <c r="AH9" s="323" t="s">
        <v>284</v>
      </c>
      <c r="AI9" s="326" t="s">
        <v>238</v>
      </c>
      <c r="AJ9" s="326" t="s">
        <v>282</v>
      </c>
    </row>
    <row r="10" ht="14.9" customHeight="1">
      <c r="B10" s="711" t="s">
        <v>454</v>
      </c>
      <c r="C10" s="85" t="s">
        <v>907</v>
      </c>
      <c r="D10" s="683" t="n">
        <f>'Haver Pivoted'!GO12</f>
        <v>755</v>
      </c>
      <c r="E10" s="684" t="n">
        <f>'Haver Pivoted'!GP12</f>
        <v>771.9</v>
      </c>
      <c r="F10" s="684" t="n">
        <f>'Haver Pivoted'!GQ12</f>
        <v>785.3</v>
      </c>
      <c r="G10" s="684" t="n">
        <f>'Haver Pivoted'!GR12</f>
        <v>793.9</v>
      </c>
      <c r="H10" s="684" t="n">
        <f>'Haver Pivoted'!GS12</f>
        <v>797.9</v>
      </c>
      <c r="I10" s="684" t="n">
        <f>'Haver Pivoted'!GT12</f>
        <v>798.4</v>
      </c>
      <c r="J10" s="684" t="n">
        <f>'Haver Pivoted'!GU12</f>
        <v>811.1</v>
      </c>
      <c r="K10" s="684" t="n">
        <f>'Haver Pivoted'!GV12</f>
        <v>823.1</v>
      </c>
      <c r="L10" s="684" t="n">
        <f>'Haver Pivoted'!GW12</f>
        <v>834.5</v>
      </c>
      <c r="M10" s="684" t="n">
        <f>'Haver Pivoted'!GX12</f>
        <v>849.4</v>
      </c>
      <c r="N10" s="684" t="n">
        <f>'Haver Pivoted'!GY12</f>
        <v>865.6</v>
      </c>
      <c r="O10" s="684" t="n">
        <f>'Haver Pivoted'!GZ12</f>
        <v>882.6</v>
      </c>
      <c r="P10" s="684" t="n">
        <f>'Haver Pivoted'!HA12</f>
        <v>900.3</v>
      </c>
      <c r="Q10" s="684" t="n">
        <f>'Haver Pivoted'!HB12</f>
        <v>918.2</v>
      </c>
      <c r="R10" s="684" t="n">
        <f>'Haver Pivoted'!HC12</f>
        <v>924.7</v>
      </c>
      <c r="S10" s="685" t="n">
        <f>'Haver Pivoted'!HD12</f>
        <v>927.2</v>
      </c>
      <c r="T10" s="669" t="n">
        <f>'Haver Pivoted'!HE12</f>
        <v>934.2</v>
      </c>
      <c r="U10" s="709" t="n">
        <f>'Haver Pivoted'!HF12</f>
        <v>938.1</v>
      </c>
      <c r="V10" s="685" t="n">
        <f>'Haver Pivoted'!HG12</f>
        <v>941.9</v>
      </c>
      <c r="W10" s="685" t="n">
        <f>'Haver Pivoted'!HH12</f>
        <v>946.3</v>
      </c>
      <c r="X10" s="685" t="n">
        <f>'Haver Pivoted'!HI12</f>
        <v>951.3</v>
      </c>
      <c r="Y10" s="685" t="n">
        <f>'Haver Pivoted'!HJ12</f>
        <v>965.3</v>
      </c>
      <c r="Z10" s="685" t="n">
        <f>'Haver Pivoted'!HK12</f>
        <v>983.2</v>
      </c>
      <c r="AA10" s="696" t="n">
        <f>Z10*(1+AA13)+AA12</f>
        <v>1004.8913543635854</v>
      </c>
      <c r="AB10" s="696" t="n">
        <f>AA10*(1+AB13)+AB12</f>
        <v>1017.6261860902274</v>
      </c>
      <c r="AC10" s="696" t="n">
        <f t="shared" ref="AC10:AE10" si="0">AB10*(1+AC13)+AC12</f>
        <v>1030.5224043572171</v>
      </c>
      <c r="AD10" s="696" t="n">
        <f t="shared" si="0"/>
        <v>1043.5820543910609</v>
      </c>
      <c r="AE10" s="696" t="n">
        <f t="shared" si="0"/>
        <v>1056.8072073371027</v>
      </c>
      <c r="AF10" s="696" t="n">
        <f>AE10*(1+AF13)+AF12</f>
        <v>1073.4409624197474</v>
      </c>
      <c r="AG10" s="696" t="n">
        <f>AF10*(1+AG13)+AG12</f>
        <v>1090.3365266632575</v>
      </c>
      <c r="AH10" s="696" t="n">
        <f t="shared" ref="AH10:AI10" si="1">AG10*(1+AH13)+AH12</f>
        <v>1107.4980208471184</v>
      </c>
      <c r="AI10" s="696" t="n">
        <f t="shared" si="1"/>
        <v>1124.9296306103629</v>
      </c>
      <c r="AJ10" s="696" t="n">
        <f>AI10*(1+AJ13)+AJ12</f>
        <v>1144.5705265795928</v>
      </c>
    </row>
    <row r="11" ht="28.5" customHeight="1">
      <c r="B11" s="736" t="s">
        <v>909</v>
      </c>
      <c r="C11" s="726" t="s">
        <v>520</v>
      </c>
      <c r="D11" s="737"/>
      <c r="E11" s="723"/>
      <c r="F11" s="723"/>
      <c r="G11" s="723"/>
      <c r="H11" s="723"/>
      <c r="I11" s="723"/>
      <c r="J11" s="724" t="n">
        <f>'Haver Pivoted'!GU46</f>
        <v>9.6</v>
      </c>
      <c r="K11" s="724" t="n">
        <f>'Haver Pivoted'!GV46</f>
        <v>14.4</v>
      </c>
      <c r="L11" s="724" t="n">
        <f>'Haver Pivoted'!GW46</f>
        <v>14.3</v>
      </c>
      <c r="M11" s="724" t="n">
        <f>'Haver Pivoted'!GX46</f>
        <v>15</v>
      </c>
      <c r="N11" s="724" t="n">
        <f>'Haver Pivoted'!GY46</f>
        <v>15.3</v>
      </c>
      <c r="O11" s="724" t="n">
        <f>'Haver Pivoted'!GZ46</f>
        <v>15.6</v>
      </c>
      <c r="P11" s="724" t="n">
        <f>'Haver Pivoted'!HA46</f>
        <v>15.7</v>
      </c>
      <c r="Q11" s="724" t="n">
        <f>'Haver Pivoted'!HB46</f>
        <v>15.8</v>
      </c>
      <c r="R11" s="724" t="n">
        <f>'Haver Pivoted'!HC46</f>
        <v>7.9</v>
      </c>
      <c r="S11" s="641" t="n">
        <f>'Haver Pivoted'!HD46</f>
        <v>0</v>
      </c>
      <c r="T11" s="641" t="n">
        <f>'Haver Pivoted'!HE46</f>
        <v>0</v>
      </c>
      <c r="U11" s="641" t="n">
        <f>'Haver Pivoted'!HF46</f>
        <v>0</v>
      </c>
      <c r="V11" s="641" t="n">
        <f>'Haver Pivoted'!HG46</f>
        <v>0</v>
      </c>
      <c r="W11" s="641" t="n">
        <f>'Haver Pivoted'!HH46</f>
        <v>0</v>
      </c>
      <c r="X11" s="641" t="n">
        <f>'Haver Pivoted'!HI46</f>
        <v>0</v>
      </c>
      <c r="Y11" s="641" t="n">
        <f>'Haver Pivoted'!HJ46</f>
        <v>0</v>
      </c>
      <c r="Z11" s="641" t="n">
        <f>'Haver Pivoted'!HK46</f>
        <v>0</v>
      </c>
      <c r="AA11" s="713"/>
      <c r="AB11" s="713"/>
      <c r="AC11" s="713"/>
      <c r="AD11" s="713"/>
      <c r="AE11" s="713"/>
      <c r="AF11" s="713"/>
      <c r="AG11" s="713"/>
      <c r="AH11" s="713"/>
      <c r="AI11" s="713"/>
      <c r="AJ11" s="713"/>
    </row>
    <row r="12">
      <c r="B12" s="736" t="s">
        <v>1840</v>
      </c>
      <c r="C12" s="726"/>
      <c r="D12" s="737"/>
      <c r="E12" s="723"/>
      <c r="F12" s="723"/>
      <c r="G12" s="723"/>
      <c r="H12" s="723"/>
      <c r="I12" s="723"/>
      <c r="J12" s="724"/>
      <c r="K12" s="724"/>
      <c r="L12" s="724"/>
      <c r="M12" s="724"/>
      <c r="N12" s="724"/>
      <c r="O12" s="724"/>
      <c r="P12" s="724"/>
      <c r="Q12" s="724"/>
      <c r="R12" s="724"/>
      <c r="S12" s="641"/>
      <c r="T12" s="641"/>
      <c r="U12" s="641"/>
      <c r="V12" s="641"/>
      <c r="W12" s="479" t="n">
        <v>-7</v>
      </c>
      <c r="X12" s="713"/>
      <c r="Y12" s="713" t="n">
        <v>-13.3</v>
      </c>
      <c r="Z12" s="713" t="n">
        <v>-8</v>
      </c>
      <c r="AA12" s="713" t="n">
        <v>-2</v>
      </c>
      <c r="AB12" s="713"/>
      <c r="AC12" s="713"/>
      <c r="AD12" s="713"/>
      <c r="AE12" s="713"/>
      <c r="AF12" s="713"/>
      <c r="AG12" s="713"/>
      <c r="AH12" s="713"/>
      <c r="AI12" s="713"/>
      <c r="AJ12" s="713"/>
    </row>
    <row r="13">
      <c r="B13" s="729" t="s">
        <v>455</v>
      </c>
      <c r="C13" s="728"/>
      <c r="D13" s="701"/>
      <c r="E13" s="660"/>
      <c r="F13" s="660"/>
      <c r="G13" s="660"/>
      <c r="H13" s="660"/>
      <c r="I13" s="660"/>
      <c r="J13" s="687"/>
      <c r="K13" s="687"/>
      <c r="L13" s="687"/>
      <c r="M13" s="687"/>
      <c r="N13" s="687" t="n">
        <f>(1 + $E$26)^0.25-1</f>
        <v>0</v>
      </c>
      <c r="O13" s="687" t="n">
        <f>(1 + $E$26)^0.25-1</f>
        <v>0</v>
      </c>
      <c r="P13" s="687" t="n">
        <f>(1 + $F$26)^0.25-1</f>
        <v>3.0584654007782985E-2</v>
      </c>
      <c r="Q13" s="687" t="n">
        <f>(1 +$F$26)^0.25-1</f>
        <v>3.0584654007782985E-2</v>
      </c>
      <c r="R13" s="687" t="n">
        <f>(1 +$F$26)^0.25-1</f>
        <v>3.0584654007782985E-2</v>
      </c>
      <c r="S13" s="725" t="n">
        <f>(1 +$F$26)^0.25-1</f>
        <v>3.0584654007782985E-2</v>
      </c>
      <c r="T13" s="725" t="n">
        <f>(1 +$G$26)^0.25-1</f>
        <v>1.0343738735768992E-2</v>
      </c>
      <c r="U13" s="725" t="n">
        <f>(1 +$G$26)^0.25-1</f>
        <v>1.0343738735768992E-2</v>
      </c>
      <c r="V13" s="725" t="n">
        <f>(1 +$G$26)^0.25-1</f>
        <v>1.0343738735768992E-2</v>
      </c>
      <c r="W13" s="687" t="n">
        <f>(1 +$G$26)^0.25-1</f>
        <v>1.0343738735768992E-2</v>
      </c>
      <c r="X13" s="714" t="n">
        <f>(1 +$H$26)^0.25-1</f>
        <v>2.4096170019920038E-2</v>
      </c>
      <c r="Y13" s="705" t="n">
        <f t="shared" ref="Y13:AA13" si="2">(1 +$H$26)^0.25-1</f>
        <v>2.4096170019920038E-2</v>
      </c>
      <c r="Z13" s="705" t="n">
        <f t="shared" si="2"/>
        <v>2.4096170019920038E-2</v>
      </c>
      <c r="AA13" s="705" t="n">
        <f t="shared" si="2"/>
        <v>2.4096170019920038E-2</v>
      </c>
      <c r="AB13" s="714" t="n">
        <f>(1 +$I$26)^0.25-1</f>
        <v>1.2672844354111534E-2</v>
      </c>
      <c r="AC13" s="705" t="n">
        <f>(1 +$I$26)^0.25-1</f>
        <v>1.2672844354111534E-2</v>
      </c>
      <c r="AD13" s="705" t="n">
        <f t="shared" ref="AD13:AE13" si="3">(1 +$I$26)^0.25-1</f>
        <v>1.2672844354111534E-2</v>
      </c>
      <c r="AE13" s="705" t="n">
        <f t="shared" si="3"/>
        <v>1.2672844354111534E-2</v>
      </c>
      <c r="AF13" s="714" t="n">
        <f>(1 +$J$26)^0.25-1</f>
        <v>1.5739630622464862E-2</v>
      </c>
      <c r="AG13" s="705" t="n">
        <f>(1 +$J$26)^0.25-1</f>
        <v>1.5739630622464862E-2</v>
      </c>
      <c r="AH13" s="705" t="n">
        <f>(1 +$J$26)^0.25-1</f>
        <v>1.5739630622464862E-2</v>
      </c>
      <c r="AI13" s="705" t="n">
        <f>(1 +$J$26)^0.25-1</f>
        <v>1.5739630622464862E-2</v>
      </c>
      <c r="AJ13" s="714" t="n">
        <f>(1 +$K$26)^0.25-1</f>
        <v>1.7459666306925525E-2</v>
      </c>
    </row>
    <row r="14" ht="15.75" customHeight="1">
      <c r="B14" s="727"/>
      <c r="C14" s="712"/>
      <c r="D14" s="661"/>
      <c r="E14" s="661"/>
      <c r="F14" s="661"/>
      <c r="G14" s="661"/>
      <c r="H14" s="661"/>
      <c r="I14" s="661"/>
      <c r="J14" s="665"/>
      <c r="K14" s="665"/>
      <c r="L14" s="665"/>
      <c r="M14" s="665"/>
    </row>
    <row r="15" ht="15.75" customHeight="1">
      <c r="B15" s="727"/>
      <c r="C15" s="712"/>
      <c r="D15" s="661"/>
      <c r="E15" s="614" t="n">
        <f t="shared" ref="E15:X15" si="4">E10-D10</f>
        <v>16.899999999999977</v>
      </c>
      <c r="F15" s="614" t="n">
        <f t="shared" si="4"/>
        <v>13.399999999999977</v>
      </c>
      <c r="G15" s="614" t="n">
        <f t="shared" si="4"/>
        <v>8.6000000000000227</v>
      </c>
      <c r="H15" s="614" t="n">
        <f t="shared" si="4"/>
        <v>4</v>
      </c>
      <c r="I15" s="614" t="n">
        <f t="shared" si="4"/>
        <v>0.5</v>
      </c>
      <c r="J15" s="614" t="n">
        <f t="shared" si="4"/>
        <v>12.700000000000045</v>
      </c>
      <c r="K15" s="614" t="n">
        <f t="shared" si="4"/>
        <v>12</v>
      </c>
      <c r="L15" s="614" t="n">
        <f t="shared" si="4"/>
        <v>11.399999999999977</v>
      </c>
      <c r="M15" s="614" t="n">
        <f t="shared" si="4"/>
        <v>14.899999999999977</v>
      </c>
      <c r="N15" s="614" t="n">
        <f t="shared" si="4"/>
        <v>16.200000000000045</v>
      </c>
      <c r="O15" s="614" t="n">
        <f>O10-N10</f>
        <v>17</v>
      </c>
      <c r="P15" s="614" t="n">
        <f t="shared" si="4"/>
        <v>17.699999999999932</v>
      </c>
      <c r="Q15" s="614" t="n">
        <f t="shared" si="4"/>
        <v>17.900000000000091</v>
      </c>
      <c r="R15" s="614" t="n">
        <f t="shared" si="4"/>
        <v>6.5</v>
      </c>
      <c r="S15" s="614" t="n">
        <f t="shared" si="4"/>
        <v>2.5</v>
      </c>
      <c r="T15" s="614" t="n">
        <f t="shared" si="4"/>
        <v>7</v>
      </c>
      <c r="U15" s="614" t="n">
        <f t="shared" si="4"/>
        <v>3.8999999999999773</v>
      </c>
      <c r="V15" s="614" t="n">
        <f t="shared" si="4"/>
        <v>3.7999999999999545</v>
      </c>
      <c r="W15" s="614" t="n">
        <f t="shared" si="4"/>
        <v>4.3999999999999773</v>
      </c>
      <c r="X15" s="614" t="n">
        <f t="shared" si="4"/>
        <v>5</v>
      </c>
      <c r="Y15" s="614" t="n">
        <f>Y10-X10</f>
        <v>14</v>
      </c>
      <c r="Z15" s="614" t="n">
        <f t="shared" ref="Z15:AG15" si="5">Z10-Y10</f>
        <v>17.900000000000091</v>
      </c>
      <c r="AA15" s="614" t="n">
        <f t="shared" si="5"/>
        <v>21.691354363585333</v>
      </c>
      <c r="AB15" s="614" t="n">
        <f t="shared" si="5"/>
        <v>12.734831726642028</v>
      </c>
      <c r="AC15" s="614" t="n">
        <f t="shared" si="5"/>
        <v>12.896218266989649</v>
      </c>
      <c r="AD15" s="614" t="n">
        <f t="shared" si="5"/>
        <v>13.059650033843809</v>
      </c>
      <c r="AE15" s="614" t="n">
        <f t="shared" si="5"/>
        <v>13.225152946041817</v>
      </c>
      <c r="AF15" s="614" t="n">
        <f t="shared" si="5"/>
        <v>16.633755082644711</v>
      </c>
      <c r="AG15" s="614" t="n">
        <f t="shared" si="5"/>
        <v>16.89556424351008</v>
      </c>
    </row>
    <row r="16" ht="15.75" customHeight="1">
      <c r="B16" s="727"/>
      <c r="C16" s="712"/>
      <c r="D16" s="661"/>
      <c r="E16" s="661"/>
      <c r="F16" s="661"/>
      <c r="G16" s="661"/>
      <c r="H16" s="661"/>
      <c r="I16" s="661"/>
      <c r="J16" s="665"/>
      <c r="K16" s="665"/>
      <c r="L16" s="665"/>
    </row>
    <row r="17">
      <c r="B17" s="727"/>
      <c r="C17" s="712"/>
      <c r="D17" s="661"/>
      <c r="E17" s="661"/>
      <c r="F17" s="661"/>
      <c r="G17" s="661"/>
      <c r="H17" s="661"/>
      <c r="I17" s="661"/>
      <c r="J17" s="665"/>
      <c r="K17" s="665"/>
      <c r="L17" s="665"/>
    </row>
    <row r="18">
      <c r="B18" s="727"/>
      <c r="C18" s="712"/>
      <c r="D18" s="661"/>
      <c r="E18" s="661"/>
      <c r="F18" s="661"/>
      <c r="G18" s="661"/>
      <c r="H18" s="661"/>
      <c r="I18" s="661"/>
      <c r="J18" s="665"/>
      <c r="K18" s="665"/>
      <c r="L18" s="665"/>
      <c r="N18" s="706"/>
      <c r="R18" s="706"/>
      <c r="V18" s="706"/>
      <c r="Z18" s="706"/>
    </row>
    <row r="19" ht="14.9" customHeight="1">
      <c r="B19" s="611" t="s">
        <v>352</v>
      </c>
      <c r="H19" t="s">
        <v>1928</v>
      </c>
    </row>
    <row r="20">
      <c r="B20" s="733" t="s">
        <v>432</v>
      </c>
      <c r="C20" s="733" t="n">
        <v>2019</v>
      </c>
      <c r="D20" s="734" t="n">
        <v>2020</v>
      </c>
      <c r="E20" s="734" t="n">
        <v>2021</v>
      </c>
      <c r="F20" s="734" t="n">
        <v>2022</v>
      </c>
      <c r="G20" s="734" t="n">
        <v>2023</v>
      </c>
      <c r="H20" s="735" t="n">
        <v>2024</v>
      </c>
      <c r="I20" s="735" t="n">
        <v>2025</v>
      </c>
      <c r="J20" s="735" t="n">
        <v>2026</v>
      </c>
      <c r="K20" s="735" t="n">
        <v>2027</v>
      </c>
    </row>
    <row r="21" ht="21" customHeight="1">
      <c r="B21" s="719" t="s">
        <v>1929</v>
      </c>
      <c r="C21" s="717"/>
      <c r="D21" s="718"/>
      <c r="E21" s="739" t="n">
        <v>867.67600000000004</v>
      </c>
      <c r="F21" s="322" t="n">
        <v>974.649</v>
      </c>
      <c r="G21" s="322" t="n">
        <v>1008.504</v>
      </c>
      <c r="H21" s="322" t="n">
        <v>1088.6869999999999</v>
      </c>
      <c r="I21" s="322" t="n">
        <v>1144.932</v>
      </c>
      <c r="J21" s="710" t="n">
        <v>1218.7349999999999</v>
      </c>
      <c r="K21" s="716" t="n">
        <v>1306.105</v>
      </c>
      <c r="L21" s="716" t="n">
        <v>1395.152</v>
      </c>
      <c r="M21" s="716" t="n">
        <v>1492.1469999999999</v>
      </c>
      <c r="N21" s="716" t="n">
        <v>1600.472</v>
      </c>
      <c r="O21" s="716" t="n">
        <v>1717.546</v>
      </c>
      <c r="P21" s="479" t="n">
        <v>1841.902</v>
      </c>
      <c r="Q21" s="479" t="n">
        <v>1996.52</v>
      </c>
      <c r="R21" s="479" t="n">
        <v>2149.098</v>
      </c>
      <c r="S21" s="479"/>
      <c r="T21" s="479"/>
      <c r="U21" s="479"/>
      <c r="V21" s="479"/>
      <c r="W21" s="479"/>
      <c r="X21" s="479"/>
      <c r="Y21" s="479"/>
      <c r="Z21" s="479"/>
      <c r="AA21" s="479"/>
      <c r="AB21" s="479"/>
      <c r="AC21" s="479"/>
    </row>
    <row r="22" ht="21" customHeight="1">
      <c r="B22" s="720"/>
      <c r="C22" s="715"/>
      <c r="D22" s="716"/>
      <c r="E22" s="322" t="n">
        <f>AVERAGE(L10:O10)</f>
        <v>858.02499999999998</v>
      </c>
      <c r="F22" s="322" t="n">
        <f>AVERAGE(P10:S10)</f>
        <v>917.59999999999991</v>
      </c>
      <c r="G22" s="322" t="n">
        <f>AVERAGE(T10:W10)</f>
        <v>940.125</v>
      </c>
      <c r="H22" s="322" t="n">
        <f>AVERAGE(X10:AA10)</f>
        <v>976.17283859089639</v>
      </c>
      <c r="I22" s="322" t="n">
        <f>AVERAGE(AB10:AE10)</f>
        <v>1037.1344630439021</v>
      </c>
      <c r="J22" s="708" t="n">
        <f>AVERAGE(AF10:AI10)</f>
        <v>1099.0512851351216</v>
      </c>
      <c r="K22" s="716"/>
      <c r="L22" s="716"/>
      <c r="M22" s="716"/>
      <c r="N22" s="716"/>
      <c r="O22" s="716"/>
      <c r="P22" s="479"/>
      <c r="Q22" s="479"/>
      <c r="R22" s="479"/>
      <c r="S22" s="479"/>
      <c r="T22" s="479"/>
      <c r="U22" s="479"/>
      <c r="V22" s="479"/>
      <c r="W22" s="479"/>
      <c r="X22" s="479"/>
      <c r="Y22" s="479"/>
      <c r="Z22" s="479"/>
      <c r="AA22" s="479"/>
      <c r="AB22" s="479"/>
      <c r="AC22" s="479"/>
    </row>
    <row r="23" ht="21" customHeight="1">
      <c r="B23" s="738" t="s">
        <v>456</v>
      </c>
      <c r="C23" s="297"/>
      <c r="D23" s="297" t="n">
        <v>47</v>
      </c>
      <c r="E23" s="297" t="n">
        <v>48</v>
      </c>
      <c r="F23" s="85" t="n">
        <v>-50</v>
      </c>
      <c r="G23" s="85" t="n">
        <v>-45</v>
      </c>
      <c r="H23" s="85"/>
      <c r="I23" s="85"/>
      <c r="J23" s="731" t="n">
        <f>SUM(D23:G23)</f>
        <v>0</v>
      </c>
      <c r="K23" t="n">
        <v>0</v>
      </c>
      <c r="M23" s="716"/>
      <c r="N23" s="716"/>
      <c r="O23" s="716"/>
      <c r="P23" s="479"/>
      <c r="Q23" s="479"/>
      <c r="R23" s="479"/>
      <c r="S23" s="479"/>
      <c r="T23" s="479"/>
      <c r="U23" s="479"/>
      <c r="V23" s="479"/>
      <c r="W23" s="479"/>
      <c r="X23" s="479"/>
      <c r="Y23" s="479"/>
      <c r="Z23" s="479"/>
      <c r="AA23" s="479"/>
      <c r="AB23" s="479"/>
      <c r="AC23" s="479"/>
    </row>
    <row r="24">
      <c r="B24" s="738" t="s">
        <v>1378</v>
      </c>
      <c r="C24" s="715"/>
      <c r="D24" s="715"/>
      <c r="E24" s="715" t="n">
        <f>E21-E23</f>
        <v>819.67600000000004</v>
      </c>
      <c r="F24" s="715" t="n">
        <f>F21+F23</f>
        <v>924.649</v>
      </c>
      <c r="G24" s="715" t="n">
        <f>G21+G23</f>
        <v>963.50400000000002</v>
      </c>
      <c r="H24" s="715" t="n">
        <f>H21+H23</f>
        <v>1088.6869999999999</v>
      </c>
      <c r="I24" s="715" t="n">
        <f>I21+I23</f>
        <v>1144.932</v>
      </c>
      <c r="J24" s="715" t="n">
        <f t="shared" ref="J24:K24" si="6">J21+J23</f>
        <v>1218.7349999999999</v>
      </c>
      <c r="K24" s="715" t="n">
        <f t="shared" si="6"/>
        <v>1306.105</v>
      </c>
      <c r="N24" s="732"/>
      <c r="O24" s="712"/>
      <c r="P24" s="479"/>
      <c r="Q24" s="479"/>
      <c r="R24" s="479"/>
      <c r="S24" s="479"/>
      <c r="T24" s="479"/>
      <c r="U24" s="479"/>
      <c r="V24" s="479"/>
      <c r="W24" s="479"/>
      <c r="X24" s="479"/>
      <c r="Y24" s="479"/>
      <c r="Z24" s="479"/>
      <c r="AA24" s="479"/>
      <c r="AB24" s="479"/>
      <c r="AC24" s="479"/>
    </row>
    <row r="25">
      <c r="B25" s="738" t="s">
        <v>458</v>
      </c>
      <c r="C25" s="280" t="n">
        <f>AVERAGE(D10:G10)</f>
        <v>776.52499999999998</v>
      </c>
      <c r="D25" s="280" t="n">
        <f>AVERAGE(H10:K10)</f>
        <v>807.625</v>
      </c>
      <c r="E25" s="715" t="n">
        <f>AVERAGE(L10:O10)</f>
        <v>858.02499999999998</v>
      </c>
      <c r="F25" s="85"/>
      <c r="G25" s="85"/>
      <c r="H25" s="85"/>
      <c r="I25" s="85"/>
      <c r="J25" s="731"/>
      <c r="L25" s="297" t="s">
        <v>457</v>
      </c>
      <c r="P25" s="479"/>
      <c r="Q25" s="479"/>
      <c r="R25" s="479"/>
      <c r="S25" s="479"/>
      <c r="T25" s="479"/>
      <c r="U25" s="479"/>
      <c r="V25" s="479"/>
      <c r="W25" s="479"/>
      <c r="X25" s="479"/>
      <c r="Y25" s="479"/>
      <c r="Z25" s="479"/>
      <c r="AA25" s="479"/>
      <c r="AB25" s="479"/>
      <c r="AC25" s="479"/>
    </row>
    <row r="26">
      <c r="B26" s="721" t="s">
        <v>920</v>
      </c>
      <c r="C26" s="297"/>
      <c r="D26" s="297"/>
      <c r="E26" s="297"/>
      <c r="F26" s="297" t="n">
        <f>F24/E24-1</f>
        <v>0.12806645552632978</v>
      </c>
      <c r="G26" s="297" t="n">
        <f>G24/F24-1+G27</f>
        <v>4.2021350804467339E-2</v>
      </c>
      <c r="H26" s="297" t="n">
        <f>H24/G24-1+H27-0.03</f>
        <v>9.9924733057672716E-2</v>
      </c>
      <c r="I26" s="297" t="n">
        <f>I24/H24-1</f>
        <v>5.166315019835821E-2</v>
      </c>
      <c r="J26" s="731" t="n">
        <f>J24/I24-1</f>
        <v>6.446059678653393E-2</v>
      </c>
      <c r="K26" s="731" t="n">
        <f>K24/J24-1</f>
        <v>7.1689087455435452E-2</v>
      </c>
      <c r="P26" s="297"/>
      <c r="Q26" s="297"/>
      <c r="R26" s="297"/>
      <c r="S26" s="297"/>
      <c r="T26" s="297"/>
      <c r="U26" s="297"/>
      <c r="V26" s="297"/>
      <c r="W26" s="297"/>
      <c r="X26" s="297"/>
      <c r="Y26" s="297"/>
      <c r="Z26" s="297"/>
      <c r="AA26" s="297"/>
      <c r="AB26" s="297"/>
      <c r="AC26" s="297"/>
    </row>
    <row r="27">
      <c r="B27" s="722" t="s">
        <v>892</v>
      </c>
      <c r="C27" s="86"/>
      <c r="D27" s="86"/>
      <c r="E27" s="86"/>
      <c r="F27" s="86"/>
      <c r="G27" s="86" t="n">
        <v>0</v>
      </c>
      <c r="H27" s="86"/>
      <c r="I27" s="86"/>
      <c r="J27" s="282"/>
      <c r="P27" s="297"/>
      <c r="Q27" s="297"/>
      <c r="R27" s="297"/>
      <c r="S27" s="297"/>
      <c r="T27" s="297"/>
      <c r="U27" s="297"/>
      <c r="V27" s="297"/>
      <c r="W27" s="297"/>
      <c r="X27" s="297"/>
      <c r="Y27" s="297"/>
      <c r="Z27" s="297"/>
      <c r="AA27" s="297"/>
      <c r="AB27" s="297"/>
      <c r="AC27" s="297"/>
    </row>
    <row r="28">
      <c r="C28" s="730"/>
      <c r="D28" s="730"/>
      <c r="E28" s="730"/>
      <c r="F28" s="730"/>
      <c r="G28" s="730"/>
      <c r="H28" s="730"/>
      <c r="I28" s="730"/>
      <c r="J28" s="730"/>
      <c r="P28" s="297"/>
      <c r="Q28" s="297"/>
      <c r="R28" s="297"/>
      <c r="S28" s="297"/>
      <c r="T28" s="297"/>
      <c r="U28" s="297"/>
      <c r="V28" s="297"/>
      <c r="W28" s="297"/>
      <c r="X28" s="297"/>
      <c r="Y28" s="297"/>
      <c r="Z28" s="297"/>
      <c r="AA28" s="297"/>
      <c r="AB28" s="297"/>
      <c r="AC28" s="297"/>
    </row>
    <row r="29">
      <c r="P29" s="297"/>
      <c r="Q29" s="297"/>
      <c r="R29" s="297"/>
      <c r="S29" s="297"/>
      <c r="T29" s="297"/>
      <c r="U29" s="297"/>
      <c r="V29" s="297"/>
      <c r="W29" s="297"/>
      <c r="X29" s="297"/>
      <c r="Y29" s="297"/>
      <c r="Z29" s="297"/>
      <c r="AA29" s="297"/>
      <c r="AB29" s="297"/>
      <c r="AC29" s="297"/>
    </row>
    <row r="30">
      <c r="S30" s="297"/>
      <c r="T30" s="297"/>
      <c r="U30" s="297"/>
      <c r="V30" s="297"/>
      <c r="W30" s="297"/>
      <c r="X30" s="297"/>
      <c r="Y30" s="297"/>
      <c r="Z30" s="297"/>
      <c r="AA30" s="297"/>
      <c r="AB30" s="297"/>
      <c r="AC30" s="297"/>
      <c r="AD30" s="297"/>
      <c r="AE30" s="297"/>
      <c r="AF30" s="297"/>
    </row>
    <row r="31">
      <c r="P31" s="297"/>
      <c r="Q31" s="297"/>
      <c r="R31" s="297"/>
      <c r="S31" s="297"/>
      <c r="T31" s="297"/>
      <c r="U31" s="297"/>
      <c r="V31" s="297"/>
      <c r="W31" s="297"/>
      <c r="X31" s="297"/>
      <c r="Y31" s="297"/>
      <c r="Z31" s="297"/>
      <c r="AA31" s="297"/>
      <c r="AB31" s="297"/>
      <c r="AC31" s="297"/>
    </row>
    <row r="32">
      <c r="F32" s="85"/>
      <c r="G32" s="85"/>
      <c r="P32" s="297"/>
      <c r="Q32" s="297"/>
      <c r="R32" s="297"/>
      <c r="S32" s="297"/>
      <c r="T32" s="297"/>
      <c r="U32" s="297"/>
      <c r="V32" s="297"/>
      <c r="W32" s="297"/>
      <c r="X32" s="297"/>
      <c r="Y32" s="297"/>
      <c r="Z32" s="297"/>
      <c r="AA32" s="297"/>
      <c r="AB32" s="297"/>
      <c r="AC32" s="297"/>
    </row>
    <row r="33">
      <c r="P33" s="297"/>
      <c r="Q33" s="297"/>
      <c r="R33" s="297"/>
      <c r="S33" s="297"/>
      <c r="T33" s="297"/>
      <c r="U33" s="297"/>
      <c r="V33" s="297"/>
      <c r="W33" s="297"/>
      <c r="X33" s="297"/>
      <c r="Y33" s="297"/>
      <c r="Z33" s="297"/>
      <c r="AA33" s="297"/>
      <c r="AB33" s="297"/>
      <c r="AC33" s="297"/>
    </row>
    <row r="34">
      <c r="P34" s="297"/>
      <c r="Q34" s="297"/>
      <c r="R34" s="297"/>
      <c r="S34" s="297"/>
      <c r="T34" s="297"/>
      <c r="U34" s="297"/>
      <c r="V34" s="297"/>
      <c r="W34" s="297"/>
      <c r="X34" s="297"/>
      <c r="Y34" s="297"/>
      <c r="Z34" s="297"/>
      <c r="AA34" s="297"/>
      <c r="AB34" s="297"/>
      <c r="AC34" s="297"/>
    </row>
  </sheetData>
  <mergeCells count="13">
    <mergeCell ref="AG8:AJ8"/>
    <mergeCell ref="W7:AJ7"/>
    <mergeCell ref="B1:AC1"/>
    <mergeCell ref="B7:C9"/>
    <mergeCell ref="E8:H8"/>
    <mergeCell ref="I8:L8"/>
    <mergeCell ref="Y8:AB8"/>
    <mergeCell ref="M8:P8"/>
    <mergeCell ref="B2:R4"/>
    <mergeCell ref="T2:AC4"/>
    <mergeCell ref="Q8:T8"/>
    <mergeCell ref="D7:V7"/>
    <mergeCell ref="AC8:AF8"/>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L1" workbookViewId="0">
      <selection activeCell="V31" sqref="V31"/>
    </sheetView>
  </sheetViews>
  <sheetFormatPr defaultRowHeight="15.0" baseColWidth="10"/>
  <sheetData>
    <row r="1">
      <c r="B1" s="257" t="s">
        <v>1380</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c r="B2" s="258" t="s">
        <v>1383</v>
      </c>
      <c r="C2" s="258"/>
      <c r="D2" s="258"/>
      <c r="E2" s="258"/>
      <c r="F2" s="258"/>
      <c r="G2" s="258"/>
      <c r="H2" s="258"/>
      <c r="I2" s="258"/>
      <c r="J2" s="258"/>
      <c r="K2" s="258"/>
      <c r="L2" s="258"/>
      <c r="M2" s="258"/>
      <c r="N2" s="258"/>
      <c r="O2" s="258"/>
      <c r="P2" s="258"/>
      <c r="Q2" s="258"/>
      <c r="R2" s="258"/>
      <c r="S2" s="258"/>
      <c r="T2" s="258"/>
      <c r="U2" s="258"/>
      <c r="V2" s="258"/>
      <c r="W2" s="258"/>
      <c r="X2" s="258"/>
      <c r="Y2" s="258"/>
      <c r="Z2" s="258"/>
      <c r="AA2" s="258"/>
      <c r="AB2" s="258"/>
      <c r="AC2" s="258"/>
    </row>
    <row r="3">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row>
    <row r="4">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row>
    <row r="5">
      <c r="B5" s="477"/>
      <c r="C5" s="297"/>
      <c r="D5" s="297"/>
      <c r="E5" s="297"/>
      <c r="F5" s="297"/>
      <c r="G5" s="297"/>
      <c r="H5" s="297"/>
      <c r="I5" s="297"/>
      <c r="J5" s="297"/>
      <c r="K5" s="297"/>
      <c r="L5" s="297"/>
      <c r="M5" s="297"/>
      <c r="N5" s="297"/>
      <c r="O5" s="297"/>
      <c r="P5" s="297"/>
      <c r="Q5" s="297"/>
      <c r="R5" s="297"/>
      <c r="S5" s="297"/>
      <c r="T5" s="297"/>
      <c r="U5" s="297"/>
      <c r="V5" s="297"/>
      <c r="W5" s="297"/>
      <c r="X5" s="297"/>
      <c r="Y5" s="297"/>
    </row>
    <row r="6">
      <c r="B6" s="262" t="s">
        <v>1697</v>
      </c>
      <c r="C6" s="527"/>
      <c r="D6" s="266" t="s">
        <v>280</v>
      </c>
      <c r="E6" s="277"/>
      <c r="F6" s="277"/>
      <c r="G6" s="277"/>
      <c r="H6" s="277"/>
      <c r="I6" s="277"/>
      <c r="J6" s="277"/>
      <c r="K6" s="277"/>
      <c r="L6" s="277"/>
      <c r="M6" s="277"/>
      <c r="N6" s="277"/>
      <c r="O6" s="277"/>
      <c r="P6" s="277"/>
      <c r="Q6" s="278"/>
      <c r="R6" s="278"/>
      <c r="S6" s="278"/>
      <c r="T6" s="278"/>
      <c r="U6" s="278"/>
      <c r="V6" s="265"/>
      <c r="W6" s="392" t="s">
        <v>281</v>
      </c>
      <c r="X6" s="380"/>
      <c r="Y6" s="380"/>
      <c r="Z6" s="380"/>
      <c r="AA6" s="380"/>
      <c r="AB6" s="380"/>
      <c r="AC6" s="380"/>
      <c r="AD6" s="380"/>
      <c r="AE6" s="380"/>
      <c r="AF6" s="380"/>
      <c r="AG6" s="295"/>
      <c r="AH6" s="295"/>
    </row>
    <row r="7">
      <c r="B7" s="264"/>
      <c r="C7" s="265"/>
      <c r="D7" s="259" t="n">
        <v>2018</v>
      </c>
      <c r="E7" s="259" t="n">
        <v>2019</v>
      </c>
      <c r="F7" s="260"/>
      <c r="G7" s="260"/>
      <c r="H7" s="261"/>
      <c r="I7" s="259" t="n">
        <v>2020</v>
      </c>
      <c r="J7" s="260"/>
      <c r="K7" s="260"/>
      <c r="L7" s="260"/>
      <c r="M7" s="259" t="n">
        <v>2021</v>
      </c>
      <c r="N7" s="260"/>
      <c r="O7" s="260"/>
      <c r="P7" s="260"/>
      <c r="Q7" s="354" t="n">
        <v>2022</v>
      </c>
      <c r="R7" s="355"/>
      <c r="S7" s="343"/>
      <c r="T7" s="343"/>
      <c r="U7" s="296"/>
      <c r="V7" s="343" t="n">
        <v>2023</v>
      </c>
      <c r="W7" s="344"/>
      <c r="X7" s="316"/>
      <c r="Y7" s="268" t="n">
        <v>2024</v>
      </c>
      <c r="Z7" s="347"/>
      <c r="AA7" s="347"/>
      <c r="AB7" s="256"/>
      <c r="AC7" s="255" t="n">
        <v>2025</v>
      </c>
      <c r="AD7" s="347"/>
      <c r="AE7" s="347"/>
      <c r="AF7" s="256"/>
      <c r="AG7" s="255" t="n">
        <v>2026</v>
      </c>
      <c r="AH7" s="256"/>
    </row>
    <row r="8">
      <c r="B8" s="266"/>
      <c r="C8" s="267"/>
      <c r="D8" s="259" t="s">
        <v>282</v>
      </c>
      <c r="E8" s="259" t="s">
        <v>283</v>
      </c>
      <c r="F8" s="260" t="s">
        <v>284</v>
      </c>
      <c r="G8" s="260" t="s">
        <v>238</v>
      </c>
      <c r="H8" s="261" t="s">
        <v>282</v>
      </c>
      <c r="I8" s="260" t="s">
        <v>283</v>
      </c>
      <c r="J8" s="260" t="s">
        <v>284</v>
      </c>
      <c r="K8" s="260" t="s">
        <v>238</v>
      </c>
      <c r="L8" s="260" t="s">
        <v>282</v>
      </c>
      <c r="M8" s="259" t="s">
        <v>283</v>
      </c>
      <c r="N8" s="260" t="s">
        <v>284</v>
      </c>
      <c r="O8" s="260" t="s">
        <v>238</v>
      </c>
      <c r="P8" s="260" t="s">
        <v>282</v>
      </c>
      <c r="Q8" s="340" t="s">
        <v>283</v>
      </c>
      <c r="R8" s="341" t="s">
        <v>284</v>
      </c>
      <c r="S8" s="341" t="s">
        <v>238</v>
      </c>
      <c r="T8" s="341" t="s">
        <v>282</v>
      </c>
      <c r="U8" s="340" t="s">
        <v>283</v>
      </c>
      <c r="V8" s="341" t="s">
        <v>284</v>
      </c>
      <c r="W8" s="326" t="s">
        <v>238</v>
      </c>
      <c r="X8" s="327" t="s">
        <v>282</v>
      </c>
      <c r="Y8" s="326" t="s">
        <v>283</v>
      </c>
      <c r="Z8" s="323" t="s">
        <v>284</v>
      </c>
      <c r="AA8" s="326" t="s">
        <v>238</v>
      </c>
      <c r="AB8" s="326" t="s">
        <v>282</v>
      </c>
      <c r="AC8" s="325" t="s">
        <v>283</v>
      </c>
      <c r="AD8" s="323" t="s">
        <v>284</v>
      </c>
      <c r="AE8" s="326" t="s">
        <v>238</v>
      </c>
      <c r="AF8" s="326" t="s">
        <v>282</v>
      </c>
      <c r="AG8" s="325" t="s">
        <v>283</v>
      </c>
      <c r="AH8" s="327" t="s">
        <v>284</v>
      </c>
    </row>
    <row r="9">
      <c r="B9" s="586" t="s">
        <v>1382</v>
      </c>
      <c r="C9" s="764"/>
      <c r="D9" s="765"/>
      <c r="E9" s="764"/>
      <c r="F9" s="764"/>
      <c r="G9" s="764"/>
      <c r="H9" s="764"/>
      <c r="I9" s="764"/>
      <c r="J9" s="766"/>
      <c r="K9" s="766"/>
      <c r="L9" s="766"/>
      <c r="M9" s="766"/>
      <c r="N9" s="766"/>
      <c r="O9" s="766"/>
      <c r="P9" s="766"/>
      <c r="Q9" s="744"/>
      <c r="R9" s="745" t="n">
        <v>0</v>
      </c>
      <c r="S9" s="746" t="n">
        <v>0</v>
      </c>
      <c r="T9" s="745" t="n">
        <v>0</v>
      </c>
      <c r="U9" s="745" t="n">
        <v>0</v>
      </c>
      <c r="V9" s="745" t="n">
        <v>0</v>
      </c>
      <c r="W9" s="745" t="n">
        <v>-7.7999999999999999E-4</v>
      </c>
      <c r="X9" s="745" t="n">
        <v>-7.7999999999999999E-4</v>
      </c>
      <c r="Y9" s="745" t="n">
        <v>-9.5E-4</v>
      </c>
      <c r="Z9" s="745" t="n">
        <v>-9.5E-4</v>
      </c>
      <c r="AA9" s="745" t="n">
        <v>-9.5E-4</v>
      </c>
      <c r="AB9" s="745" t="n">
        <v>-9.5E-4</v>
      </c>
      <c r="AC9" s="745" t="n">
        <v>-9.3999999999999997E-4</v>
      </c>
      <c r="AD9" s="745" t="n">
        <v>-9.3999999999999997E-4</v>
      </c>
      <c r="AE9" s="745" t="n">
        <v>-9.3999999999999997E-4</v>
      </c>
      <c r="AF9" s="745" t="n">
        <v>-9.3999999999999997E-4</v>
      </c>
      <c r="AG9" s="745" t="n">
        <v>-9.3999999999999997E-4</v>
      </c>
      <c r="AH9" s="745" t="n">
        <v>-9.3999999999999997E-4</v>
      </c>
    </row>
    <row r="10">
      <c r="B10" s="85" t="s">
        <v>1381</v>
      </c>
      <c r="C10" s="319"/>
      <c r="D10" s="688"/>
      <c r="E10" s="319"/>
      <c r="F10" s="319"/>
      <c r="G10" s="319"/>
      <c r="H10" s="319"/>
      <c r="I10" s="319"/>
      <c r="J10" s="743"/>
      <c r="K10" s="743"/>
      <c r="L10" s="743"/>
      <c r="M10" s="743"/>
      <c r="N10" s="743"/>
      <c r="O10" s="743"/>
      <c r="P10" s="743"/>
      <c r="Q10" s="743"/>
      <c r="R10" s="742"/>
      <c r="S10" s="742"/>
      <c r="T10" s="742"/>
      <c r="U10" s="742" t="n">
        <v>26095</v>
      </c>
      <c r="V10" s="742" t="n">
        <v>26404</v>
      </c>
      <c r="W10" s="742" t="n">
        <v>26686</v>
      </c>
      <c r="X10" s="742" t="n">
        <v>26931</v>
      </c>
      <c r="Y10" s="742" t="n">
        <v>27174</v>
      </c>
      <c r="Z10" s="742" t="n">
        <v>27411</v>
      </c>
      <c r="AA10" s="742" t="n">
        <v>27647</v>
      </c>
      <c r="AB10" s="742" t="n">
        <v>27893</v>
      </c>
      <c r="AC10" s="742" t="n">
        <v>28143</v>
      </c>
      <c r="AD10" s="742" t="n">
        <v>28400</v>
      </c>
      <c r="AE10" s="742" t="n">
        <v>28649</v>
      </c>
      <c r="AF10" s="742" t="n">
        <v>28910</v>
      </c>
      <c r="AG10" s="742" t="n">
        <v>28910</v>
      </c>
      <c r="AH10" s="742" t="n">
        <v>28910</v>
      </c>
    </row>
    <row r="11">
      <c r="B11" s="85" t="s">
        <v>312</v>
      </c>
      <c r="C11" s="635"/>
      <c r="D11" s="634"/>
      <c r="E11" s="635"/>
      <c r="F11" s="635"/>
      <c r="G11" s="635"/>
      <c r="H11" s="635"/>
      <c r="I11" s="635"/>
      <c r="J11" s="763" t="n">
        <v>45</v>
      </c>
      <c r="K11" s="763" t="n">
        <v>45</v>
      </c>
      <c r="L11" s="763" t="n">
        <v>45</v>
      </c>
      <c r="M11" s="763" t="n">
        <v>45</v>
      </c>
      <c r="N11" s="763" t="n">
        <v>45</v>
      </c>
      <c r="O11" s="763" t="n">
        <v>45</v>
      </c>
      <c r="P11" s="763" t="n">
        <v>45</v>
      </c>
      <c r="Q11" s="763" t="n">
        <v>45</v>
      </c>
      <c r="R11" s="762" t="n">
        <v>45</v>
      </c>
      <c r="S11" s="762" t="n">
        <v>45</v>
      </c>
      <c r="T11" s="762" t="n">
        <v>45</v>
      </c>
      <c r="U11" s="767" t="n">
        <v>45</v>
      </c>
      <c r="V11" s="767" t="n">
        <v>45</v>
      </c>
      <c r="W11" s="767" t="n">
        <f>W9*W10*(-1)*0.1</f>
        <v>2.0815079999999999</v>
      </c>
      <c r="X11" s="767" t="n">
        <f t="shared" ref="X11:AF11" si="0">X9*X10*(-1)*0.1</f>
        <v>2.1006180000000003</v>
      </c>
      <c r="Y11" s="767" t="n">
        <f t="shared" si="0"/>
        <v>2.5815300000000003</v>
      </c>
      <c r="Z11" s="767" t="n">
        <f t="shared" si="0"/>
        <v>2.6040450000000002</v>
      </c>
      <c r="AA11" s="767" t="n">
        <f t="shared" si="0"/>
        <v>2.626465</v>
      </c>
      <c r="AB11" s="767" t="n">
        <f t="shared" si="0"/>
        <v>2.6498349999999999</v>
      </c>
      <c r="AC11" s="767" t="n">
        <f t="shared" si="0"/>
        <v>2.6454420000000001</v>
      </c>
      <c r="AD11" s="767" t="n">
        <f t="shared" si="0"/>
        <v>2.6696</v>
      </c>
      <c r="AE11" s="767" t="n">
        <f t="shared" si="0"/>
        <v>2.693006</v>
      </c>
      <c r="AF11" s="767" t="n">
        <f t="shared" si="0"/>
        <v>2.7175400000000001</v>
      </c>
      <c r="AG11" s="767" t="n">
        <f>AG9*AG10*(-1)*0.1</f>
        <v>2.7175400000000001</v>
      </c>
      <c r="AH11" s="767" t="n">
        <f>AH9*AH10*(-1)*0.1</f>
        <v>2.7175400000000001</v>
      </c>
    </row>
    <row r="12">
      <c r="B12" s="85"/>
      <c r="C12" s="319"/>
      <c r="D12" s="319"/>
      <c r="E12" s="319"/>
      <c r="F12" s="319"/>
      <c r="G12" s="319"/>
      <c r="H12" s="319"/>
      <c r="I12" s="319"/>
      <c r="J12" s="743"/>
      <c r="K12" s="743"/>
      <c r="L12" s="743"/>
      <c r="M12" s="743"/>
      <c r="N12" s="743"/>
      <c r="O12" s="743"/>
      <c r="P12" s="743"/>
      <c r="Q12" s="743"/>
      <c r="R12" s="742"/>
      <c r="S12" s="742"/>
      <c r="T12" s="742"/>
      <c r="U12" s="100"/>
      <c r="V12" s="100"/>
      <c r="W12" s="100"/>
      <c r="X12" s="100"/>
      <c r="Y12" s="100"/>
      <c r="Z12" s="100"/>
      <c r="AA12" s="100"/>
      <c r="AB12" s="100"/>
      <c r="AC12" s="100"/>
      <c r="AD12" s="100"/>
      <c r="AE12" s="100"/>
      <c r="AF12" s="100"/>
      <c r="AG12" s="100"/>
      <c r="AH12" s="100"/>
    </row>
    <row r="13">
      <c r="B13" s="297"/>
      <c r="C13" s="297"/>
      <c r="D13" s="297"/>
      <c r="E13" s="297"/>
      <c r="F13" s="297"/>
      <c r="G13" s="297"/>
      <c r="H13" s="297"/>
      <c r="I13" s="297"/>
      <c r="J13" s="297"/>
      <c r="K13" s="297"/>
      <c r="L13" s="297"/>
      <c r="M13" s="297"/>
      <c r="N13" s="297"/>
      <c r="O13" s="297"/>
      <c r="P13" s="297"/>
      <c r="Q13" s="297"/>
      <c r="R13" s="297"/>
      <c r="S13" s="297"/>
      <c r="T13" s="297"/>
      <c r="U13" s="297"/>
      <c r="V13" s="297"/>
      <c r="W13" s="297"/>
      <c r="X13" s="297"/>
      <c r="Y13" s="297"/>
      <c r="Z13" s="85"/>
      <c r="AA13" s="85"/>
      <c r="AB13" s="85"/>
      <c r="AC13" s="85"/>
    </row>
    <row r="14">
      <c r="B14" s="12" t="s">
        <v>1752</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c r="B15" s="262" t="s">
        <v>1696</v>
      </c>
      <c r="C15" s="527"/>
      <c r="D15" s="591" t="s">
        <v>280</v>
      </c>
      <c r="E15" s="592"/>
      <c r="F15" s="592"/>
      <c r="G15" s="592"/>
      <c r="H15" s="592"/>
      <c r="I15" s="592"/>
      <c r="J15" s="592"/>
      <c r="K15" s="592"/>
      <c r="L15" s="592"/>
      <c r="M15" s="592"/>
      <c r="N15" s="592"/>
      <c r="O15" s="592"/>
      <c r="P15" s="592"/>
      <c r="Q15" s="592"/>
      <c r="R15" s="592"/>
      <c r="S15" s="592"/>
      <c r="T15" s="592"/>
      <c r="U15" s="592"/>
      <c r="V15" s="592"/>
      <c r="W15" s="380" t="s">
        <v>281</v>
      </c>
      <c r="X15" s="380"/>
      <c r="Y15" s="380"/>
      <c r="Z15" s="380"/>
      <c r="AA15" s="380"/>
      <c r="AB15" s="380"/>
      <c r="AC15" s="380"/>
      <c r="AD15" s="380"/>
      <c r="AE15" s="380"/>
      <c r="AF15" s="380"/>
      <c r="AG15" s="295"/>
      <c r="AH15" s="295"/>
    </row>
    <row r="16">
      <c r="B16" s="264"/>
      <c r="C16" s="265"/>
      <c r="D16" s="259" t="n">
        <v>2018</v>
      </c>
      <c r="E16" s="259" t="n">
        <v>2019</v>
      </c>
      <c r="F16" s="260"/>
      <c r="G16" s="260"/>
      <c r="H16" s="261"/>
      <c r="I16" s="259" t="n">
        <v>2020</v>
      </c>
      <c r="J16" s="260"/>
      <c r="K16" s="260"/>
      <c r="L16" s="260"/>
      <c r="M16" s="259" t="n">
        <v>2021</v>
      </c>
      <c r="N16" s="260"/>
      <c r="O16" s="260"/>
      <c r="P16" s="260"/>
      <c r="Q16" s="354" t="n">
        <v>2022</v>
      </c>
      <c r="R16" s="740"/>
      <c r="S16" s="343"/>
      <c r="T16" s="362"/>
      <c r="U16" s="296"/>
      <c r="V16" s="343" t="n">
        <v>2023</v>
      </c>
      <c r="W16" s="662"/>
      <c r="X16" s="662"/>
      <c r="Y16" s="255" t="n">
        <v>2024</v>
      </c>
      <c r="Z16" s="347"/>
      <c r="AA16" s="347"/>
      <c r="AB16" s="256"/>
      <c r="AC16" s="255" t="n">
        <v>2025</v>
      </c>
      <c r="AD16" s="347"/>
      <c r="AE16" s="347"/>
      <c r="AF16" s="256"/>
      <c r="AG16" s="255" t="n">
        <v>2026</v>
      </c>
      <c r="AH16" s="256"/>
    </row>
    <row r="17">
      <c r="B17" s="266"/>
      <c r="C17" s="267"/>
      <c r="D17" s="259" t="s">
        <v>282</v>
      </c>
      <c r="E17" s="259" t="s">
        <v>283</v>
      </c>
      <c r="F17" s="260" t="s">
        <v>284</v>
      </c>
      <c r="G17" s="260" t="s">
        <v>238</v>
      </c>
      <c r="H17" s="261" t="s">
        <v>282</v>
      </c>
      <c r="I17" s="260" t="s">
        <v>283</v>
      </c>
      <c r="J17" s="260" t="s">
        <v>284</v>
      </c>
      <c r="K17" s="260" t="s">
        <v>238</v>
      </c>
      <c r="L17" s="260" t="s">
        <v>282</v>
      </c>
      <c r="M17" s="259" t="s">
        <v>283</v>
      </c>
      <c r="N17" s="260" t="s">
        <v>284</v>
      </c>
      <c r="O17" s="260" t="s">
        <v>238</v>
      </c>
      <c r="P17" s="260" t="s">
        <v>282</v>
      </c>
      <c r="Q17" s="340" t="s">
        <v>283</v>
      </c>
      <c r="R17" s="341" t="s">
        <v>284</v>
      </c>
      <c r="S17" s="341" t="s">
        <v>238</v>
      </c>
      <c r="T17" s="339" t="s">
        <v>282</v>
      </c>
      <c r="U17" s="340" t="s">
        <v>283</v>
      </c>
      <c r="V17" s="341" t="s">
        <v>284</v>
      </c>
      <c r="W17" s="326" t="s">
        <v>238</v>
      </c>
      <c r="X17" s="326" t="s">
        <v>282</v>
      </c>
      <c r="Y17" s="325" t="s">
        <v>283</v>
      </c>
      <c r="Z17" s="323" t="s">
        <v>284</v>
      </c>
      <c r="AA17" s="326" t="s">
        <v>238</v>
      </c>
      <c r="AB17" s="327" t="s">
        <v>282</v>
      </c>
      <c r="AC17" s="325" t="s">
        <v>283</v>
      </c>
      <c r="AD17" s="323" t="s">
        <v>284</v>
      </c>
      <c r="AE17" s="326" t="s">
        <v>238</v>
      </c>
      <c r="AF17" s="326" t="s">
        <v>282</v>
      </c>
      <c r="AG17" s="325" t="s">
        <v>283</v>
      </c>
      <c r="AH17" s="327" t="s">
        <v>284</v>
      </c>
    </row>
    <row r="18">
      <c r="B18" s="586" t="s">
        <v>1382</v>
      </c>
      <c r="C18" s="750"/>
      <c r="D18" s="751"/>
      <c r="E18" s="750"/>
      <c r="F18" s="750"/>
      <c r="G18" s="750"/>
      <c r="H18" s="750"/>
      <c r="I18" s="750"/>
      <c r="J18" s="752"/>
      <c r="K18" s="752"/>
      <c r="L18" s="752"/>
      <c r="M18" s="752"/>
      <c r="N18" s="752"/>
      <c r="O18" s="752"/>
      <c r="P18" s="752"/>
      <c r="Q18" s="752"/>
      <c r="R18" s="753" t="n">
        <v>0</v>
      </c>
      <c r="S18" s="747" t="n">
        <v>0</v>
      </c>
      <c r="T18" s="749" t="n">
        <v>0</v>
      </c>
      <c r="U18" s="749" t="n">
        <v>-7.7999999999999999E-4</v>
      </c>
      <c r="V18" s="749" t="n">
        <v>-7.7999999999999999E-4</v>
      </c>
      <c r="W18" s="749" t="n">
        <v>-7.7999999999999999E-4</v>
      </c>
      <c r="X18" s="749" t="n">
        <v>-7.7999999999999999E-4</v>
      </c>
      <c r="Y18" s="749" t="n">
        <v>-9.5E-4</v>
      </c>
      <c r="Z18" s="749" t="n">
        <v>-9.5E-4</v>
      </c>
      <c r="AA18" s="749" t="n">
        <v>-9.5E-4</v>
      </c>
      <c r="AB18" s="749" t="n">
        <v>-9.5E-4</v>
      </c>
      <c r="AC18" s="749" t="n">
        <v>-9.3999999999999997E-4</v>
      </c>
      <c r="AD18" s="749" t="n">
        <v>-9.3999999999999997E-4</v>
      </c>
      <c r="AE18" s="749" t="n">
        <v>-9.3999999999999997E-4</v>
      </c>
      <c r="AF18" s="749" t="n">
        <v>-9.3999999999999997E-4</v>
      </c>
      <c r="AG18" s="747" t="n">
        <v>-9.3999999999999997E-4</v>
      </c>
      <c r="AH18" s="747" t="n">
        <v>-9.3999999999999997E-4</v>
      </c>
    </row>
    <row r="19">
      <c r="B19" s="85" t="s">
        <v>1381</v>
      </c>
      <c r="C19" s="754"/>
      <c r="D19" s="755"/>
      <c r="E19" s="754"/>
      <c r="F19" s="754"/>
      <c r="G19" s="754"/>
      <c r="H19" s="754"/>
      <c r="I19" s="754"/>
      <c r="J19" s="756"/>
      <c r="K19" s="756"/>
      <c r="L19" s="756"/>
      <c r="M19" s="756"/>
      <c r="N19" s="756"/>
      <c r="O19" s="756"/>
      <c r="P19" s="756"/>
      <c r="Q19" s="756"/>
      <c r="R19" s="748"/>
      <c r="S19" s="748"/>
      <c r="T19" s="748"/>
      <c r="U19" s="748" t="n">
        <v>26095</v>
      </c>
      <c r="V19" s="748" t="n">
        <v>26404</v>
      </c>
      <c r="W19" s="748" t="n">
        <v>26686</v>
      </c>
      <c r="X19" s="748" t="n">
        <v>26931</v>
      </c>
      <c r="Y19" s="748" t="n">
        <v>27174</v>
      </c>
      <c r="Z19" s="748" t="n">
        <v>27411</v>
      </c>
      <c r="AA19" s="748" t="n">
        <v>27647</v>
      </c>
      <c r="AB19" s="748" t="n">
        <v>27893</v>
      </c>
      <c r="AC19" s="748" t="n">
        <v>28143</v>
      </c>
      <c r="AD19" s="748" t="n">
        <v>28400</v>
      </c>
      <c r="AE19" s="748" t="n">
        <v>28649</v>
      </c>
      <c r="AF19" s="748" t="n">
        <v>28910</v>
      </c>
      <c r="AG19" s="748" t="n">
        <v>28910</v>
      </c>
      <c r="AH19" s="748" t="n">
        <v>28910</v>
      </c>
    </row>
    <row r="20">
      <c r="B20" s="85" t="s">
        <v>312</v>
      </c>
      <c r="C20" s="757"/>
      <c r="D20" s="758"/>
      <c r="E20" s="757"/>
      <c r="F20" s="757"/>
      <c r="G20" s="757"/>
      <c r="H20" s="757"/>
      <c r="I20" s="757"/>
      <c r="J20" s="759"/>
      <c r="K20" s="759"/>
      <c r="L20" s="759"/>
      <c r="M20" s="759"/>
      <c r="N20" s="759"/>
      <c r="O20" s="759"/>
      <c r="P20" s="759"/>
      <c r="Q20" s="759"/>
      <c r="R20" s="760" t="n">
        <f>R18*R19</f>
        <v>0</v>
      </c>
      <c r="S20" s="760" t="n">
        <f t="shared" ref="S20:T20" si="1">S18*S19</f>
        <v>0</v>
      </c>
      <c r="T20" s="760" t="n">
        <f t="shared" si="1"/>
        <v>0</v>
      </c>
      <c r="U20" s="761" t="n">
        <f>U18*U19*-1</f>
        <v>20.354099999999999</v>
      </c>
      <c r="V20" s="761" t="n">
        <f t="shared" ref="V20:AF20" si="2">V18*V19*-1</f>
        <v>20.595119999999998</v>
      </c>
      <c r="W20" s="761" t="n">
        <f t="shared" si="2"/>
        <v>20.815079999999998</v>
      </c>
      <c r="X20" s="761" t="n">
        <f t="shared" si="2"/>
        <v>21.006180000000001</v>
      </c>
      <c r="Y20" s="761" t="n">
        <f t="shared" si="2"/>
        <v>25.815300000000001</v>
      </c>
      <c r="Z20" s="761" t="n">
        <f t="shared" si="2"/>
        <v>26.04045</v>
      </c>
      <c r="AA20" s="761" t="n">
        <f t="shared" si="2"/>
        <v>26.26465</v>
      </c>
      <c r="AB20" s="761" t="n">
        <f t="shared" si="2"/>
        <v>26.498349999999999</v>
      </c>
      <c r="AC20" s="761" t="n">
        <f t="shared" si="2"/>
        <v>26.454419999999999</v>
      </c>
      <c r="AD20" s="761" t="n">
        <f t="shared" si="2"/>
        <v>26.695999999999998</v>
      </c>
      <c r="AE20" s="761" t="n">
        <f t="shared" si="2"/>
        <v>26.930059999999997</v>
      </c>
      <c r="AF20" s="761" t="n">
        <f t="shared" si="2"/>
        <v>27.1754</v>
      </c>
      <c r="AG20" s="761" t="n">
        <f>AG18*AG19*-1</f>
        <v>27.1754</v>
      </c>
      <c r="AH20" s="761" t="n">
        <f>AH18*AH19*-1</f>
        <v>27.1754</v>
      </c>
    </row>
    <row r="23">
      <c r="C23" t="s">
        <v>1842</v>
      </c>
      <c r="F23" s="741" t="s">
        <v>1841</v>
      </c>
    </row>
  </sheetData>
  <mergeCells count="23">
    <mergeCell ref="B14:AF14"/>
    <mergeCell ref="B15:C17"/>
    <mergeCell ref="E16:H16"/>
    <mergeCell ref="I16:L16"/>
    <mergeCell ref="M16:P16"/>
    <mergeCell ref="Q16:R16"/>
    <mergeCell ref="Y16:AB16"/>
    <mergeCell ref="AC16:AF16"/>
    <mergeCell ref="D15:V15"/>
    <mergeCell ref="W15:AG15"/>
    <mergeCell ref="AG16:AH16"/>
    <mergeCell ref="Y7:AB7"/>
    <mergeCell ref="B1:AC1"/>
    <mergeCell ref="B2:AC4"/>
    <mergeCell ref="B6:C8"/>
    <mergeCell ref="E7:H7"/>
    <mergeCell ref="I7:L7"/>
    <mergeCell ref="M7:P7"/>
    <mergeCell ref="Q7:R7"/>
    <mergeCell ref="D6:V6"/>
    <mergeCell ref="AC7:AF7"/>
    <mergeCell ref="W6:AG6"/>
    <mergeCell ref="AG7:AH7"/>
  </mergeCells>
  <hyperlinks>
    <hyperlink ref="F23" r:id="rId1h"/>
  </hyperlinks>
  <pageMargins left="0.7" right="0.7" top="0.75" bottom="0.75" header="0.3" footer="0.3"/>
  <pageSetup paperSize="9" orientation="portrait" horizontalDpi="300" verticalDpi="300"/>
  <drawing r:id="rId1"/>
  <legacyDrawing r:id="rIdvml"/>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85" workbookViewId="0">
      <pane xSplit="2" ySplit="6" topLeftCell="K7" activePane="bottomRight" state="frozen"/>
      <selection pane="topRight" activeCell="C1" sqref="C1"/>
      <selection pane="bottomLeft" activeCell="A7" sqref="A7"/>
      <selection pane="bottomRight" activeCell="Y64" sqref="Y64"/>
    </sheetView>
  </sheetViews>
  <sheetFormatPr defaultRowHeight="15.0" baseColWidth="10" outlineLevelRow="1"/>
  <cols>
    <col min="2" max="2" width="71.1796875" hidden="0" customWidth="1"/>
    <col min="6" max="6" width="12.1796875" hidden="0" customWidth="1"/>
    <col min="7" max="7" width="10.453125" hidden="0" customWidth="1"/>
    <col min="9" max="9" width="12" hidden="0" customWidth="1"/>
  </cols>
  <sheetData>
    <row r="1" ht="18" customHeight="1">
      <c r="B1" s="769" t="s">
        <v>465</v>
      </c>
      <c r="C1" s="769"/>
      <c r="D1" s="769"/>
      <c r="E1" s="769"/>
      <c r="F1" s="769"/>
      <c r="G1" s="769"/>
      <c r="H1" s="769"/>
      <c r="I1" s="769"/>
      <c r="J1" s="769"/>
      <c r="K1" s="769"/>
      <c r="L1" s="769"/>
      <c r="M1" s="769"/>
      <c r="N1" s="769"/>
      <c r="O1" s="769"/>
      <c r="P1" s="769"/>
      <c r="Q1" s="769"/>
      <c r="R1" s="769"/>
      <c r="S1" s="769"/>
      <c r="T1" s="769"/>
      <c r="U1" s="769"/>
      <c r="V1" s="769"/>
      <c r="W1" s="769"/>
      <c r="X1" s="769"/>
      <c r="Y1" s="769"/>
      <c r="Z1" s="769"/>
      <c r="AA1" s="769"/>
      <c r="AB1" s="769"/>
      <c r="AC1" s="769"/>
    </row>
    <row r="2" ht="34.5" customHeight="1" outlineLevel="1" hidden="1">
      <c r="B2" s="258" t="s">
        <v>861</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3" customHeight="1" outlineLevel="1" hidden="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ht="10.4" customHeight="1" outlineLevel="1" hidden="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ht="14.25" customHeight="1" outlineLevel="1" hidden="1">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ht="14.25" customHeight="1" outlineLevel="1" hidden="1">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row>
    <row r="7">
      <c r="B7" s="843" t="s">
        <v>333</v>
      </c>
      <c r="C7" s="321"/>
      <c r="D7" s="321"/>
      <c r="E7" s="321"/>
      <c r="F7" s="321"/>
      <c r="G7" s="321"/>
      <c r="H7" s="322"/>
      <c r="I7" s="322"/>
      <c r="J7" s="322"/>
      <c r="K7" s="322"/>
      <c r="L7" s="322"/>
      <c r="M7" s="322"/>
      <c r="N7" s="322"/>
      <c r="O7" s="322"/>
      <c r="P7" s="322"/>
      <c r="Q7" s="322"/>
      <c r="R7" s="322"/>
      <c r="S7" s="322"/>
      <c r="T7" s="322"/>
      <c r="U7" s="322"/>
    </row>
    <row r="8" ht="14.9" customHeight="1">
      <c r="B8" s="803" t="s">
        <v>304</v>
      </c>
      <c r="C8" s="804"/>
      <c r="D8" s="807" t="s">
        <v>280</v>
      </c>
      <c r="E8" s="808"/>
      <c r="F8" s="808"/>
      <c r="G8" s="808"/>
      <c r="H8" s="808"/>
      <c r="I8" s="808"/>
      <c r="J8" s="808"/>
      <c r="K8" s="808"/>
      <c r="L8" s="808"/>
      <c r="M8" s="808"/>
      <c r="N8" s="808"/>
      <c r="O8" s="808"/>
      <c r="P8" s="277"/>
      <c r="Q8" s="277"/>
      <c r="R8" s="277"/>
      <c r="S8" s="277"/>
      <c r="T8" s="277"/>
      <c r="U8" s="277"/>
      <c r="V8" s="267"/>
      <c r="W8" s="379" t="s">
        <v>281</v>
      </c>
      <c r="X8" s="295"/>
      <c r="Y8" s="295"/>
      <c r="Z8" s="295"/>
      <c r="AA8" s="295"/>
      <c r="AB8" s="295"/>
      <c r="AC8" s="295"/>
      <c r="AD8" s="295"/>
      <c r="AE8" s="295"/>
      <c r="AF8" s="295"/>
      <c r="AG8" s="295"/>
      <c r="AH8" s="295"/>
    </row>
    <row r="9" ht="14.9" customHeight="1">
      <c r="B9" s="805"/>
      <c r="C9" s="806"/>
      <c r="D9" s="269" t="n">
        <v>2018</v>
      </c>
      <c r="E9" s="269" t="n">
        <v>2019</v>
      </c>
      <c r="F9" s="270"/>
      <c r="G9" s="270"/>
      <c r="H9" s="271"/>
      <c r="I9" s="269" t="n">
        <v>2020</v>
      </c>
      <c r="J9" s="270"/>
      <c r="K9" s="270"/>
      <c r="L9" s="270"/>
      <c r="M9" s="269" t="n">
        <v>2021</v>
      </c>
      <c r="N9" s="270"/>
      <c r="O9" s="270"/>
      <c r="P9" s="270"/>
      <c r="Q9" s="269" t="n">
        <v>2022</v>
      </c>
      <c r="R9" s="358"/>
      <c r="S9" s="358"/>
      <c r="T9" s="271"/>
      <c r="U9" s="343"/>
      <c r="V9" s="343" t="n">
        <v>2023</v>
      </c>
      <c r="W9" s="662"/>
      <c r="X9" s="316"/>
      <c r="Y9" s="255" t="n">
        <v>2024</v>
      </c>
      <c r="Z9" s="347"/>
      <c r="AA9" s="347"/>
      <c r="AB9" s="256"/>
      <c r="AC9" s="255" t="n">
        <v>2025</v>
      </c>
      <c r="AD9" s="347"/>
      <c r="AE9" s="347"/>
      <c r="AF9" s="268"/>
      <c r="AG9" s="255" t="n">
        <v>2026</v>
      </c>
      <c r="AH9" s="256"/>
    </row>
    <row r="10">
      <c r="B10" s="805"/>
      <c r="C10" s="806"/>
      <c r="D10" s="259" t="s">
        <v>282</v>
      </c>
      <c r="E10" s="259" t="s">
        <v>283</v>
      </c>
      <c r="F10" s="260" t="s">
        <v>284</v>
      </c>
      <c r="G10" s="260" t="s">
        <v>238</v>
      </c>
      <c r="H10" s="261" t="s">
        <v>282</v>
      </c>
      <c r="I10" s="260" t="s">
        <v>283</v>
      </c>
      <c r="J10" s="260" t="s">
        <v>284</v>
      </c>
      <c r="K10" s="260" t="s">
        <v>238</v>
      </c>
      <c r="L10" s="260" t="s">
        <v>282</v>
      </c>
      <c r="M10" s="259" t="s">
        <v>283</v>
      </c>
      <c r="N10" s="260" t="s">
        <v>284</v>
      </c>
      <c r="O10" s="260" t="s">
        <v>238</v>
      </c>
      <c r="P10" s="260" t="s">
        <v>282</v>
      </c>
      <c r="Q10" s="259" t="s">
        <v>283</v>
      </c>
      <c r="R10" s="260" t="s">
        <v>284</v>
      </c>
      <c r="S10" s="260" t="s">
        <v>238</v>
      </c>
      <c r="T10" s="261" t="s">
        <v>282</v>
      </c>
      <c r="U10" s="260" t="s">
        <v>283</v>
      </c>
      <c r="V10" s="341" t="s">
        <v>284</v>
      </c>
      <c r="W10" s="326" t="s">
        <v>238</v>
      </c>
      <c r="X10" s="327" t="s">
        <v>282</v>
      </c>
      <c r="Y10" s="325" t="s">
        <v>283</v>
      </c>
      <c r="Z10" s="323" t="s">
        <v>284</v>
      </c>
      <c r="AA10" s="326" t="s">
        <v>238</v>
      </c>
      <c r="AB10" s="326" t="s">
        <v>282</v>
      </c>
      <c r="AC10" s="325" t="s">
        <v>283</v>
      </c>
      <c r="AD10" s="323" t="s">
        <v>284</v>
      </c>
      <c r="AE10" s="326" t="s">
        <v>238</v>
      </c>
      <c r="AF10" s="326" t="s">
        <v>282</v>
      </c>
      <c r="AG10" s="325" t="s">
        <v>283</v>
      </c>
      <c r="AH10" s="327" t="s">
        <v>284</v>
      </c>
    </row>
    <row r="11">
      <c r="B11" s="770" t="s">
        <v>466</v>
      </c>
      <c r="C11" s="771"/>
      <c r="D11" s="770"/>
      <c r="E11" s="836"/>
      <c r="F11" s="836"/>
      <c r="G11" s="836"/>
      <c r="H11" s="373"/>
      <c r="I11" s="373"/>
      <c r="J11" s="373"/>
      <c r="K11" s="373"/>
      <c r="L11" s="373"/>
      <c r="M11" s="680"/>
      <c r="N11" s="680"/>
      <c r="O11" s="680"/>
      <c r="P11" s="373"/>
      <c r="Q11" s="373"/>
      <c r="R11" s="373"/>
      <c r="S11" s="373"/>
      <c r="T11" s="342"/>
      <c r="U11" s="373"/>
      <c r="V11" s="373"/>
      <c r="W11" s="268"/>
      <c r="X11" s="268"/>
      <c r="Y11" s="268"/>
      <c r="Z11" s="268"/>
      <c r="AA11" s="268"/>
      <c r="AB11" s="268"/>
      <c r="AC11" s="256"/>
    </row>
    <row r="12" ht="17.149999999999999" customHeight="1">
      <c r="B12" s="789" t="s">
        <v>467</v>
      </c>
      <c r="C12" s="297" t="s">
        <v>468</v>
      </c>
      <c r="D12" s="700" t="n">
        <f>'Haver Pivoted'!GO31</f>
        <v>2223</v>
      </c>
      <c r="E12" s="661" t="n">
        <f>'Haver Pivoted'!GP31</f>
        <v>2303.6</v>
      </c>
      <c r="F12" s="661" t="n">
        <f>'Haver Pivoted'!GQ31</f>
        <v>2320.1</v>
      </c>
      <c r="G12" s="661" t="n">
        <f>'Haver Pivoted'!GR31</f>
        <v>2332.9</v>
      </c>
      <c r="H12" s="661" t="n">
        <f>'Haver Pivoted'!GS31</f>
        <v>2346.6</v>
      </c>
      <c r="I12" s="661" t="n">
        <f>'Haver Pivoted'!GT31</f>
        <v>2412.6</v>
      </c>
      <c r="J12" s="661" t="n">
        <f>'Haver Pivoted'!GU31</f>
        <v>4652.1000000000004</v>
      </c>
      <c r="K12" s="661" t="n">
        <f>'Haver Pivoted'!GV31</f>
        <v>3508</v>
      </c>
      <c r="L12" s="661" t="n">
        <f>'Haver Pivoted'!GW31</f>
        <v>2895.4</v>
      </c>
      <c r="M12" s="661" t="n">
        <f>'Haver Pivoted'!GX31</f>
        <v>5127.3999999999996</v>
      </c>
      <c r="N12" s="661" t="n">
        <f>'Haver Pivoted'!GY31</f>
        <v>3403.8</v>
      </c>
      <c r="O12" s="661" t="n">
        <f>'Haver Pivoted'!GZ31</f>
        <v>3135</v>
      </c>
      <c r="P12" s="661" t="n">
        <f>'Haver Pivoted'!HA31</f>
        <v>2947.7</v>
      </c>
      <c r="Q12" s="661" t="n">
        <f>'Haver Pivoted'!HB31</f>
        <v>2903.2</v>
      </c>
      <c r="R12" s="661" t="n">
        <f>'Haver Pivoted'!HC31</f>
        <v>2895.2</v>
      </c>
      <c r="S12" s="664" t="n">
        <f>'Haver Pivoted'!HD31</f>
        <v>2867.4</v>
      </c>
      <c r="T12" s="664" t="n">
        <f>'Haver Pivoted'!HE31</f>
        <v>2896.7</v>
      </c>
      <c r="U12" s="664" t="n">
        <f>'Haver Pivoted'!HF31</f>
        <v>2945.8</v>
      </c>
      <c r="V12" s="664" t="n">
        <f>'Haver Pivoted'!HG31</f>
        <v>2929.7</v>
      </c>
      <c r="W12" s="664" t="n">
        <f>'Haver Pivoted'!HH31</f>
        <v>2930.1</v>
      </c>
      <c r="X12" s="664" t="n">
        <f>'Haver Pivoted'!HI31</f>
        <v>2934</v>
      </c>
      <c r="Y12" s="664" t="n">
        <f>'Haver Pivoted'!HJ31</f>
        <v>3040.2</v>
      </c>
      <c r="Z12" s="664" t="n">
        <f>'Haver Pivoted'!HK31</f>
        <v>3081</v>
      </c>
      <c r="AA12" s="791" t="n">
        <f t="shared" ref="AA12:AC12" si="0">SUM(AA14:AA31)-AA30</f>
        <v>3093.9856876969193</v>
      </c>
      <c r="AB12" s="791" t="n">
        <f t="shared" si="0"/>
        <v>3111.9548527568941</v>
      </c>
      <c r="AC12" s="835" t="n">
        <f t="shared" si="0"/>
        <v>3166.5860719432176</v>
      </c>
    </row>
    <row r="13">
      <c r="B13" s="554"/>
      <c r="C13" s="297"/>
      <c r="D13" s="700"/>
      <c r="E13" s="661"/>
      <c r="F13" s="661"/>
      <c r="G13" s="661"/>
      <c r="H13" s="661"/>
      <c r="I13" s="661"/>
      <c r="J13" s="661"/>
      <c r="K13" s="661"/>
      <c r="L13" s="661"/>
      <c r="M13" s="661"/>
      <c r="N13" s="661"/>
      <c r="O13" s="661"/>
      <c r="P13" s="297"/>
      <c r="Q13" s="291"/>
      <c r="R13" s="291"/>
      <c r="S13" s="291"/>
      <c r="T13" s="291"/>
      <c r="U13" s="291"/>
      <c r="V13" s="291"/>
      <c r="W13" s="291"/>
      <c r="X13" s="406"/>
      <c r="Y13" s="406"/>
      <c r="Z13" s="406"/>
      <c r="AA13" s="406"/>
      <c r="AB13" s="406"/>
      <c r="AC13" s="509"/>
    </row>
    <row r="14">
      <c r="B14" s="785" t="s">
        <v>1843</v>
      </c>
      <c r="C14" s="297"/>
      <c r="D14" s="700" t="n">
        <f>'Unemployment Insurance'!D20+'Unemployment Insurance'!D19</f>
        <v>27.1</v>
      </c>
      <c r="E14" s="661" t="n">
        <f>'Unemployment Insurance'!E20+'Unemployment Insurance'!E19</f>
        <v>30.5</v>
      </c>
      <c r="F14" s="661" t="n">
        <f>'Unemployment Insurance'!F20+'Unemployment Insurance'!F19</f>
        <v>27.7</v>
      </c>
      <c r="G14" s="661" t="n">
        <f>'Unemployment Insurance'!G20+'Unemployment Insurance'!G19</f>
        <v>25</v>
      </c>
      <c r="H14" s="661" t="n">
        <f>'Unemployment Insurance'!H20+'Unemployment Insurance'!H19</f>
        <v>26.7</v>
      </c>
      <c r="I14" s="661" t="n">
        <f>'Unemployment Insurance'!I20+'Unemployment Insurance'!I19</f>
        <v>40.9</v>
      </c>
      <c r="J14" s="661" t="n">
        <f>'Unemployment Insurance'!J20+'Unemployment Insurance'!J19</f>
        <v>951.4</v>
      </c>
      <c r="K14" s="661" t="n">
        <f>'Unemployment Insurance'!K20+'Unemployment Insurance'!K19</f>
        <v>802.3</v>
      </c>
      <c r="L14" s="661" t="n">
        <f>'Unemployment Insurance'!L20+'Unemployment Insurance'!L19</f>
        <v>323.5</v>
      </c>
      <c r="M14" s="661" t="n">
        <f>'Unemployment Insurance'!M20+'Unemployment Insurance'!M19</f>
        <v>583.5</v>
      </c>
      <c r="N14" s="661" t="n">
        <f>'Unemployment Insurance'!N20+'Unemployment Insurance'!N19</f>
        <v>451.8</v>
      </c>
      <c r="O14" s="661" t="n">
        <f>'Unemployment Insurance'!O20+'Unemployment Insurance'!O19</f>
        <v>226.8</v>
      </c>
      <c r="P14" s="661" t="n">
        <f>'Unemployment Insurance'!P20+'Unemployment Insurance'!P19</f>
        <v>33.9</v>
      </c>
      <c r="Q14" s="661" t="n">
        <f>'Unemployment Insurance'!Q20+'Unemployment Insurance'!Q19</f>
        <v>26.2</v>
      </c>
      <c r="R14" s="661" t="n">
        <f>'Unemployment Insurance'!R20+'Unemployment Insurance'!R19</f>
        <v>21.4</v>
      </c>
      <c r="S14" s="661" t="n">
        <f>'Unemployment Insurance'!S20+'Unemployment Insurance'!S19</f>
        <v>19.600000000000001</v>
      </c>
      <c r="T14" s="661" t="n">
        <f>'Unemployment Insurance'!T20+'Unemployment Insurance'!T19</f>
        <v>22.1</v>
      </c>
      <c r="U14" s="661" t="n">
        <f>'Unemployment Insurance'!U20+'Unemployment Insurance'!U19</f>
        <v>22</v>
      </c>
      <c r="V14" s="664" t="n">
        <f>V15+V16</f>
        <v>22.62857142857143</v>
      </c>
      <c r="W14" s="664" t="n">
        <f>W15+W16</f>
        <v>22.62857142857143</v>
      </c>
      <c r="X14" s="664" t="n">
        <f>X15+X16</f>
        <v>22.7</v>
      </c>
      <c r="Y14" s="664" t="n">
        <f>Y15+Y16</f>
        <v>22.7</v>
      </c>
      <c r="Z14" s="664" t="n">
        <f>Z15+Z16</f>
        <v>22.7</v>
      </c>
      <c r="AA14" s="791" t="n">
        <f>'Unemployment Insurance'!AA20+'Unemployment Insurance'!AA19</f>
        <v>22.5</v>
      </c>
      <c r="AB14" s="791" t="n">
        <f>'Unemployment Insurance'!AB20+'Unemployment Insurance'!AB19</f>
        <v>22.5</v>
      </c>
      <c r="AC14" s="835" t="n">
        <f>'Unemployment Insurance'!AC20+'Unemployment Insurance'!AC19</f>
        <v>22.5</v>
      </c>
    </row>
    <row r="15">
      <c r="B15" s="493" t="s">
        <v>203</v>
      </c>
      <c r="C15" s="297"/>
      <c r="D15" s="700"/>
      <c r="E15" s="661"/>
      <c r="F15" s="661"/>
      <c r="G15" s="661"/>
      <c r="H15" s="661"/>
      <c r="I15" s="661"/>
      <c r="J15" s="661"/>
      <c r="K15" s="661"/>
      <c r="L15" s="661"/>
      <c r="M15" s="661"/>
      <c r="N15" s="661"/>
      <c r="O15" s="661"/>
      <c r="P15" s="661"/>
      <c r="Q15" s="661"/>
      <c r="R15" s="661"/>
      <c r="S15" s="661"/>
      <c r="T15" s="661"/>
      <c r="U15" s="661"/>
      <c r="V15" s="664" t="n">
        <f>'Unemployment Insurance'!V19</f>
        <v>0</v>
      </c>
      <c r="W15" s="664" t="n">
        <f>'Unemployment Insurance'!W19</f>
        <v>0</v>
      </c>
      <c r="X15" s="664" t="n">
        <f>'Unemployment Insurance'!X19</f>
        <v>0.28514285714285847</v>
      </c>
      <c r="Y15" s="664" t="n">
        <f>'Unemployment Insurance'!Y19</f>
        <v>-0.55714285714286049</v>
      </c>
      <c r="Z15" s="664" t="n">
        <f>'Unemployment Insurance'!Z19</f>
        <v>0.19999999999999929</v>
      </c>
      <c r="AA15" s="791"/>
      <c r="AB15" s="791"/>
      <c r="AC15" s="835"/>
    </row>
    <row r="16">
      <c r="B16" s="493" t="s">
        <v>205</v>
      </c>
      <c r="C16" s="297"/>
      <c r="D16" s="700"/>
      <c r="E16" s="661"/>
      <c r="F16" s="661"/>
      <c r="G16" s="661"/>
      <c r="H16" s="661"/>
      <c r="I16" s="661"/>
      <c r="J16" s="661"/>
      <c r="K16" s="661"/>
      <c r="L16" s="661"/>
      <c r="M16" s="661"/>
      <c r="N16" s="661"/>
      <c r="O16" s="661"/>
      <c r="P16" s="661"/>
      <c r="Q16" s="661"/>
      <c r="R16" s="661"/>
      <c r="S16" s="661"/>
      <c r="T16" s="661"/>
      <c r="U16" s="661"/>
      <c r="V16" s="664" t="n">
        <f>'Unemployment Insurance'!V20</f>
        <v>22.62857142857143</v>
      </c>
      <c r="W16" s="664" t="n">
        <f>'Unemployment Insurance'!W20</f>
        <v>22.62857142857143</v>
      </c>
      <c r="X16" s="664" t="n">
        <f>'Unemployment Insurance'!X20</f>
        <v>22.414857142857141</v>
      </c>
      <c r="Y16" s="664" t="n">
        <f>'Unemployment Insurance'!Y20</f>
        <v>23.25714285714286</v>
      </c>
      <c r="Z16" s="664" t="n">
        <f>'Unemployment Insurance'!Z20</f>
        <v>22.5</v>
      </c>
      <c r="AA16" s="791"/>
      <c r="AB16" s="791"/>
      <c r="AC16" s="835"/>
    </row>
    <row r="17" ht="17.899999999999999" customHeight="1">
      <c r="B17" s="785" t="s">
        <v>55</v>
      </c>
      <c r="C17" s="297"/>
      <c r="D17" s="700" t="n">
        <f>Medicare!D10</f>
        <v>755</v>
      </c>
      <c r="E17" s="661" t="n">
        <f>Medicare!E10</f>
        <v>771.9</v>
      </c>
      <c r="F17" s="661" t="n">
        <f>Medicare!F10</f>
        <v>785.3</v>
      </c>
      <c r="G17" s="661" t="n">
        <f>Medicare!G10</f>
        <v>793.9</v>
      </c>
      <c r="H17" s="661" t="n">
        <f>Medicare!H10</f>
        <v>797.9</v>
      </c>
      <c r="I17" s="661" t="n">
        <f>Medicare!I10</f>
        <v>798.4</v>
      </c>
      <c r="J17" s="661" t="n">
        <f>Medicare!J10</f>
        <v>811.1</v>
      </c>
      <c r="K17" s="661" t="n">
        <f>Medicare!K10</f>
        <v>823.1</v>
      </c>
      <c r="L17" s="661" t="n">
        <f>Medicare!L10</f>
        <v>834.5</v>
      </c>
      <c r="M17" s="661" t="n">
        <f>Medicare!M10</f>
        <v>849.4</v>
      </c>
      <c r="N17" s="661" t="n">
        <f>Medicare!N10</f>
        <v>865.6</v>
      </c>
      <c r="O17" s="661" t="n">
        <f>Medicare!O10</f>
        <v>882.6</v>
      </c>
      <c r="P17" s="661" t="n">
        <f>Medicare!P10</f>
        <v>900.3</v>
      </c>
      <c r="Q17" s="661" t="n">
        <f>Medicare!Q10</f>
        <v>918.2</v>
      </c>
      <c r="R17" s="661" t="n">
        <f>Medicare!R10</f>
        <v>924.7</v>
      </c>
      <c r="S17" s="661" t="n">
        <f>Medicare!S10</f>
        <v>927.2</v>
      </c>
      <c r="T17" s="661" t="n">
        <f>Medicare!T10</f>
        <v>934.2</v>
      </c>
      <c r="U17" s="661" t="n">
        <f>Medicare!U10</f>
        <v>938.1</v>
      </c>
      <c r="V17" s="661" t="n">
        <f>Medicare!V10</f>
        <v>941.9</v>
      </c>
      <c r="W17" s="661" t="n">
        <f>Medicare!W10</f>
        <v>946.3</v>
      </c>
      <c r="X17" s="791" t="n">
        <f>Medicare!X10</f>
        <v>951.3</v>
      </c>
      <c r="Y17" s="791" t="n">
        <f>Medicare!Y10</f>
        <v>965.3</v>
      </c>
      <c r="Z17" s="791" t="n">
        <f>Medicare!Z10</f>
        <v>983.2</v>
      </c>
      <c r="AA17" s="791" t="n">
        <f>Medicare!AA10</f>
        <v>1004.8913543635854</v>
      </c>
      <c r="AB17" s="791" t="n">
        <f>Medicare!AB10</f>
        <v>1017.6261860902274</v>
      </c>
      <c r="AC17" s="835" t="n">
        <f>Medicare!AC10</f>
        <v>1030.5224043572171</v>
      </c>
    </row>
    <row r="18" ht="18" customHeight="1">
      <c r="B18" s="786" t="s">
        <v>469</v>
      </c>
      <c r="C18" s="297"/>
      <c r="D18" s="330"/>
      <c r="E18" s="291"/>
      <c r="F18" s="291"/>
      <c r="G18" s="291"/>
      <c r="H18" s="661" t="n">
        <f>'Rebate Checks (expired)'!H10 +'Rebate Checks (expired)'!H11</f>
        <v>0</v>
      </c>
      <c r="I18" s="661" t="n">
        <f>'Rebate Checks (expired)'!I10 +'Rebate Checks (expired)'!I11</f>
        <v>0</v>
      </c>
      <c r="J18" s="661" t="n">
        <f>'Rebate Checks (expired)'!J10 +'Rebate Checks (expired)'!J11</f>
        <v>1078.0999999999999</v>
      </c>
      <c r="K18" s="661" t="n">
        <f>'Rebate Checks (expired)'!K10 +'Rebate Checks (expired)'!K11</f>
        <v>15.6</v>
      </c>
      <c r="L18" s="661" t="n">
        <f>'Rebate Checks (expired)'!L10 +'Rebate Checks (expired)'!L11</f>
        <v>5</v>
      </c>
      <c r="M18" s="661" t="n">
        <f>'Rebate Checks (expired)'!M10 +'Rebate Checks (expired)'!M11</f>
        <v>1933.6999999999998</v>
      </c>
      <c r="N18" s="661" t="n">
        <f>'Rebate Checks (expired)'!N10 +'Rebate Checks (expired)'!N11</f>
        <v>290.10000000000002</v>
      </c>
      <c r="O18" s="661" t="n">
        <f>'Rebate Checks (expired)'!O10 +'Rebate Checks (expired)'!O11</f>
        <v>38.9</v>
      </c>
      <c r="P18" s="661" t="n">
        <f>'Rebate Checks (expired)'!P10 +'Rebate Checks (expired)'!P11</f>
        <v>14.2</v>
      </c>
      <c r="Q18" s="661" t="n">
        <f>'Rebate Checks (expired)'!Q10 +'Rebate Checks (expired)'!Q11</f>
        <v>0</v>
      </c>
      <c r="R18" s="661" t="n">
        <f>'Rebate Checks (expired)'!Q10 +'Rebate Checks (expired)'!R11</f>
        <v>0</v>
      </c>
      <c r="S18" s="661" t="n">
        <f>'Rebate Checks (expired)'!S10 +'Rebate Checks (expired)'!S11</f>
        <v>0</v>
      </c>
      <c r="T18" s="661" t="n">
        <f>'Rebate Checks (expired)'!T10 +'Rebate Checks (expired)'!T11</f>
        <v>0</v>
      </c>
      <c r="U18" s="661" t="n">
        <f>'Rebate Checks (expired)'!U10 +'Rebate Checks (expired)'!U11</f>
        <v>0</v>
      </c>
      <c r="V18" s="664" t="n">
        <f>V19+V20</f>
        <v>0</v>
      </c>
      <c r="W18" s="664" t="n">
        <f>W19+W20</f>
        <v>0</v>
      </c>
      <c r="X18" s="664" t="n">
        <f>X19+X20</f>
        <v>0</v>
      </c>
      <c r="Y18" s="664" t="n">
        <f>Y19+Y20</f>
        <v>0</v>
      </c>
      <c r="Z18" s="664" t="n">
        <f>Z19+Z20</f>
        <v>0</v>
      </c>
      <c r="AA18" s="791" t="n">
        <f>'Rebate Checks (expired)'!AA10 +'Rebate Checks (expired)'!AA11</f>
        <v>0</v>
      </c>
      <c r="AB18" s="791" t="n">
        <f>'Rebate Checks (expired)'!AB10 +'Rebate Checks (expired)'!AB11</f>
        <v>0</v>
      </c>
      <c r="AC18" s="835" t="n">
        <f>'Rebate Checks (expired)'!AC10 +'Rebate Checks (expired)'!AC11</f>
        <v>0</v>
      </c>
    </row>
    <row r="19" ht="18" customHeight="1">
      <c r="B19" s="787" t="s">
        <v>1844</v>
      </c>
      <c r="C19" s="297"/>
      <c r="D19" s="330"/>
      <c r="E19" s="291"/>
      <c r="F19" s="291"/>
      <c r="G19" s="291"/>
      <c r="H19" s="661"/>
      <c r="I19" s="661"/>
      <c r="J19" s="661"/>
      <c r="K19" s="661"/>
      <c r="L19" s="661"/>
      <c r="M19" s="661"/>
      <c r="N19" s="661"/>
      <c r="O19" s="661"/>
      <c r="P19" s="661"/>
      <c r="Q19" s="661"/>
      <c r="R19" s="661"/>
      <c r="S19" s="661"/>
      <c r="T19" s="661"/>
      <c r="U19" s="661"/>
      <c r="V19" s="661" t="n">
        <v>0</v>
      </c>
      <c r="W19" s="661"/>
      <c r="X19" s="791"/>
      <c r="Y19" s="791"/>
      <c r="Z19" s="791"/>
      <c r="AA19" s="791"/>
      <c r="AB19" s="791"/>
      <c r="AC19" s="835"/>
    </row>
    <row r="20" ht="18" customHeight="1">
      <c r="B20" s="787" t="s">
        <v>1845</v>
      </c>
      <c r="C20" s="297"/>
      <c r="D20" s="330"/>
      <c r="E20" s="291"/>
      <c r="F20" s="291"/>
      <c r="G20" s="291"/>
      <c r="H20" s="661"/>
      <c r="I20" s="661"/>
      <c r="J20" s="661"/>
      <c r="K20" s="661"/>
      <c r="L20" s="661"/>
      <c r="M20" s="661"/>
      <c r="N20" s="661"/>
      <c r="O20" s="661"/>
      <c r="P20" s="661"/>
      <c r="Q20" s="661"/>
      <c r="R20" s="661"/>
      <c r="S20" s="661"/>
      <c r="T20" s="661"/>
      <c r="U20" s="661"/>
      <c r="V20" s="661" t="n">
        <v>0</v>
      </c>
      <c r="W20" s="661"/>
      <c r="X20" s="791"/>
      <c r="Y20" s="791"/>
      <c r="Z20" s="791"/>
      <c r="AA20" s="791"/>
      <c r="AB20" s="791"/>
      <c r="AC20" s="835"/>
    </row>
    <row r="21" ht="18" customHeight="1">
      <c r="B21" s="788" t="s">
        <v>49</v>
      </c>
      <c r="C21" s="297"/>
      <c r="D21" s="329" t="n">
        <f>'Provider Relief (expired)'!D11</f>
        <v>0</v>
      </c>
      <c r="E21" s="287" t="n">
        <f>'Provider Relief (expired)'!E11</f>
        <v>0</v>
      </c>
      <c r="F21" s="287" t="n">
        <f>'Provider Relief (expired)'!F11</f>
        <v>0</v>
      </c>
      <c r="G21" s="287" t="n">
        <f>'Provider Relief (expired)'!G11</f>
        <v>0</v>
      </c>
      <c r="H21" s="287" t="n">
        <f>'Provider Relief (expired)'!H11</f>
        <v>0</v>
      </c>
      <c r="I21" s="287" t="n">
        <f>'Provider Relief (expired)'!I11</f>
        <v>0</v>
      </c>
      <c r="J21" s="287" t="n">
        <f>'Provider Relief (expired)'!J11</f>
        <v>160.9</v>
      </c>
      <c r="K21" s="287" t="n">
        <f>'Provider Relief (expired)'!K11</f>
        <v>58.4</v>
      </c>
      <c r="L21" s="287" t="n">
        <f>'Provider Relief (expired)'!L11</f>
        <v>34.5</v>
      </c>
      <c r="M21" s="287" t="n">
        <f>'Provider Relief (expired)'!M11</f>
        <v>21.4</v>
      </c>
      <c r="N21" s="287" t="n">
        <f>'Provider Relief (expired)'!N11</f>
        <v>13.3</v>
      </c>
      <c r="O21" s="287" t="n">
        <f>'Provider Relief (expired)'!O11</f>
        <v>18.7</v>
      </c>
      <c r="P21" s="287" t="n">
        <f>'Provider Relief (expired)'!P11</f>
        <v>32.200000000000003</v>
      </c>
      <c r="Q21" s="287" t="n">
        <f>'Provider Relief (expired)'!Q11</f>
        <v>26.9</v>
      </c>
      <c r="R21" s="287" t="n">
        <f>'Provider Relief (expired)'!R11</f>
        <v>20</v>
      </c>
      <c r="S21" s="287" t="n">
        <f>'Provider Relief (expired)'!S11</f>
        <v>8.1</v>
      </c>
      <c r="T21" s="287" t="n">
        <f>'Provider Relief (expired)'!T11</f>
        <v>4.9000000000000004</v>
      </c>
      <c r="U21" s="287" t="n">
        <v>0</v>
      </c>
      <c r="V21" s="661" t="n">
        <v>0</v>
      </c>
      <c r="W21" s="661" t="n">
        <v>0</v>
      </c>
      <c r="X21" s="791" t="n">
        <v>0</v>
      </c>
      <c r="Y21" s="791" t="n">
        <v>0</v>
      </c>
      <c r="Z21" s="791" t="n">
        <v>0</v>
      </c>
      <c r="AA21" s="791" t="n">
        <v>0</v>
      </c>
      <c r="AB21" s="791" t="n">
        <v>0</v>
      </c>
      <c r="AC21" s="791" t="n">
        <v>0</v>
      </c>
      <c r="AD21" s="791" t="n">
        <v>0</v>
      </c>
      <c r="AE21" s="791" t="n">
        <v>0</v>
      </c>
      <c r="AF21" s="791" t="n">
        <v>0</v>
      </c>
      <c r="AG21" s="791" t="n">
        <v>0</v>
      </c>
      <c r="AH21" s="791" t="n">
        <v>0</v>
      </c>
    </row>
    <row r="22" ht="18" customHeight="1">
      <c r="B22" s="554" t="s">
        <v>1846</v>
      </c>
      <c r="C22" s="297"/>
      <c r="D22" s="329"/>
      <c r="E22" s="287"/>
      <c r="F22" s="287"/>
      <c r="G22" s="287"/>
      <c r="H22" s="287"/>
      <c r="I22" s="287"/>
      <c r="J22" s="287"/>
      <c r="K22" s="287"/>
      <c r="L22" s="287"/>
      <c r="M22" s="287"/>
      <c r="N22" s="287"/>
      <c r="O22" s="287"/>
      <c r="P22" s="287"/>
      <c r="Q22" s="287"/>
      <c r="R22" s="287"/>
      <c r="S22" s="287"/>
      <c r="T22" s="287"/>
      <c r="U22" s="287"/>
      <c r="V22" s="661"/>
      <c r="W22" s="661"/>
      <c r="X22" s="791"/>
      <c r="Y22" s="791"/>
      <c r="Z22" s="791"/>
      <c r="AA22" s="791"/>
      <c r="AB22" s="791"/>
      <c r="AC22" s="835"/>
    </row>
    <row r="23" ht="18" customHeight="1">
      <c r="B23" s="554" t="s">
        <v>1847</v>
      </c>
      <c r="C23" s="297"/>
      <c r="D23" s="329"/>
      <c r="E23" s="287"/>
      <c r="F23" s="287"/>
      <c r="G23" s="287"/>
      <c r="H23" s="287"/>
      <c r="I23" s="287"/>
      <c r="J23" s="287"/>
      <c r="K23" s="287"/>
      <c r="L23" s="287"/>
      <c r="M23" s="287"/>
      <c r="N23" s="287"/>
      <c r="O23" s="287"/>
      <c r="P23" s="287"/>
      <c r="Q23" s="287"/>
      <c r="R23" s="287"/>
      <c r="S23" s="287"/>
      <c r="T23" s="287"/>
      <c r="U23" s="287"/>
      <c r="V23" s="661"/>
      <c r="W23" s="661"/>
      <c r="X23" s="791"/>
      <c r="Y23" s="791"/>
      <c r="Z23" s="791"/>
      <c r="AA23" s="791"/>
      <c r="AB23" s="791"/>
      <c r="AC23" s="835"/>
    </row>
    <row r="24" ht="20.149999999999999" customHeight="1">
      <c r="B24" s="324" t="s">
        <v>472</v>
      </c>
      <c r="C24" s="319"/>
      <c r="D24" s="837"/>
      <c r="E24" s="743"/>
      <c r="F24" s="743"/>
      <c r="G24" s="743"/>
      <c r="H24" s="658"/>
      <c r="I24" s="658"/>
      <c r="J24" s="658"/>
      <c r="K24" s="658"/>
      <c r="L24" s="658"/>
      <c r="M24" s="658" t="n">
        <f>'ARP Quarterly'!C5</f>
        <v>0</v>
      </c>
      <c r="N24" s="658" t="n">
        <f>'ARP Quarterly'!D5</f>
        <v>33.921840000000024</v>
      </c>
      <c r="O24" s="658" t="n">
        <f>'ARP Quarterly'!E5</f>
        <v>44.966160000000031</v>
      </c>
      <c r="P24" s="658" t="n">
        <f>'ARP Quarterly'!F5</f>
        <v>52.756999999999998</v>
      </c>
      <c r="Q24" s="658" t="n">
        <f>'ARP Quarterly'!G5</f>
        <v>52.756999999999998</v>
      </c>
      <c r="R24" s="658" t="n">
        <f>'ARP Quarterly'!H5</f>
        <v>52.756999999999998</v>
      </c>
      <c r="S24" s="658" t="n">
        <f>'ARP Quarterly'!I5</f>
        <v>52.756999999999998</v>
      </c>
      <c r="T24" s="658" t="n">
        <v>30</v>
      </c>
      <c r="U24" s="658" t="n">
        <f>'ARP Quarterly'!K5</f>
        <v>12</v>
      </c>
      <c r="V24" s="658" t="n">
        <f>'ARP Quarterly'!L5</f>
        <v>12</v>
      </c>
      <c r="W24" s="658" t="n">
        <f>'ARP Quarterly'!M5</f>
        <v>12</v>
      </c>
      <c r="X24" s="663" t="n">
        <f>'ARP Quarterly'!N5</f>
        <v>4.2219999999999995</v>
      </c>
      <c r="Y24" s="663" t="n">
        <f>'ARP Quarterly'!O5</f>
        <v>4.2219999999999995</v>
      </c>
      <c r="Z24" s="663" t="n">
        <f>'ARP Quarterly'!P5</f>
        <v>4.2219999999999995</v>
      </c>
      <c r="AA24" s="663" t="n">
        <f>'ARP Quarterly'!Q5</f>
        <v>4.2219999999999995</v>
      </c>
      <c r="AB24" s="663" t="n">
        <f>'ARP Quarterly'!R5</f>
        <v>2.3719999999999999</v>
      </c>
      <c r="AC24" s="663" t="n">
        <f>'ARP Quarterly'!S5</f>
        <v>2.3719999999999999</v>
      </c>
      <c r="AD24" s="663" t="n">
        <f>'ARP Quarterly'!T5</f>
        <v>2.3719999999999999</v>
      </c>
      <c r="AE24" s="663" t="n">
        <f>'ARP Quarterly'!U5</f>
        <v>2.3719999999999999</v>
      </c>
      <c r="AF24" s="663" t="n">
        <f>'ARP Quarterly'!V5</f>
        <v>0.49</v>
      </c>
      <c r="AG24" s="600" t="n">
        <v>0</v>
      </c>
      <c r="AH24" s="600" t="n">
        <v>0</v>
      </c>
    </row>
    <row r="25" ht="22.4" customHeight="1">
      <c r="B25" s="305" t="s">
        <v>218</v>
      </c>
      <c r="C25" s="794"/>
      <c r="D25" s="329"/>
      <c r="E25" s="287"/>
      <c r="F25" s="287"/>
      <c r="G25" s="287"/>
      <c r="H25" s="287"/>
      <c r="I25" s="287"/>
      <c r="J25" s="287"/>
      <c r="K25" s="287"/>
      <c r="L25" s="287"/>
      <c r="M25" s="661" t="n">
        <f>'ARP Quarterly'!C4</f>
        <v>0</v>
      </c>
      <c r="N25" s="661" t="n">
        <f>'ARP Quarterly'!D4</f>
        <v>0</v>
      </c>
      <c r="O25" s="661" t="n">
        <f>'ARP Quarterly'!E4</f>
        <v>3.1040000000000418</v>
      </c>
      <c r="P25" s="661" t="n">
        <f>'ARP Quarterly'!F4</f>
        <v>19.719000000000005</v>
      </c>
      <c r="Q25" s="661" t="n">
        <f>'ARP Quarterly'!G4</f>
        <v>19.719000000000005</v>
      </c>
      <c r="R25" s="661" t="n">
        <f>'ARP Quarterly'!H4</f>
        <v>19.719000000000005</v>
      </c>
      <c r="S25" s="661" t="n">
        <f>'ARP Quarterly'!I4</f>
        <v>19.719000000000005</v>
      </c>
      <c r="T25" s="661" t="n">
        <f>'ARP Quarterly'!J4</f>
        <v>1.4159999999999999</v>
      </c>
      <c r="U25" s="661" t="n">
        <f>'ARP Quarterly'!K4</f>
        <v>1.4159999999999999</v>
      </c>
      <c r="V25" s="661" t="n">
        <f>'ARP Quarterly'!L4</f>
        <v>1.4159999999999999</v>
      </c>
      <c r="W25" s="661" t="n">
        <f>'ARP Quarterly'!M4</f>
        <v>1.4159999999999999</v>
      </c>
      <c r="X25" s="791" t="n">
        <f>'ARP Quarterly'!N4</f>
        <v>1.4790000000000001</v>
      </c>
      <c r="Y25" s="791" t="n">
        <f>'ARP Quarterly'!O4</f>
        <v>1.4790000000000001</v>
      </c>
      <c r="Z25" s="791" t="n">
        <f>'ARP Quarterly'!P4</f>
        <v>1.4790000000000001</v>
      </c>
      <c r="AA25" s="791" t="n">
        <f>'ARP Quarterly'!Q4</f>
        <v>1.4790000000000001</v>
      </c>
      <c r="AB25" s="791" t="n">
        <f>'ARP Quarterly'!R4</f>
        <v>1.63</v>
      </c>
      <c r="AC25" s="791" t="n">
        <f>'ARP Quarterly'!S4</f>
        <v>1.63</v>
      </c>
      <c r="AD25" s="791" t="n">
        <f>'ARP Quarterly'!T4</f>
        <v>1.63</v>
      </c>
      <c r="AE25" s="791" t="n">
        <f>'ARP Quarterly'!U4</f>
        <v>1.63</v>
      </c>
      <c r="AF25" s="791" t="n">
        <f>'ARP Quarterly'!V4</f>
        <v>1.671</v>
      </c>
      <c r="AG25" s="792" t="n">
        <v>0</v>
      </c>
      <c r="AH25" s="792" t="n">
        <v>0</v>
      </c>
      <c r="AI25" s="794"/>
      <c r="AJ25" s="794"/>
      <c r="AK25" s="794"/>
      <c r="AL25" s="794"/>
      <c r="AM25" s="794"/>
      <c r="AN25" s="794"/>
      <c r="AO25" s="794"/>
      <c r="AP25" s="794"/>
      <c r="AQ25" s="794"/>
      <c r="AR25" s="794"/>
      <c r="AS25" s="794"/>
      <c r="AT25" s="794"/>
      <c r="AU25" s="794"/>
      <c r="AV25" s="794"/>
      <c r="AW25" s="794"/>
      <c r="AX25" s="794"/>
      <c r="AY25" s="794"/>
      <c r="AZ25" s="794"/>
      <c r="BA25" s="794"/>
      <c r="BB25" s="794"/>
      <c r="BC25" s="794"/>
      <c r="BD25" s="794"/>
      <c r="BE25" s="794"/>
      <c r="BF25" s="794"/>
      <c r="BG25" s="794"/>
      <c r="BH25" s="794"/>
      <c r="BI25" s="794"/>
      <c r="BJ25" s="794"/>
      <c r="BK25" s="794"/>
      <c r="BL25" s="794"/>
      <c r="BM25" s="794"/>
      <c r="BN25" s="794"/>
      <c r="BO25" s="794"/>
      <c r="BP25" s="794"/>
      <c r="BQ25" s="794"/>
      <c r="BR25" s="794"/>
      <c r="BS25" s="794"/>
      <c r="BT25" s="794"/>
      <c r="BU25" s="794"/>
      <c r="BV25" s="794"/>
      <c r="BW25" s="794"/>
      <c r="BX25" s="794"/>
      <c r="BY25" s="794"/>
      <c r="BZ25" s="794"/>
      <c r="CA25" s="794"/>
      <c r="CB25" s="794"/>
      <c r="CC25" s="794"/>
      <c r="CD25" s="794"/>
      <c r="CE25" s="794"/>
      <c r="CF25" s="794"/>
      <c r="CG25" s="794"/>
      <c r="CH25" s="794"/>
      <c r="CI25" s="794"/>
      <c r="CJ25" s="794"/>
      <c r="CK25" s="794"/>
      <c r="CL25" s="794"/>
      <c r="CM25" s="794"/>
      <c r="CN25" s="794"/>
      <c r="CO25" s="794"/>
      <c r="CP25" s="794"/>
      <c r="CQ25" s="794"/>
      <c r="CR25" s="794"/>
      <c r="CS25" s="794"/>
      <c r="CT25" s="794"/>
      <c r="CU25" s="794"/>
      <c r="CV25" s="794"/>
      <c r="CW25" s="794"/>
      <c r="CX25" s="794"/>
    </row>
    <row r="26" ht="36.65" customHeight="1">
      <c r="B26" s="305" t="s">
        <v>1433</v>
      </c>
      <c r="C26" s="297"/>
      <c r="D26" s="330" t="n">
        <f>D50</f>
        <v>0</v>
      </c>
      <c r="E26" s="291" t="n">
        <f t="shared" ref="E26:AF26" si="1">E50</f>
        <v>0</v>
      </c>
      <c r="F26" s="291" t="n">
        <f t="shared" si="1"/>
        <v>0</v>
      </c>
      <c r="G26" s="291" t="n">
        <f t="shared" si="1"/>
        <v>0</v>
      </c>
      <c r="H26" s="291" t="n">
        <f t="shared" si="1"/>
        <v>0</v>
      </c>
      <c r="I26" s="661" t="n">
        <f t="shared" si="1"/>
        <v>6.6417500000000018</v>
      </c>
      <c r="J26" s="661" t="n">
        <f t="shared" si="1"/>
        <v>51.388749999999995</v>
      </c>
      <c r="K26" s="661" t="n">
        <f t="shared" si="1"/>
        <v>55.337750000000007</v>
      </c>
      <c r="L26" s="661" t="n">
        <f t="shared" si="1"/>
        <v>62.597749999999998</v>
      </c>
      <c r="M26" s="661" t="n">
        <f t="shared" si="1"/>
        <v>88.07774999999998</v>
      </c>
      <c r="N26" s="661" t="n">
        <f t="shared" si="1"/>
        <v>102.89075</v>
      </c>
      <c r="O26" s="661" t="n">
        <f t="shared" si="1"/>
        <v>94.404750000000007</v>
      </c>
      <c r="P26" s="661" t="n">
        <f t="shared" si="1"/>
        <v>91.919749999999993</v>
      </c>
      <c r="Q26" s="661" t="n">
        <f t="shared" si="1"/>
        <v>80.097749999999991</v>
      </c>
      <c r="R26" s="661" t="n">
        <f t="shared" si="1"/>
        <v>69.023750000000007</v>
      </c>
      <c r="S26" s="661" t="n">
        <f t="shared" si="1"/>
        <v>61.349750000000007</v>
      </c>
      <c r="T26" s="661" t="n">
        <f t="shared" si="1"/>
        <v>81.433750000000003</v>
      </c>
      <c r="U26" s="661" t="n">
        <f t="shared" si="1"/>
        <v>75.465749999999986</v>
      </c>
      <c r="V26" s="661" t="n">
        <f>V50</f>
        <v>48.418749999999996</v>
      </c>
      <c r="W26" s="661" t="n">
        <f>W50</f>
        <v>48.349750000000007</v>
      </c>
      <c r="X26" s="791" t="n">
        <f t="shared" si="1"/>
        <v>37.400749999999995</v>
      </c>
      <c r="Y26" s="791" t="n">
        <f t="shared" si="1"/>
        <v>38.275749999999995</v>
      </c>
      <c r="Z26" s="791" t="n">
        <f t="shared" si="1"/>
        <v>41.822750000000006</v>
      </c>
      <c r="AA26" s="791" t="n">
        <f t="shared" si="1"/>
        <v>41.822750000000006</v>
      </c>
      <c r="AB26" s="791" t="n">
        <f t="shared" si="1"/>
        <v>41.822750000000006</v>
      </c>
      <c r="AC26" s="791" t="n">
        <f t="shared" si="1"/>
        <v>41.822750000000006</v>
      </c>
      <c r="AD26" s="791" t="n">
        <f t="shared" si="1"/>
        <v>41.822750000000006</v>
      </c>
      <c r="AE26" s="791" t="n">
        <f t="shared" si="1"/>
        <v>41.822750000000006</v>
      </c>
      <c r="AF26" s="791" t="n">
        <f t="shared" si="1"/>
        <v>41.822750000000006</v>
      </c>
      <c r="AG26" s="791" t="n">
        <f>AG50</f>
        <v>41.822750000000006</v>
      </c>
      <c r="AH26" s="791" t="n">
        <f>AH50</f>
        <v>41.822750000000006</v>
      </c>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row>
    <row r="27" ht="15.65" customHeight="1">
      <c r="B27" s="305" t="s">
        <v>798</v>
      </c>
      <c r="C27" s="297" t="s">
        <v>825</v>
      </c>
      <c r="D27" s="329" t="n">
        <v>30</v>
      </c>
      <c r="E27" s="287" t="n">
        <v>30</v>
      </c>
      <c r="F27" s="287" t="n">
        <v>30</v>
      </c>
      <c r="G27" s="287" t="n">
        <v>30</v>
      </c>
      <c r="H27" s="287" t="n">
        <v>30</v>
      </c>
      <c r="I27" s="287" t="n">
        <v>30</v>
      </c>
      <c r="J27" s="287" t="n">
        <v>30</v>
      </c>
      <c r="K27" s="283" t="n">
        <v>30.2</v>
      </c>
      <c r="L27" s="283" t="n">
        <v>30.2</v>
      </c>
      <c r="M27" s="283" t="n">
        <f>'Haver Pivoted'!GX89</f>
        <v>34.4</v>
      </c>
      <c r="N27" s="283" t="n">
        <f>'Haver Pivoted'!GY89</f>
        <v>34.4</v>
      </c>
      <c r="O27" s="283" t="n">
        <f>'Haver Pivoted'!GZ89</f>
        <v>218.933333333333</v>
      </c>
      <c r="P27" s="283" t="n">
        <f>'Haver Pivoted'!HA89</f>
        <v>223.13333333333301</v>
      </c>
      <c r="Q27" s="283" t="n">
        <f>'Haver Pivoted'!HB89</f>
        <v>94.3</v>
      </c>
      <c r="R27" s="283" t="n">
        <f>'Haver Pivoted'!HC89</f>
        <v>94.3</v>
      </c>
      <c r="S27" s="535" t="n">
        <f>'Haver Pivoted'!HD89</f>
        <v>94.3</v>
      </c>
      <c r="T27" s="535" t="n">
        <f>'Haver Pivoted'!HE89</f>
        <v>94.3</v>
      </c>
      <c r="U27" s="791" t="n">
        <v>34</v>
      </c>
      <c r="V27" s="661" t="n">
        <v>34</v>
      </c>
      <c r="W27" s="661" t="n">
        <v>34</v>
      </c>
      <c r="X27" s="791" t="n">
        <v>34</v>
      </c>
      <c r="Y27" s="791" t="n">
        <v>34</v>
      </c>
      <c r="Z27" s="791" t="n">
        <v>34</v>
      </c>
      <c r="AA27" s="791" t="n">
        <v>34</v>
      </c>
      <c r="AB27" s="791" t="n">
        <v>34</v>
      </c>
      <c r="AC27" s="791" t="n">
        <v>34</v>
      </c>
      <c r="AD27" s="791" t="n">
        <v>34</v>
      </c>
      <c r="AE27" s="791" t="n">
        <v>34</v>
      </c>
      <c r="AF27" s="791" t="n">
        <v>34</v>
      </c>
      <c r="AG27" s="791" t="n">
        <v>34</v>
      </c>
      <c r="AH27" s="791" t="n">
        <v>34</v>
      </c>
    </row>
    <row r="28" ht="21.65" customHeight="1">
      <c r="B28" s="305" t="s">
        <v>470</v>
      </c>
      <c r="C28" s="297"/>
      <c r="D28" s="330"/>
      <c r="E28" s="291"/>
      <c r="F28" s="291"/>
      <c r="G28" s="291"/>
      <c r="H28" s="661"/>
      <c r="I28" s="661"/>
      <c r="J28" s="661" t="n">
        <f>'PPP (expired)'!J53</f>
        <v>57.2</v>
      </c>
      <c r="K28" s="661" t="n">
        <f>'PPP (expired)'!K53</f>
        <v>81.2</v>
      </c>
      <c r="L28" s="661" t="n">
        <f>'PPP (expired)'!L53</f>
        <v>24.4</v>
      </c>
      <c r="M28" s="661" t="n">
        <f>'PPP (expired)'!M53</f>
        <v>11.7</v>
      </c>
      <c r="N28" s="661" t="n">
        <f>'PPP (expired)'!N53</f>
        <v>28.5</v>
      </c>
      <c r="O28" s="661" t="n">
        <f>'PPP (expired)'!O53</f>
        <v>18.8</v>
      </c>
      <c r="P28" s="661" t="n">
        <f>'PPP (expired)'!P53</f>
        <v>1.6</v>
      </c>
      <c r="Q28" s="661" t="n">
        <f>'PPP (expired)'!Q53</f>
        <v>0</v>
      </c>
      <c r="R28" s="661" t="n">
        <f>'PPP (expired)'!Q61</f>
        <v>0</v>
      </c>
      <c r="S28" s="661" t="n">
        <f>'PPP (expired)'!S53</f>
        <v>0</v>
      </c>
      <c r="T28" s="661" t="n">
        <f>'PPP (expired)'!T53</f>
        <v>0</v>
      </c>
      <c r="U28" s="661" t="n">
        <f>'PPP (expired)'!U53</f>
        <v>0</v>
      </c>
      <c r="V28" s="661" t="n">
        <f>'PPP (expired)'!V53</f>
        <v>0</v>
      </c>
      <c r="W28" s="661" t="n">
        <f>'PPP (expired)'!W53</f>
        <v>0</v>
      </c>
      <c r="X28" s="791" t="n">
        <f>'PPP (expired)'!X53</f>
        <v>0</v>
      </c>
      <c r="Y28" s="791" t="n">
        <f>'PPP (expired)'!Y53</f>
        <v>0</v>
      </c>
      <c r="Z28" s="791" t="n">
        <f>'PPP (expired)'!Z53</f>
        <v>0</v>
      </c>
      <c r="AA28" s="791" t="n">
        <f>'PPP (expired)'!AA53</f>
        <v>0</v>
      </c>
      <c r="AB28" s="791" t="n">
        <f>'PPP (expired)'!AB53</f>
        <v>0</v>
      </c>
      <c r="AC28" s="791" t="n">
        <f>'PPP (expired)'!AC53</f>
        <v>0</v>
      </c>
      <c r="AD28" s="791" t="n">
        <f>'PPP (expired)'!AD53</f>
        <v>0</v>
      </c>
      <c r="AE28" s="791" t="n">
        <f>'PPP (expired)'!AE53</f>
        <v>0</v>
      </c>
      <c r="AF28" s="791" t="n">
        <f>'PPP (expired)'!AF53</f>
        <v>0</v>
      </c>
      <c r="AG28" s="791" t="n">
        <f>'PPP (expired)'!AG53</f>
        <v>0</v>
      </c>
      <c r="AH28" s="791" t="n">
        <f>'PPP (expired)'!AH53</f>
        <v>0</v>
      </c>
    </row>
    <row r="29" ht="21.65" customHeight="1">
      <c r="B29" s="554" t="s">
        <v>799</v>
      </c>
      <c r="C29" s="297"/>
      <c r="D29" s="700" t="n">
        <f t="shared" ref="D29:AE29" si="2">D74</f>
        <v>0</v>
      </c>
      <c r="E29" s="661" t="n">
        <f t="shared" si="2"/>
        <v>0</v>
      </c>
      <c r="F29" s="661" t="n">
        <f t="shared" si="2"/>
        <v>0</v>
      </c>
      <c r="G29" s="661" t="n">
        <f t="shared" si="2"/>
        <v>0</v>
      </c>
      <c r="H29" s="661" t="n">
        <f t="shared" si="2"/>
        <v>0</v>
      </c>
      <c r="I29" s="661" t="n">
        <f t="shared" si="2"/>
        <v>-6.6417499999997744</v>
      </c>
      <c r="J29" s="661" t="n">
        <f t="shared" si="2"/>
        <v>-38.222083333332648</v>
      </c>
      <c r="K29" s="661" t="n">
        <f t="shared" si="2"/>
        <v>84.695583333333389</v>
      </c>
      <c r="L29" s="661" t="n">
        <f t="shared" si="2"/>
        <v>16.60225000000014</v>
      </c>
      <c r="M29" s="661" t="n">
        <f t="shared" si="2"/>
        <v>16.668916666666519</v>
      </c>
      <c r="N29" s="661" t="n">
        <f t="shared" si="2"/>
        <v>-12.19925666666677</v>
      </c>
      <c r="O29" s="661" t="n">
        <f t="shared" si="2"/>
        <v>-14.628243333333103</v>
      </c>
      <c r="P29" s="661" t="n">
        <f t="shared" si="2"/>
        <v>-31.382416666666586</v>
      </c>
      <c r="Q29" s="661" t="n">
        <f t="shared" si="2"/>
        <v>-3.1812166666670691</v>
      </c>
      <c r="R29" s="661" t="n">
        <f t="shared" si="2"/>
        <v>-1.8405500000005759</v>
      </c>
      <c r="S29" s="661" t="n">
        <f t="shared" si="2"/>
        <v>-17.07788333333383</v>
      </c>
      <c r="T29" s="661" t="n">
        <f t="shared" si="2"/>
        <v>-2.5472166666675093</v>
      </c>
      <c r="U29" s="661" t="n">
        <f t="shared" si="2"/>
        <v>18.339804999999615</v>
      </c>
      <c r="V29" s="661" t="n">
        <f>V74</f>
        <v>17.924900238094551</v>
      </c>
      <c r="W29" s="661" t="n">
        <f t="shared" si="2"/>
        <v>7.0605669047611173</v>
      </c>
      <c r="X29" s="791" t="n">
        <f t="shared" si="2"/>
        <v>24.070804999999382</v>
      </c>
      <c r="Y29" s="791" t="n">
        <f t="shared" si="2"/>
        <v>62.816743666665843</v>
      </c>
      <c r="Z29" s="791" t="n">
        <f t="shared" si="2"/>
        <v>75.236410333332515</v>
      </c>
      <c r="AA29" s="791" t="n">
        <f t="shared" si="2"/>
        <v>75.236410333332515</v>
      </c>
      <c r="AB29" s="791" t="n">
        <f t="shared" si="2"/>
        <v>75.236410333332515</v>
      </c>
      <c r="AC29" s="791" t="n">
        <f t="shared" si="2"/>
        <v>75.236410333332515</v>
      </c>
      <c r="AD29" s="791" t="n">
        <f t="shared" si="2"/>
        <v>75.236410333332515</v>
      </c>
      <c r="AE29" s="791" t="n">
        <f t="shared" si="2"/>
        <v>75.236410333332515</v>
      </c>
      <c r="AF29" s="791" t="n">
        <f>AF74</f>
        <v>75.236410333332515</v>
      </c>
      <c r="AG29" s="791" t="n">
        <f>AG74</f>
        <v>75.236410333332515</v>
      </c>
      <c r="AH29" s="791" t="n">
        <f>AH74</f>
        <v>75.236410333332515</v>
      </c>
    </row>
    <row r="30" ht="21" customHeight="1">
      <c r="B30" s="324" t="s">
        <v>796</v>
      </c>
      <c r="C30" s="319"/>
      <c r="D30" s="837" t="n">
        <f t="shared" ref="D30:W30" si="3">D25+D21</f>
        <v>0</v>
      </c>
      <c r="E30" s="743" t="n">
        <f t="shared" si="3"/>
        <v>0</v>
      </c>
      <c r="F30" s="743" t="n">
        <f t="shared" si="3"/>
        <v>0</v>
      </c>
      <c r="G30" s="743" t="n">
        <f t="shared" si="3"/>
        <v>0</v>
      </c>
      <c r="H30" s="743" t="n">
        <f t="shared" si="3"/>
        <v>0</v>
      </c>
      <c r="I30" s="743" t="n">
        <f t="shared" si="3"/>
        <v>0</v>
      </c>
      <c r="J30" s="743" t="n">
        <f t="shared" si="3"/>
        <v>160.9</v>
      </c>
      <c r="K30" s="743" t="n">
        <f t="shared" si="3"/>
        <v>58.4</v>
      </c>
      <c r="L30" s="743" t="n">
        <f t="shared" si="3"/>
        <v>34.5</v>
      </c>
      <c r="M30" s="743" t="n">
        <f t="shared" si="3"/>
        <v>21.4</v>
      </c>
      <c r="N30" s="743" t="n">
        <f t="shared" si="3"/>
        <v>13.3</v>
      </c>
      <c r="O30" s="743" t="n">
        <f t="shared" si="3"/>
        <v>21.804000000000041</v>
      </c>
      <c r="P30" s="658" t="n">
        <f t="shared" si="3"/>
        <v>51.919000000000011</v>
      </c>
      <c r="Q30" s="743" t="n">
        <f t="shared" si="3"/>
        <v>46.619</v>
      </c>
      <c r="R30" s="743" t="n">
        <f t="shared" si="3"/>
        <v>39.719000000000008</v>
      </c>
      <c r="S30" s="743" t="n">
        <f t="shared" si="3"/>
        <v>27.819000000000003</v>
      </c>
      <c r="T30" s="658" t="n">
        <f t="shared" si="3"/>
        <v>6.3160000000000007</v>
      </c>
      <c r="U30" s="658" t="n">
        <f t="shared" si="3"/>
        <v>1.4159999999999999</v>
      </c>
      <c r="V30" s="658" t="n">
        <f t="shared" si="3"/>
        <v>1.4159999999999999</v>
      </c>
      <c r="W30" s="658" t="n">
        <f t="shared" si="3"/>
        <v>1.4159999999999999</v>
      </c>
      <c r="X30" s="663" t="n">
        <f t="shared" ref="X30:AB30" si="4">X25+X21</f>
        <v>1.4790000000000001</v>
      </c>
      <c r="Y30" s="663" t="n">
        <f t="shared" si="4"/>
        <v>1.4790000000000001</v>
      </c>
      <c r="Z30" s="663" t="n">
        <f t="shared" si="4"/>
        <v>1.4790000000000001</v>
      </c>
      <c r="AA30" s="663" t="n">
        <f t="shared" si="4"/>
        <v>1.4790000000000001</v>
      </c>
      <c r="AB30" s="663" t="n">
        <f t="shared" si="4"/>
        <v>1.63</v>
      </c>
      <c r="AC30" s="663" t="n">
        <f>AC25+AC21</f>
        <v>1.63</v>
      </c>
      <c r="AD30" s="663" t="n">
        <f t="shared" ref="AD30:AE30" si="5">AD25+AD21</f>
        <v>1.63</v>
      </c>
      <c r="AE30" s="663" t="n">
        <f t="shared" si="5"/>
        <v>1.63</v>
      </c>
      <c r="AF30" s="663" t="n">
        <f>AF25+AF21</f>
        <v>1.671</v>
      </c>
      <c r="AG30" s="663" t="n">
        <f>AG25+AG21</f>
        <v>0</v>
      </c>
      <c r="AH30" s="663" t="n">
        <f>AH25+AH21</f>
        <v>0</v>
      </c>
    </row>
    <row r="31" ht="44.9" customHeight="1">
      <c r="B31" s="305" t="s">
        <v>803</v>
      </c>
      <c r="C31" s="297"/>
      <c r="D31" s="700" t="n">
        <f t="shared" ref="D31:AE31" si="6">D66</f>
        <v>1410.9</v>
      </c>
      <c r="E31" s="661" t="n">
        <f t="shared" si="6"/>
        <v>1471.1999999999998</v>
      </c>
      <c r="F31" s="661" t="n">
        <f t="shared" si="6"/>
        <v>1477.1000000000001</v>
      </c>
      <c r="G31" s="661" t="n">
        <f t="shared" si="6"/>
        <v>1484</v>
      </c>
      <c r="H31" s="661" t="n">
        <f t="shared" si="6"/>
        <v>1492</v>
      </c>
      <c r="I31" s="661" t="n">
        <f t="shared" si="6"/>
        <v>1543.2999999999997</v>
      </c>
      <c r="J31" s="661" t="n">
        <f t="shared" si="6"/>
        <v>1550.2333333333331</v>
      </c>
      <c r="K31" s="661" t="n">
        <f t="shared" si="6"/>
        <v>1557.1666666666665</v>
      </c>
      <c r="L31" s="661" t="n">
        <f t="shared" si="6"/>
        <v>1564.1</v>
      </c>
      <c r="M31" s="661" t="n">
        <f t="shared" si="6"/>
        <v>1588.5533333333333</v>
      </c>
      <c r="N31" s="661" t="n">
        <f t="shared" si="6"/>
        <v>1595.4866666666667</v>
      </c>
      <c r="O31" s="661" t="n">
        <f t="shared" si="6"/>
        <v>1602.42</v>
      </c>
      <c r="P31" s="661" t="n">
        <f t="shared" si="6"/>
        <v>1609.3533333333335</v>
      </c>
      <c r="Q31" s="661" t="n">
        <f t="shared" si="6"/>
        <v>1688.207466666667</v>
      </c>
      <c r="R31" s="661" t="n">
        <f t="shared" si="6"/>
        <v>1695.1408000000004</v>
      </c>
      <c r="S31" s="661" t="n">
        <f t="shared" si="6"/>
        <v>1702.0741333333337</v>
      </c>
      <c r="T31" s="661" t="n">
        <f t="shared" si="6"/>
        <v>1709.0074666666671</v>
      </c>
      <c r="U31" s="661" t="n">
        <f t="shared" si="6"/>
        <v>1822.5884450000005</v>
      </c>
      <c r="V31" s="661" t="n">
        <f t="shared" si="6"/>
        <v>1829.5217783333339</v>
      </c>
      <c r="W31" s="661" t="n">
        <f t="shared" si="6"/>
        <v>1836.4551116666673</v>
      </c>
      <c r="X31" s="791" t="n">
        <f t="shared" si="6"/>
        <v>1843.3884450000007</v>
      </c>
      <c r="Y31" s="791" t="n">
        <f t="shared" si="6"/>
        <v>1895.9675063333341</v>
      </c>
      <c r="Z31" s="791" t="n">
        <f t="shared" si="6"/>
        <v>1902.9008396666675</v>
      </c>
      <c r="AA31" s="791" t="n">
        <f t="shared" si="6"/>
        <v>1909.8341730000009</v>
      </c>
      <c r="AB31" s="791" t="n">
        <f t="shared" si="6"/>
        <v>1916.7675063333343</v>
      </c>
      <c r="AC31" s="791" t="n">
        <f t="shared" si="6"/>
        <v>1958.5025072526676</v>
      </c>
      <c r="AD31" s="791" t="n">
        <f t="shared" si="6"/>
        <v>1965.4358405860009</v>
      </c>
      <c r="AE31" s="791" t="n">
        <f t="shared" si="6"/>
        <v>1972.3691739193343</v>
      </c>
      <c r="AF31" s="791" t="n">
        <f>AF66</f>
        <v>1979.3025072526677</v>
      </c>
      <c r="AG31" s="791" t="n">
        <f>AG66</f>
        <v>2023.2417515264792</v>
      </c>
      <c r="AH31" s="791" t="n">
        <f>AH66</f>
        <v>2030.1750848598126</v>
      </c>
    </row>
    <row r="32" ht="44.9" customHeight="1">
      <c r="B32" s="503" t="s">
        <v>1185</v>
      </c>
      <c r="D32" s="700"/>
      <c r="E32" s="661"/>
      <c r="F32" s="661"/>
      <c r="G32" s="661"/>
      <c r="H32" s="661"/>
      <c r="I32" s="661"/>
      <c r="J32" s="661"/>
      <c r="K32" s="661"/>
      <c r="L32" s="661"/>
      <c r="M32" s="661"/>
      <c r="N32" s="661"/>
      <c r="O32" s="661"/>
      <c r="P32" s="661"/>
      <c r="Q32" s="661"/>
      <c r="R32" s="661"/>
      <c r="S32" s="781" t="n">
        <f>'IRA and CHIPS'!E191</f>
        <v>-0.622</v>
      </c>
      <c r="T32" s="781" t="n">
        <f>'IRA and CHIPS'!F191</f>
        <v>21.89</v>
      </c>
      <c r="U32" s="781" t="n">
        <f>'IRA and CHIPS'!G191</f>
        <v>21.89</v>
      </c>
      <c r="V32" s="781" t="n">
        <f>'IRA and CHIPS'!H191</f>
        <v>21.89</v>
      </c>
      <c r="W32" s="781" t="n">
        <f>'IRA and CHIPS'!I191</f>
        <v>21.89</v>
      </c>
      <c r="X32" s="793" t="n">
        <f>'IRA and CHIPS'!J191</f>
        <v>15.439</v>
      </c>
      <c r="Y32" s="793" t="n">
        <f>'IRA and CHIPS'!K191</f>
        <v>15.439</v>
      </c>
      <c r="Z32" s="793" t="n">
        <f>'IRA and CHIPS'!L191</f>
        <v>15.439</v>
      </c>
      <c r="AA32" s="793" t="n">
        <f>'IRA and CHIPS'!M191</f>
        <v>15.439</v>
      </c>
      <c r="AB32" s="793" t="n">
        <f>'IRA and CHIPS'!N191</f>
        <v>16.966999999999999</v>
      </c>
      <c r="AC32" s="793" t="n">
        <f>'IRA and CHIPS'!O191</f>
        <v>16.966999999999999</v>
      </c>
      <c r="AD32" s="793" t="n">
        <f>'IRA and CHIPS'!P191</f>
        <v>16.966999999999999</v>
      </c>
      <c r="AE32" s="793" t="n">
        <f>'IRA and CHIPS'!Q191</f>
        <v>16.966999999999999</v>
      </c>
      <c r="AF32" s="793" t="n">
        <f>'IRA and CHIPS'!R191</f>
        <v>0.72799999999999998</v>
      </c>
      <c r="AG32" s="793" t="n">
        <f>'IRA and CHIPS'!S191</f>
        <v>0.72799999999999998</v>
      </c>
      <c r="AH32" s="793" t="n">
        <f>0</f>
        <v>0</v>
      </c>
    </row>
    <row r="33" ht="31.4" customHeight="1">
      <c r="B33" s="688" t="s">
        <v>800</v>
      </c>
      <c r="C33" s="319"/>
      <c r="D33" s="658" t="n">
        <f t="shared" ref="D33:R33" si="7">D31+SUM(D26:D29)+D32</f>
        <v>1440.9</v>
      </c>
      <c r="E33" s="658" t="n">
        <f t="shared" si="7"/>
        <v>1501.1999999999998</v>
      </c>
      <c r="F33" s="658" t="n">
        <f t="shared" si="7"/>
        <v>1507.1000000000001</v>
      </c>
      <c r="G33" s="658" t="n">
        <f t="shared" si="7"/>
        <v>1514</v>
      </c>
      <c r="H33" s="658" t="n">
        <f t="shared" si="7"/>
        <v>1522</v>
      </c>
      <c r="I33" s="658" t="n">
        <f t="shared" si="7"/>
        <v>1573.3</v>
      </c>
      <c r="J33" s="658" t="n">
        <f t="shared" si="7"/>
        <v>1650.6000000000004</v>
      </c>
      <c r="K33" s="658" t="n">
        <f t="shared" si="7"/>
        <v>1808.6</v>
      </c>
      <c r="L33" s="658" t="n">
        <f t="shared" si="7"/>
        <v>1697.9</v>
      </c>
      <c r="M33" s="658" t="n">
        <f t="shared" si="7"/>
        <v>1739.3999999999999</v>
      </c>
      <c r="N33" s="658" t="n">
        <f t="shared" si="7"/>
        <v>1749.07816</v>
      </c>
      <c r="O33" s="658" t="n">
        <f t="shared" si="7"/>
        <v>1919.92984</v>
      </c>
      <c r="P33" s="658" t="n">
        <f t="shared" si="7"/>
        <v>1894.6239999999998</v>
      </c>
      <c r="Q33" s="658" t="n">
        <f t="shared" si="7"/>
        <v>1859.424</v>
      </c>
      <c r="R33" s="658" t="n">
        <f t="shared" si="7"/>
        <v>1856.6239999999998</v>
      </c>
      <c r="S33" s="658" t="n">
        <f>S31+SUM(S26:S29)+S32</f>
        <v>1840.0239999999999</v>
      </c>
      <c r="T33" s="809" t="n">
        <f>T31+SUM(T26:T29)+T32</f>
        <v>1904.0839999999996</v>
      </c>
      <c r="U33" s="809" t="n">
        <f>U31+SUM(U26:U29)+U32</f>
        <v>1972.2840000000003</v>
      </c>
      <c r="V33" s="658" t="n">
        <f>V31+SUM(V26:V29)+V32</f>
        <v>1951.7554285714286</v>
      </c>
      <c r="W33" s="658" t="n">
        <f>W31+SUM(W26:W29)+W32</f>
        <v>1947.7554285714286</v>
      </c>
      <c r="X33" s="663" t="n">
        <f t="shared" ref="X33" si="8">X31+SUM(X26:X29)+X32</f>
        <v>1954.2990000000002</v>
      </c>
      <c r="Y33" s="663" t="n">
        <f>Y31+SUM(Y26:Y29)+Y32</f>
        <v>2046.499</v>
      </c>
      <c r="Z33" s="663" t="n">
        <f t="shared" ref="Z33" si="9">Z31+SUM(Z26:Z29)+Z32</f>
        <v>2069.3989999999999</v>
      </c>
      <c r="AA33" s="663" t="n">
        <f t="shared" ref="AA33" si="10">AA31+SUM(AA26:AA29)+AA32</f>
        <v>2076.3323333333333</v>
      </c>
      <c r="AB33" s="663" t="n">
        <f t="shared" ref="AB33" si="11">AB31+SUM(AB26:AB29)+AB32</f>
        <v>2084.7936666666669</v>
      </c>
      <c r="AC33" s="663" t="n">
        <f>AC31+SUM(AC26:AC29)+AC32</f>
        <v>2126.5286675860002</v>
      </c>
      <c r="AD33" s="663" t="n">
        <f t="shared" ref="AD33:AE33" si="12">AD31+SUM(AD26:AD29)+AD32</f>
        <v>2133.4620009193336</v>
      </c>
      <c r="AE33" s="663" t="n">
        <f t="shared" si="12"/>
        <v>2140.395334252667</v>
      </c>
      <c r="AF33" s="663" t="n">
        <f>AF31+SUM(AF26:AF29)+AF32</f>
        <v>2131.0896675860004</v>
      </c>
      <c r="AG33" s="663" t="n">
        <f>AG31+SUM(AG26:AG29)+AG32</f>
        <v>2175.0289118598116</v>
      </c>
      <c r="AH33" s="663" t="n">
        <f>AH31+SUM(AH26:AH29)+AH32</f>
        <v>2181.2342451931449</v>
      </c>
    </row>
    <row r="34" ht="31.4" customHeight="1">
      <c r="B34" s="688"/>
      <c r="C34" s="319"/>
      <c r="D34" s="658"/>
      <c r="E34" s="658"/>
      <c r="F34" s="658"/>
      <c r="G34" s="658"/>
      <c r="H34" s="658"/>
      <c r="I34" s="658"/>
      <c r="J34" s="658"/>
      <c r="K34" s="658"/>
      <c r="L34" s="658"/>
      <c r="M34" s="658"/>
      <c r="N34" s="658"/>
      <c r="O34" s="658"/>
      <c r="P34" s="658"/>
      <c r="Q34" s="658"/>
      <c r="R34" s="658"/>
      <c r="S34" s="658"/>
      <c r="T34" s="658"/>
      <c r="U34" s="658"/>
      <c r="V34" s="658"/>
      <c r="W34" s="658"/>
      <c r="X34" s="663"/>
      <c r="Y34" s="663"/>
      <c r="Z34" s="663"/>
      <c r="AA34" s="663"/>
      <c r="AB34" s="663"/>
      <c r="AC34" s="663"/>
    </row>
    <row r="35" ht="31.4" customHeight="1">
      <c r="B35" s="770" t="s">
        <v>473</v>
      </c>
      <c r="C35" s="771"/>
      <c r="D35" s="683"/>
      <c r="E35" s="684"/>
      <c r="F35" s="684"/>
      <c r="G35" s="684"/>
      <c r="H35" s="684"/>
      <c r="I35" s="684"/>
      <c r="J35" s="684"/>
      <c r="K35" s="684"/>
      <c r="L35" s="684"/>
      <c r="M35" s="684"/>
      <c r="N35" s="684"/>
      <c r="O35" s="684"/>
      <c r="P35" s="684"/>
      <c r="Q35" s="684"/>
      <c r="R35" s="684"/>
      <c r="S35" s="684"/>
      <c r="T35" s="658"/>
      <c r="U35" s="684"/>
      <c r="V35" s="658"/>
      <c r="W35" s="658"/>
      <c r="X35" s="663"/>
      <c r="Y35" s="663"/>
      <c r="Z35" s="663"/>
      <c r="AA35" s="663"/>
      <c r="AB35" s="663"/>
      <c r="AC35" s="802"/>
    </row>
    <row r="36">
      <c r="B36" s="554" t="s">
        <v>805</v>
      </c>
      <c r="C36" s="297" t="s">
        <v>474</v>
      </c>
      <c r="D36" s="330" t="n">
        <f>'Haver Pivoted'!GO37</f>
        <v>733.6</v>
      </c>
      <c r="E36" s="291" t="n">
        <f>'Haver Pivoted'!GP37</f>
        <v>744.2</v>
      </c>
      <c r="F36" s="291" t="n">
        <f>'Haver Pivoted'!GQ37</f>
        <v>762.1</v>
      </c>
      <c r="G36" s="291" t="n">
        <f>'Haver Pivoted'!GR37</f>
        <v>772.2</v>
      </c>
      <c r="H36" s="291" t="n">
        <f>'Haver Pivoted'!GS37</f>
        <v>772.4</v>
      </c>
      <c r="I36" s="291" t="n">
        <f>'Haver Pivoted'!GT37</f>
        <v>761.7</v>
      </c>
      <c r="J36" s="291" t="n">
        <f>'Haver Pivoted'!GU37</f>
        <v>812.1</v>
      </c>
      <c r="K36" s="291" t="n">
        <f>'Haver Pivoted'!GV37</f>
        <v>850.2</v>
      </c>
      <c r="L36" s="291" t="n">
        <f>'Haver Pivoted'!GW37</f>
        <v>838.8</v>
      </c>
      <c r="M36" s="291" t="n">
        <f>'Haver Pivoted'!GX37</f>
        <v>866.1</v>
      </c>
      <c r="N36" s="291" t="n">
        <f>'Haver Pivoted'!GY37</f>
        <v>908</v>
      </c>
      <c r="O36" s="291" t="n">
        <f>'Haver Pivoted'!GZ37</f>
        <v>915.6</v>
      </c>
      <c r="P36" s="291" t="n">
        <f>'Haver Pivoted'!HA37</f>
        <v>912.9</v>
      </c>
      <c r="Q36" s="291" t="n">
        <f>'Haver Pivoted'!HB37</f>
        <v>960.5</v>
      </c>
      <c r="R36" s="291" t="n">
        <f>'Haver Pivoted'!HC37</f>
        <v>995.3</v>
      </c>
      <c r="S36" s="742" t="n">
        <f>'Haver Pivoted'!HD37</f>
        <v>1015.5</v>
      </c>
      <c r="T36" s="742" t="n">
        <f>'Haver Pivoted'!HE37</f>
        <v>1078.2</v>
      </c>
      <c r="U36" s="742" t="n">
        <f>'Haver Pivoted'!HF37</f>
        <v>1055.7</v>
      </c>
      <c r="V36" s="780" t="n">
        <f>'Haver Pivoted'!HG37</f>
        <v>1087.5</v>
      </c>
      <c r="W36" s="780" t="n">
        <f>'Haver Pivoted'!HH37</f>
        <v>1057.5999999999999</v>
      </c>
      <c r="X36" s="780" t="n">
        <f>'Haver Pivoted'!HI37</f>
        <v>1045.2</v>
      </c>
      <c r="Y36" s="780" t="n">
        <f>'Haver Pivoted'!HJ37</f>
        <v>1094.8</v>
      </c>
      <c r="Z36" s="780" t="n">
        <f>'Haver Pivoted'!HK37</f>
        <v>1123.3</v>
      </c>
      <c r="AA36" s="514"/>
      <c r="AB36" s="514"/>
      <c r="AC36" s="848"/>
    </row>
    <row r="37">
      <c r="B37" s="657" t="s">
        <v>209</v>
      </c>
      <c r="C37" s="297"/>
      <c r="D37" s="700" t="n">
        <f>Medicaid!D27</f>
        <v>589.5</v>
      </c>
      <c r="E37" s="661" t="n">
        <f>Medicaid!E27</f>
        <v>598.70000000000005</v>
      </c>
      <c r="F37" s="661" t="n">
        <f>Medicaid!F27</f>
        <v>614.4</v>
      </c>
      <c r="G37" s="661" t="n">
        <f>Medicaid!G27</f>
        <v>622.4</v>
      </c>
      <c r="H37" s="661" t="n">
        <f>Medicaid!H27</f>
        <v>620.6</v>
      </c>
      <c r="I37" s="661" t="n">
        <f>Medicaid!I27</f>
        <v>606.4</v>
      </c>
      <c r="J37" s="661" t="n">
        <f>Medicaid!J27</f>
        <v>654.6</v>
      </c>
      <c r="K37" s="661" t="n">
        <f>Medicaid!K27</f>
        <v>690.8</v>
      </c>
      <c r="L37" s="661" t="n">
        <f>Medicaid!L27</f>
        <v>678.6</v>
      </c>
      <c r="M37" s="661" t="n">
        <f>Medicaid!M27</f>
        <v>705</v>
      </c>
      <c r="N37" s="661" t="n">
        <f>Medicaid!N27</f>
        <v>745.7</v>
      </c>
      <c r="O37" s="661" t="n">
        <f>Medicaid!O27</f>
        <v>749.2</v>
      </c>
      <c r="P37" s="661" t="n">
        <f>Medicaid!P27</f>
        <v>746.1</v>
      </c>
      <c r="Q37" s="661" t="n">
        <f>Medicaid!Q27</f>
        <v>791.4</v>
      </c>
      <c r="R37" s="661" t="n">
        <f>Medicaid!R27</f>
        <v>818.7</v>
      </c>
      <c r="S37" s="742" t="n">
        <f>Medicaid!S27</f>
        <v>819</v>
      </c>
      <c r="T37" s="661" t="n">
        <f>Medicaid!T27</f>
        <v>828.4</v>
      </c>
      <c r="U37" s="661" t="n">
        <f>Medicaid!U27</f>
        <v>871.5</v>
      </c>
      <c r="V37" s="661" t="n">
        <f>Medicaid!V27</f>
        <v>911.4</v>
      </c>
      <c r="W37" s="661" t="n">
        <f>Medicaid!W27</f>
        <v>880.6</v>
      </c>
      <c r="X37" s="791" t="n">
        <f>Medicaid!X27</f>
        <v>868.3</v>
      </c>
      <c r="Y37" s="791" t="n">
        <f>Medicaid!Y27</f>
        <v>916.9</v>
      </c>
      <c r="Z37" s="791" t="n">
        <f>Medicaid!Z27</f>
        <v>942.7</v>
      </c>
      <c r="AA37" s="791" t="n">
        <f>Medicaid!AA27</f>
        <v>946.2506373162654</v>
      </c>
      <c r="AB37" s="791" t="n">
        <f>Medicaid!AB27</f>
        <v>950.46592587609643</v>
      </c>
      <c r="AC37" s="835" t="n">
        <f>Medicaid!AC27</f>
        <v>954.69999239701076</v>
      </c>
    </row>
    <row r="38" ht="14.9" customHeight="1">
      <c r="B38" s="688" t="s">
        <v>806</v>
      </c>
      <c r="C38" s="319"/>
      <c r="D38" s="699" t="n">
        <f>D36-D37</f>
        <v>144.10000000000002</v>
      </c>
      <c r="E38" s="658" t="n">
        <f t="shared" ref="E38:O38" si="13">E36-E37</f>
        <v>145.5</v>
      </c>
      <c r="F38" s="658" t="n">
        <f t="shared" si="13"/>
        <v>147.70000000000005</v>
      </c>
      <c r="G38" s="658" t="n">
        <f t="shared" si="13"/>
        <v>149.80000000000007</v>
      </c>
      <c r="H38" s="658" t="n">
        <f t="shared" si="13"/>
        <v>151.79999999999995</v>
      </c>
      <c r="I38" s="658" t="n">
        <f t="shared" si="13"/>
        <v>155.30000000000007</v>
      </c>
      <c r="J38" s="658" t="n">
        <f t="shared" si="13"/>
        <v>157.5</v>
      </c>
      <c r="K38" s="658" t="n">
        <f t="shared" si="13"/>
        <v>159.40000000000009</v>
      </c>
      <c r="L38" s="658" t="n">
        <f t="shared" si="13"/>
        <v>160.19999999999993</v>
      </c>
      <c r="M38" s="658" t="n">
        <f t="shared" si="13"/>
        <v>161.10000000000002</v>
      </c>
      <c r="N38" s="658" t="n">
        <f t="shared" si="13"/>
        <v>162.29999999999995</v>
      </c>
      <c r="O38" s="658" t="n">
        <f t="shared" si="13"/>
        <v>166.39999999999998</v>
      </c>
      <c r="P38" s="658" t="n">
        <f>P36-P37</f>
        <v>166.79999999999995</v>
      </c>
      <c r="Q38" s="658" t="n">
        <f>Q36-Q37</f>
        <v>169.10000000000002</v>
      </c>
      <c r="R38" s="658" t="n">
        <f>R36-R37</f>
        <v>176.59999999999991</v>
      </c>
      <c r="S38" s="742" t="n">
        <f>S36-S37</f>
        <v>196.5</v>
      </c>
      <c r="T38" s="742" t="n">
        <f>T36-T37</f>
        <v>249.80000000000007</v>
      </c>
      <c r="U38" s="658" t="n">
        <f>T38*(1+AVERAGE($F$40:$I$40))+U39</f>
        <v>183.90584224202988</v>
      </c>
      <c r="V38" s="658" t="n">
        <f>U38*(1+AVERAGE($F$40:$I$40))+V39</f>
        <v>186.92861396193939</v>
      </c>
      <c r="W38" s="658" t="n">
        <f t="shared" ref="W38:AA38" si="14">V38*(1+AVERAGE($F$40:$I$40))</f>
        <v>190.00106952418523</v>
      </c>
      <c r="X38" s="663" t="n">
        <f>W38*(1+AVERAGE($F$40:$I$40))</f>
        <v>193.12402555814535</v>
      </c>
      <c r="Y38" s="663" t="n">
        <f t="shared" si="14"/>
        <v>196.29831211574134</v>
      </c>
      <c r="Z38" s="663" t="n">
        <f t="shared" si="14"/>
        <v>199.52477289205825</v>
      </c>
      <c r="AA38" s="663" t="n">
        <f t="shared" si="14"/>
        <v>202.80426544959073</v>
      </c>
      <c r="AB38" s="663" t="n">
        <f>AA38*(1+AVERAGE($F$40:$I$40))</f>
        <v>206.137661446175</v>
      </c>
      <c r="AC38" s="663" t="n">
        <f t="shared" ref="AC38:AH38" si="15">AB38*(1+AVERAGE($F$40:$I$40))</f>
        <v>209.52584686666717</v>
      </c>
      <c r="AD38" s="663" t="n">
        <f t="shared" si="15"/>
        <v>212.9697222584295</v>
      </c>
      <c r="AE38" s="663" t="n">
        <f t="shared" si="15"/>
        <v>216.47020297068735</v>
      </c>
      <c r="AF38" s="663" t="n">
        <f t="shared" si="15"/>
        <v>220.02821939782032</v>
      </c>
      <c r="AG38" s="663" t="n">
        <f t="shared" si="15"/>
        <v>223.64471722665206</v>
      </c>
      <c r="AH38" s="663" t="n">
        <f t="shared" si="15"/>
        <v>227.32065768780498</v>
      </c>
    </row>
    <row r="39" ht="14.9" customHeight="1">
      <c r="B39" s="688" t="s">
        <v>1695</v>
      </c>
      <c r="C39" s="319"/>
      <c r="D39" s="699"/>
      <c r="E39" s="658"/>
      <c r="F39" s="658"/>
      <c r="G39" s="658"/>
      <c r="H39" s="658"/>
      <c r="I39" s="658"/>
      <c r="J39" s="658"/>
      <c r="K39" s="658"/>
      <c r="L39" s="658"/>
      <c r="M39" s="658"/>
      <c r="N39" s="658"/>
      <c r="O39" s="658"/>
      <c r="P39" s="658"/>
      <c r="Q39" s="658"/>
      <c r="R39" s="658"/>
      <c r="S39" s="742"/>
      <c r="T39" s="658"/>
      <c r="U39" s="658" t="n">
        <v>-70</v>
      </c>
      <c r="V39" s="658"/>
      <c r="W39" s="658"/>
      <c r="X39" s="663"/>
      <c r="Y39" s="663"/>
      <c r="Z39" s="663"/>
      <c r="AA39" s="663"/>
      <c r="AB39" s="663"/>
      <c r="AC39" s="802"/>
    </row>
    <row r="40">
      <c r="B40" s="829" t="s">
        <v>807</v>
      </c>
      <c r="C40" s="437"/>
      <c r="D40" s="701"/>
      <c r="E40" s="687" t="n">
        <f>E38/D38-1</f>
        <v>9.7154753643302616E-3</v>
      </c>
      <c r="F40" s="687" t="n">
        <f t="shared" ref="F40:N40" si="16">F38/E38-1</f>
        <v>1.5120274914089737E-2</v>
      </c>
      <c r="G40" s="687" t="n">
        <f t="shared" si="16"/>
        <v>1.4218009478673244E-2</v>
      </c>
      <c r="H40" s="687" t="n">
        <f t="shared" si="16"/>
        <v>1.3351134846461221E-2</v>
      </c>
      <c r="I40" s="687" t="n">
        <f t="shared" si="16"/>
        <v>2.3056653491436929E-2</v>
      </c>
      <c r="J40" s="687" t="n">
        <f t="shared" si="16"/>
        <v>1.416613007083023E-2</v>
      </c>
      <c r="K40" s="687" t="n">
        <f t="shared" si="16"/>
        <v>1.2063492063492554E-2</v>
      </c>
      <c r="L40" s="687" t="n">
        <f t="shared" si="16"/>
        <v>5.0188205771632965E-3</v>
      </c>
      <c r="M40" s="687" t="n">
        <f t="shared" si="16"/>
        <v>5.6179775280904565E-3</v>
      </c>
      <c r="N40" s="687" t="n">
        <f t="shared" si="16"/>
        <v>7.4487895716941477E-3</v>
      </c>
      <c r="O40" s="687" t="n">
        <f>O38/N38-1</f>
        <v>2.5261860751694565E-2</v>
      </c>
      <c r="P40" s="687" t="n">
        <f t="shared" ref="P40:S40" si="17">P38/O38-1</f>
        <v>2.4038461538460343E-3</v>
      </c>
      <c r="Q40" s="687" t="n">
        <f t="shared" si="17"/>
        <v>1.3788968824940406E-2</v>
      </c>
      <c r="R40" s="687" t="n">
        <f t="shared" si="17"/>
        <v>4.4352454169130029E-2</v>
      </c>
      <c r="S40" s="762" t="n">
        <f t="shared" si="17"/>
        <v>0.1126840317100799</v>
      </c>
      <c r="T40" s="660"/>
      <c r="U40" s="660"/>
      <c r="V40" s="660"/>
      <c r="W40" s="660"/>
      <c r="X40" s="695"/>
      <c r="Y40" s="695"/>
      <c r="Z40" s="695"/>
      <c r="AA40" s="695"/>
      <c r="AB40" s="695"/>
      <c r="AC40" s="801"/>
    </row>
    <row r="44">
      <c r="P44" s="578"/>
      <c r="Q44" s="578"/>
    </row>
    <row r="45">
      <c r="B45" s="611" t="s">
        <v>352</v>
      </c>
      <c r="D45" s="661"/>
      <c r="E45" s="661"/>
      <c r="F45" s="661"/>
      <c r="G45" s="661"/>
      <c r="H45" s="661"/>
      <c r="I45" s="661"/>
      <c r="J45" s="661"/>
      <c r="K45" s="661"/>
      <c r="L45" s="661"/>
      <c r="M45" s="661"/>
      <c r="N45" s="661"/>
      <c r="O45" s="661"/>
      <c r="P45" s="661"/>
      <c r="Q45" s="661"/>
      <c r="R45" s="661"/>
      <c r="S45" s="661"/>
      <c r="T45" s="661"/>
      <c r="U45" s="661"/>
      <c r="V45" s="661"/>
      <c r="W45" s="661"/>
      <c r="X45" s="661"/>
      <c r="Y45" s="661"/>
      <c r="Z45" s="661"/>
      <c r="AA45" s="661"/>
      <c r="AB45" s="661"/>
      <c r="AC45" s="661"/>
    </row>
    <row r="46" ht="45.75" customHeight="1">
      <c r="B46" s="772" t="s">
        <v>477</v>
      </c>
      <c r="C46" s="772"/>
      <c r="D46" s="772"/>
      <c r="E46" s="772"/>
      <c r="F46" s="772"/>
      <c r="G46" s="772"/>
      <c r="H46" s="772"/>
      <c r="I46" s="772"/>
      <c r="J46" s="772"/>
      <c r="K46" s="772"/>
      <c r="L46" s="772"/>
      <c r="M46" s="772"/>
      <c r="N46" s="772"/>
      <c r="O46" s="772"/>
      <c r="P46" s="772"/>
      <c r="Q46" s="772"/>
      <c r="R46" s="772"/>
      <c r="S46" s="772"/>
      <c r="T46" s="772"/>
      <c r="U46" s="772"/>
      <c r="V46" s="772"/>
      <c r="W46" s="772"/>
      <c r="X46" s="772"/>
      <c r="Y46" s="772"/>
      <c r="Z46" s="772"/>
      <c r="AA46" s="772"/>
      <c r="AB46" s="772"/>
      <c r="AC46" s="772"/>
    </row>
    <row r="47" ht="14.9" customHeight="1">
      <c r="B47" s="264" t="s">
        <v>478</v>
      </c>
      <c r="C47" s="265"/>
      <c r="D47" s="591" t="s">
        <v>280</v>
      </c>
      <c r="E47" s="592"/>
      <c r="F47" s="592"/>
      <c r="G47" s="592"/>
      <c r="H47" s="592"/>
      <c r="I47" s="592"/>
      <c r="J47" s="592"/>
      <c r="K47" s="592"/>
      <c r="L47" s="592"/>
      <c r="M47" s="592"/>
      <c r="N47" s="592"/>
      <c r="O47" s="592"/>
      <c r="P47" s="592"/>
      <c r="Q47" s="592"/>
      <c r="R47" s="592"/>
      <c r="S47" s="592"/>
      <c r="T47" s="592"/>
      <c r="U47" s="592"/>
      <c r="V47" s="768"/>
      <c r="W47" s="392" t="s">
        <v>281</v>
      </c>
      <c r="X47" s="380"/>
      <c r="Y47" s="380"/>
      <c r="Z47" s="380"/>
      <c r="AA47" s="380"/>
      <c r="AB47" s="380"/>
      <c r="AC47" s="380"/>
      <c r="AD47" s="380"/>
      <c r="AE47" s="380"/>
      <c r="AF47" s="380"/>
      <c r="AG47" s="295"/>
      <c r="AH47" s="295"/>
    </row>
    <row r="48">
      <c r="B48" s="264"/>
      <c r="C48" s="265"/>
      <c r="D48" s="269" t="n">
        <v>2018</v>
      </c>
      <c r="E48" s="269" t="n">
        <v>2019</v>
      </c>
      <c r="F48" s="270"/>
      <c r="G48" s="270"/>
      <c r="H48" s="271"/>
      <c r="I48" s="269" t="n">
        <v>2020</v>
      </c>
      <c r="J48" s="270"/>
      <c r="K48" s="270"/>
      <c r="L48" s="270"/>
      <c r="M48" s="269" t="n">
        <v>2021</v>
      </c>
      <c r="N48" s="270"/>
      <c r="O48" s="270"/>
      <c r="P48" s="270"/>
      <c r="Q48" s="269" t="n">
        <v>2022</v>
      </c>
      <c r="R48" s="358"/>
      <c r="S48" s="358"/>
      <c r="T48" s="271"/>
      <c r="U48" s="343"/>
      <c r="V48" s="666" t="n">
        <v>2023</v>
      </c>
      <c r="W48" s="662"/>
      <c r="X48" s="316"/>
      <c r="Y48" s="255" t="n">
        <v>2024</v>
      </c>
      <c r="Z48" s="347"/>
      <c r="AA48" s="347"/>
      <c r="AB48" s="256"/>
      <c r="AC48" s="255" t="n">
        <v>2025</v>
      </c>
      <c r="AD48" s="347"/>
      <c r="AE48" s="347"/>
      <c r="AF48" s="256"/>
      <c r="AG48" s="255" t="n">
        <v>2026</v>
      </c>
      <c r="AH48" s="256"/>
    </row>
    <row r="49">
      <c r="B49" s="266"/>
      <c r="C49" s="267"/>
      <c r="D49" s="259" t="s">
        <v>282</v>
      </c>
      <c r="E49" s="259" t="s">
        <v>283</v>
      </c>
      <c r="F49" s="260" t="s">
        <v>284</v>
      </c>
      <c r="G49" s="260" t="s">
        <v>238</v>
      </c>
      <c r="H49" s="261" t="s">
        <v>282</v>
      </c>
      <c r="I49" s="260" t="s">
        <v>283</v>
      </c>
      <c r="J49" s="260" t="s">
        <v>284</v>
      </c>
      <c r="K49" s="260" t="s">
        <v>238</v>
      </c>
      <c r="L49" s="260" t="s">
        <v>282</v>
      </c>
      <c r="M49" s="259" t="s">
        <v>283</v>
      </c>
      <c r="N49" s="260" t="s">
        <v>284</v>
      </c>
      <c r="O49" s="260" t="s">
        <v>238</v>
      </c>
      <c r="P49" s="260" t="s">
        <v>282</v>
      </c>
      <c r="Q49" s="259" t="s">
        <v>283</v>
      </c>
      <c r="R49" s="260" t="s">
        <v>284</v>
      </c>
      <c r="S49" s="260" t="s">
        <v>238</v>
      </c>
      <c r="T49" s="261" t="s">
        <v>282</v>
      </c>
      <c r="U49" s="260" t="s">
        <v>283</v>
      </c>
      <c r="V49" s="341" t="s">
        <v>284</v>
      </c>
      <c r="W49" s="326" t="s">
        <v>238</v>
      </c>
      <c r="X49" s="327" t="s">
        <v>282</v>
      </c>
      <c r="Y49" s="325" t="s">
        <v>283</v>
      </c>
      <c r="Z49" s="323" t="s">
        <v>284</v>
      </c>
      <c r="AA49" s="326" t="s">
        <v>238</v>
      </c>
      <c r="AB49" s="326" t="s">
        <v>282</v>
      </c>
      <c r="AC49" s="325" t="s">
        <v>283</v>
      </c>
      <c r="AD49" s="323" t="s">
        <v>284</v>
      </c>
      <c r="AE49" s="326" t="s">
        <v>238</v>
      </c>
      <c r="AF49" s="326" t="s">
        <v>282</v>
      </c>
      <c r="AG49" s="325" t="s">
        <v>283</v>
      </c>
      <c r="AH49" s="327" t="s">
        <v>284</v>
      </c>
    </row>
    <row r="50">
      <c r="B50" s="657" t="s">
        <v>1434</v>
      </c>
      <c r="D50" s="309"/>
      <c r="E50" s="373"/>
      <c r="F50" s="373"/>
      <c r="G50" s="373"/>
      <c r="H50" s="373"/>
      <c r="I50" s="680" t="n">
        <f>(I51-AVERAGE($E51:$H51))</f>
        <v>6.6417500000000018</v>
      </c>
      <c r="J50" s="680" t="n">
        <f t="shared" ref="J50:N50" si="18">(J51-AVERAGE($E51:$H51))</f>
        <v>51.388749999999995</v>
      </c>
      <c r="K50" s="680" t="n">
        <f t="shared" si="18"/>
        <v>55.337750000000007</v>
      </c>
      <c r="L50" s="680" t="n">
        <f t="shared" si="18"/>
        <v>62.597749999999998</v>
      </c>
      <c r="M50" s="680" t="n">
        <f t="shared" si="18"/>
        <v>88.07774999999998</v>
      </c>
      <c r="N50" s="680" t="n">
        <f t="shared" si="18"/>
        <v>102.89075</v>
      </c>
      <c r="O50" s="680" t="n">
        <f t="shared" ref="O50:U50" si="19">(O51-AVERAGE($E51:$H51))</f>
        <v>94.404750000000007</v>
      </c>
      <c r="P50" s="680" t="n">
        <f t="shared" si="19"/>
        <v>91.919749999999993</v>
      </c>
      <c r="Q50" s="680" t="n">
        <f t="shared" si="19"/>
        <v>80.097749999999991</v>
      </c>
      <c r="R50" s="680" t="n">
        <f t="shared" si="19"/>
        <v>69.023750000000007</v>
      </c>
      <c r="S50" s="681" t="n">
        <f t="shared" si="19"/>
        <v>61.349750000000007</v>
      </c>
      <c r="T50" s="668" t="n">
        <f t="shared" si="19"/>
        <v>81.433750000000003</v>
      </c>
      <c r="U50" s="681" t="n">
        <f t="shared" si="19"/>
        <v>75.465749999999986</v>
      </c>
      <c r="V50" s="681" t="n">
        <f>(V51-AVERAGE($E51:$H51))</f>
        <v>48.418749999999996</v>
      </c>
      <c r="W50" s="681" t="n">
        <f>(W51-AVERAGE($E51:$H51))</f>
        <v>48.349750000000007</v>
      </c>
      <c r="X50" s="681" t="n">
        <f>(X51-AVERAGE($E51:$H51))</f>
        <v>37.400749999999995</v>
      </c>
      <c r="Y50" s="681" t="n">
        <f>(Y51-AVERAGE($E51:$H51))</f>
        <v>38.275749999999995</v>
      </c>
      <c r="Z50" s="681" t="n">
        <f>(Z51-AVERAGE($E51:$H51))</f>
        <v>41.822750000000006</v>
      </c>
      <c r="AA50" s="838" t="n">
        <f t="shared" ref="AA50:AC50" si="20">Z50</f>
        <v>41.822750000000006</v>
      </c>
      <c r="AB50" s="838" t="n">
        <f t="shared" si="20"/>
        <v>41.822750000000006</v>
      </c>
      <c r="AC50" s="799" t="n">
        <f t="shared" si="20"/>
        <v>41.822750000000006</v>
      </c>
      <c r="AD50" s="838" t="n">
        <f t="shared" ref="AD50" si="21">AC50</f>
        <v>41.822750000000006</v>
      </c>
      <c r="AE50" s="838" t="n">
        <f t="shared" ref="AE50" si="22">AD50</f>
        <v>41.822750000000006</v>
      </c>
      <c r="AF50" s="838" t="n">
        <f t="shared" ref="AF50" si="23">AE50</f>
        <v>41.822750000000006</v>
      </c>
      <c r="AG50" s="791" t="n">
        <f t="shared" ref="AG50" si="24">AF50</f>
        <v>41.822750000000006</v>
      </c>
      <c r="AH50" s="791" t="n">
        <f>AG50</f>
        <v>41.822750000000006</v>
      </c>
    </row>
    <row r="51">
      <c r="B51" s="657" t="s">
        <v>160</v>
      </c>
      <c r="C51" s="297" t="s">
        <v>479</v>
      </c>
      <c r="D51" s="330" t="n">
        <f>'Haver Pivoted'!GO66</f>
        <v>57.017000000000003</v>
      </c>
      <c r="E51" s="291" t="n">
        <f>'Haver Pivoted'!GP66</f>
        <v>55.847999999999999</v>
      </c>
      <c r="F51" s="291" t="n">
        <f>'Haver Pivoted'!GQ66</f>
        <v>54.531999999999996</v>
      </c>
      <c r="G51" s="291" t="n">
        <f>'Haver Pivoted'!GR66</f>
        <v>54.451999999999998</v>
      </c>
      <c r="H51" s="291" t="n">
        <f>'Haver Pivoted'!GS66</f>
        <v>54.012999999999998</v>
      </c>
      <c r="I51" s="291" t="n">
        <f>'Haver Pivoted'!GT66</f>
        <v>61.353000000000002</v>
      </c>
      <c r="J51" s="291" t="n">
        <f>'Haver Pivoted'!GU66</f>
        <v>106.1</v>
      </c>
      <c r="K51" s="291" t="n">
        <f>'Haver Pivoted'!GV66</f>
        <v>110.04900000000001</v>
      </c>
      <c r="L51" s="291" t="n">
        <f>'Haver Pivoted'!GW66</f>
        <v>117.309</v>
      </c>
      <c r="M51" s="291" t="n">
        <f>'Haver Pivoted'!GX66</f>
        <v>142.78899999999999</v>
      </c>
      <c r="N51" s="291" t="n">
        <f>'Haver Pivoted'!GY66</f>
        <v>157.602</v>
      </c>
      <c r="O51" s="291" t="n">
        <f>'Haver Pivoted'!GZ66</f>
        <v>149.11600000000001</v>
      </c>
      <c r="P51" s="291" t="n">
        <f>'Haver Pivoted'!HA66</f>
        <v>146.631</v>
      </c>
      <c r="Q51" s="291" t="n">
        <f>'Haver Pivoted'!HB66</f>
        <v>134.809</v>
      </c>
      <c r="R51" s="291" t="n">
        <f>'Haver Pivoted'!HC66</f>
        <v>123.735</v>
      </c>
      <c r="S51" s="260" t="n">
        <f>'Haver Pivoted'!HD66</f>
        <v>116.06100000000001</v>
      </c>
      <c r="T51" s="260" t="n">
        <f>'Haver Pivoted'!HE66</f>
        <v>136.14500000000001</v>
      </c>
      <c r="U51" s="260" t="n">
        <f>'Haver Pivoted'!HF66</f>
        <v>130.17699999999999</v>
      </c>
      <c r="V51" s="260" t="n">
        <f>'Haver Pivoted'!HG66</f>
        <v>103.13</v>
      </c>
      <c r="W51" s="260" t="n">
        <f>'Haver Pivoted'!HH66</f>
        <v>103.06100000000001</v>
      </c>
      <c r="X51" s="260" t="n">
        <f>'Haver Pivoted'!HI66</f>
        <v>92.111999999999995</v>
      </c>
      <c r="Y51" s="260" t="n">
        <f>'Haver Pivoted'!HJ66</f>
        <v>92.986999999999995</v>
      </c>
      <c r="Z51" s="260" t="n">
        <f>'Haver Pivoted'!HK66</f>
        <v>96.534000000000006</v>
      </c>
      <c r="AA51" s="406"/>
      <c r="AB51" s="406"/>
      <c r="AC51" s="406"/>
      <c r="AD51" s="602"/>
      <c r="AE51" s="602"/>
      <c r="AF51" s="602"/>
      <c r="AG51" s="602"/>
      <c r="AH51" s="602"/>
    </row>
    <row r="52" ht="29.15" customHeight="1">
      <c r="B52" s="436" t="s">
        <v>480</v>
      </c>
      <c r="C52" s="437"/>
      <c r="D52" s="833"/>
      <c r="E52" s="671"/>
      <c r="F52" s="671"/>
      <c r="G52" s="671"/>
      <c r="H52" s="671"/>
      <c r="I52" s="671"/>
      <c r="J52" s="671" t="n">
        <f t="shared" ref="J52:W52" si="25">J51-$H51</f>
        <v>52.086999999999996</v>
      </c>
      <c r="K52" s="671" t="n">
        <f t="shared" si="25"/>
        <v>56.036000000000008</v>
      </c>
      <c r="L52" s="671" t="n">
        <f t="shared" si="25"/>
        <v>63.295999999999999</v>
      </c>
      <c r="M52" s="671" t="n">
        <f t="shared" si="25"/>
        <v>88.775999999999982</v>
      </c>
      <c r="N52" s="671" t="n">
        <f>N51-$H51</f>
        <v>103.589</v>
      </c>
      <c r="O52" s="671" t="n">
        <f>O51-$H51</f>
        <v>95.103000000000009</v>
      </c>
      <c r="P52" s="671" t="n">
        <f t="shared" si="25"/>
        <v>92.617999999999995</v>
      </c>
      <c r="Q52" s="671" t="n">
        <f t="shared" si="25"/>
        <v>80.795999999999992</v>
      </c>
      <c r="R52" s="671" t="n">
        <f t="shared" si="25"/>
        <v>69.722000000000008</v>
      </c>
      <c r="S52" s="341" t="n">
        <f t="shared" si="25"/>
        <v>62.048000000000009</v>
      </c>
      <c r="T52" s="341" t="n">
        <f t="shared" si="25"/>
        <v>82.132000000000005</v>
      </c>
      <c r="U52" s="341" t="n">
        <f t="shared" si="25"/>
        <v>76.163999999999987</v>
      </c>
      <c r="V52" s="341" t="n">
        <f t="shared" si="25"/>
        <v>49.116999999999997</v>
      </c>
      <c r="W52" s="341" t="n">
        <f t="shared" si="25"/>
        <v>49.048000000000009</v>
      </c>
      <c r="X52" s="341" t="n">
        <f t="shared" ref="X52:Y52" si="26">X51-$H51</f>
        <v>38.098999999999997</v>
      </c>
      <c r="Y52" s="341" t="n">
        <f t="shared" si="26"/>
        <v>38.973999999999997</v>
      </c>
      <c r="Z52" s="341" t="n">
        <f t="shared" ref="Z52" si="27">Z51-$H51</f>
        <v>42.521000000000008</v>
      </c>
      <c r="AA52" s="326"/>
      <c r="AB52" s="326"/>
      <c r="AC52" s="326"/>
      <c r="AD52" s="602"/>
      <c r="AE52" s="602"/>
      <c r="AF52" s="602"/>
      <c r="AG52" s="602"/>
      <c r="AH52" s="602"/>
    </row>
    <row r="53" ht="29.15" customHeight="1">
      <c r="B53" s="297"/>
      <c r="C53" s="297"/>
      <c r="D53" s="291"/>
      <c r="E53" s="291"/>
      <c r="F53" s="291"/>
      <c r="G53" s="291"/>
      <c r="H53" s="291"/>
      <c r="I53" s="291"/>
      <c r="J53" s="291"/>
      <c r="K53" s="291"/>
      <c r="L53" s="291"/>
      <c r="M53" s="291"/>
      <c r="N53" s="291"/>
      <c r="O53" s="291"/>
      <c r="P53" s="291"/>
      <c r="Q53" s="291"/>
      <c r="R53" s="291"/>
      <c r="S53" s="291"/>
      <c r="T53" s="291"/>
      <c r="U53" s="291"/>
      <c r="V53" s="291"/>
      <c r="W53" s="291"/>
      <c r="X53" s="291"/>
      <c r="Y53" s="291"/>
      <c r="Z53" s="291"/>
      <c r="AA53" s="291"/>
      <c r="AB53" s="291"/>
      <c r="AC53" s="291"/>
    </row>
    <row r="54" ht="29.15" customHeight="1">
      <c r="B54" s="297"/>
      <c r="C54" s="297"/>
      <c r="D54" s="291"/>
      <c r="E54" s="291"/>
      <c r="F54" s="291"/>
      <c r="G54" s="291"/>
      <c r="H54" s="291"/>
      <c r="I54" s="291"/>
      <c r="J54" s="291"/>
      <c r="K54" s="291"/>
      <c r="L54" s="291"/>
      <c r="M54" s="291"/>
      <c r="N54" s="291"/>
      <c r="O54" s="291"/>
      <c r="P54" s="291"/>
      <c r="Q54" s="291"/>
      <c r="R54" s="291"/>
      <c r="S54" s="291"/>
      <c r="T54" s="291"/>
      <c r="U54" s="291"/>
      <c r="V54" s="291"/>
      <c r="W54" s="291"/>
      <c r="X54" s="291"/>
      <c r="Y54" s="291"/>
      <c r="Z54" s="291"/>
      <c r="AA54" s="291"/>
      <c r="AB54" s="291"/>
      <c r="AC54" s="291"/>
    </row>
    <row r="55" ht="29.15" customHeight="1">
      <c r="B55" s="297"/>
      <c r="C55" s="297"/>
      <c r="D55" s="291"/>
      <c r="E55" s="291"/>
      <c r="F55" s="291"/>
      <c r="G55" s="291"/>
      <c r="H55" s="291"/>
      <c r="I55" s="291"/>
      <c r="J55" s="291"/>
      <c r="K55" s="291"/>
      <c r="L55" s="291"/>
      <c r="M55" s="291"/>
      <c r="N55" s="291"/>
      <c r="O55" s="291"/>
      <c r="P55" s="291"/>
      <c r="Q55" s="291"/>
      <c r="R55" s="291"/>
      <c r="S55" s="291"/>
      <c r="T55" s="291"/>
      <c r="U55" s="291"/>
      <c r="V55" s="291"/>
      <c r="W55" s="291"/>
      <c r="X55" s="291"/>
      <c r="Y55" s="291"/>
      <c r="Z55" s="291"/>
      <c r="AA55" s="291"/>
      <c r="AB55" s="291"/>
      <c r="AC55" s="291"/>
    </row>
    <row r="56" ht="35.9" customHeight="1"/>
    <row r="57">
      <c r="B57" s="611" t="s">
        <v>365</v>
      </c>
    </row>
    <row r="58">
      <c r="B58" s="773" t="s">
        <v>804</v>
      </c>
      <c r="C58" s="774"/>
      <c r="D58" s="266" t="s">
        <v>280</v>
      </c>
      <c r="E58" s="277"/>
      <c r="F58" s="277"/>
      <c r="G58" s="277"/>
      <c r="H58" s="277"/>
      <c r="I58" s="277"/>
      <c r="J58" s="277"/>
      <c r="K58" s="277"/>
      <c r="L58" s="277"/>
      <c r="M58" s="277"/>
      <c r="N58" s="277"/>
      <c r="O58" s="277"/>
      <c r="P58" s="277"/>
      <c r="Q58" s="277"/>
      <c r="R58" s="277"/>
      <c r="S58" s="277"/>
      <c r="T58" s="277"/>
      <c r="U58" s="277"/>
      <c r="V58" s="267"/>
      <c r="W58" s="392" t="s">
        <v>281</v>
      </c>
      <c r="X58" s="380"/>
      <c r="Y58" s="380"/>
      <c r="Z58" s="380"/>
      <c r="AA58" s="380"/>
      <c r="AB58" s="380"/>
      <c r="AC58" s="380"/>
      <c r="AD58" s="380"/>
      <c r="AE58" s="380"/>
      <c r="AF58" s="380"/>
      <c r="AG58" s="295"/>
      <c r="AH58" s="295"/>
    </row>
    <row r="59">
      <c r="B59" s="775"/>
      <c r="C59" s="776"/>
      <c r="D59" s="269" t="n">
        <v>2018</v>
      </c>
      <c r="E59" s="269" t="n">
        <v>2019</v>
      </c>
      <c r="F59" s="270"/>
      <c r="G59" s="270"/>
      <c r="H59" s="271"/>
      <c r="I59" s="269" t="n">
        <v>2020</v>
      </c>
      <c r="J59" s="270"/>
      <c r="K59" s="270"/>
      <c r="L59" s="270"/>
      <c r="M59" s="269" t="n">
        <v>2021</v>
      </c>
      <c r="N59" s="270"/>
      <c r="O59" s="270"/>
      <c r="P59" s="270"/>
      <c r="Q59" s="269" t="n">
        <v>2022</v>
      </c>
      <c r="R59" s="358"/>
      <c r="S59" s="358"/>
      <c r="T59" s="271"/>
      <c r="U59" s="343"/>
      <c r="V59" s="666" t="n">
        <v>2023</v>
      </c>
      <c r="W59" s="662"/>
      <c r="X59" s="316"/>
      <c r="Y59" s="255" t="n">
        <v>2024</v>
      </c>
      <c r="Z59" s="347"/>
      <c r="AA59" s="347"/>
      <c r="AB59" s="256"/>
      <c r="AC59" s="255" t="n">
        <v>2025</v>
      </c>
      <c r="AD59" s="347"/>
      <c r="AE59" s="347"/>
      <c r="AF59" s="256"/>
      <c r="AG59" s="255" t="n">
        <v>2026</v>
      </c>
      <c r="AH59" s="256"/>
    </row>
    <row r="60">
      <c r="B60" s="775"/>
      <c r="C60" s="776"/>
      <c r="D60" s="259" t="s">
        <v>282</v>
      </c>
      <c r="E60" s="259" t="s">
        <v>283</v>
      </c>
      <c r="F60" s="260" t="s">
        <v>284</v>
      </c>
      <c r="G60" s="260" t="s">
        <v>238</v>
      </c>
      <c r="H60" s="261" t="s">
        <v>282</v>
      </c>
      <c r="I60" s="260" t="s">
        <v>283</v>
      </c>
      <c r="J60" s="260" t="s">
        <v>284</v>
      </c>
      <c r="K60" s="260" t="s">
        <v>238</v>
      </c>
      <c r="L60" s="260" t="s">
        <v>282</v>
      </c>
      <c r="M60" s="259" t="s">
        <v>283</v>
      </c>
      <c r="N60" s="260" t="s">
        <v>284</v>
      </c>
      <c r="O60" s="260" t="s">
        <v>238</v>
      </c>
      <c r="P60" s="260" t="s">
        <v>282</v>
      </c>
      <c r="Q60" s="259" t="s">
        <v>283</v>
      </c>
      <c r="R60" s="260" t="s">
        <v>284</v>
      </c>
      <c r="S60" s="260" t="s">
        <v>238</v>
      </c>
      <c r="T60" s="261" t="s">
        <v>282</v>
      </c>
      <c r="U60" s="260" t="s">
        <v>283</v>
      </c>
      <c r="V60" s="341" t="s">
        <v>284</v>
      </c>
      <c r="W60" s="326" t="s">
        <v>238</v>
      </c>
      <c r="X60" s="327" t="s">
        <v>282</v>
      </c>
      <c r="Y60" s="325" t="s">
        <v>283</v>
      </c>
      <c r="Z60" s="323" t="s">
        <v>284</v>
      </c>
      <c r="AA60" s="326" t="s">
        <v>238</v>
      </c>
      <c r="AB60" s="326" t="s">
        <v>282</v>
      </c>
      <c r="AC60" s="325" t="s">
        <v>283</v>
      </c>
      <c r="AD60" s="323" t="s">
        <v>284</v>
      </c>
      <c r="AE60" s="326" t="s">
        <v>238</v>
      </c>
      <c r="AF60" s="326" t="s">
        <v>282</v>
      </c>
      <c r="AG60" s="325" t="s">
        <v>283</v>
      </c>
      <c r="AH60" s="327" t="s">
        <v>284</v>
      </c>
    </row>
    <row r="61" ht="25.75" customHeight="1">
      <c r="B61" s="790" t="s">
        <v>467</v>
      </c>
      <c r="C61" s="536" t="s">
        <v>468</v>
      </c>
      <c r="D61" s="445" t="n">
        <f>'Haver Pivoted'!GO31</f>
        <v>2223</v>
      </c>
      <c r="E61" s="446" t="n">
        <f>'Haver Pivoted'!GP31</f>
        <v>2303.6</v>
      </c>
      <c r="F61" s="446" t="n">
        <f>'Haver Pivoted'!GQ31</f>
        <v>2320.1</v>
      </c>
      <c r="G61" s="446" t="n">
        <f>'Haver Pivoted'!GR31</f>
        <v>2332.9</v>
      </c>
      <c r="H61" s="446" t="n">
        <f>'Haver Pivoted'!GS31</f>
        <v>2346.6</v>
      </c>
      <c r="I61" s="446" t="n">
        <f>'Haver Pivoted'!GT31</f>
        <v>2412.6</v>
      </c>
      <c r="J61" s="446" t="n">
        <f>'Haver Pivoted'!GU31</f>
        <v>4652.1000000000004</v>
      </c>
      <c r="K61" s="446" t="n">
        <f>'Haver Pivoted'!GV31</f>
        <v>3508</v>
      </c>
      <c r="L61" s="446" t="n">
        <f>'Haver Pivoted'!GW31</f>
        <v>2895.4</v>
      </c>
      <c r="M61" s="446" t="n">
        <f>'Haver Pivoted'!GX31</f>
        <v>5127.3999999999996</v>
      </c>
      <c r="N61" s="446" t="n">
        <f>'Haver Pivoted'!GY31</f>
        <v>3403.8</v>
      </c>
      <c r="O61" s="446" t="n">
        <f>'Haver Pivoted'!GZ31</f>
        <v>3135</v>
      </c>
      <c r="P61" s="446" t="n">
        <f>'Haver Pivoted'!HA31</f>
        <v>2947.7</v>
      </c>
      <c r="Q61" s="446" t="n">
        <f>'Haver Pivoted'!HB31</f>
        <v>2903.2</v>
      </c>
      <c r="R61" s="446" t="n">
        <f>'Haver Pivoted'!HC31</f>
        <v>2895.2</v>
      </c>
      <c r="S61" s="447" t="n">
        <f>'Haver Pivoted'!HD31</f>
        <v>2867.4</v>
      </c>
      <c r="T61" s="800" t="n">
        <f>'Haver Pivoted'!HE31</f>
        <v>2896.7</v>
      </c>
      <c r="U61" s="447" t="n">
        <f>'Haver Pivoted'!HF31</f>
        <v>2945.8</v>
      </c>
      <c r="V61" s="447" t="n">
        <f>'Haver Pivoted'!HG31</f>
        <v>2929.7</v>
      </c>
      <c r="W61" s="447" t="n">
        <f>'Haver Pivoted'!HH31</f>
        <v>2930.1</v>
      </c>
      <c r="X61" s="447" t="n">
        <f>'Haver Pivoted'!HI31</f>
        <v>2934</v>
      </c>
      <c r="Y61" s="447" t="n">
        <f>'Haver Pivoted'!HJ31</f>
        <v>3040.2</v>
      </c>
      <c r="Z61" s="447" t="n">
        <f>'Haver Pivoted'!HK31</f>
        <v>3081</v>
      </c>
      <c r="AA61" s="810"/>
      <c r="AB61" s="810"/>
      <c r="AC61" s="852"/>
      <c r="AD61" s="852"/>
      <c r="AE61" s="852"/>
      <c r="AF61" s="852"/>
      <c r="AG61" s="602"/>
      <c r="AH61" s="602"/>
    </row>
    <row r="62" ht="25.75" customHeight="1">
      <c r="B62" s="573" t="s">
        <v>1850</v>
      </c>
      <c r="C62" s="297"/>
      <c r="D62" s="828" t="n">
        <f>D63+D64</f>
        <v>812.1</v>
      </c>
      <c r="E62" s="530" t="n">
        <f>E63+E64</f>
        <v>832.4</v>
      </c>
      <c r="F62" s="530" t="n">
        <f>F63+F64</f>
        <v>843</v>
      </c>
      <c r="G62" s="530" t="n">
        <f t="shared" ref="G62:N62" si="28">G63+G64</f>
        <v>848.9</v>
      </c>
      <c r="H62" s="530" t="n">
        <f t="shared" si="28"/>
        <v>854.6</v>
      </c>
      <c r="I62" s="530" t="n">
        <f t="shared" si="28"/>
        <v>875.94174999999996</v>
      </c>
      <c r="J62" s="530" t="n">
        <f t="shared" si="28"/>
        <v>3140.0887499999999</v>
      </c>
      <c r="K62" s="530" t="n">
        <f t="shared" si="28"/>
        <v>1866.1377500000001</v>
      </c>
      <c r="L62" s="530" t="n">
        <f t="shared" si="28"/>
        <v>1314.69775</v>
      </c>
      <c r="M62" s="530" t="n">
        <f t="shared" si="28"/>
        <v>3522.1777499999998</v>
      </c>
      <c r="N62" s="530" t="n">
        <f t="shared" si="28"/>
        <v>1820.5125900000003</v>
      </c>
      <c r="O62" s="530" t="n">
        <f>O63+O64</f>
        <v>1547.208243333333</v>
      </c>
      <c r="P62" s="530" t="n">
        <f t="shared" ref="P62" si="29">P63+P64</f>
        <v>1369.7290833333329</v>
      </c>
      <c r="Q62" s="530" t="n">
        <f t="shared" ref="Q62" si="30">Q63+Q64</f>
        <v>1218.1737499999999</v>
      </c>
      <c r="R62" s="530" t="n">
        <f t="shared" ref="R62" si="31">R63+R64</f>
        <v>1201.89975</v>
      </c>
      <c r="S62" s="795" t="n">
        <f>S63+S64</f>
        <v>1182.4037500000002</v>
      </c>
      <c r="T62" s="795" t="n">
        <f t="shared" ref="T62" si="32">T63+T64</f>
        <v>1190.2397500000002</v>
      </c>
      <c r="U62" s="795" t="n">
        <f t="shared" ref="U62" si="33">U63+U64</f>
        <v>1104.87175</v>
      </c>
      <c r="V62" s="795" t="n">
        <f>V63+V64</f>
        <v>1082.2533214285713</v>
      </c>
      <c r="W62" s="795" t="n">
        <f>W63+W64</f>
        <v>1086.5843214285715</v>
      </c>
      <c r="X62" s="795" t="n">
        <f>X63+X64</f>
        <v>1066.5407499999999</v>
      </c>
      <c r="Y62" s="795" t="n">
        <f>Y63+Y64</f>
        <v>1081.4157499999999</v>
      </c>
      <c r="Z62" s="795" t="n">
        <f>Z63+Z64</f>
        <v>1102.86275</v>
      </c>
      <c r="AA62" s="777"/>
      <c r="AB62" s="777"/>
      <c r="AC62" s="777"/>
      <c r="AD62" s="777"/>
      <c r="AE62" s="777"/>
      <c r="AF62" s="777"/>
      <c r="AG62" s="602"/>
      <c r="AH62" s="602"/>
    </row>
    <row r="63" ht="25.75" customHeight="1">
      <c r="B63" s="502" t="s">
        <v>1848</v>
      </c>
      <c r="C63" s="297"/>
      <c r="D63" s="828" t="n">
        <f t="shared" ref="D63:Y63" si="34">D14+D17+D27</f>
        <v>812.1</v>
      </c>
      <c r="E63" s="828" t="n">
        <f t="shared" si="34"/>
        <v>832.4</v>
      </c>
      <c r="F63" s="530" t="n">
        <f t="shared" si="34"/>
        <v>843</v>
      </c>
      <c r="G63" s="530" t="n">
        <f t="shared" si="34"/>
        <v>848.9</v>
      </c>
      <c r="H63" s="530" t="n">
        <f t="shared" si="34"/>
        <v>854.6</v>
      </c>
      <c r="I63" s="530" t="n">
        <f t="shared" si="34"/>
        <v>869.3</v>
      </c>
      <c r="J63" s="530" t="n">
        <f t="shared" si="34"/>
        <v>1792.5</v>
      </c>
      <c r="K63" s="530" t="n">
        <f t="shared" si="34"/>
        <v>1655.6000000000001</v>
      </c>
      <c r="L63" s="530" t="n">
        <f t="shared" si="34"/>
        <v>1188.2</v>
      </c>
      <c r="M63" s="530" t="n">
        <f t="shared" si="34"/>
        <v>1467.3000000000002</v>
      </c>
      <c r="N63" s="530" t="n">
        <f t="shared" si="34"/>
        <v>1351.8000000000002</v>
      </c>
      <c r="O63" s="530" t="n">
        <f t="shared" si="34"/>
        <v>1328.333333333333</v>
      </c>
      <c r="P63" s="530" t="n">
        <f t="shared" si="34"/>
        <v>1157.333333333333</v>
      </c>
      <c r="Q63" s="530" t="n">
        <f t="shared" si="34"/>
        <v>1038.7</v>
      </c>
      <c r="R63" s="530" t="n">
        <f t="shared" si="34"/>
        <v>1040.4000000000001</v>
      </c>
      <c r="S63" s="795" t="n">
        <f t="shared" si="34"/>
        <v>1041.1000000000001</v>
      </c>
      <c r="T63" s="795" t="n">
        <f t="shared" si="34"/>
        <v>1050.6000000000001</v>
      </c>
      <c r="U63" s="795" t="n">
        <f t="shared" si="34"/>
        <v>994.1</v>
      </c>
      <c r="V63" s="795" t="n">
        <f t="shared" si="34"/>
        <v>998.52857142857135</v>
      </c>
      <c r="W63" s="795" t="n">
        <f t="shared" si="34"/>
        <v>1002.9285714285713</v>
      </c>
      <c r="X63" s="795" t="n">
        <f t="shared" si="34"/>
        <v>1008</v>
      </c>
      <c r="Y63" s="795" t="n">
        <f t="shared" si="34"/>
        <v>1022</v>
      </c>
      <c r="Z63" s="795" t="n">
        <f t="shared" ref="Z63" si="35">Z14+Z17+Z27</f>
        <v>1039.9000000000001</v>
      </c>
      <c r="AA63" s="777"/>
      <c r="AB63" s="777"/>
      <c r="AC63" s="777"/>
      <c r="AD63" s="777"/>
      <c r="AE63" s="777"/>
      <c r="AF63" s="777"/>
      <c r="AG63" s="777"/>
      <c r="AH63" s="777"/>
    </row>
    <row r="64" ht="36" customHeight="1">
      <c r="B64" s="502" t="s">
        <v>1849</v>
      </c>
      <c r="C64" s="297"/>
      <c r="D64" s="530" t="n">
        <f t="shared" ref="D64:AF64" si="36">D18+D21+D24+D25+D26+D28+D32</f>
        <v>0</v>
      </c>
      <c r="E64" s="530" t="n">
        <f t="shared" si="36"/>
        <v>0</v>
      </c>
      <c r="F64" s="530" t="n">
        <f t="shared" si="36"/>
        <v>0</v>
      </c>
      <c r="G64" s="530" t="n">
        <f t="shared" si="36"/>
        <v>0</v>
      </c>
      <c r="H64" s="530" t="n">
        <f t="shared" si="36"/>
        <v>0</v>
      </c>
      <c r="I64" s="530" t="n">
        <f t="shared" si="36"/>
        <v>6.6417500000000018</v>
      </c>
      <c r="J64" s="530" t="n">
        <f t="shared" si="36"/>
        <v>1347.5887500000001</v>
      </c>
      <c r="K64" s="530" t="n">
        <f t="shared" si="36"/>
        <v>210.53775000000002</v>
      </c>
      <c r="L64" s="530" t="n">
        <f t="shared" si="36"/>
        <v>126.49775</v>
      </c>
      <c r="M64" s="530" t="n">
        <f t="shared" si="36"/>
        <v>2054.8777499999997</v>
      </c>
      <c r="N64" s="530" t="n">
        <f t="shared" si="36"/>
        <v>468.71259000000009</v>
      </c>
      <c r="O64" s="530" t="n">
        <f t="shared" si="36"/>
        <v>218.87491000000009</v>
      </c>
      <c r="P64" s="530" t="n">
        <f t="shared" si="36"/>
        <v>212.39574999999999</v>
      </c>
      <c r="Q64" s="530" t="n">
        <f t="shared" si="36"/>
        <v>179.47375</v>
      </c>
      <c r="R64" s="530" t="n">
        <f t="shared" si="36"/>
        <v>161.49975000000001</v>
      </c>
      <c r="S64" s="530" t="n">
        <f t="shared" si="36"/>
        <v>141.30375000000001</v>
      </c>
      <c r="T64" s="530" t="n">
        <f t="shared" si="36"/>
        <v>139.63974999999999</v>
      </c>
      <c r="U64" s="530" t="n">
        <f t="shared" si="36"/>
        <v>110.77174999999998</v>
      </c>
      <c r="V64" s="530" t="n">
        <f t="shared" si="36"/>
        <v>83.72475</v>
      </c>
      <c r="W64" s="530" t="n">
        <f t="shared" si="36"/>
        <v>83.655750000000012</v>
      </c>
      <c r="X64" s="777" t="n">
        <f t="shared" si="36"/>
        <v>58.540749999999996</v>
      </c>
      <c r="Y64" s="777" t="n">
        <f t="shared" si="36"/>
        <v>59.415749999999996</v>
      </c>
      <c r="Z64" s="777" t="n">
        <f t="shared" si="36"/>
        <v>62.962750000000007</v>
      </c>
      <c r="AA64" s="777" t="n">
        <f t="shared" si="36"/>
        <v>62.962750000000007</v>
      </c>
      <c r="AB64" s="777" t="n">
        <f t="shared" si="36"/>
        <v>62.791750000000008</v>
      </c>
      <c r="AC64" s="777" t="n">
        <f t="shared" si="36"/>
        <v>62.791750000000008</v>
      </c>
      <c r="AD64" s="777" t="n">
        <f t="shared" si="36"/>
        <v>62.791750000000008</v>
      </c>
      <c r="AE64" s="777" t="n">
        <f t="shared" si="36"/>
        <v>62.791750000000008</v>
      </c>
      <c r="AF64" s="777" t="n">
        <f t="shared" si="36"/>
        <v>44.711750000000009</v>
      </c>
      <c r="AG64" s="777" t="n">
        <f>AG18+AG21+AG24+AG25+AG26+AG28+AG32</f>
        <v>42.550750000000008</v>
      </c>
      <c r="AH64" s="777"/>
    </row>
    <row r="65" ht="25.75" customHeight="1">
      <c r="B65" s="573" t="s">
        <v>801</v>
      </c>
      <c r="C65" s="297"/>
      <c r="D65" s="795" t="n">
        <f t="shared" ref="D65:U65" si="37">D61-D62</f>
        <v>1410.9</v>
      </c>
      <c r="E65" s="795" t="n">
        <f t="shared" si="37"/>
        <v>1471.1999999999998</v>
      </c>
      <c r="F65" s="795" t="n">
        <f t="shared" si="37"/>
        <v>1477.1</v>
      </c>
      <c r="G65" s="795" t="n">
        <f t="shared" si="37"/>
        <v>1484</v>
      </c>
      <c r="H65" s="795" t="n">
        <f t="shared" si="37"/>
        <v>1492</v>
      </c>
      <c r="I65" s="795" t="n">
        <f t="shared" si="37"/>
        <v>1536.65825</v>
      </c>
      <c r="J65" s="795" t="n">
        <f t="shared" si="37"/>
        <v>1512.0112500000005</v>
      </c>
      <c r="K65" s="795" t="n">
        <f t="shared" si="37"/>
        <v>1641.8622499999999</v>
      </c>
      <c r="L65" s="795" t="n">
        <f t="shared" si="37"/>
        <v>1580.70225</v>
      </c>
      <c r="M65" s="795" t="n">
        <f t="shared" si="37"/>
        <v>1605.2222499999998</v>
      </c>
      <c r="N65" s="795" t="n">
        <f t="shared" si="37"/>
        <v>1583.2874099999999</v>
      </c>
      <c r="O65" s="795" t="n">
        <f t="shared" si="37"/>
        <v>1587.791756666667</v>
      </c>
      <c r="P65" s="795" t="n">
        <f t="shared" si="37"/>
        <v>1577.9709166666669</v>
      </c>
      <c r="Q65" s="795" t="n">
        <f t="shared" si="37"/>
        <v>1685.0262499999999</v>
      </c>
      <c r="R65" s="795" t="n">
        <f t="shared" si="37"/>
        <v>1693.3002499999998</v>
      </c>
      <c r="S65" s="795" t="n">
        <f t="shared" si="37"/>
        <v>1684.9962499999999</v>
      </c>
      <c r="T65" s="795" t="n">
        <f t="shared" si="37"/>
        <v>1706.4602499999996</v>
      </c>
      <c r="U65" s="795" t="n">
        <f t="shared" si="37"/>
        <v>1840.9282500000002</v>
      </c>
      <c r="V65" s="795" t="n">
        <f>V61-V62</f>
        <v>1847.4466785714285</v>
      </c>
      <c r="W65" s="795" t="n">
        <f>W61-W62</f>
        <v>1843.5156785714285</v>
      </c>
      <c r="X65" s="795" t="n">
        <f>X61-X62</f>
        <v>1867.4592500000001</v>
      </c>
      <c r="Y65" s="795" t="n">
        <f>Y61-Y62</f>
        <v>1958.7842499999999</v>
      </c>
      <c r="Z65" s="795" t="n">
        <f>Z61-Z62</f>
        <v>1978.13725</v>
      </c>
      <c r="AA65" s="777"/>
      <c r="AB65" s="777"/>
      <c r="AC65" s="777"/>
      <c r="AD65" s="777"/>
      <c r="AE65" s="777"/>
      <c r="AF65" s="777"/>
      <c r="AG65" s="602"/>
      <c r="AH65" s="602"/>
    </row>
    <row r="66" ht="20.5" customHeight="1">
      <c r="B66" s="811" t="s">
        <v>802</v>
      </c>
      <c r="C66" s="812"/>
      <c r="D66" s="818" t="n">
        <f t="shared" ref="D66:I66" si="38">D12-D14-D17-D27</f>
        <v>1410.9</v>
      </c>
      <c r="E66" s="782" t="n">
        <f t="shared" si="38"/>
        <v>1471.1999999999998</v>
      </c>
      <c r="F66" s="782" t="n">
        <f t="shared" si="38"/>
        <v>1477.1000000000001</v>
      </c>
      <c r="G66" s="782" t="n">
        <f t="shared" si="38"/>
        <v>1484</v>
      </c>
      <c r="H66" s="782" t="n">
        <f t="shared" si="38"/>
        <v>1492</v>
      </c>
      <c r="I66" s="782" t="n">
        <f t="shared" si="38"/>
        <v>1543.2999999999997</v>
      </c>
      <c r="J66" s="819" t="n">
        <f>I66+($H$66-$E$66)/3</f>
        <v>1550.2333333333331</v>
      </c>
      <c r="K66" s="819" t="n">
        <f>J66+($H$66-$E$66)/3</f>
        <v>1557.1666666666665</v>
      </c>
      <c r="L66" s="819" t="n">
        <f>K66+($H$66-$E$66)/3</f>
        <v>1564.1</v>
      </c>
      <c r="M66" s="820" t="n">
        <f>L66+($H$66-$E$66)/3 +(M70-L70)</f>
        <v>1588.5533333333333</v>
      </c>
      <c r="N66" s="819" t="n">
        <f>M66+($H$66-$E$66)/3</f>
        <v>1595.4866666666667</v>
      </c>
      <c r="O66" s="819" t="n">
        <f>N66+($H$66-$E$66)/3</f>
        <v>1602.42</v>
      </c>
      <c r="P66" s="819" t="n">
        <f>O66+($H$66-$E$66)/3</f>
        <v>1609.3533333333335</v>
      </c>
      <c r="Q66" s="820" t="n">
        <f>P66+($H$66-$E$66)/3 + 0.06*Q70</f>
        <v>1688.207466666667</v>
      </c>
      <c r="R66" s="819" t="n">
        <f>Q66+($H$66-$E$66)/3</f>
        <v>1695.1408000000004</v>
      </c>
      <c r="S66" s="819" t="n">
        <f>R66+($H$66-$E$66)/3</f>
        <v>1702.0741333333337</v>
      </c>
      <c r="T66" s="819" t="n">
        <f>S66+($H$66-$E$66)/3</f>
        <v>1709.0074666666671</v>
      </c>
      <c r="U66" s="819" t="n">
        <f>T66+U67</f>
        <v>1822.5884450000005</v>
      </c>
      <c r="V66" s="819" t="n">
        <f>U66+V67</f>
        <v>1829.5217783333339</v>
      </c>
      <c r="W66" s="782" t="n">
        <f t="shared" ref="W66:AC66" si="39">V66+W67</f>
        <v>1836.4551116666673</v>
      </c>
      <c r="X66" s="813" t="n">
        <f t="shared" si="39"/>
        <v>1843.3884450000007</v>
      </c>
      <c r="Y66" s="813" t="n">
        <f t="shared" si="39"/>
        <v>1895.9675063333341</v>
      </c>
      <c r="Z66" s="813" t="n">
        <f t="shared" si="39"/>
        <v>1902.9008396666675</v>
      </c>
      <c r="AA66" s="813" t="n">
        <f t="shared" si="39"/>
        <v>1909.8341730000009</v>
      </c>
      <c r="AB66" s="813" t="n">
        <f t="shared" si="39"/>
        <v>1916.7675063333343</v>
      </c>
      <c r="AC66" s="813" t="n">
        <f t="shared" si="39"/>
        <v>1958.5025072526676</v>
      </c>
      <c r="AD66" s="813" t="n">
        <f t="shared" ref="AD66" si="40">AC66+AD67</f>
        <v>1965.4358405860009</v>
      </c>
      <c r="AE66" s="813" t="n">
        <f t="shared" ref="AE66" si="41">AD66+AE67</f>
        <v>1972.3691739193343</v>
      </c>
      <c r="AF66" s="813" t="n">
        <f>AE66+AF67</f>
        <v>1979.3025072526677</v>
      </c>
      <c r="AG66" s="813" t="n">
        <f>AF66+AG67</f>
        <v>2023.2417515264792</v>
      </c>
      <c r="AH66" s="813" t="n">
        <f>AG66+AH67</f>
        <v>2030.1750848598126</v>
      </c>
    </row>
    <row r="67" ht="20.5" customHeight="1">
      <c r="B67" s="814" t="s">
        <v>1808</v>
      </c>
      <c r="C67" s="297"/>
      <c r="D67" s="828"/>
      <c r="E67" s="530"/>
      <c r="F67" s="530"/>
      <c r="G67" s="530"/>
      <c r="H67" s="530"/>
      <c r="I67" s="530"/>
      <c r="J67" s="796"/>
      <c r="K67" s="796"/>
      <c r="L67" s="796"/>
      <c r="M67" s="821"/>
      <c r="N67" s="796"/>
      <c r="O67" s="796"/>
      <c r="P67" s="796"/>
      <c r="Q67" s="821"/>
      <c r="R67" s="796"/>
      <c r="S67" s="796"/>
      <c r="T67" s="796"/>
      <c r="U67" s="796" t="n">
        <f>U68+U69</f>
        <v>113.58097833333339</v>
      </c>
      <c r="V67" s="796" t="n">
        <f>V68+V69</f>
        <v>6.933333333333394</v>
      </c>
      <c r="W67" s="796" t="n">
        <f>W68+W69</f>
        <v>6.933333333333394</v>
      </c>
      <c r="X67" s="777" t="n">
        <f t="shared" ref="X67:AC67" si="42">X68+X73*X70</f>
        <v>6.933333333333394</v>
      </c>
      <c r="Y67" s="777" t="n">
        <f t="shared" si="42"/>
        <v>52.579061333333399</v>
      </c>
      <c r="Z67" s="777" t="n">
        <f t="shared" si="42"/>
        <v>6.933333333333394</v>
      </c>
      <c r="AA67" s="777" t="n">
        <f t="shared" si="42"/>
        <v>6.933333333333394</v>
      </c>
      <c r="AB67" s="777" t="n">
        <f t="shared" si="42"/>
        <v>6.933333333333394</v>
      </c>
      <c r="AC67" s="777" t="n">
        <f t="shared" si="42"/>
        <v>41.735000919333395</v>
      </c>
      <c r="AD67" s="777" t="n">
        <f t="shared" ref="AD67:AE67" si="43">AD68+AD73*AD70</f>
        <v>6.933333333333394</v>
      </c>
      <c r="AE67" s="777" t="n">
        <f t="shared" si="43"/>
        <v>6.933333333333394</v>
      </c>
      <c r="AF67" s="777" t="n">
        <f>AF68+AF73*AF70</f>
        <v>6.933333333333394</v>
      </c>
      <c r="AG67" s="777" t="n">
        <f>AG68+AG73*AG70</f>
        <v>43.93924427381139</v>
      </c>
      <c r="AH67" s="777" t="n">
        <f>AH68+AH73*AH70</f>
        <v>6.933333333333394</v>
      </c>
    </row>
    <row r="68" ht="28.4" customHeight="1">
      <c r="B68" s="815" t="s">
        <v>1805</v>
      </c>
      <c r="C68" s="297"/>
      <c r="D68" s="828"/>
      <c r="E68" s="530"/>
      <c r="F68" s="530"/>
      <c r="G68" s="530"/>
      <c r="H68" s="530"/>
      <c r="I68" s="530"/>
      <c r="J68" s="796"/>
      <c r="K68" s="796"/>
      <c r="L68" s="796"/>
      <c r="M68" s="821"/>
      <c r="N68" s="796"/>
      <c r="O68" s="796"/>
      <c r="P68" s="796"/>
      <c r="Q68" s="821"/>
      <c r="R68" s="796"/>
      <c r="S68" s="796"/>
      <c r="T68" s="796"/>
      <c r="U68" s="796" t="n">
        <f>($H$66-$E$66)/3</f>
        <v>6.933333333333394</v>
      </c>
      <c r="V68" s="796" t="n">
        <f>($H$66-$E$66)/3</f>
        <v>6.933333333333394</v>
      </c>
      <c r="W68" s="796" t="n">
        <f>($H$66-$E$66)/3</f>
        <v>6.933333333333394</v>
      </c>
      <c r="X68" s="777" t="n">
        <f t="shared" ref="X68:AC68" si="44">W68</f>
        <v>6.933333333333394</v>
      </c>
      <c r="Y68" s="777" t="n">
        <f t="shared" si="44"/>
        <v>6.933333333333394</v>
      </c>
      <c r="Z68" s="777" t="n">
        <f t="shared" si="44"/>
        <v>6.933333333333394</v>
      </c>
      <c r="AA68" s="777" t="n">
        <f t="shared" si="44"/>
        <v>6.933333333333394</v>
      </c>
      <c r="AB68" s="777" t="n">
        <f t="shared" si="44"/>
        <v>6.933333333333394</v>
      </c>
      <c r="AC68" s="777" t="n">
        <f t="shared" si="44"/>
        <v>6.933333333333394</v>
      </c>
      <c r="AD68" s="777" t="n">
        <f t="shared" ref="AD68" si="45">AC68</f>
        <v>6.933333333333394</v>
      </c>
      <c r="AE68" s="777" t="n">
        <f t="shared" ref="AE68" si="46">AD68</f>
        <v>6.933333333333394</v>
      </c>
      <c r="AF68" s="777" t="n">
        <f>AE68</f>
        <v>6.933333333333394</v>
      </c>
      <c r="AG68" s="777" t="n">
        <f>AF68</f>
        <v>6.933333333333394</v>
      </c>
      <c r="AH68" s="777" t="n">
        <f>AG68</f>
        <v>6.933333333333394</v>
      </c>
    </row>
    <row r="69" ht="30.65" customHeight="1">
      <c r="B69" s="816" t="s">
        <v>1806</v>
      </c>
      <c r="C69" s="817"/>
      <c r="D69" s="822"/>
      <c r="E69" s="783"/>
      <c r="F69" s="783"/>
      <c r="G69" s="783"/>
      <c r="H69" s="783"/>
      <c r="I69" s="783"/>
      <c r="J69" s="823"/>
      <c r="K69" s="823"/>
      <c r="L69" s="823"/>
      <c r="M69" s="824"/>
      <c r="N69" s="823"/>
      <c r="O69" s="823"/>
      <c r="P69" s="823"/>
      <c r="Q69" s="824"/>
      <c r="R69" s="823"/>
      <c r="S69" s="823"/>
      <c r="T69" s="823"/>
      <c r="U69" s="823" t="n">
        <f>U73*T70</f>
        <v>106.647645</v>
      </c>
      <c r="V69" s="823" t="n">
        <f>V73*U70</f>
        <v>0</v>
      </c>
      <c r="W69" s="783" t="n">
        <f t="shared" ref="W69:AB69" si="47">W73*V70</f>
        <v>0</v>
      </c>
      <c r="X69" s="825" t="n">
        <f t="shared" si="47"/>
        <v>0</v>
      </c>
      <c r="Y69" s="825" t="n">
        <f>Y73*X70</f>
        <v>43.975904</v>
      </c>
      <c r="Z69" s="825" t="n">
        <f t="shared" si="47"/>
        <v>0</v>
      </c>
      <c r="AA69" s="825" t="n">
        <f t="shared" si="47"/>
        <v>0</v>
      </c>
      <c r="AB69" s="825" t="n">
        <f t="shared" si="47"/>
        <v>0</v>
      </c>
      <c r="AC69" s="825" t="n">
        <f>AC73*AB70</f>
        <v>33.681981999999998</v>
      </c>
      <c r="AD69" s="825" t="n">
        <f t="shared" ref="AD69" si="48">AD73*AC70</f>
        <v>0</v>
      </c>
      <c r="AE69" s="825" t="n">
        <f t="shared" ref="AE69" si="49">AE73*AD70</f>
        <v>0</v>
      </c>
      <c r="AF69" s="825" t="n">
        <f t="shared" ref="AF69" si="50">AF73*AE70</f>
        <v>0</v>
      </c>
      <c r="AG69" s="825" t="n">
        <f>AG73*AF70</f>
        <v>35.836667585999997</v>
      </c>
      <c r="AH69" s="825" t="n">
        <f>AH73*AG70</f>
        <v>0</v>
      </c>
    </row>
    <row r="70" ht="17.5" customHeight="1">
      <c r="B70" s="657" t="s">
        <v>475</v>
      </c>
      <c r="C70" s="297" t="s">
        <v>476</v>
      </c>
      <c r="D70" s="828" t="n">
        <f>'Haver Pivoted'!GO88/1000</f>
        <v>983.86099999999999</v>
      </c>
      <c r="E70" s="530" t="n">
        <f>'Haver Pivoted'!GP88/1000</f>
        <v>1019.17</v>
      </c>
      <c r="F70" s="530" t="n">
        <f>'Haver Pivoted'!GQ88/1000</f>
        <v>1026.74</v>
      </c>
      <c r="G70" s="530" t="n">
        <f>'Haver Pivoted'!GR88/1000</f>
        <v>1034.364</v>
      </c>
      <c r="H70" s="530" t="n">
        <f>'Haver Pivoted'!GS88/1000</f>
        <v>1042.6969999999999</v>
      </c>
      <c r="I70" s="530" t="n">
        <f>'Haver Pivoted'!GT88/1000</f>
        <v>1068.172</v>
      </c>
      <c r="J70" s="530" t="n">
        <f>'Haver Pivoted'!GU88/1000</f>
        <v>1075.0809999999999</v>
      </c>
      <c r="K70" s="530" t="n">
        <f>'Haver Pivoted'!GV88/1000</f>
        <v>1080.296</v>
      </c>
      <c r="L70" s="530" t="n">
        <f>'Haver Pivoted'!GW88/1000</f>
        <v>1088.164</v>
      </c>
      <c r="M70" s="530" t="n">
        <f>'Haver Pivoted'!GX88/1000</f>
        <v>1105.684</v>
      </c>
      <c r="N70" s="530" t="n">
        <f>'Haver Pivoted'!GY88/1000</f>
        <v>1109.6220000000001</v>
      </c>
      <c r="O70" s="530" t="n">
        <f>'Haver Pivoted'!GZ88/1000</f>
        <v>1116.8399999999999</v>
      </c>
      <c r="P70" s="530" t="n">
        <f>'Haver Pivoted'!HA88/1000</f>
        <v>1126.2539999999999</v>
      </c>
      <c r="Q70" s="530" t="n">
        <f>'Haver Pivoted'!HB88/1000</f>
        <v>1198.68</v>
      </c>
      <c r="R70" s="530" t="n">
        <f>'Haver Pivoted'!HC88/1000</f>
        <v>1207.049</v>
      </c>
      <c r="S70" s="795" t="n">
        <f>'Haver Pivoted'!HD88/1000</f>
        <v>1214.451</v>
      </c>
      <c r="T70" s="795" t="n">
        <f>'Haver Pivoted'!HE88/1000</f>
        <v>1225.835</v>
      </c>
      <c r="U70" s="795" t="n">
        <f>'Haver Pivoted'!HF88/1000</f>
        <v>1339.9770000000001</v>
      </c>
      <c r="V70" s="795" t="n">
        <f>'Haver Pivoted'!HG88/1000</f>
        <v>1353.758</v>
      </c>
      <c r="W70" s="795" t="n">
        <f>'Haver Pivoted'!HH88/1000</f>
        <v>1361.2850000000001</v>
      </c>
      <c r="X70" s="795" t="n">
        <f>'Haver Pivoted'!HI88/1000</f>
        <v>1374.2470000000001</v>
      </c>
      <c r="Y70" s="795" t="n">
        <f>'Haver Pivoted'!HJ88/1000</f>
        <v>1426.4290000000001</v>
      </c>
      <c r="Z70" s="795" t="n">
        <f>'Haver Pivoted'!HK88/1000</f>
        <v>1439.434</v>
      </c>
      <c r="AA70" s="777" t="n">
        <f t="shared" ref="AA70:AC70" si="51">Z70+AA71</f>
        <v>1450.434</v>
      </c>
      <c r="AB70" s="777" t="n">
        <f t="shared" si="51"/>
        <v>1464.434</v>
      </c>
      <c r="AC70" s="777" t="n">
        <f t="shared" si="51"/>
        <v>1513.115982</v>
      </c>
      <c r="AD70" s="777" t="n">
        <f t="shared" ref="AD70" si="52">AC70+AD71</f>
        <v>1528.115982</v>
      </c>
      <c r="AE70" s="777" t="n">
        <f t="shared" ref="AE70" si="53">AD70+AE71</f>
        <v>1543.115982</v>
      </c>
      <c r="AF70" s="777" t="n">
        <f>AE70+AF71</f>
        <v>1558.115982</v>
      </c>
      <c r="AG70" s="777" t="n">
        <f>AF70+AG71</f>
        <v>1608.952649586</v>
      </c>
      <c r="AH70" s="777" t="n">
        <f>AG70+AH71</f>
        <v>1608.952649586</v>
      </c>
    </row>
    <row r="71" ht="17.5" customHeight="1">
      <c r="B71" s="502" t="s">
        <v>1807</v>
      </c>
      <c r="C71" s="297"/>
      <c r="D71" s="828"/>
      <c r="E71" s="530"/>
      <c r="F71" s="530"/>
      <c r="G71" s="530"/>
      <c r="H71" s="530"/>
      <c r="I71" s="530"/>
      <c r="J71" s="530"/>
      <c r="K71" s="530"/>
      <c r="L71" s="530"/>
      <c r="M71" s="530"/>
      <c r="N71" s="530"/>
      <c r="O71" s="530"/>
      <c r="P71" s="530"/>
      <c r="Q71" s="530"/>
      <c r="R71" s="530"/>
      <c r="S71" s="795"/>
      <c r="T71" s="795"/>
      <c r="U71" s="795" t="n">
        <f>U69+U72</f>
        <v>114.647645</v>
      </c>
      <c r="V71" s="530" t="n">
        <f>V69+V72</f>
        <v>8</v>
      </c>
      <c r="W71" s="530" t="n">
        <f t="shared" ref="W71:AC71" si="54">W69+W72</f>
        <v>11</v>
      </c>
      <c r="X71" s="777" t="n">
        <f>X69+X72</f>
        <v>14</v>
      </c>
      <c r="Y71" s="777" t="n">
        <f>Y69+Y72</f>
        <v>52.975904</v>
      </c>
      <c r="Z71" s="777" t="n">
        <f t="shared" si="54"/>
        <v>13</v>
      </c>
      <c r="AA71" s="777" t="n">
        <f t="shared" si="54"/>
        <v>11</v>
      </c>
      <c r="AB71" s="777" t="n">
        <f t="shared" si="54"/>
        <v>14</v>
      </c>
      <c r="AC71" s="777" t="n">
        <f t="shared" si="54"/>
        <v>48.681981999999998</v>
      </c>
      <c r="AD71" s="777" t="n">
        <f t="shared" ref="AD71:AE71" si="55">AD69+AD72</f>
        <v>15</v>
      </c>
      <c r="AE71" s="777" t="n">
        <f t="shared" si="55"/>
        <v>15</v>
      </c>
      <c r="AF71" s="777" t="n">
        <f>AF69+AF72</f>
        <v>15</v>
      </c>
      <c r="AG71" s="777" t="n">
        <f>AG69+AG72</f>
        <v>50.836667585999997</v>
      </c>
      <c r="AH71" s="777"/>
    </row>
    <row r="72" ht="17.5" customHeight="1">
      <c r="B72" s="493" t="s">
        <v>1810</v>
      </c>
      <c r="C72" s="297"/>
      <c r="D72" s="828"/>
      <c r="E72" s="530"/>
      <c r="F72" s="795"/>
      <c r="G72" s="795"/>
      <c r="H72" s="795"/>
      <c r="I72" s="795"/>
      <c r="J72" s="795"/>
      <c r="K72" s="795"/>
      <c r="L72" s="795"/>
      <c r="M72" s="795"/>
      <c r="N72" s="795"/>
      <c r="O72" s="795"/>
      <c r="P72" s="795"/>
      <c r="Q72" s="795"/>
      <c r="R72" s="795"/>
      <c r="S72" s="795"/>
      <c r="T72" s="795"/>
      <c r="U72" s="795" t="n">
        <v>8</v>
      </c>
      <c r="V72" s="530" t="n">
        <v>8</v>
      </c>
      <c r="W72" s="530" t="n">
        <v>11</v>
      </c>
      <c r="X72" s="777" t="n">
        <v>14</v>
      </c>
      <c r="Y72" s="777" t="n">
        <v>9</v>
      </c>
      <c r="Z72" s="777" t="n">
        <v>13</v>
      </c>
      <c r="AA72" s="777" t="n">
        <v>11</v>
      </c>
      <c r="AB72" s="777" t="n">
        <v>14</v>
      </c>
      <c r="AC72" s="777" t="n">
        <v>15</v>
      </c>
      <c r="AD72" s="777" t="n">
        <v>15</v>
      </c>
      <c r="AE72" s="777" t="n">
        <v>15</v>
      </c>
      <c r="AF72" s="777" t="n">
        <v>15</v>
      </c>
      <c r="AG72" s="602" t="n">
        <v>15</v>
      </c>
      <c r="AH72" s="602" t="n">
        <v>15</v>
      </c>
    </row>
    <row r="73" ht="39" customHeight="1">
      <c r="B73" s="493" t="s">
        <v>1811</v>
      </c>
      <c r="C73" s="297"/>
      <c r="D73" s="828"/>
      <c r="E73" s="530"/>
      <c r="F73" s="530"/>
      <c r="G73" s="530"/>
      <c r="H73" s="530"/>
      <c r="I73" s="783"/>
      <c r="J73" s="783"/>
      <c r="K73" s="783"/>
      <c r="L73" s="783"/>
      <c r="M73" s="783"/>
      <c r="N73" s="783"/>
      <c r="O73" s="783"/>
      <c r="P73" s="783"/>
      <c r="Q73" s="783"/>
      <c r="R73" s="783"/>
      <c r="S73" s="826"/>
      <c r="T73" s="826"/>
      <c r="U73" s="797" t="n">
        <v>8.6999999999999994E-2</v>
      </c>
      <c r="V73" s="784" t="n">
        <v>0</v>
      </c>
      <c r="W73" s="784" t="n">
        <v>0</v>
      </c>
      <c r="X73" s="827" t="n">
        <v>0</v>
      </c>
      <c r="Y73" s="827" t="n">
        <v>3.2000000000000001E-2</v>
      </c>
      <c r="Z73" s="827" t="n">
        <v>0</v>
      </c>
      <c r="AA73" s="827" t="n">
        <v>0</v>
      </c>
      <c r="AB73" s="827" t="n">
        <v>0</v>
      </c>
      <c r="AC73" s="827" t="n">
        <v>2.3E-2</v>
      </c>
      <c r="AD73" s="827" t="n">
        <v>0</v>
      </c>
      <c r="AE73" s="827" t="n">
        <v>0</v>
      </c>
      <c r="AF73" s="827" t="n">
        <v>0</v>
      </c>
      <c r="AG73" s="827" t="n">
        <v>2.3E-2</v>
      </c>
      <c r="AH73" s="827" t="n">
        <v>0</v>
      </c>
    </row>
    <row r="74" ht="49.75" customHeight="1">
      <c r="B74" s="573" t="s">
        <v>1432</v>
      </c>
      <c r="C74" s="297"/>
      <c r="D74" s="828" t="n">
        <f t="shared" ref="D74:T74" si="56">D65-D66</f>
        <v>0</v>
      </c>
      <c r="E74" s="530" t="n">
        <f t="shared" si="56"/>
        <v>0</v>
      </c>
      <c r="F74" s="530" t="n">
        <f t="shared" si="56"/>
        <v>0</v>
      </c>
      <c r="G74" s="530" t="n">
        <f t="shared" si="56"/>
        <v>0</v>
      </c>
      <c r="H74" s="530" t="n">
        <f t="shared" si="56"/>
        <v>0</v>
      </c>
      <c r="I74" s="530" t="n">
        <f t="shared" si="56"/>
        <v>-6.6417499999997744</v>
      </c>
      <c r="J74" s="530" t="n">
        <f t="shared" si="56"/>
        <v>-38.222083333332648</v>
      </c>
      <c r="K74" s="530" t="n">
        <f t="shared" si="56"/>
        <v>84.695583333333389</v>
      </c>
      <c r="L74" s="530" t="n">
        <f t="shared" si="56"/>
        <v>16.60225000000014</v>
      </c>
      <c r="M74" s="530" t="n">
        <f t="shared" si="56"/>
        <v>16.668916666666519</v>
      </c>
      <c r="N74" s="530" t="n">
        <f t="shared" si="56"/>
        <v>-12.19925666666677</v>
      </c>
      <c r="O74" s="530" t="n">
        <f t="shared" si="56"/>
        <v>-14.628243333333103</v>
      </c>
      <c r="P74" s="530" t="n">
        <f t="shared" si="56"/>
        <v>-31.382416666666586</v>
      </c>
      <c r="Q74" s="530" t="n">
        <f t="shared" si="56"/>
        <v>-3.1812166666670691</v>
      </c>
      <c r="R74" s="530" t="n">
        <f t="shared" si="56"/>
        <v>-1.8405500000005759</v>
      </c>
      <c r="S74" s="795" t="n">
        <f t="shared" si="56"/>
        <v>-17.07788333333383</v>
      </c>
      <c r="T74" s="795" t="n">
        <f t="shared" si="56"/>
        <v>-2.5472166666675093</v>
      </c>
      <c r="U74" s="795" t="n">
        <f t="shared" ref="U74:Z74" si="57">U65-U66</f>
        <v>18.339804999999615</v>
      </c>
      <c r="V74" s="795" t="n">
        <f t="shared" si="57"/>
        <v>17.924900238094551</v>
      </c>
      <c r="W74" s="795" t="n">
        <f t="shared" si="57"/>
        <v>7.0605669047611173</v>
      </c>
      <c r="X74" s="795" t="n">
        <f t="shared" si="57"/>
        <v>24.070804999999382</v>
      </c>
      <c r="Y74" s="795" t="n">
        <f t="shared" si="57"/>
        <v>62.816743666665843</v>
      </c>
      <c r="Z74" s="795" t="n">
        <f t="shared" si="57"/>
        <v>75.236410333332515</v>
      </c>
      <c r="AA74" s="777" t="n">
        <f t="shared" ref="AA74:AC74" si="58">Z74</f>
        <v>75.236410333332515</v>
      </c>
      <c r="AB74" s="777" t="n">
        <f t="shared" si="58"/>
        <v>75.236410333332515</v>
      </c>
      <c r="AC74" s="777" t="n">
        <f t="shared" si="58"/>
        <v>75.236410333332515</v>
      </c>
      <c r="AD74" s="777" t="n">
        <f t="shared" ref="AD74" si="59">AC74</f>
        <v>75.236410333332515</v>
      </c>
      <c r="AE74" s="777" t="n">
        <f t="shared" ref="AE74" si="60">AD74</f>
        <v>75.236410333332515</v>
      </c>
      <c r="AF74" s="777" t="n">
        <f t="shared" ref="AF74:AH74" si="61">AE74</f>
        <v>75.236410333332515</v>
      </c>
      <c r="AG74" s="777" t="n">
        <f t="shared" si="61"/>
        <v>75.236410333332515</v>
      </c>
      <c r="AH74" s="777" t="n">
        <f t="shared" si="61"/>
        <v>75.236410333332515</v>
      </c>
    </row>
    <row r="75" ht="29.5" customHeight="1">
      <c r="B75" s="338"/>
      <c r="C75" s="297"/>
      <c r="D75" s="280"/>
      <c r="E75" s="280"/>
      <c r="F75" s="280"/>
      <c r="G75" s="280"/>
      <c r="H75" s="280"/>
      <c r="I75" s="280"/>
      <c r="J75" s="280"/>
      <c r="K75" s="280"/>
      <c r="L75" s="280"/>
      <c r="M75" s="280"/>
      <c r="N75" s="280"/>
      <c r="O75" s="280"/>
      <c r="P75" s="280"/>
      <c r="Q75" s="280"/>
      <c r="R75" s="280"/>
      <c r="S75" s="280"/>
      <c r="T75" s="280"/>
      <c r="U75" s="280"/>
      <c r="V75" s="280"/>
      <c r="W75" s="280"/>
      <c r="X75" s="280"/>
      <c r="Y75" s="280"/>
      <c r="Z75" s="280"/>
      <c r="AA75" s="280"/>
      <c r="AB75" s="280"/>
      <c r="AC75" s="280"/>
    </row>
    <row r="76" ht="16.75" customHeight="1">
      <c r="B76" s="297"/>
      <c r="C76" s="297"/>
      <c r="N76" s="297" t="n">
        <f>AVERAGE(P70:S70)</f>
        <v>1186.6085</v>
      </c>
      <c r="R76" s="297" t="n">
        <f>AVERAGE(T70:W70)</f>
        <v>1320.2137499999999</v>
      </c>
      <c r="S76" s="661"/>
      <c r="T76" s="661"/>
      <c r="U76" s="297"/>
      <c r="V76" s="297" t="n">
        <f>AVERAGE(X70:AA70)</f>
        <v>1422.6360000000002</v>
      </c>
      <c r="W76" s="297"/>
      <c r="X76" s="297"/>
      <c r="Y76" s="297"/>
      <c r="Z76" s="297" t="n">
        <f>AVERAGE(AB70:AE70)</f>
        <v>1512.1954865</v>
      </c>
      <c r="AA76" s="297"/>
      <c r="AB76" s="297"/>
      <c r="AC76" s="297"/>
      <c r="AD76" s="530" t="n">
        <f>AVERAGE(AF70:AJ70)</f>
        <v>1592.007093724</v>
      </c>
    </row>
    <row r="77" ht="16.75" customHeight="1">
      <c r="B77" s="297"/>
      <c r="C77" s="297"/>
      <c r="S77" s="280"/>
      <c r="T77" s="280"/>
      <c r="U77" s="297"/>
      <c r="V77" s="297"/>
      <c r="W77" s="297"/>
      <c r="X77" s="297"/>
      <c r="Y77" s="297"/>
      <c r="Z77" s="297"/>
      <c r="AA77" s="297"/>
      <c r="AB77" s="297"/>
      <c r="AC77" s="297" t="n">
        <f>Z76-V76</f>
        <v>89.559486499999821</v>
      </c>
    </row>
    <row r="78" ht="16.75" customHeight="1">
      <c r="B78" s="297"/>
      <c r="C78" s="297"/>
      <c r="S78" s="280"/>
      <c r="T78" s="280"/>
      <c r="U78" s="297"/>
      <c r="V78" s="297"/>
      <c r="W78" s="297"/>
      <c r="X78" s="297"/>
      <c r="Y78" s="297"/>
      <c r="Z78" s="297"/>
      <c r="AA78" s="297"/>
      <c r="AB78" s="297"/>
      <c r="AC78" s="297"/>
    </row>
    <row r="79" ht="16.75" customHeight="1">
      <c r="B79" s="297"/>
      <c r="C79" s="297"/>
      <c r="S79" s="280"/>
      <c r="T79" s="280"/>
      <c r="U79" s="530"/>
      <c r="V79" s="530"/>
      <c r="W79" s="530"/>
      <c r="X79" s="530"/>
      <c r="Y79" s="530"/>
      <c r="Z79" s="530"/>
      <c r="AA79" s="530"/>
      <c r="AB79" s="530"/>
      <c r="AC79" s="530"/>
      <c r="AD79" s="614"/>
    </row>
    <row r="80" ht="16.75" customHeight="1">
      <c r="B80" s="564"/>
      <c r="C80" s="297"/>
      <c r="S80" s="280"/>
      <c r="T80" s="280"/>
      <c r="U80" s="280"/>
      <c r="V80" s="280"/>
      <c r="W80" s="280"/>
      <c r="X80" s="280"/>
      <c r="Y80" s="280"/>
      <c r="Z80" s="280"/>
      <c r="AA80" s="280"/>
      <c r="AB80" s="280"/>
      <c r="AC80" s="280"/>
      <c r="AD80" s="614"/>
    </row>
    <row r="81" ht="16.75" customHeight="1">
      <c r="B81" s="564"/>
      <c r="C81" s="297"/>
      <c r="S81" s="280"/>
      <c r="T81" s="280"/>
      <c r="U81" s="280"/>
      <c r="V81" s="280"/>
      <c r="W81" s="280"/>
      <c r="X81" s="280"/>
      <c r="Y81" s="280"/>
      <c r="Z81" s="280"/>
      <c r="AA81" s="280"/>
      <c r="AB81" s="280"/>
      <c r="AC81" s="280"/>
      <c r="AD81" s="614"/>
    </row>
    <row r="82" ht="16.75" customHeight="1">
      <c r="B82" s="564"/>
      <c r="C82" s="297"/>
      <c r="S82" s="280"/>
      <c r="T82" s="280"/>
      <c r="U82" s="280"/>
      <c r="V82" s="280"/>
      <c r="W82" s="280"/>
      <c r="X82" s="280"/>
      <c r="Y82" s="280"/>
      <c r="Z82" s="280"/>
      <c r="AA82" s="280"/>
      <c r="AB82" s="280"/>
      <c r="AC82" s="280"/>
      <c r="AD82" s="614"/>
    </row>
    <row r="83" ht="16.75" customHeight="1">
      <c r="B83" s="297"/>
      <c r="C83" s="297"/>
      <c r="S83" s="297"/>
      <c r="T83" s="297"/>
      <c r="U83" s="530"/>
      <c r="V83" s="530"/>
      <c r="W83" s="530"/>
      <c r="X83" s="530"/>
      <c r="Y83" s="530"/>
      <c r="Z83" s="530"/>
      <c r="AA83" s="530"/>
      <c r="AB83" s="530"/>
      <c r="AC83" s="530"/>
      <c r="AD83" s="614"/>
    </row>
    <row r="84" ht="16.75" customHeight="1">
      <c r="B84" s="564"/>
      <c r="C84" s="297"/>
      <c r="S84" s="297"/>
      <c r="T84" s="297"/>
      <c r="U84" s="530"/>
      <c r="V84" s="530"/>
      <c r="W84" s="530"/>
      <c r="X84" s="530"/>
      <c r="Y84" s="530"/>
      <c r="Z84" s="530"/>
      <c r="AA84" s="530"/>
      <c r="AB84" s="530"/>
      <c r="AC84" s="530"/>
      <c r="AD84" s="614"/>
    </row>
    <row r="85" ht="16.75" customHeight="1">
      <c r="B85" s="564"/>
      <c r="C85" s="297"/>
      <c r="S85" s="297"/>
      <c r="T85" s="297"/>
      <c r="U85" s="280"/>
      <c r="V85" s="280"/>
      <c r="W85" s="280"/>
      <c r="X85" s="280"/>
      <c r="Y85" s="280"/>
      <c r="Z85" s="280"/>
      <c r="AA85" s="280"/>
      <c r="AB85" s="280"/>
      <c r="AC85" s="280"/>
      <c r="AD85" s="614"/>
    </row>
    <row r="86" ht="16.75" customHeight="1">
      <c r="B86" s="564"/>
      <c r="C86" s="297"/>
      <c r="S86" s="297"/>
      <c r="T86" s="297"/>
      <c r="U86" s="798"/>
      <c r="V86" s="798"/>
      <c r="W86" s="798"/>
      <c r="X86" s="798"/>
      <c r="Y86" s="798"/>
      <c r="Z86" s="798"/>
      <c r="AA86" s="798"/>
      <c r="AB86" s="798"/>
      <c r="AC86" s="798"/>
      <c r="AD86" s="614"/>
    </row>
    <row r="87" ht="16.75" customHeight="1">
      <c r="B87" s="297"/>
      <c r="C87" s="297"/>
      <c r="S87" s="280"/>
      <c r="T87" s="280"/>
      <c r="U87" s="280"/>
      <c r="V87" s="280"/>
      <c r="W87" s="280"/>
      <c r="X87" s="280"/>
      <c r="Y87" s="280"/>
      <c r="Z87" s="280"/>
      <c r="AA87" s="280"/>
      <c r="AB87" s="280"/>
      <c r="AC87" s="280"/>
      <c r="AD87" s="614"/>
    </row>
    <row r="88" ht="22.5" customHeight="1">
      <c r="B88" s="338"/>
      <c r="C88" s="297"/>
      <c r="D88" s="280"/>
      <c r="E88" s="280"/>
      <c r="F88" s="280"/>
      <c r="G88" s="280"/>
      <c r="H88" s="280"/>
      <c r="I88" s="280"/>
      <c r="J88" s="280"/>
      <c r="K88" s="280"/>
      <c r="L88" s="280"/>
      <c r="M88" s="280"/>
      <c r="N88" s="280"/>
      <c r="O88" s="280"/>
      <c r="P88" s="280"/>
      <c r="Q88" s="280"/>
      <c r="R88" s="280"/>
      <c r="S88" s="280"/>
      <c r="T88" s="280"/>
      <c r="U88" s="280"/>
      <c r="V88" s="280"/>
      <c r="W88" s="280"/>
      <c r="X88" s="280"/>
      <c r="Y88" s="280"/>
      <c r="Z88" s="280"/>
      <c r="AA88" s="280"/>
      <c r="AB88" s="280"/>
      <c r="AC88" s="280"/>
    </row>
    <row r="89" ht="22.5" customHeight="1">
      <c r="B89" s="338"/>
      <c r="C89" s="297"/>
      <c r="D89" s="280"/>
      <c r="E89" s="280"/>
      <c r="F89" s="280"/>
      <c r="G89" s="280"/>
      <c r="H89" s="280"/>
      <c r="I89" s="280"/>
      <c r="J89" s="280"/>
      <c r="K89" s="280"/>
      <c r="L89" s="280"/>
      <c r="M89" s="280"/>
      <c r="N89" s="280"/>
      <c r="O89" s="280"/>
      <c r="P89" s="280"/>
      <c r="Q89" s="280"/>
      <c r="R89" s="280"/>
      <c r="S89" s="280"/>
      <c r="T89" s="280"/>
      <c r="U89" s="280"/>
      <c r="V89" s="280"/>
      <c r="W89" s="280"/>
      <c r="X89" s="280"/>
      <c r="Y89" s="280"/>
      <c r="Z89" s="280"/>
      <c r="AA89" s="280"/>
      <c r="AB89" s="280"/>
      <c r="AC89" s="280"/>
    </row>
    <row r="90" ht="38.5" customHeight="1">
      <c r="B90" s="582"/>
      <c r="C90" s="830" t="n">
        <v>2022</v>
      </c>
      <c r="D90" s="831" t="n">
        <v>2023</v>
      </c>
      <c r="E90" s="831" t="n">
        <v>2024</v>
      </c>
      <c r="F90" s="832" t="n">
        <v>2025</v>
      </c>
      <c r="G90" s="280" t="n">
        <v>2026</v>
      </c>
      <c r="H90" s="280"/>
      <c r="I90" s="280"/>
      <c r="J90" s="280"/>
      <c r="K90" s="280"/>
      <c r="L90" s="280"/>
      <c r="M90" s="280"/>
      <c r="N90" s="280"/>
      <c r="O90" s="280"/>
      <c r="P90" s="280"/>
      <c r="Q90" s="280"/>
      <c r="R90" s="280"/>
      <c r="S90" s="280"/>
      <c r="T90" s="280"/>
      <c r="U90" s="280"/>
      <c r="V90" s="280"/>
      <c r="W90" s="280"/>
      <c r="X90" s="280"/>
      <c r="Y90" s="280"/>
      <c r="Z90" s="280"/>
      <c r="AA90" s="280"/>
      <c r="AB90" s="280"/>
      <c r="AC90" s="280"/>
    </row>
    <row r="91" ht="38.5" customHeight="1">
      <c r="B91" s="779" t="s">
        <v>1946</v>
      </c>
      <c r="C91" s="322" t="n">
        <v>1212.4870000000001</v>
      </c>
      <c r="D91" s="322" t="n">
        <v>1347.961</v>
      </c>
      <c r="E91" s="322" t="n">
        <v>1451.934</v>
      </c>
      <c r="F91" s="322" t="n">
        <v>1549.1100000000001</v>
      </c>
      <c r="G91" s="322" t="n">
        <v>1647.1120000000001</v>
      </c>
      <c r="H91" s="322" t="n">
        <v>1740.634</v>
      </c>
      <c r="I91" s="322" t="n">
        <v>1838.4829999999999</v>
      </c>
      <c r="J91" s="322" t="n">
        <v>1938.394</v>
      </c>
      <c r="K91" s="322" t="n">
        <v>2040.598</v>
      </c>
      <c r="L91" s="322" t="n">
        <v>2146.6759999999999</v>
      </c>
      <c r="M91" s="322" t="n">
        <v>2255.0050000000001</v>
      </c>
      <c r="N91" s="322" t="n">
        <v>2364.4049999999997</v>
      </c>
      <c r="O91" s="322" t="n">
        <v>2478.1</v>
      </c>
      <c r="P91" s="280"/>
      <c r="Q91" s="280"/>
      <c r="R91" s="280"/>
      <c r="S91" s="280"/>
      <c r="T91" s="280"/>
      <c r="U91" s="280"/>
      <c r="V91" s="280"/>
      <c r="W91" s="280"/>
      <c r="X91" s="280"/>
      <c r="Y91" s="280"/>
      <c r="Z91" s="280"/>
      <c r="AA91" s="280"/>
      <c r="AB91" s="280"/>
      <c r="AC91" s="280"/>
    </row>
    <row r="92" ht="69" customHeight="1">
      <c r="B92" s="338"/>
      <c r="C92" s="297"/>
      <c r="D92" s="280"/>
      <c r="E92" s="280"/>
      <c r="F92" s="280"/>
      <c r="G92" s="280"/>
      <c r="H92" s="280"/>
      <c r="I92" s="280"/>
      <c r="J92" s="280"/>
      <c r="K92" s="280"/>
      <c r="L92" s="280"/>
      <c r="M92" s="280"/>
      <c r="N92" s="280"/>
      <c r="O92" s="280"/>
      <c r="P92" s="280"/>
      <c r="Q92" s="280"/>
      <c r="R92" s="280"/>
      <c r="S92" s="280"/>
      <c r="T92" s="280"/>
      <c r="U92" s="280"/>
      <c r="V92" s="280"/>
      <c r="W92" s="280"/>
      <c r="X92" s="280"/>
      <c r="Y92" s="280"/>
      <c r="Z92" s="280"/>
      <c r="AA92" s="280"/>
      <c r="AB92" s="280"/>
      <c r="AC92" s="280"/>
    </row>
    <row r="93">
      <c r="B93" s="105" t="s">
        <v>1431</v>
      </c>
      <c r="D93" s="297"/>
      <c r="E93" s="297"/>
      <c r="F93" s="297"/>
      <c r="G93" s="297"/>
      <c r="H93" s="297"/>
      <c r="I93" s="297"/>
      <c r="J93" s="297"/>
      <c r="K93" s="297"/>
      <c r="L93" s="297"/>
      <c r="M93" s="280"/>
      <c r="N93" s="280"/>
      <c r="O93" s="280"/>
      <c r="P93" s="297"/>
    </row>
    <row r="94">
      <c r="B94" s="670" t="s">
        <v>808</v>
      </c>
      <c r="C94" s="778"/>
      <c r="D94" s="844" t="n">
        <v>2021</v>
      </c>
      <c r="E94" s="844" t="n">
        <v>2022</v>
      </c>
      <c r="F94" s="844" t="n">
        <v>2023</v>
      </c>
      <c r="G94" s="845" t="n">
        <v>2024</v>
      </c>
      <c r="R94" s="614"/>
    </row>
    <row r="95">
      <c r="B95" s="738" t="s">
        <v>809</v>
      </c>
      <c r="C95" s="851"/>
      <c r="D95" s="839" t="n">
        <v>3605.8330000000001</v>
      </c>
      <c r="E95" s="839" t="n">
        <v>2900</v>
      </c>
      <c r="F95" s="839" t="n">
        <f>E95*1.02</f>
        <v>2958</v>
      </c>
      <c r="G95" s="840" t="n">
        <f>F95*1.06</f>
        <v>3135.48</v>
      </c>
    </row>
    <row r="96">
      <c r="B96" s="738" t="s">
        <v>812</v>
      </c>
      <c r="C96" s="841"/>
      <c r="D96" s="834" t="n">
        <f>AVERAGE(Medicare!L10:O10)</f>
        <v>858.02499999999998</v>
      </c>
      <c r="E96" s="834" t="n">
        <f>AVERAGE(Medicare!P10:S10)</f>
        <v>917.59999999999991</v>
      </c>
      <c r="F96" s="834" t="n">
        <f>AVERAGE(Medicare!T10:W10)</f>
        <v>940.125</v>
      </c>
      <c r="G96" s="849" t="n">
        <f>AVERAGE(Medicare!X10:AA10)</f>
        <v>976.17283859089639</v>
      </c>
    </row>
    <row r="97" ht="13.4" customHeight="1">
      <c r="B97" s="738" t="s">
        <v>810</v>
      </c>
      <c r="C97" s="841"/>
      <c r="D97" s="834" t="n">
        <f>D95-D96</f>
        <v>2747.808</v>
      </c>
      <c r="E97" s="834" t="n">
        <f t="shared" ref="E97:G97" si="62">E95-E96</f>
        <v>1982.4</v>
      </c>
      <c r="F97" s="834" t="n">
        <f t="shared" si="62"/>
        <v>2017.875</v>
      </c>
      <c r="G97" s="849" t="n">
        <f t="shared" si="62"/>
        <v>2159.3071614091036</v>
      </c>
    </row>
    <row r="98">
      <c r="B98" s="738" t="s">
        <v>813</v>
      </c>
      <c r="C98" s="841"/>
      <c r="D98" s="834" t="n">
        <f>AVERAGE(L12:O12)</f>
        <v>3640.3999999999996</v>
      </c>
      <c r="E98" s="834" t="n">
        <f>AVERAGE(P12:S12)</f>
        <v>2903.3749999999995</v>
      </c>
      <c r="F98" s="834" t="n">
        <f>AVERAGE(T12:W12)</f>
        <v>2925.5750000000003</v>
      </c>
      <c r="G98" s="849" t="n">
        <f>AVERAGE(X12:AA12)</f>
        <v>3037.2964219242299</v>
      </c>
    </row>
    <row r="99">
      <c r="B99" s="738" t="s">
        <v>812</v>
      </c>
      <c r="C99" s="841"/>
      <c r="D99" s="834" t="n">
        <f>AVERAGE(Medicare!L10:O10)</f>
        <v>858.02499999999998</v>
      </c>
      <c r="E99" s="834" t="n">
        <f>AVERAGE(Medicare!P10:S10)</f>
        <v>917.59999999999991</v>
      </c>
      <c r="F99" s="834" t="n">
        <f>AVERAGE(Medicare!T10:W10)</f>
        <v>940.125</v>
      </c>
      <c r="G99" s="849" t="n">
        <f>AVERAGE(Medicare!X10:AA10)</f>
        <v>976.17283859089639</v>
      </c>
    </row>
    <row r="100">
      <c r="B100" s="738" t="s">
        <v>532</v>
      </c>
      <c r="C100" s="841"/>
      <c r="D100" s="834" t="n">
        <f>AVERAGE(L31:O31)</f>
        <v>1587.6399999999999</v>
      </c>
      <c r="E100" s="834" t="n">
        <f>AVERAGE(P31:S31)</f>
        <v>1673.6939333333335</v>
      </c>
      <c r="F100" s="834" t="n">
        <f>AVERAGE(T31:W31)</f>
        <v>1799.3932004166672</v>
      </c>
      <c r="G100" s="849" t="n">
        <f>AVERAGE(X31:AA31)</f>
        <v>1888.0227410000009</v>
      </c>
    </row>
    <row r="101" ht="27.65" customHeight="1">
      <c r="B101" s="842" t="s">
        <v>811</v>
      </c>
      <c r="C101" s="436"/>
      <c r="D101" s="728"/>
      <c r="E101" s="846" t="n">
        <v>1.157</v>
      </c>
      <c r="F101" s="846" t="n">
        <v>1.0109999999999999</v>
      </c>
      <c r="G101" s="850" t="n">
        <v>1.0529999999999999</v>
      </c>
    </row>
    <row r="102">
      <c r="B102" s="297" t="s">
        <v>814</v>
      </c>
      <c r="D102" s="847" t="n">
        <f>D98-D95</f>
        <v>34.566999999999553</v>
      </c>
      <c r="E102" s="847" t="n">
        <f>E98-E95</f>
        <v>3.3749999999995453</v>
      </c>
      <c r="F102" s="847" t="n">
        <f>F98-F95</f>
        <v>-32.424999999999727</v>
      </c>
      <c r="G102" s="847" t="n">
        <f t="shared" ref="G102" si="63">G98-G95</f>
        <v>-98.183578075770129</v>
      </c>
    </row>
    <row r="104">
      <c r="B104" t="s">
        <v>809</v>
      </c>
      <c r="D104" t="n">
        <v>3605.8330000000001</v>
      </c>
      <c r="E104" t="n">
        <v>2832.5949999999998</v>
      </c>
      <c r="F104" t="n">
        <v>2833.72</v>
      </c>
      <c r="G104" t="n">
        <v>2976.7339999999999</v>
      </c>
    </row>
  </sheetData>
  <mergeCells count="34">
    <mergeCell ref="B58:C60"/>
    <mergeCell ref="E59:H59"/>
    <mergeCell ref="I59:L59"/>
    <mergeCell ref="M48:P48"/>
    <mergeCell ref="M59:P59"/>
    <mergeCell ref="B11:C11"/>
    <mergeCell ref="B46:AC46"/>
    <mergeCell ref="B47:C49"/>
    <mergeCell ref="E48:H48"/>
    <mergeCell ref="I48:L48"/>
    <mergeCell ref="B35:C35"/>
    <mergeCell ref="Y48:AB48"/>
    <mergeCell ref="AC48:AF48"/>
    <mergeCell ref="B1:AC1"/>
    <mergeCell ref="B2:AC6"/>
    <mergeCell ref="E9:H9"/>
    <mergeCell ref="I9:L9"/>
    <mergeCell ref="Y9:AB9"/>
    <mergeCell ref="M9:P9"/>
    <mergeCell ref="Q9:T9"/>
    <mergeCell ref="P8:V8"/>
    <mergeCell ref="AC9:AF9"/>
    <mergeCell ref="W8:AG8"/>
    <mergeCell ref="AG9:AH9"/>
    <mergeCell ref="AG59:AH59"/>
    <mergeCell ref="W47:AG47"/>
    <mergeCell ref="W58:AG58"/>
    <mergeCell ref="Q48:T48"/>
    <mergeCell ref="D47:V47"/>
    <mergeCell ref="D58:V58"/>
    <mergeCell ref="AG48:AH48"/>
    <mergeCell ref="Y59:AB59"/>
    <mergeCell ref="Q59:T59"/>
    <mergeCell ref="AC59:AF59"/>
  </mergeCell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pane xSplit="2" ySplit="11" topLeftCell="T12" activePane="bottomRight" state="frozen"/>
      <selection pane="topRight" activeCell="C1" sqref="C1"/>
      <selection pane="bottomLeft" activeCell="A12" sqref="A12"/>
      <selection pane="bottomRight" activeCell="U22" sqref="U21:U22"/>
    </sheetView>
  </sheetViews>
  <sheetFormatPr defaultRowHeight="15.0" baseColWidth="10" outlineLevelRow="1"/>
  <cols>
    <col min="2" max="2" width="71.1796875" hidden="0" customWidth="1"/>
    <col min="4" max="4" width="12.1796875" hidden="0" customWidth="1"/>
    <col min="5" max="5" width="12.1796875" hidden="0" customWidth="1"/>
    <col min="6" max="6" width="12.1796875" hidden="0" customWidth="1"/>
    <col min="7" max="7" width="10.453125" hidden="0" customWidth="1"/>
    <col min="8" max="8" width="12.1796875" hidden="0" customWidth="1"/>
    <col min="9" max="9" width="12" hidden="0" customWidth="1"/>
    <col min="10" max="10" width="13.26953125" hidden="0" customWidth="1"/>
    <col min="11" max="11" width="13.26953125" hidden="0" customWidth="1"/>
    <col min="12" max="12" width="13.26953125" hidden="0" customWidth="1"/>
    <col min="13" max="13" width="13.26953125" hidden="0" customWidth="1"/>
    <col min="14" max="14" width="13.26953125" hidden="0" customWidth="1"/>
    <col min="15" max="15" width="13.26953125" hidden="0" customWidth="1"/>
    <col min="16" max="16" width="13.26953125" hidden="0" customWidth="1"/>
    <col min="17" max="17" width="13.26953125" hidden="0" customWidth="1"/>
    <col min="18" max="18" width="13.26953125" hidden="0" customWidth="1"/>
    <col min="19" max="19" width="13.26953125" hidden="0" customWidth="1"/>
    <col min="20" max="20" width="13.26953125" hidden="0" customWidth="1"/>
    <col min="21" max="21" width="13.26953125" hidden="0" customWidth="1"/>
    <col min="22" max="22" width="13.26953125" hidden="0" customWidth="1"/>
    <col min="23" max="23" width="13.26953125" hidden="0" customWidth="1"/>
    <col min="24" max="24" width="13.26953125" hidden="0" customWidth="1"/>
    <col min="25" max="25" width="13.26953125" hidden="0" customWidth="1"/>
    <col min="26" max="26" width="13.26953125" hidden="0" customWidth="1"/>
    <col min="27" max="27" width="13.26953125" hidden="0" customWidth="1"/>
    <col min="28" max="28" width="13.26953125" hidden="0" customWidth="1"/>
    <col min="29" max="29" width="13.26953125" hidden="0" customWidth="1"/>
  </cols>
  <sheetData>
    <row r="1" ht="18" customHeight="1">
      <c r="B1" s="769" t="s">
        <v>465</v>
      </c>
      <c r="C1" s="769"/>
      <c r="D1" s="769"/>
      <c r="E1" s="769"/>
      <c r="F1" s="769"/>
      <c r="G1" s="769"/>
      <c r="H1" s="769"/>
      <c r="I1" s="769"/>
      <c r="J1" s="769"/>
      <c r="K1" s="769"/>
      <c r="L1" s="769"/>
      <c r="M1" s="769"/>
      <c r="N1" s="769"/>
      <c r="O1" s="769"/>
      <c r="P1" s="769"/>
      <c r="Q1" s="769"/>
      <c r="R1" s="769"/>
      <c r="S1" s="769"/>
      <c r="T1" s="769"/>
      <c r="U1" s="769"/>
      <c r="V1" s="769"/>
      <c r="W1" s="769"/>
      <c r="X1" s="769"/>
      <c r="Y1" s="769"/>
      <c r="Z1" s="769"/>
      <c r="AA1" s="769"/>
      <c r="AB1" s="769"/>
      <c r="AC1" s="769"/>
    </row>
    <row r="2" ht="34.5" customHeight="1" outlineLevel="1" hidden="1">
      <c r="B2" s="258" t="s">
        <v>861</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3" customHeight="1" outlineLevel="1" hidden="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ht="10.4" customHeight="1" outlineLevel="1" hidden="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ht="14.25" customHeight="1" outlineLevel="1" hidden="1">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ht="14.25" customHeight="1" outlineLevel="1" hidden="1">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row>
    <row r="7">
      <c r="B7" s="843" t="s">
        <v>333</v>
      </c>
      <c r="C7" s="321"/>
      <c r="D7" s="321"/>
      <c r="E7" s="321"/>
      <c r="F7" s="321"/>
      <c r="G7" s="321"/>
      <c r="H7" s="322"/>
      <c r="I7" s="322"/>
      <c r="J7" s="322"/>
      <c r="K7" s="322"/>
      <c r="L7" s="322"/>
      <c r="M7" s="322"/>
      <c r="N7" s="322"/>
      <c r="O7" s="322"/>
      <c r="P7" s="322"/>
      <c r="Q7" s="322"/>
      <c r="R7" s="322"/>
      <c r="S7" s="322"/>
      <c r="T7" s="322"/>
      <c r="U7" s="322"/>
    </row>
    <row r="8" ht="14.9" customHeight="1">
      <c r="B8" s="803" t="s">
        <v>304</v>
      </c>
      <c r="C8" s="804"/>
      <c r="D8" s="807" t="s">
        <v>280</v>
      </c>
      <c r="E8" s="808"/>
      <c r="F8" s="808"/>
      <c r="G8" s="808"/>
      <c r="H8" s="808"/>
      <c r="I8" s="808"/>
      <c r="J8" s="808"/>
      <c r="K8" s="808"/>
      <c r="L8" s="808"/>
      <c r="M8" s="808"/>
      <c r="N8" s="808"/>
      <c r="O8" s="808"/>
      <c r="P8" s="277"/>
      <c r="Q8" s="277"/>
      <c r="R8" s="277"/>
      <c r="S8" s="277"/>
      <c r="T8" s="277"/>
      <c r="U8" s="277"/>
      <c r="V8" s="267"/>
      <c r="W8" s="385" t="s">
        <v>281</v>
      </c>
      <c r="X8" s="275"/>
      <c r="Y8" s="275"/>
      <c r="Z8" s="275"/>
      <c r="AA8" s="275"/>
      <c r="AB8" s="275"/>
      <c r="AC8" s="853"/>
    </row>
    <row r="9" ht="14.9" customHeight="1">
      <c r="B9" s="805"/>
      <c r="C9" s="806"/>
      <c r="D9" s="269" t="n">
        <v>2018</v>
      </c>
      <c r="E9" s="269" t="n">
        <v>2019</v>
      </c>
      <c r="F9" s="270"/>
      <c r="G9" s="270"/>
      <c r="H9" s="271"/>
      <c r="I9" s="269" t="n">
        <v>2020</v>
      </c>
      <c r="J9" s="270"/>
      <c r="K9" s="270"/>
      <c r="L9" s="270"/>
      <c r="M9" s="269" t="n">
        <v>2021</v>
      </c>
      <c r="N9" s="270"/>
      <c r="O9" s="270"/>
      <c r="P9" s="270"/>
      <c r="Q9" s="269" t="n">
        <v>2022</v>
      </c>
      <c r="R9" s="358"/>
      <c r="S9" s="358"/>
      <c r="T9" s="271"/>
      <c r="U9" s="343"/>
      <c r="V9" s="343" t="n">
        <v>2023</v>
      </c>
      <c r="W9" s="662"/>
      <c r="X9" s="316"/>
      <c r="Y9" s="255" t="n">
        <v>2024</v>
      </c>
      <c r="Z9" s="347"/>
      <c r="AA9" s="347"/>
      <c r="AB9" s="256"/>
      <c r="AC9" s="356" t="n">
        <v>2025</v>
      </c>
    </row>
    <row r="10">
      <c r="B10" s="805"/>
      <c r="C10" s="806"/>
      <c r="D10" s="259" t="s">
        <v>282</v>
      </c>
      <c r="E10" s="259" t="s">
        <v>283</v>
      </c>
      <c r="F10" s="260" t="s">
        <v>284</v>
      </c>
      <c r="G10" s="260" t="s">
        <v>238</v>
      </c>
      <c r="H10" s="261" t="s">
        <v>282</v>
      </c>
      <c r="I10" s="260" t="s">
        <v>283</v>
      </c>
      <c r="J10" s="260" t="s">
        <v>284</v>
      </c>
      <c r="K10" s="260" t="s">
        <v>238</v>
      </c>
      <c r="L10" s="260" t="s">
        <v>282</v>
      </c>
      <c r="M10" s="259" t="s">
        <v>283</v>
      </c>
      <c r="N10" s="260" t="s">
        <v>284</v>
      </c>
      <c r="O10" s="260" t="s">
        <v>238</v>
      </c>
      <c r="P10" s="260" t="s">
        <v>282</v>
      </c>
      <c r="Q10" s="259" t="s">
        <v>283</v>
      </c>
      <c r="R10" s="260" t="s">
        <v>284</v>
      </c>
      <c r="S10" s="260" t="s">
        <v>238</v>
      </c>
      <c r="T10" s="261" t="s">
        <v>282</v>
      </c>
      <c r="U10" s="260" t="s">
        <v>283</v>
      </c>
      <c r="V10" s="341" t="s">
        <v>284</v>
      </c>
      <c r="W10" s="326" t="s">
        <v>238</v>
      </c>
      <c r="X10" s="327" t="s">
        <v>282</v>
      </c>
      <c r="Y10" s="325" t="s">
        <v>283</v>
      </c>
      <c r="Z10" s="323" t="s">
        <v>284</v>
      </c>
      <c r="AA10" s="326" t="s">
        <v>238</v>
      </c>
      <c r="AB10" s="326" t="s">
        <v>282</v>
      </c>
      <c r="AC10" s="357" t="s">
        <v>283</v>
      </c>
    </row>
    <row r="11" ht="15" customHeight="1">
      <c r="B11" s="770" t="s">
        <v>466</v>
      </c>
      <c r="C11" s="771"/>
      <c r="D11" s="770"/>
      <c r="E11" s="836"/>
      <c r="F11" s="836"/>
      <c r="G11" s="836"/>
      <c r="H11" s="373"/>
      <c r="I11" s="373"/>
      <c r="J11" s="373"/>
      <c r="K11" s="373"/>
      <c r="L11" s="373"/>
      <c r="M11" s="680"/>
      <c r="N11" s="680"/>
      <c r="O11" s="680"/>
      <c r="P11" s="373"/>
      <c r="Q11" s="373"/>
      <c r="R11" s="373"/>
      <c r="S11" s="373"/>
      <c r="T11" s="342"/>
      <c r="U11" s="373"/>
      <c r="V11" s="373"/>
      <c r="W11" s="268"/>
      <c r="X11" s="268"/>
      <c r="Y11" s="268"/>
      <c r="Z11" s="268"/>
      <c r="AA11" s="268"/>
      <c r="AB11" s="268"/>
      <c r="AC11" s="256"/>
    </row>
    <row r="12" ht="17.149999999999999" customHeight="1">
      <c r="A12" t="s">
        <v>1854</v>
      </c>
      <c r="B12" s="862" t="s">
        <v>467</v>
      </c>
      <c r="C12" s="297" t="s">
        <v>468</v>
      </c>
      <c r="D12" s="700" t="n">
        <f>'Haver Pivoted'!GO31</f>
        <v>2223</v>
      </c>
      <c r="E12" s="661" t="n">
        <f>'Haver Pivoted'!GP31</f>
        <v>2303.6</v>
      </c>
      <c r="F12" s="661" t="n">
        <f>'Haver Pivoted'!GQ31</f>
        <v>2320.1</v>
      </c>
      <c r="G12" s="661" t="n">
        <f>'Haver Pivoted'!GR31</f>
        <v>2332.9</v>
      </c>
      <c r="H12" s="661" t="n">
        <f>'Haver Pivoted'!GS31</f>
        <v>2346.6</v>
      </c>
      <c r="I12" s="661" t="n">
        <f>'Haver Pivoted'!GT31</f>
        <v>2412.6</v>
      </c>
      <c r="J12" s="661" t="n">
        <f>'Haver Pivoted'!GU31</f>
        <v>4652.1000000000004</v>
      </c>
      <c r="K12" s="661" t="n">
        <f>'Haver Pivoted'!GV31</f>
        <v>3508</v>
      </c>
      <c r="L12" s="661" t="n">
        <f>'Haver Pivoted'!GW31</f>
        <v>2895.4</v>
      </c>
      <c r="M12" s="661" t="n">
        <f>'Haver Pivoted'!GX31</f>
        <v>5127.3999999999996</v>
      </c>
      <c r="N12" s="661" t="n">
        <f>'Haver Pivoted'!GY31</f>
        <v>3403.8</v>
      </c>
      <c r="O12" s="661" t="n">
        <f>'Haver Pivoted'!GZ31</f>
        <v>3135</v>
      </c>
      <c r="P12" s="661" t="n">
        <f>'Haver Pivoted'!HA31</f>
        <v>2947.7</v>
      </c>
      <c r="Q12" s="661" t="n">
        <f>'Haver Pivoted'!HB31</f>
        <v>2903.2</v>
      </c>
      <c r="R12" s="661" t="n">
        <f>'Haver Pivoted'!HC31</f>
        <v>2895.2</v>
      </c>
      <c r="S12" s="664" t="n">
        <f>'Haver Pivoted'!HD31</f>
        <v>2867.4</v>
      </c>
      <c r="T12" s="664" t="n">
        <f>'Haver Pivoted'!HE31</f>
        <v>2896.7</v>
      </c>
      <c r="U12" s="664" t="n">
        <f>'Haver Pivoted'!HF31</f>
        <v>2945.8</v>
      </c>
      <c r="V12" s="664" t="n">
        <f>'Haver Pivoted'!HG31</f>
        <v>2929.7</v>
      </c>
      <c r="W12" s="791" t="n">
        <f t="shared" ref="W12:AC12" si="0">SUM(W14:W39)-W38</f>
        <v>3090.5375833333328</v>
      </c>
      <c r="X12" s="791" t="n">
        <f t="shared" si="0"/>
        <v>3095.0163452380957</v>
      </c>
      <c r="Y12" s="791" t="n">
        <f t="shared" si="0"/>
        <v>3158.6079007714293</v>
      </c>
      <c r="Z12" s="791" t="n">
        <f t="shared" si="0"/>
        <v>3183.4412341047623</v>
      </c>
      <c r="AA12" s="791" t="n">
        <f t="shared" si="0"/>
        <v>3211.8659218016815</v>
      </c>
      <c r="AB12" s="791" t="n">
        <f t="shared" si="0"/>
        <v>3230.2880868616562</v>
      </c>
      <c r="AC12" s="835" t="n">
        <f t="shared" si="0"/>
        <v>3279.7748295579795</v>
      </c>
    </row>
    <row r="13" ht="15.65" customHeight="1">
      <c r="A13" t="s">
        <v>1854</v>
      </c>
      <c r="B13" s="861" t="s">
        <v>798</v>
      </c>
      <c r="C13" s="297" t="s">
        <v>825</v>
      </c>
      <c r="D13" s="329" t="n">
        <v>30</v>
      </c>
      <c r="E13" s="287" t="n">
        <v>30</v>
      </c>
      <c r="F13" s="287" t="n">
        <v>30</v>
      </c>
      <c r="G13" s="287" t="n">
        <v>30</v>
      </c>
      <c r="H13" s="287" t="n">
        <v>30</v>
      </c>
      <c r="I13" s="287" t="n">
        <v>30</v>
      </c>
      <c r="J13" s="287" t="n">
        <v>30</v>
      </c>
      <c r="K13" s="283" t="n">
        <v>30.2</v>
      </c>
      <c r="L13" s="283" t="n">
        <v>30.2</v>
      </c>
      <c r="M13" s="283" t="n">
        <f>'Haver Pivoted'!GX89</f>
        <v>34.4</v>
      </c>
      <c r="N13" s="283" t="n">
        <f>'Haver Pivoted'!GY89</f>
        <v>34.4</v>
      </c>
      <c r="O13" s="283" t="n">
        <f>'Haver Pivoted'!GZ89</f>
        <v>218.933333333333</v>
      </c>
      <c r="P13" s="283" t="n">
        <f>'Haver Pivoted'!HA89</f>
        <v>223.13333333333301</v>
      </c>
      <c r="Q13" s="283" t="n">
        <f>'Haver Pivoted'!HB89</f>
        <v>94.3</v>
      </c>
      <c r="R13" s="283" t="n">
        <f>'Haver Pivoted'!HC89</f>
        <v>94.3</v>
      </c>
      <c r="S13" s="283" t="n">
        <f>'Haver Pivoted'!HD89</f>
        <v>94.3</v>
      </c>
      <c r="T13" s="283" t="n">
        <f>'Haver Pivoted'!HE89</f>
        <v>94.3</v>
      </c>
      <c r="U13" s="791" t="n">
        <v>34</v>
      </c>
      <c r="V13" s="661" t="n">
        <v>34</v>
      </c>
      <c r="W13" s="791" t="n">
        <v>34</v>
      </c>
      <c r="X13" s="791" t="n">
        <v>34</v>
      </c>
      <c r="Y13" s="791" t="n">
        <v>34</v>
      </c>
      <c r="Z13" s="791" t="n">
        <v>34</v>
      </c>
      <c r="AA13" s="791" t="n">
        <v>34</v>
      </c>
      <c r="AB13" s="791" t="n">
        <v>34</v>
      </c>
      <c r="AC13" s="835" t="n">
        <v>34</v>
      </c>
    </row>
    <row r="14" ht="15" customHeight="1">
      <c r="A14" t="s">
        <v>1851</v>
      </c>
      <c r="B14" s="785" t="s">
        <v>1843</v>
      </c>
      <c r="C14" s="297"/>
      <c r="D14" s="700" t="n">
        <f>'Unemployment Insurance'!D20+'Unemployment Insurance'!D19</f>
        <v>27.1</v>
      </c>
      <c r="E14" s="661" t="n">
        <f>'Unemployment Insurance'!E20+'Unemployment Insurance'!E19</f>
        <v>30.5</v>
      </c>
      <c r="F14" s="661" t="n">
        <f>'Unemployment Insurance'!F20+'Unemployment Insurance'!F19</f>
        <v>27.7</v>
      </c>
      <c r="G14" s="661" t="n">
        <f>'Unemployment Insurance'!G20+'Unemployment Insurance'!G19</f>
        <v>25</v>
      </c>
      <c r="H14" s="661" t="n">
        <f>'Unemployment Insurance'!H20+'Unemployment Insurance'!H19</f>
        <v>26.7</v>
      </c>
      <c r="I14" s="661" t="n">
        <f>'Unemployment Insurance'!I20+'Unemployment Insurance'!I19</f>
        <v>40.9</v>
      </c>
      <c r="J14" s="661" t="n">
        <f>'Unemployment Insurance'!J20+'Unemployment Insurance'!J19</f>
        <v>951.4</v>
      </c>
      <c r="K14" s="661" t="n">
        <f>'Unemployment Insurance'!K20+'Unemployment Insurance'!K19</f>
        <v>802.3</v>
      </c>
      <c r="L14" s="661" t="n">
        <f>'Unemployment Insurance'!L20+'Unemployment Insurance'!L19</f>
        <v>323.5</v>
      </c>
      <c r="M14" s="661" t="n">
        <f>'Unemployment Insurance'!M20+'Unemployment Insurance'!M19</f>
        <v>583.5</v>
      </c>
      <c r="N14" s="661" t="n">
        <f>'Unemployment Insurance'!N20+'Unemployment Insurance'!N19</f>
        <v>451.8</v>
      </c>
      <c r="O14" s="661" t="n">
        <f>'Unemployment Insurance'!O20+'Unemployment Insurance'!O19</f>
        <v>226.8</v>
      </c>
      <c r="P14" s="661" t="n">
        <f>'Unemployment Insurance'!P20+'Unemployment Insurance'!P19</f>
        <v>33.9</v>
      </c>
      <c r="Q14" s="661" t="n">
        <f>'Unemployment Insurance'!Q20+'Unemployment Insurance'!Q19</f>
        <v>26.2</v>
      </c>
      <c r="R14" s="661" t="n">
        <f>'Unemployment Insurance'!R20+'Unemployment Insurance'!R19</f>
        <v>21.4</v>
      </c>
      <c r="S14" s="661" t="n">
        <f>'Unemployment Insurance'!S20+'Unemployment Insurance'!S19</f>
        <v>19.600000000000001</v>
      </c>
      <c r="T14" s="661" t="n">
        <f>'Unemployment Insurance'!T20+'Unemployment Insurance'!T19</f>
        <v>22.1</v>
      </c>
      <c r="U14" s="661" t="n">
        <f>'Unemployment Insurance'!U20+'Unemployment Insurance'!U19</f>
        <v>22</v>
      </c>
      <c r="V14" s="858" t="n">
        <f>V15+V16</f>
        <v>22.62857142857143</v>
      </c>
      <c r="W14" s="791" t="n">
        <f>'Unemployment Insurance'!W20+'Unemployment Insurance'!W19</f>
        <v>22.62857142857143</v>
      </c>
      <c r="X14" s="791" t="n">
        <f>'Unemployment Insurance'!X20+'Unemployment Insurance'!X19</f>
        <v>22.7</v>
      </c>
      <c r="Y14" s="791" t="n">
        <f>'Unemployment Insurance'!Y20+'Unemployment Insurance'!Y19</f>
        <v>22.7</v>
      </c>
      <c r="Z14" s="791" t="n">
        <f>'Unemployment Insurance'!Z20+'Unemployment Insurance'!Z19</f>
        <v>22.7</v>
      </c>
      <c r="AA14" s="791" t="n">
        <f>'Unemployment Insurance'!AA20+'Unemployment Insurance'!AA19</f>
        <v>22.5</v>
      </c>
      <c r="AB14" s="791" t="n">
        <f>'Unemployment Insurance'!AB20+'Unemployment Insurance'!AB19</f>
        <v>22.5</v>
      </c>
      <c r="AC14" s="835" t="n">
        <f>'Unemployment Insurance'!AC20+'Unemployment Insurance'!AC19</f>
        <v>22.5</v>
      </c>
    </row>
    <row r="15">
      <c r="B15" s="493" t="s">
        <v>203</v>
      </c>
      <c r="C15" s="297"/>
      <c r="D15" s="700"/>
      <c r="E15" s="661"/>
      <c r="F15" s="661"/>
      <c r="G15" s="661"/>
      <c r="H15" s="661"/>
      <c r="I15" s="661"/>
      <c r="J15" s="661"/>
      <c r="K15" s="661"/>
      <c r="L15" s="661"/>
      <c r="M15" s="661"/>
      <c r="N15" s="661"/>
      <c r="O15" s="661"/>
      <c r="P15" s="661"/>
      <c r="Q15" s="661"/>
      <c r="R15" s="661"/>
      <c r="S15" s="661"/>
      <c r="T15" s="661"/>
      <c r="U15" s="661"/>
      <c r="V15" s="661" t="n">
        <f>'Unemployment Insurance'!V19</f>
        <v>0</v>
      </c>
      <c r="W15" s="791"/>
      <c r="X15" s="791"/>
      <c r="Y15" s="791"/>
      <c r="Z15" s="791"/>
      <c r="AA15" s="791"/>
      <c r="AB15" s="791"/>
      <c r="AC15" s="835"/>
    </row>
    <row r="16">
      <c r="B16" s="493" t="s">
        <v>205</v>
      </c>
      <c r="C16" s="297"/>
      <c r="D16" s="700"/>
      <c r="E16" s="661"/>
      <c r="F16" s="661"/>
      <c r="G16" s="661"/>
      <c r="H16" s="661"/>
      <c r="I16" s="661"/>
      <c r="J16" s="661"/>
      <c r="K16" s="661"/>
      <c r="L16" s="661"/>
      <c r="M16" s="661"/>
      <c r="N16" s="661"/>
      <c r="O16" s="661"/>
      <c r="P16" s="661"/>
      <c r="Q16" s="661"/>
      <c r="R16" s="661"/>
      <c r="S16" s="661"/>
      <c r="T16" s="661"/>
      <c r="U16" s="661"/>
      <c r="V16" s="661" t="n">
        <f>'Unemployment Insurance'!V20</f>
        <v>22.62857142857143</v>
      </c>
      <c r="W16" s="791"/>
      <c r="X16" s="791"/>
      <c r="Y16" s="791"/>
      <c r="Z16" s="791"/>
      <c r="AA16" s="791"/>
      <c r="AB16" s="791"/>
      <c r="AC16" s="835"/>
    </row>
    <row r="17" ht="17.899999999999999" customHeight="1">
      <c r="A17" t="s">
        <v>1851</v>
      </c>
      <c r="B17" s="785" t="s">
        <v>55</v>
      </c>
      <c r="C17" s="297"/>
      <c r="D17" s="700" t="n">
        <f>Medicare!D10</f>
        <v>755</v>
      </c>
      <c r="E17" s="661" t="n">
        <f>Medicare!E10</f>
        <v>771.9</v>
      </c>
      <c r="F17" s="661" t="n">
        <f>Medicare!F10</f>
        <v>785.3</v>
      </c>
      <c r="G17" s="661" t="n">
        <f>Medicare!G10</f>
        <v>793.9</v>
      </c>
      <c r="H17" s="661" t="n">
        <f>Medicare!H10</f>
        <v>797.9</v>
      </c>
      <c r="I17" s="661" t="n">
        <f>Medicare!I10</f>
        <v>798.4</v>
      </c>
      <c r="J17" s="661" t="n">
        <f>Medicare!J10</f>
        <v>811.1</v>
      </c>
      <c r="K17" s="661" t="n">
        <f>Medicare!K10</f>
        <v>823.1</v>
      </c>
      <c r="L17" s="661" t="n">
        <f>Medicare!L10</f>
        <v>834.5</v>
      </c>
      <c r="M17" s="661" t="n">
        <f>Medicare!M10</f>
        <v>849.4</v>
      </c>
      <c r="N17" s="661" t="n">
        <f>Medicare!N10</f>
        <v>865.6</v>
      </c>
      <c r="O17" s="661" t="n">
        <f>Medicare!O10</f>
        <v>882.6</v>
      </c>
      <c r="P17" s="661" t="n">
        <f>Medicare!P10</f>
        <v>900.3</v>
      </c>
      <c r="Q17" s="661" t="n">
        <f>Medicare!Q10</f>
        <v>918.2</v>
      </c>
      <c r="R17" s="661" t="n">
        <f>Medicare!R10</f>
        <v>924.7</v>
      </c>
      <c r="S17" s="661" t="n">
        <f>Medicare!S10</f>
        <v>927.2</v>
      </c>
      <c r="T17" s="661" t="n">
        <f>Medicare!T10</f>
        <v>934.2</v>
      </c>
      <c r="U17" s="661" t="n">
        <f>Medicare!U10</f>
        <v>938.1</v>
      </c>
      <c r="V17" s="858" t="n">
        <f>Medicare!V10</f>
        <v>941.9</v>
      </c>
      <c r="W17" s="791" t="n">
        <f>Medicare!W10</f>
        <v>946.3</v>
      </c>
      <c r="X17" s="791" t="n">
        <f>Medicare!X10</f>
        <v>951.3</v>
      </c>
      <c r="Y17" s="791" t="n">
        <f>Medicare!Y10</f>
        <v>965.3</v>
      </c>
      <c r="Z17" s="791" t="n">
        <f>Medicare!Z10</f>
        <v>983.2</v>
      </c>
      <c r="AA17" s="791" t="n">
        <f>Medicare!AA10</f>
        <v>1004.8913543635854</v>
      </c>
      <c r="AB17" s="791" t="n">
        <f>Medicare!AB10</f>
        <v>1017.6261860902274</v>
      </c>
      <c r="AC17" s="835" t="n">
        <f>Medicare!AC10</f>
        <v>1030.5224043572171</v>
      </c>
    </row>
    <row r="18" ht="18" customHeight="1">
      <c r="A18" t="s">
        <v>1851</v>
      </c>
      <c r="B18" s="786" t="s">
        <v>469</v>
      </c>
      <c r="C18" s="297"/>
      <c r="D18" s="700"/>
      <c r="E18" s="661"/>
      <c r="F18" s="661"/>
      <c r="G18" s="661"/>
      <c r="H18" s="661" t="n">
        <f>'Rebate Checks (expired)'!H10 +'Rebate Checks (expired)'!H11</f>
        <v>0</v>
      </c>
      <c r="I18" s="661" t="n">
        <f>'Rebate Checks (expired)'!I10 +'Rebate Checks (expired)'!I11</f>
        <v>0</v>
      </c>
      <c r="J18" s="661" t="n">
        <f>'Rebate Checks (expired)'!J10 +'Rebate Checks (expired)'!J11</f>
        <v>1078.0999999999999</v>
      </c>
      <c r="K18" s="661" t="n">
        <f>'Rebate Checks (expired)'!K10 +'Rebate Checks (expired)'!K11</f>
        <v>15.6</v>
      </c>
      <c r="L18" s="661" t="n">
        <f>'Rebate Checks (expired)'!L10 +'Rebate Checks (expired)'!L11</f>
        <v>5</v>
      </c>
      <c r="M18" s="661" t="n">
        <f>'Rebate Checks (expired)'!M10 +'Rebate Checks (expired)'!M11</f>
        <v>1933.6999999999998</v>
      </c>
      <c r="N18" s="661" t="n">
        <f>'Rebate Checks (expired)'!N10 +'Rebate Checks (expired)'!N11</f>
        <v>290.10000000000002</v>
      </c>
      <c r="O18" s="661" t="n">
        <f>'Rebate Checks (expired)'!O10 +'Rebate Checks (expired)'!O11</f>
        <v>38.9</v>
      </c>
      <c r="P18" s="661" t="n">
        <f>'Rebate Checks (expired)'!P10 +'Rebate Checks (expired)'!P11</f>
        <v>14.2</v>
      </c>
      <c r="Q18" s="661" t="n">
        <f>'Rebate Checks (expired)'!Q10 +'Rebate Checks (expired)'!Q11</f>
        <v>0</v>
      </c>
      <c r="R18" s="661" t="n">
        <f>'Rebate Checks (expired)'!Q10 +'Rebate Checks (expired)'!R11</f>
        <v>0</v>
      </c>
      <c r="S18" s="661" t="n">
        <f>'Rebate Checks (expired)'!S10 +'Rebate Checks (expired)'!S11</f>
        <v>0</v>
      </c>
      <c r="T18" s="661" t="n">
        <f>'Rebate Checks (expired)'!T10 +'Rebate Checks (expired)'!T11</f>
        <v>0</v>
      </c>
      <c r="U18" s="661" t="n">
        <f>'Rebate Checks (expired)'!U10 +'Rebate Checks (expired)'!U11</f>
        <v>0</v>
      </c>
      <c r="V18" s="858" t="n">
        <f>V19+V20</f>
        <v>0</v>
      </c>
      <c r="W18" s="791" t="n">
        <f>'Rebate Checks (expired)'!W10 +'Rebate Checks (expired)'!W11</f>
        <v>0</v>
      </c>
      <c r="X18" s="791" t="n">
        <f>'Rebate Checks (expired)'!X10 +'Rebate Checks (expired)'!X11</f>
        <v>0</v>
      </c>
      <c r="Y18" s="791" t="n">
        <f>'Rebate Checks (expired)'!Y10 +'Rebate Checks (expired)'!Y11</f>
        <v>0</v>
      </c>
      <c r="Z18" s="791" t="n">
        <f>'Rebate Checks (expired)'!Z10 +'Rebate Checks (expired)'!Z11</f>
        <v>0</v>
      </c>
      <c r="AA18" s="791" t="n">
        <f>'Rebate Checks (expired)'!AA10 +'Rebate Checks (expired)'!AA11</f>
        <v>0</v>
      </c>
      <c r="AB18" s="791" t="n">
        <f>'Rebate Checks (expired)'!AB10 +'Rebate Checks (expired)'!AB11</f>
        <v>0</v>
      </c>
      <c r="AC18" s="835" t="n">
        <f>'Rebate Checks (expired)'!AC10 +'Rebate Checks (expired)'!AC11</f>
        <v>0</v>
      </c>
    </row>
    <row r="19" ht="18" customHeight="1">
      <c r="B19" s="787" t="s">
        <v>1844</v>
      </c>
      <c r="C19" s="297"/>
      <c r="D19" s="700"/>
      <c r="E19" s="661"/>
      <c r="F19" s="661"/>
      <c r="G19" s="661"/>
      <c r="H19" s="661"/>
      <c r="I19" s="661"/>
      <c r="J19" s="661"/>
      <c r="K19" s="661"/>
      <c r="L19" s="661"/>
      <c r="M19" s="661"/>
      <c r="N19" s="661"/>
      <c r="O19" s="661"/>
      <c r="P19" s="661"/>
      <c r="Q19" s="661"/>
      <c r="R19" s="661"/>
      <c r="S19" s="661"/>
      <c r="T19" s="661"/>
      <c r="U19" s="661"/>
      <c r="V19" s="661" t="n">
        <v>0</v>
      </c>
      <c r="W19" s="791"/>
      <c r="X19" s="791"/>
      <c r="Y19" s="791"/>
      <c r="Z19" s="791"/>
      <c r="AA19" s="791"/>
      <c r="AB19" s="791"/>
      <c r="AC19" s="835"/>
    </row>
    <row r="20" ht="18" customHeight="1">
      <c r="B20" s="787" t="s">
        <v>1845</v>
      </c>
      <c r="C20" s="297"/>
      <c r="D20" s="700"/>
      <c r="E20" s="661"/>
      <c r="F20" s="661"/>
      <c r="G20" s="661"/>
      <c r="H20" s="661"/>
      <c r="I20" s="661"/>
      <c r="J20" s="661"/>
      <c r="K20" s="661"/>
      <c r="L20" s="661"/>
      <c r="M20" s="661"/>
      <c r="N20" s="661"/>
      <c r="O20" s="661"/>
      <c r="P20" s="661"/>
      <c r="Q20" s="661"/>
      <c r="R20" s="661"/>
      <c r="S20" s="661"/>
      <c r="T20" s="661"/>
      <c r="U20" s="661"/>
      <c r="V20" s="661" t="n">
        <v>0</v>
      </c>
      <c r="W20" s="791"/>
      <c r="X20" s="791"/>
      <c r="Y20" s="791"/>
      <c r="Z20" s="791"/>
      <c r="AA20" s="791"/>
      <c r="AB20" s="791"/>
      <c r="AC20" s="835"/>
    </row>
    <row r="21" ht="18" customHeight="1">
      <c r="A21" t="s">
        <v>1851</v>
      </c>
      <c r="B21" s="788" t="s">
        <v>49</v>
      </c>
      <c r="C21" s="297"/>
      <c r="D21" s="473" t="n">
        <f>'Provider Relief (expired)'!D11</f>
        <v>0</v>
      </c>
      <c r="E21" s="479" t="n">
        <f>'Provider Relief (expired)'!E11</f>
        <v>0</v>
      </c>
      <c r="F21" s="479" t="n">
        <f>'Provider Relief (expired)'!F11</f>
        <v>0</v>
      </c>
      <c r="G21" s="479" t="n">
        <f>'Provider Relief (expired)'!G11</f>
        <v>0</v>
      </c>
      <c r="H21" s="479" t="n">
        <f>'Provider Relief (expired)'!H11</f>
        <v>0</v>
      </c>
      <c r="I21" s="479" t="n">
        <f>'Provider Relief (expired)'!I11</f>
        <v>0</v>
      </c>
      <c r="J21" s="479" t="n">
        <f>'Provider Relief (expired)'!J11</f>
        <v>160.9</v>
      </c>
      <c r="K21" s="479" t="n">
        <f>'Provider Relief (expired)'!K11</f>
        <v>58.4</v>
      </c>
      <c r="L21" s="479" t="n">
        <f>'Provider Relief (expired)'!L11</f>
        <v>34.5</v>
      </c>
      <c r="M21" s="479" t="n">
        <f>'Provider Relief (expired)'!M11</f>
        <v>21.4</v>
      </c>
      <c r="N21" s="479" t="n">
        <f>'Provider Relief (expired)'!N11</f>
        <v>13.3</v>
      </c>
      <c r="O21" s="479" t="n">
        <f>'Provider Relief (expired)'!O11</f>
        <v>18.7</v>
      </c>
      <c r="P21" s="479" t="n">
        <f>'Provider Relief (expired)'!P11</f>
        <v>32.200000000000003</v>
      </c>
      <c r="Q21" s="479" t="n">
        <f>'Provider Relief (expired)'!Q11</f>
        <v>26.9</v>
      </c>
      <c r="R21" s="479" t="n">
        <f>'Provider Relief (expired)'!R11</f>
        <v>20</v>
      </c>
      <c r="S21" s="479" t="n">
        <f>'Provider Relief (expired)'!S11</f>
        <v>8.1</v>
      </c>
      <c r="T21" s="479" t="n">
        <f>'Provider Relief (expired)'!T11</f>
        <v>4.9000000000000004</v>
      </c>
      <c r="U21" s="479" t="n">
        <v>0</v>
      </c>
      <c r="V21" s="858" t="n">
        <v>0</v>
      </c>
      <c r="W21" s="791" t="n">
        <v>0</v>
      </c>
      <c r="X21" s="791" t="n">
        <v>0</v>
      </c>
      <c r="Y21" s="791" t="n">
        <v>0</v>
      </c>
      <c r="Z21" s="791" t="n">
        <v>0</v>
      </c>
      <c r="AA21" s="791" t="n">
        <v>0</v>
      </c>
      <c r="AB21" s="791" t="n">
        <v>0</v>
      </c>
      <c r="AC21" s="835" t="n">
        <v>0</v>
      </c>
    </row>
    <row r="22" ht="21.65" customHeight="1">
      <c r="B22" s="502" t="s">
        <v>470</v>
      </c>
      <c r="C22" s="297"/>
      <c r="D22" s="700"/>
      <c r="E22" s="661"/>
      <c r="F22" s="661"/>
      <c r="G22" s="661"/>
      <c r="H22" s="661"/>
      <c r="I22" s="661"/>
      <c r="J22" s="661" t="n">
        <f>'PPP (expired)'!J53</f>
        <v>57.2</v>
      </c>
      <c r="K22" s="661" t="n">
        <f>'PPP (expired)'!K53</f>
        <v>81.2</v>
      </c>
      <c r="L22" s="661" t="n">
        <f>'PPP (expired)'!L53</f>
        <v>24.4</v>
      </c>
      <c r="M22" s="661" t="n">
        <f>'PPP (expired)'!M53</f>
        <v>11.7</v>
      </c>
      <c r="N22" s="661" t="n">
        <f>'PPP (expired)'!N53</f>
        <v>28.5</v>
      </c>
      <c r="O22" s="661" t="n">
        <f>'PPP (expired)'!O53</f>
        <v>18.8</v>
      </c>
      <c r="P22" s="661" t="n">
        <f>'PPP (expired)'!P53</f>
        <v>1.6</v>
      </c>
      <c r="Q22" s="661" t="n">
        <f>'PPP (expired)'!Q53</f>
        <v>0</v>
      </c>
      <c r="R22" s="661" t="n">
        <f>'PPP (expired)'!R53</f>
        <v>0</v>
      </c>
      <c r="S22" s="661" t="n">
        <f>'PPP (expired)'!S53</f>
        <v>0</v>
      </c>
      <c r="T22" s="661" t="n">
        <f>'PPP (expired)'!T53</f>
        <v>0</v>
      </c>
      <c r="U22" s="661" t="n">
        <f>'PPP (expired)'!U53</f>
        <v>0</v>
      </c>
      <c r="V22" s="661" t="n">
        <f>'PPP (expired)'!V53</f>
        <v>0</v>
      </c>
      <c r="W22" s="791" t="n">
        <f>'PPP (expired)'!W53</f>
        <v>0</v>
      </c>
      <c r="X22" s="791" t="n">
        <f>'PPP (expired)'!X53</f>
        <v>0</v>
      </c>
      <c r="Y22" s="791" t="n">
        <f>'PPP (expired)'!Y53</f>
        <v>0</v>
      </c>
      <c r="Z22" s="791" t="n">
        <f>'PPP (expired)'!Z53</f>
        <v>0</v>
      </c>
      <c r="AA22" s="791" t="n">
        <f>'PPP (expired)'!AA53</f>
        <v>0</v>
      </c>
      <c r="AB22" s="791" t="n">
        <f>'PPP (expired)'!AB53</f>
        <v>0</v>
      </c>
      <c r="AC22" s="791" t="n">
        <f>'PPP (expired)'!AC53</f>
        <v>0</v>
      </c>
    </row>
    <row r="23" ht="22.4" customHeight="1">
      <c r="B23" s="502" t="s">
        <v>218</v>
      </c>
      <c r="C23" s="794"/>
      <c r="D23" s="473"/>
      <c r="E23" s="479"/>
      <c r="F23" s="479"/>
      <c r="G23" s="479"/>
      <c r="H23" s="479"/>
      <c r="I23" s="479"/>
      <c r="J23" s="479"/>
      <c r="K23" s="479"/>
      <c r="L23" s="479"/>
      <c r="M23" s="661" t="n">
        <f>'ARP Quarterly'!C4</f>
        <v>0</v>
      </c>
      <c r="N23" s="661" t="n">
        <f>'ARP Quarterly'!D4</f>
        <v>0</v>
      </c>
      <c r="O23" s="661" t="n">
        <f>'ARP Quarterly'!E4</f>
        <v>3.1040000000000418</v>
      </c>
      <c r="P23" s="661" t="n">
        <f>'ARP Quarterly'!F4</f>
        <v>19.719000000000005</v>
      </c>
      <c r="Q23" s="661" t="n">
        <f>'ARP Quarterly'!G4</f>
        <v>19.719000000000005</v>
      </c>
      <c r="R23" s="661" t="n">
        <f>'ARP Quarterly'!H4</f>
        <v>19.719000000000005</v>
      </c>
      <c r="S23" s="661" t="n">
        <f>'ARP Quarterly'!I4</f>
        <v>19.719000000000005</v>
      </c>
      <c r="T23" s="661" t="n">
        <f>'ARP Quarterly'!J4</f>
        <v>1.4159999999999999</v>
      </c>
      <c r="U23" s="661" t="n">
        <f>'ARP Quarterly'!K4</f>
        <v>1.4159999999999999</v>
      </c>
      <c r="V23" s="661" t="n">
        <f>'ARP Quarterly'!L4</f>
        <v>1.4159999999999999</v>
      </c>
      <c r="W23" s="791" t="n">
        <f>'ARP Quarterly'!M4</f>
        <v>1.4159999999999999</v>
      </c>
      <c r="X23" s="791" t="n">
        <f>'ARP Quarterly'!N4</f>
        <v>1.4790000000000001</v>
      </c>
      <c r="Y23" s="791" t="n">
        <f>'ARP Quarterly'!O4</f>
        <v>1.4790000000000001</v>
      </c>
      <c r="Z23" s="791" t="n">
        <f>'ARP Quarterly'!P4</f>
        <v>1.4790000000000001</v>
      </c>
      <c r="AA23" s="791" t="n">
        <f>'ARP Quarterly'!Q4</f>
        <v>1.4790000000000001</v>
      </c>
      <c r="AB23" s="791" t="n">
        <f>'ARP Quarterly'!R4</f>
        <v>1.63</v>
      </c>
      <c r="AC23" s="791" t="n">
        <f>'ARP Quarterly'!S4</f>
        <v>1.63</v>
      </c>
      <c r="AE23" s="794"/>
      <c r="AF23" s="794"/>
      <c r="AG23" s="794"/>
      <c r="AH23" s="794"/>
      <c r="AI23" s="794"/>
      <c r="AJ23" s="794"/>
      <c r="AK23" s="794"/>
      <c r="AL23" s="794"/>
      <c r="AM23" s="794"/>
      <c r="AN23" s="794"/>
      <c r="AO23" s="794"/>
      <c r="AP23" s="794"/>
      <c r="AQ23" s="794"/>
      <c r="AR23" s="794"/>
      <c r="AS23" s="794"/>
      <c r="AT23" s="794"/>
      <c r="AU23" s="794"/>
      <c r="AV23" s="794"/>
      <c r="AW23" s="794"/>
      <c r="AX23" s="794"/>
      <c r="AY23" s="794"/>
      <c r="AZ23" s="794"/>
      <c r="BA23" s="794"/>
      <c r="BB23" s="794"/>
      <c r="BC23" s="794"/>
      <c r="BD23" s="794"/>
      <c r="BE23" s="794"/>
      <c r="BF23" s="794"/>
      <c r="BG23" s="794"/>
      <c r="BH23" s="794"/>
      <c r="BI23" s="794"/>
      <c r="BJ23" s="794"/>
      <c r="BK23" s="794"/>
      <c r="BL23" s="794"/>
      <c r="BM23" s="794"/>
      <c r="BN23" s="794"/>
      <c r="BO23" s="794"/>
      <c r="BP23" s="794"/>
      <c r="BQ23" s="794"/>
      <c r="BR23" s="794"/>
      <c r="BS23" s="794"/>
      <c r="BT23" s="794"/>
      <c r="BU23" s="794"/>
      <c r="BV23" s="794"/>
      <c r="BW23" s="794"/>
      <c r="BX23" s="794"/>
      <c r="BY23" s="794"/>
      <c r="BZ23" s="794"/>
      <c r="CA23" s="794"/>
      <c r="CB23" s="794"/>
      <c r="CC23" s="794"/>
      <c r="CD23" s="794"/>
      <c r="CE23" s="794"/>
      <c r="CF23" s="794"/>
      <c r="CG23" s="794"/>
      <c r="CH23" s="794"/>
      <c r="CI23" s="794"/>
      <c r="CJ23" s="794"/>
      <c r="CK23" s="794"/>
      <c r="CL23" s="794"/>
      <c r="CM23" s="794"/>
      <c r="CN23" s="794"/>
      <c r="CO23" s="794"/>
      <c r="CP23" s="794"/>
      <c r="CQ23" s="794"/>
      <c r="CR23" s="794"/>
      <c r="CS23" s="794"/>
      <c r="CT23" s="794"/>
      <c r="CU23" s="794"/>
      <c r="CV23" s="794"/>
      <c r="CW23" s="794"/>
    </row>
    <row r="24" ht="36.65" customHeight="1">
      <c r="B24" s="305" t="s">
        <v>1433</v>
      </c>
      <c r="C24" s="297"/>
      <c r="D24" s="700" t="n">
        <f>D85</f>
        <v>0</v>
      </c>
      <c r="E24" s="661" t="n">
        <f t="shared" ref="E24:AC24" si="1">E85</f>
        <v>0</v>
      </c>
      <c r="F24" s="661" t="n">
        <f t="shared" si="1"/>
        <v>0</v>
      </c>
      <c r="G24" s="661" t="n">
        <f t="shared" si="1"/>
        <v>0</v>
      </c>
      <c r="H24" s="661" t="n">
        <f t="shared" si="1"/>
        <v>0</v>
      </c>
      <c r="I24" s="661" t="n">
        <f t="shared" si="1"/>
        <v>6.6417500000000018</v>
      </c>
      <c r="J24" s="661" t="n">
        <f t="shared" si="1"/>
        <v>51.388749999999995</v>
      </c>
      <c r="K24" s="661" t="n">
        <f t="shared" si="1"/>
        <v>55.337750000000007</v>
      </c>
      <c r="L24" s="661" t="n">
        <f t="shared" si="1"/>
        <v>62.597749999999998</v>
      </c>
      <c r="M24" s="661" t="n">
        <f t="shared" si="1"/>
        <v>88.07774999999998</v>
      </c>
      <c r="N24" s="661" t="n">
        <f t="shared" si="1"/>
        <v>102.89075</v>
      </c>
      <c r="O24" s="661" t="n">
        <f t="shared" si="1"/>
        <v>94.404750000000007</v>
      </c>
      <c r="P24" s="661" t="n">
        <f t="shared" si="1"/>
        <v>91.919749999999993</v>
      </c>
      <c r="Q24" s="661" t="n">
        <f t="shared" si="1"/>
        <v>80.097749999999991</v>
      </c>
      <c r="R24" s="661" t="n">
        <f t="shared" si="1"/>
        <v>69.023750000000007</v>
      </c>
      <c r="S24" s="661" t="n">
        <f t="shared" si="1"/>
        <v>61.349750000000007</v>
      </c>
      <c r="T24" s="661" t="n">
        <f t="shared" si="1"/>
        <v>81.433750000000003</v>
      </c>
      <c r="U24" s="661" t="n">
        <f t="shared" si="1"/>
        <v>75.465749999999986</v>
      </c>
      <c r="V24" s="661" t="n">
        <f t="shared" si="1"/>
        <v>48.418749999999996</v>
      </c>
      <c r="W24" s="791" t="n">
        <f t="shared" si="1"/>
        <v>48.418749999999996</v>
      </c>
      <c r="X24" s="791" t="n">
        <f t="shared" si="1"/>
        <v>48.418749999999996</v>
      </c>
      <c r="Y24" s="791" t="n">
        <f t="shared" si="1"/>
        <v>48.418749999999996</v>
      </c>
      <c r="Z24" s="791" t="n">
        <f t="shared" si="1"/>
        <v>48.418749999999996</v>
      </c>
      <c r="AA24" s="791" t="n">
        <f t="shared" si="1"/>
        <v>48.418749999999996</v>
      </c>
      <c r="AB24" s="791" t="n">
        <f t="shared" si="1"/>
        <v>48.418749999999996</v>
      </c>
      <c r="AC24" s="791" t="n">
        <f t="shared" si="1"/>
        <v>48.418749999999996</v>
      </c>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row>
    <row r="25" ht="17.149999999999999" customHeight="1">
      <c r="A25" t="s">
        <v>1854</v>
      </c>
      <c r="B25" s="862" t="s">
        <v>467</v>
      </c>
      <c r="C25" s="297" t="s">
        <v>468</v>
      </c>
      <c r="D25" s="661" t="n">
        <f>'Haver Pivoted'!GO31</f>
        <v>2223</v>
      </c>
      <c r="E25" s="661" t="n">
        <f>'Haver Pivoted'!GP31</f>
        <v>2303.6</v>
      </c>
      <c r="F25" s="661" t="n">
        <f>'Haver Pivoted'!GQ31</f>
        <v>2320.1</v>
      </c>
      <c r="G25" s="661" t="n">
        <f>'Haver Pivoted'!GR31</f>
        <v>2332.9</v>
      </c>
      <c r="H25" s="661" t="n">
        <f>'Haver Pivoted'!GS31</f>
        <v>2346.6</v>
      </c>
      <c r="I25" s="661" t="n">
        <f>'Haver Pivoted'!GT31</f>
        <v>2412.6</v>
      </c>
      <c r="J25" s="661" t="n">
        <f>'Haver Pivoted'!GU31</f>
        <v>4652.1000000000004</v>
      </c>
      <c r="K25" s="661" t="n">
        <f>'Haver Pivoted'!GV31</f>
        <v>3508</v>
      </c>
      <c r="L25" s="661" t="n">
        <f>'Haver Pivoted'!GW31</f>
        <v>2895.4</v>
      </c>
      <c r="M25" s="661" t="n">
        <f>'Haver Pivoted'!GX31</f>
        <v>5127.3999999999996</v>
      </c>
      <c r="N25" s="661" t="n">
        <f>'Haver Pivoted'!GY31</f>
        <v>3403.8</v>
      </c>
      <c r="O25" s="661" t="n">
        <f>'Haver Pivoted'!GZ31</f>
        <v>3135</v>
      </c>
      <c r="P25" s="661" t="n">
        <f>'Haver Pivoted'!HA31</f>
        <v>2947.7</v>
      </c>
      <c r="Q25" s="661" t="n">
        <f>'Haver Pivoted'!HB31</f>
        <v>2903.2</v>
      </c>
      <c r="R25" s="661" t="n">
        <f>'Haver Pivoted'!HC31</f>
        <v>2895.2</v>
      </c>
      <c r="S25" s="661" t="n">
        <f>'Haver Pivoted'!HD31</f>
        <v>2867.4</v>
      </c>
      <c r="T25" s="661" t="n">
        <f>'Haver Pivoted'!HE31</f>
        <v>2896.7</v>
      </c>
      <c r="U25" s="661" t="n">
        <f>'Haver Pivoted'!HF31</f>
        <v>2945.8</v>
      </c>
      <c r="V25" s="661" t="n">
        <f>'Haver Pivoted'!HG31</f>
        <v>2929.7</v>
      </c>
      <c r="W25" s="791"/>
      <c r="X25" s="791"/>
      <c r="Y25" s="791"/>
      <c r="Z25" s="791"/>
      <c r="AA25" s="791"/>
      <c r="AB25" s="791"/>
      <c r="AC25" s="791"/>
    </row>
    <row r="26" ht="17.149999999999999" customHeight="1">
      <c r="B26" s="321" t="s">
        <v>1853</v>
      </c>
      <c r="C26" s="297"/>
      <c r="D26" s="661" t="n">
        <f>D27+D28</f>
        <v>812.1</v>
      </c>
      <c r="E26" s="661" t="n">
        <f t="shared" ref="E26:V26" si="2">E27+E28</f>
        <v>832.4</v>
      </c>
      <c r="F26" s="661" t="n">
        <f t="shared" si="2"/>
        <v>843</v>
      </c>
      <c r="G26" s="661" t="n">
        <f t="shared" si="2"/>
        <v>848.9</v>
      </c>
      <c r="H26" s="661" t="n">
        <f t="shared" si="2"/>
        <v>854.6</v>
      </c>
      <c r="I26" s="661" t="n">
        <f t="shared" si="2"/>
        <v>875.94174999999996</v>
      </c>
      <c r="J26" s="661" t="n">
        <f t="shared" si="2"/>
        <v>2979.1887500000003</v>
      </c>
      <c r="K26" s="661" t="n">
        <f t="shared" si="2"/>
        <v>1807.73775</v>
      </c>
      <c r="L26" s="661" t="n">
        <f t="shared" si="2"/>
        <v>1280.19775</v>
      </c>
      <c r="M26" s="661" t="n">
        <f>M27+M28</f>
        <v>3500.7777499999997</v>
      </c>
      <c r="N26" s="661" t="n">
        <f t="shared" si="2"/>
        <v>1773.2907500000001</v>
      </c>
      <c r="O26" s="661" t="n">
        <f t="shared" si="2"/>
        <v>1483.542083333333</v>
      </c>
      <c r="P26" s="661" t="n">
        <f t="shared" si="2"/>
        <v>1284.7720833333331</v>
      </c>
      <c r="Q26" s="661" t="n">
        <f t="shared" si="2"/>
        <v>1138.51675</v>
      </c>
      <c r="R26" s="661" t="n">
        <f t="shared" si="2"/>
        <v>1129.1427500000002</v>
      </c>
      <c r="S26" s="661" t="n">
        <f t="shared" si="2"/>
        <v>1122.16875</v>
      </c>
      <c r="T26" s="661" t="n">
        <f t="shared" si="2"/>
        <v>1133.4497500000002</v>
      </c>
      <c r="U26" s="661" t="n">
        <f t="shared" si="2"/>
        <v>1070.9817499999999</v>
      </c>
      <c r="V26" s="661" t="n">
        <f t="shared" si="2"/>
        <v>1048.3633214285715</v>
      </c>
      <c r="W26" s="791" t="n">
        <f>W27+W28</f>
        <v>49.834749999999993</v>
      </c>
      <c r="X26" s="791" t="n">
        <f t="shared" ref="X26" si="3">X27+X28</f>
        <v>49.897749999999995</v>
      </c>
      <c r="Y26" s="791" t="n">
        <f t="shared" ref="Y26" si="4">Y27+Y28</f>
        <v>49.897749999999995</v>
      </c>
      <c r="Z26" s="791" t="n">
        <f t="shared" ref="Z26" si="5">Z27+Z28</f>
        <v>49.897749999999995</v>
      </c>
      <c r="AA26" s="791" t="n">
        <f t="shared" ref="AA26" si="6">AA27+AA28</f>
        <v>49.897749999999995</v>
      </c>
      <c r="AB26" s="791" t="n">
        <f t="shared" ref="AB26" si="7">AB27+AB28</f>
        <v>50.048749999999998</v>
      </c>
      <c r="AC26" s="791" t="n">
        <f t="shared" ref="AC26" si="8">AC27+AC28</f>
        <v>50.048749999999998</v>
      </c>
    </row>
    <row r="27" ht="17.149999999999999" customHeight="1">
      <c r="B27" s="493" t="s">
        <v>1852</v>
      </c>
      <c r="C27" s="297"/>
      <c r="D27" s="700" t="n">
        <f t="shared" ref="D27:V27" si="9">D13+D14+D17</f>
        <v>812.1</v>
      </c>
      <c r="E27" s="661" t="n">
        <f t="shared" si="9"/>
        <v>832.4</v>
      </c>
      <c r="F27" s="661" t="n">
        <f t="shared" si="9"/>
        <v>843</v>
      </c>
      <c r="G27" s="661" t="n">
        <f t="shared" si="9"/>
        <v>848.9</v>
      </c>
      <c r="H27" s="661" t="n">
        <f t="shared" si="9"/>
        <v>854.6</v>
      </c>
      <c r="I27" s="661" t="n">
        <f t="shared" si="9"/>
        <v>869.3</v>
      </c>
      <c r="J27" s="661" t="n">
        <f t="shared" si="9"/>
        <v>1792.5</v>
      </c>
      <c r="K27" s="661" t="n">
        <f t="shared" si="9"/>
        <v>1655.6</v>
      </c>
      <c r="L27" s="661" t="n">
        <f t="shared" si="9"/>
        <v>1188.2</v>
      </c>
      <c r="M27" s="661" t="n">
        <f t="shared" si="9"/>
        <v>1467.3</v>
      </c>
      <c r="N27" s="661" t="n">
        <f t="shared" si="9"/>
        <v>1351.8</v>
      </c>
      <c r="O27" s="661" t="n">
        <f t="shared" si="9"/>
        <v>1328.333333333333</v>
      </c>
      <c r="P27" s="661" t="n">
        <f t="shared" si="9"/>
        <v>1157.333333333333</v>
      </c>
      <c r="Q27" s="661" t="n">
        <f t="shared" si="9"/>
        <v>1038.7</v>
      </c>
      <c r="R27" s="661" t="n">
        <f t="shared" si="9"/>
        <v>1040.4000000000001</v>
      </c>
      <c r="S27" s="661" t="n">
        <f t="shared" si="9"/>
        <v>1041.1000000000001</v>
      </c>
      <c r="T27" s="661" t="n">
        <f t="shared" si="9"/>
        <v>1050.6000000000001</v>
      </c>
      <c r="U27" s="661" t="n">
        <f t="shared" si="9"/>
        <v>994.1</v>
      </c>
      <c r="V27" s="661" t="n">
        <f t="shared" si="9"/>
        <v>998.52857142857147</v>
      </c>
      <c r="W27" s="791"/>
      <c r="X27" s="791"/>
      <c r="Y27" s="791"/>
      <c r="Z27" s="791"/>
      <c r="AA27" s="791"/>
      <c r="AB27" s="791"/>
      <c r="AC27" s="835"/>
    </row>
    <row r="28" ht="28.5" customHeight="1">
      <c r="B28" s="493" t="s">
        <v>1849</v>
      </c>
      <c r="C28" s="297"/>
      <c r="D28" s="473" t="n">
        <f t="shared" ref="D28:AC28" si="10">D18+D23+D24+D22</f>
        <v>0</v>
      </c>
      <c r="E28" s="479" t="n">
        <f t="shared" si="10"/>
        <v>0</v>
      </c>
      <c r="F28" s="479" t="n">
        <f t="shared" si="10"/>
        <v>0</v>
      </c>
      <c r="G28" s="479" t="n">
        <f t="shared" si="10"/>
        <v>0</v>
      </c>
      <c r="H28" s="479" t="n">
        <f t="shared" si="10"/>
        <v>0</v>
      </c>
      <c r="I28" s="479" t="n">
        <f t="shared" si="10"/>
        <v>6.6417500000000018</v>
      </c>
      <c r="J28" s="479" t="n">
        <f t="shared" si="10"/>
        <v>1186.68875</v>
      </c>
      <c r="K28" s="479" t="n">
        <f t="shared" si="10"/>
        <v>152.13775000000001</v>
      </c>
      <c r="L28" s="479" t="n">
        <f t="shared" si="10"/>
        <v>91.997749999999996</v>
      </c>
      <c r="M28" s="479" t="n">
        <f t="shared" si="10"/>
        <v>2033.4777499999998</v>
      </c>
      <c r="N28" s="479" t="n">
        <f t="shared" si="10"/>
        <v>421.49075000000005</v>
      </c>
      <c r="O28" s="479" t="n">
        <f t="shared" si="10"/>
        <v>155.20875000000007</v>
      </c>
      <c r="P28" s="479" t="n">
        <f t="shared" si="10"/>
        <v>127.43875</v>
      </c>
      <c r="Q28" s="479" t="n">
        <f t="shared" si="10"/>
        <v>99.816749999999999</v>
      </c>
      <c r="R28" s="479" t="n">
        <f t="shared" si="10"/>
        <v>88.742750000000015</v>
      </c>
      <c r="S28" s="479" t="n">
        <f t="shared" si="10"/>
        <v>81.068750000000009</v>
      </c>
      <c r="T28" s="479" t="n">
        <f t="shared" si="10"/>
        <v>82.84975</v>
      </c>
      <c r="U28" s="479" t="n">
        <f t="shared" si="10"/>
        <v>76.881749999999982</v>
      </c>
      <c r="V28" s="479" t="n">
        <f t="shared" si="10"/>
        <v>49.834749999999993</v>
      </c>
      <c r="W28" s="426" t="n">
        <f t="shared" si="10"/>
        <v>49.834749999999993</v>
      </c>
      <c r="X28" s="426" t="n">
        <f t="shared" si="10"/>
        <v>49.897749999999995</v>
      </c>
      <c r="Y28" s="426" t="n">
        <f t="shared" si="10"/>
        <v>49.897749999999995</v>
      </c>
      <c r="Z28" s="426" t="n">
        <f t="shared" si="10"/>
        <v>49.897749999999995</v>
      </c>
      <c r="AA28" s="426" t="n">
        <f t="shared" si="10"/>
        <v>49.897749999999995</v>
      </c>
      <c r="AB28" s="426" t="n">
        <f t="shared" si="10"/>
        <v>50.048749999999998</v>
      </c>
      <c r="AC28" s="426" t="n">
        <f t="shared" si="10"/>
        <v>50.048749999999998</v>
      </c>
    </row>
    <row r="29">
      <c r="B29" s="502" t="s">
        <v>1855</v>
      </c>
      <c r="C29" s="297"/>
      <c r="D29" s="479" t="n">
        <f>D25-D26</f>
        <v>1410.9</v>
      </c>
      <c r="E29" s="479" t="n">
        <f t="shared" ref="E29:V29" si="11">E25-E26</f>
        <v>1471.1999999999998</v>
      </c>
      <c r="F29" s="479" t="n">
        <f t="shared" si="11"/>
        <v>1477.1</v>
      </c>
      <c r="G29" s="479" t="n">
        <f t="shared" si="11"/>
        <v>1484</v>
      </c>
      <c r="H29" s="479" t="n">
        <f t="shared" si="11"/>
        <v>1492</v>
      </c>
      <c r="I29" s="479" t="n">
        <f t="shared" si="11"/>
        <v>1536.65825</v>
      </c>
      <c r="J29" s="479" t="n">
        <f t="shared" si="11"/>
        <v>1672.9112500000001</v>
      </c>
      <c r="K29" s="479" t="n">
        <f t="shared" si="11"/>
        <v>1700.26225</v>
      </c>
      <c r="L29" s="479" t="n">
        <f t="shared" si="11"/>
        <v>1615.20225</v>
      </c>
      <c r="M29" s="479" t="n">
        <f t="shared" si="11"/>
        <v>1626.6222499999999</v>
      </c>
      <c r="N29" s="479" t="n">
        <f t="shared" si="11"/>
        <v>1630.5092500000001</v>
      </c>
      <c r="O29" s="479" t="n">
        <f t="shared" si="11"/>
        <v>1651.457916666667</v>
      </c>
      <c r="P29" s="479" t="n">
        <f t="shared" si="11"/>
        <v>1662.9279166666668</v>
      </c>
      <c r="Q29" s="479" t="n">
        <f t="shared" si="11"/>
        <v>1764.6832499999998</v>
      </c>
      <c r="R29" s="479" t="n">
        <f t="shared" si="11"/>
        <v>1766.0572499999996</v>
      </c>
      <c r="S29" s="479" t="n">
        <f t="shared" si="11"/>
        <v>1745.23125</v>
      </c>
      <c r="T29" s="479" t="n">
        <f t="shared" si="11"/>
        <v>1763.2502499999996</v>
      </c>
      <c r="U29" s="479" t="n">
        <f t="shared" si="11"/>
        <v>1874.8182500000003</v>
      </c>
      <c r="V29" s="479" t="n">
        <f t="shared" si="11"/>
        <v>1881.3366785714284</v>
      </c>
      <c r="W29" s="426"/>
      <c r="X29" s="426"/>
      <c r="Y29" s="426"/>
      <c r="Z29" s="426"/>
      <c r="AA29" s="426"/>
      <c r="AB29" s="426"/>
      <c r="AC29" s="426"/>
    </row>
    <row r="30" ht="18" customHeight="1">
      <c r="B30" s="554" t="s">
        <v>1846</v>
      </c>
      <c r="C30" s="297"/>
      <c r="D30" s="329"/>
      <c r="E30" s="287"/>
      <c r="F30" s="287"/>
      <c r="G30" s="287"/>
      <c r="H30" s="287"/>
      <c r="I30" s="287"/>
      <c r="J30" s="287"/>
      <c r="K30" s="287"/>
      <c r="L30" s="287"/>
      <c r="M30" s="287"/>
      <c r="N30" s="287"/>
      <c r="O30" s="287"/>
      <c r="P30" s="287"/>
      <c r="Q30" s="287"/>
      <c r="R30" s="287"/>
      <c r="S30" s="287"/>
      <c r="T30" s="287"/>
      <c r="U30" s="287"/>
      <c r="V30" s="661"/>
      <c r="W30" s="791"/>
      <c r="X30" s="791"/>
      <c r="Y30" s="791"/>
      <c r="Z30" s="791"/>
      <c r="AA30" s="791"/>
      <c r="AB30" s="791"/>
      <c r="AC30" s="835"/>
    </row>
    <row r="31" ht="18" customHeight="1">
      <c r="B31" s="554" t="s">
        <v>1847</v>
      </c>
      <c r="C31" s="297"/>
      <c r="D31" s="329"/>
      <c r="E31" s="287"/>
      <c r="F31" s="287"/>
      <c r="G31" s="287"/>
      <c r="H31" s="287"/>
      <c r="I31" s="287"/>
      <c r="J31" s="287"/>
      <c r="K31" s="287"/>
      <c r="L31" s="287"/>
      <c r="M31" s="287"/>
      <c r="N31" s="287"/>
      <c r="O31" s="287"/>
      <c r="P31" s="287"/>
      <c r="Q31" s="287"/>
      <c r="R31" s="287"/>
      <c r="S31" s="287"/>
      <c r="T31" s="287"/>
      <c r="U31" s="287"/>
      <c r="V31" s="661"/>
      <c r="W31" s="791"/>
      <c r="X31" s="791"/>
      <c r="Y31" s="791"/>
      <c r="Z31" s="791"/>
      <c r="AA31" s="791"/>
      <c r="AB31" s="791"/>
      <c r="AC31" s="835"/>
    </row>
    <row r="32" ht="20.149999999999999" customHeight="1">
      <c r="B32" s="324" t="s">
        <v>472</v>
      </c>
      <c r="C32" s="319"/>
      <c r="D32" s="837"/>
      <c r="E32" s="743"/>
      <c r="F32" s="743"/>
      <c r="G32" s="743"/>
      <c r="H32" s="658"/>
      <c r="I32" s="658"/>
      <c r="J32" s="658"/>
      <c r="K32" s="658"/>
      <c r="L32" s="658"/>
      <c r="M32" s="658" t="n">
        <f>'ARP Quarterly'!C5</f>
        <v>0</v>
      </c>
      <c r="N32" s="658" t="n">
        <f>'ARP Quarterly'!D5</f>
        <v>33.921840000000024</v>
      </c>
      <c r="O32" s="658" t="n">
        <f>'ARP Quarterly'!E5</f>
        <v>44.966160000000031</v>
      </c>
      <c r="P32" s="658" t="n">
        <f>'ARP Quarterly'!F5</f>
        <v>52.756999999999998</v>
      </c>
      <c r="Q32" s="658" t="n">
        <f>'ARP Quarterly'!G5</f>
        <v>52.756999999999998</v>
      </c>
      <c r="R32" s="658" t="n">
        <f>'ARP Quarterly'!H5</f>
        <v>52.756999999999998</v>
      </c>
      <c r="S32" s="658" t="n">
        <f>'ARP Quarterly'!I5</f>
        <v>52.756999999999998</v>
      </c>
      <c r="T32" s="658" t="n">
        <v>30</v>
      </c>
      <c r="U32" s="658" t="n">
        <f>'ARP Quarterly'!K5</f>
        <v>12</v>
      </c>
      <c r="V32" s="859" t="n">
        <f>'ARP Quarterly'!L5</f>
        <v>12</v>
      </c>
      <c r="W32" s="663" t="n">
        <f>'ARP Quarterly'!M5</f>
        <v>12</v>
      </c>
      <c r="X32" s="663" t="n">
        <f>'ARP Quarterly'!N5</f>
        <v>4.2219999999999995</v>
      </c>
      <c r="Y32" s="663" t="n">
        <f>'ARP Quarterly'!O5</f>
        <v>4.2219999999999995</v>
      </c>
      <c r="Z32" s="663" t="n">
        <f>'ARP Quarterly'!P5</f>
        <v>4.2219999999999995</v>
      </c>
      <c r="AA32" s="663" t="n">
        <f>'ARP Quarterly'!Q5</f>
        <v>4.2219999999999995</v>
      </c>
      <c r="AB32" s="663" t="n">
        <f>'ARP Quarterly'!R5</f>
        <v>2.3719999999999999</v>
      </c>
      <c r="AC32" s="802" t="n">
        <f>'ARP Quarterly'!S5</f>
        <v>2.3719999999999999</v>
      </c>
    </row>
    <row r="33" ht="22.4" customHeight="1">
      <c r="B33" s="305" t="s">
        <v>218</v>
      </c>
      <c r="C33" s="794"/>
      <c r="D33" s="329"/>
      <c r="E33" s="287"/>
      <c r="F33" s="287"/>
      <c r="G33" s="287"/>
      <c r="H33" s="287"/>
      <c r="I33" s="287"/>
      <c r="J33" s="287"/>
      <c r="K33" s="287"/>
      <c r="L33" s="287"/>
      <c r="M33" s="661" t="n">
        <f>'ARP Quarterly'!C4</f>
        <v>0</v>
      </c>
      <c r="N33" s="661" t="n">
        <f>'ARP Quarterly'!D4</f>
        <v>0</v>
      </c>
      <c r="O33" s="661" t="n">
        <f>'ARP Quarterly'!E4</f>
        <v>3.1040000000000418</v>
      </c>
      <c r="P33" s="661" t="n">
        <f>'ARP Quarterly'!F4</f>
        <v>19.719000000000005</v>
      </c>
      <c r="Q33" s="661" t="n">
        <f>'ARP Quarterly'!G4</f>
        <v>19.719000000000005</v>
      </c>
      <c r="R33" s="661" t="n">
        <f>'ARP Quarterly'!H4</f>
        <v>19.719000000000005</v>
      </c>
      <c r="S33" s="661" t="n">
        <f>'ARP Quarterly'!I4</f>
        <v>19.719000000000005</v>
      </c>
      <c r="T33" s="661" t="n">
        <f>'ARP Quarterly'!J4</f>
        <v>1.4159999999999999</v>
      </c>
      <c r="U33" s="661" t="n">
        <f>'ARP Quarterly'!K4</f>
        <v>1.4159999999999999</v>
      </c>
      <c r="V33" s="661" t="n">
        <f>'ARP Quarterly'!L4</f>
        <v>1.4159999999999999</v>
      </c>
      <c r="W33" s="791" t="n">
        <f>'ARP Quarterly'!M4</f>
        <v>1.4159999999999999</v>
      </c>
      <c r="X33" s="791" t="n">
        <f>'ARP Quarterly'!N4</f>
        <v>1.4790000000000001</v>
      </c>
      <c r="Y33" s="791" t="n">
        <f>'ARP Quarterly'!O4</f>
        <v>1.4790000000000001</v>
      </c>
      <c r="Z33" s="791" t="n">
        <f>'ARP Quarterly'!P4</f>
        <v>1.4790000000000001</v>
      </c>
      <c r="AA33" s="791" t="n">
        <f>'ARP Quarterly'!Q4</f>
        <v>1.4790000000000001</v>
      </c>
      <c r="AB33" s="791" t="n">
        <f>'ARP Quarterly'!R4</f>
        <v>1.63</v>
      </c>
      <c r="AC33" s="835" t="n">
        <f>'ARP Quarterly'!S4</f>
        <v>1.63</v>
      </c>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c r="BC33" s="794"/>
      <c r="BD33" s="794"/>
      <c r="BE33" s="794"/>
      <c r="BF33" s="794"/>
      <c r="BG33" s="794"/>
      <c r="BH33" s="794"/>
      <c r="BI33" s="794"/>
      <c r="BJ33" s="794"/>
      <c r="BK33" s="794"/>
      <c r="BL33" s="794"/>
      <c r="BM33" s="794"/>
      <c r="BN33" s="794"/>
      <c r="BO33" s="794"/>
      <c r="BP33" s="794"/>
      <c r="BQ33" s="794"/>
      <c r="BR33" s="794"/>
      <c r="BS33" s="794"/>
      <c r="BT33" s="794"/>
      <c r="BU33" s="794"/>
      <c r="BV33" s="794"/>
      <c r="BW33" s="794"/>
      <c r="BX33" s="794"/>
      <c r="BY33" s="794"/>
      <c r="BZ33" s="794"/>
      <c r="CA33" s="794"/>
      <c r="CB33" s="794"/>
      <c r="CC33" s="794"/>
      <c r="CD33" s="794"/>
      <c r="CE33" s="794"/>
      <c r="CF33" s="794"/>
      <c r="CG33" s="794"/>
      <c r="CH33" s="794"/>
      <c r="CI33" s="794"/>
      <c r="CJ33" s="794"/>
      <c r="CK33" s="794"/>
      <c r="CL33" s="794"/>
      <c r="CM33" s="794"/>
      <c r="CN33" s="794"/>
      <c r="CO33" s="794"/>
      <c r="CP33" s="794"/>
      <c r="CQ33" s="794"/>
      <c r="CR33" s="794"/>
      <c r="CS33" s="794"/>
      <c r="CT33" s="794"/>
      <c r="CU33" s="794"/>
      <c r="CV33" s="794"/>
      <c r="CW33" s="794"/>
    </row>
    <row r="34" ht="36.65" customHeight="1">
      <c r="B34" s="305" t="s">
        <v>1433</v>
      </c>
      <c r="C34" s="297"/>
      <c r="D34" s="330" t="n">
        <f>D85</f>
        <v>0</v>
      </c>
      <c r="E34" s="291" t="n">
        <f t="shared" ref="E34:AC34" si="12">E85</f>
        <v>0</v>
      </c>
      <c r="F34" s="291" t="n">
        <f t="shared" si="12"/>
        <v>0</v>
      </c>
      <c r="G34" s="291" t="n">
        <f t="shared" si="12"/>
        <v>0</v>
      </c>
      <c r="H34" s="291" t="n">
        <f t="shared" si="12"/>
        <v>0</v>
      </c>
      <c r="I34" s="661" t="n">
        <f t="shared" si="12"/>
        <v>6.6417500000000018</v>
      </c>
      <c r="J34" s="661" t="n">
        <f t="shared" si="12"/>
        <v>51.388749999999995</v>
      </c>
      <c r="K34" s="661" t="n">
        <f t="shared" si="12"/>
        <v>55.337750000000007</v>
      </c>
      <c r="L34" s="661" t="n">
        <f t="shared" si="12"/>
        <v>62.597749999999998</v>
      </c>
      <c r="M34" s="661" t="n">
        <f t="shared" si="12"/>
        <v>88.07774999999998</v>
      </c>
      <c r="N34" s="661" t="n">
        <f t="shared" si="12"/>
        <v>102.89075</v>
      </c>
      <c r="O34" s="661" t="n">
        <f t="shared" si="12"/>
        <v>94.404750000000007</v>
      </c>
      <c r="P34" s="661" t="n">
        <f t="shared" si="12"/>
        <v>91.919749999999993</v>
      </c>
      <c r="Q34" s="661" t="n">
        <f t="shared" si="12"/>
        <v>80.097749999999991</v>
      </c>
      <c r="R34" s="661" t="n">
        <f t="shared" si="12"/>
        <v>69.023750000000007</v>
      </c>
      <c r="S34" s="661" t="n">
        <f t="shared" si="12"/>
        <v>61.349750000000007</v>
      </c>
      <c r="T34" s="661" t="n">
        <f t="shared" si="12"/>
        <v>81.433750000000003</v>
      </c>
      <c r="U34" s="661" t="n">
        <f t="shared" si="12"/>
        <v>75.465749999999986</v>
      </c>
      <c r="V34" s="661" t="n">
        <f>V85</f>
        <v>48.418749999999996</v>
      </c>
      <c r="W34" s="791" t="n">
        <f>W85</f>
        <v>48.418749999999996</v>
      </c>
      <c r="X34" s="791" t="n">
        <f t="shared" si="12"/>
        <v>48.418749999999996</v>
      </c>
      <c r="Y34" s="791" t="n">
        <f t="shared" si="12"/>
        <v>48.418749999999996</v>
      </c>
      <c r="Z34" s="791" t="n">
        <f t="shared" si="12"/>
        <v>48.418749999999996</v>
      </c>
      <c r="AA34" s="791" t="n">
        <f t="shared" si="12"/>
        <v>48.418749999999996</v>
      </c>
      <c r="AB34" s="791" t="n">
        <f t="shared" si="12"/>
        <v>48.418749999999996</v>
      </c>
      <c r="AC34" s="835" t="n">
        <f t="shared" si="12"/>
        <v>48.418749999999996</v>
      </c>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row>
    <row r="35" ht="15.65" customHeight="1">
      <c r="B35" s="860" t="s">
        <v>798</v>
      </c>
      <c r="C35" s="297" t="s">
        <v>825</v>
      </c>
      <c r="D35" s="329" t="n">
        <v>30</v>
      </c>
      <c r="E35" s="287" t="n">
        <v>30</v>
      </c>
      <c r="F35" s="287" t="n">
        <v>30</v>
      </c>
      <c r="G35" s="287" t="n">
        <v>30</v>
      </c>
      <c r="H35" s="287" t="n">
        <v>30</v>
      </c>
      <c r="I35" s="287" t="n">
        <v>30</v>
      </c>
      <c r="J35" s="287" t="n">
        <v>30</v>
      </c>
      <c r="K35" s="283" t="n">
        <v>30.2</v>
      </c>
      <c r="L35" s="283" t="n">
        <v>30.2</v>
      </c>
      <c r="M35" s="283" t="n">
        <f>'Haver Pivoted'!GX89</f>
        <v>34.4</v>
      </c>
      <c r="N35" s="283" t="n">
        <f>'Haver Pivoted'!GY89</f>
        <v>34.4</v>
      </c>
      <c r="O35" s="283" t="n">
        <f>'Haver Pivoted'!GZ89</f>
        <v>218.933333333333</v>
      </c>
      <c r="P35" s="283" t="n">
        <f>'Haver Pivoted'!HA89</f>
        <v>223.13333333333301</v>
      </c>
      <c r="Q35" s="283" t="n">
        <f>'Haver Pivoted'!HB89</f>
        <v>94.3</v>
      </c>
      <c r="R35" s="283" t="n">
        <f>'Haver Pivoted'!HC89</f>
        <v>94.3</v>
      </c>
      <c r="S35" s="535" t="n">
        <f>'Haver Pivoted'!HD89</f>
        <v>94.3</v>
      </c>
      <c r="T35" s="535" t="n">
        <f>'Haver Pivoted'!HE89</f>
        <v>94.3</v>
      </c>
      <c r="U35" s="791" t="n">
        <v>34</v>
      </c>
      <c r="V35" s="661" t="n">
        <v>34</v>
      </c>
      <c r="W35" s="791" t="n">
        <v>34</v>
      </c>
      <c r="X35" s="791" t="n">
        <v>34</v>
      </c>
      <c r="Y35" s="791" t="n">
        <v>34</v>
      </c>
      <c r="Z35" s="791" t="n">
        <v>34</v>
      </c>
      <c r="AA35" s="791" t="n">
        <v>34</v>
      </c>
      <c r="AB35" s="791" t="n">
        <v>34</v>
      </c>
      <c r="AC35" s="835" t="n">
        <v>34</v>
      </c>
    </row>
    <row r="36" ht="21.65" customHeight="1">
      <c r="B36" s="305" t="s">
        <v>470</v>
      </c>
      <c r="C36" s="297"/>
      <c r="D36" s="330"/>
      <c r="E36" s="291"/>
      <c r="F36" s="291"/>
      <c r="G36" s="291"/>
      <c r="H36" s="661"/>
      <c r="I36" s="661"/>
      <c r="J36" s="661" t="n">
        <f>'PPP (expired)'!J53</f>
        <v>57.2</v>
      </c>
      <c r="K36" s="661" t="n">
        <f>'PPP (expired)'!K53</f>
        <v>81.2</v>
      </c>
      <c r="L36" s="661" t="n">
        <f>'PPP (expired)'!L53</f>
        <v>24.4</v>
      </c>
      <c r="M36" s="661" t="n">
        <f>'PPP (expired)'!M53</f>
        <v>11.7</v>
      </c>
      <c r="N36" s="661" t="n">
        <f>'PPP (expired)'!N53</f>
        <v>28.5</v>
      </c>
      <c r="O36" s="661" t="n">
        <f>'PPP (expired)'!O53</f>
        <v>18.8</v>
      </c>
      <c r="P36" s="661" t="n">
        <f>'PPP (expired)'!P53</f>
        <v>1.6</v>
      </c>
      <c r="Q36" s="661" t="n">
        <f>'PPP (expired)'!Q53</f>
        <v>0</v>
      </c>
      <c r="R36" s="661" t="n">
        <f>'PPP (expired)'!Q61</f>
        <v>0</v>
      </c>
      <c r="S36" s="661" t="n">
        <f>'PPP (expired)'!S53</f>
        <v>0</v>
      </c>
      <c r="T36" s="661" t="n">
        <f>'PPP (expired)'!T53</f>
        <v>0</v>
      </c>
      <c r="U36" s="661" t="n">
        <f>'PPP (expired)'!U53</f>
        <v>0</v>
      </c>
      <c r="V36" s="661" t="n">
        <f>'PPP (expired)'!V53</f>
        <v>0</v>
      </c>
      <c r="W36" s="791" t="n">
        <f>'PPP (expired)'!W53</f>
        <v>0</v>
      </c>
      <c r="X36" s="791" t="n">
        <f>'PPP (expired)'!X53</f>
        <v>0</v>
      </c>
      <c r="Y36" s="791" t="n">
        <f>'PPP (expired)'!Y53</f>
        <v>0</v>
      </c>
      <c r="Z36" s="791" t="n">
        <f>'PPP (expired)'!Z53</f>
        <v>0</v>
      </c>
      <c r="AA36" s="791" t="n">
        <f>'PPP (expired)'!AA53</f>
        <v>0</v>
      </c>
      <c r="AB36" s="791" t="n">
        <f>'PPP (expired)'!AB53</f>
        <v>0</v>
      </c>
      <c r="AC36" s="835" t="n">
        <f>'PPP (expired)'!AC53</f>
        <v>0</v>
      </c>
    </row>
    <row r="37" ht="21.65" customHeight="1">
      <c r="B37" s="554" t="s">
        <v>799</v>
      </c>
      <c r="C37" s="297"/>
      <c r="D37" s="700" t="n">
        <f t="shared" ref="D37:AC37" si="13">D109</f>
        <v>0</v>
      </c>
      <c r="E37" s="661" t="n">
        <f t="shared" si="13"/>
        <v>0</v>
      </c>
      <c r="F37" s="661" t="n">
        <f t="shared" si="13"/>
        <v>0</v>
      </c>
      <c r="G37" s="661" t="n">
        <f t="shared" si="13"/>
        <v>0</v>
      </c>
      <c r="H37" s="661" t="n">
        <f t="shared" si="13"/>
        <v>0</v>
      </c>
      <c r="I37" s="661" t="n">
        <f t="shared" si="13"/>
        <v>-6.6417499999997744</v>
      </c>
      <c r="J37" s="661" t="n">
        <f t="shared" si="13"/>
        <v>-38.222083333332648</v>
      </c>
      <c r="K37" s="661" t="n">
        <f t="shared" si="13"/>
        <v>84.695583333333389</v>
      </c>
      <c r="L37" s="661" t="n">
        <f t="shared" si="13"/>
        <v>16.60225000000014</v>
      </c>
      <c r="M37" s="661" t="n">
        <f t="shared" si="13"/>
        <v>16.668916666666519</v>
      </c>
      <c r="N37" s="661" t="n">
        <f t="shared" si="13"/>
        <v>-12.19925666666677</v>
      </c>
      <c r="O37" s="661" t="n">
        <f t="shared" si="13"/>
        <v>-14.628243333333103</v>
      </c>
      <c r="P37" s="661" t="n">
        <f t="shared" si="13"/>
        <v>-31.382416666666586</v>
      </c>
      <c r="Q37" s="661" t="n">
        <f t="shared" si="13"/>
        <v>-3.1812166666670691</v>
      </c>
      <c r="R37" s="661" t="n">
        <f t="shared" si="13"/>
        <v>-1.8405500000005759</v>
      </c>
      <c r="S37" s="661" t="n">
        <f t="shared" si="13"/>
        <v>-17.699883333333901</v>
      </c>
      <c r="T37" s="661" t="n">
        <f t="shared" si="13"/>
        <v>19.342783333332591</v>
      </c>
      <c r="U37" s="857" t="n">
        <f t="shared" si="13"/>
        <v>40.229804999999715</v>
      </c>
      <c r="V37" s="661" t="n">
        <f>V109</f>
        <v>39.814900238094424</v>
      </c>
      <c r="W37" s="791" t="n">
        <f t="shared" si="13"/>
        <v>39.814900238094424</v>
      </c>
      <c r="X37" s="791" t="n">
        <f t="shared" si="13"/>
        <v>39.814900238094424</v>
      </c>
      <c r="Y37" s="791" t="n">
        <f t="shared" si="13"/>
        <v>39.814900238094424</v>
      </c>
      <c r="Z37" s="791" t="n">
        <f t="shared" si="13"/>
        <v>39.814900238094424</v>
      </c>
      <c r="AA37" s="791" t="n">
        <f t="shared" si="13"/>
        <v>39.814900238094424</v>
      </c>
      <c r="AB37" s="791" t="n">
        <f t="shared" si="13"/>
        <v>39.814900238094424</v>
      </c>
      <c r="AC37" s="835" t="n">
        <f t="shared" si="13"/>
        <v>39.814900238094424</v>
      </c>
    </row>
    <row r="38" ht="21" customHeight="1">
      <c r="B38" s="324" t="s">
        <v>796</v>
      </c>
      <c r="C38" s="319"/>
      <c r="D38" s="837" t="n">
        <f t="shared" ref="D38:AC38" si="14">D33+D21</f>
        <v>0</v>
      </c>
      <c r="E38" s="743" t="n">
        <f t="shared" si="14"/>
        <v>0</v>
      </c>
      <c r="F38" s="743" t="n">
        <f t="shared" si="14"/>
        <v>0</v>
      </c>
      <c r="G38" s="743" t="n">
        <f t="shared" si="14"/>
        <v>0</v>
      </c>
      <c r="H38" s="743" t="n">
        <f t="shared" si="14"/>
        <v>0</v>
      </c>
      <c r="I38" s="743" t="n">
        <f t="shared" si="14"/>
        <v>0</v>
      </c>
      <c r="J38" s="743" t="n">
        <f t="shared" si="14"/>
        <v>160.9</v>
      </c>
      <c r="K38" s="743" t="n">
        <f t="shared" si="14"/>
        <v>58.4</v>
      </c>
      <c r="L38" s="743" t="n">
        <f t="shared" si="14"/>
        <v>34.5</v>
      </c>
      <c r="M38" s="743" t="n">
        <f t="shared" si="14"/>
        <v>21.4</v>
      </c>
      <c r="N38" s="743" t="n">
        <f t="shared" si="14"/>
        <v>13.3</v>
      </c>
      <c r="O38" s="743" t="n">
        <f t="shared" si="14"/>
        <v>21.804000000000041</v>
      </c>
      <c r="P38" s="658" t="n">
        <f t="shared" si="14"/>
        <v>51.919000000000011</v>
      </c>
      <c r="Q38" s="743" t="n">
        <f t="shared" si="14"/>
        <v>46.619</v>
      </c>
      <c r="R38" s="743" t="n">
        <f t="shared" si="14"/>
        <v>39.719000000000008</v>
      </c>
      <c r="S38" s="743" t="n">
        <f t="shared" si="14"/>
        <v>27.819000000000003</v>
      </c>
      <c r="T38" s="658" t="n">
        <f t="shared" si="14"/>
        <v>6.3160000000000007</v>
      </c>
      <c r="U38" s="658" t="n">
        <f t="shared" si="14"/>
        <v>1.4159999999999999</v>
      </c>
      <c r="V38" s="859" t="n">
        <f t="shared" si="14"/>
        <v>1.4159999999999999</v>
      </c>
      <c r="W38" s="663" t="n">
        <f t="shared" si="14"/>
        <v>1.4159999999999999</v>
      </c>
      <c r="X38" s="663" t="n">
        <f t="shared" si="14"/>
        <v>1.4790000000000001</v>
      </c>
      <c r="Y38" s="663" t="n">
        <f t="shared" si="14"/>
        <v>1.4790000000000001</v>
      </c>
      <c r="Z38" s="663" t="n">
        <f t="shared" si="14"/>
        <v>1.4790000000000001</v>
      </c>
      <c r="AA38" s="663" t="n">
        <f t="shared" si="14"/>
        <v>1.4790000000000001</v>
      </c>
      <c r="AB38" s="663" t="n">
        <f t="shared" si="14"/>
        <v>1.63</v>
      </c>
      <c r="AC38" s="663" t="n">
        <f t="shared" si="14"/>
        <v>1.63</v>
      </c>
    </row>
    <row r="39" ht="44.9" customHeight="1">
      <c r="B39" s="305" t="s">
        <v>803</v>
      </c>
      <c r="C39" s="297"/>
      <c r="D39" s="700" t="n">
        <f t="shared" ref="D39:AC39" si="15">D101</f>
        <v>1410.9</v>
      </c>
      <c r="E39" s="661" t="n">
        <f t="shared" si="15"/>
        <v>1471.1999999999998</v>
      </c>
      <c r="F39" s="661" t="n">
        <f t="shared" si="15"/>
        <v>1477.1000000000001</v>
      </c>
      <c r="G39" s="661" t="n">
        <f t="shared" si="15"/>
        <v>1484</v>
      </c>
      <c r="H39" s="661" t="n">
        <f t="shared" si="15"/>
        <v>1492</v>
      </c>
      <c r="I39" s="661" t="n">
        <f t="shared" si="15"/>
        <v>1543.2999999999997</v>
      </c>
      <c r="J39" s="661" t="n">
        <f t="shared" si="15"/>
        <v>1550.2333333333331</v>
      </c>
      <c r="K39" s="661" t="n">
        <f t="shared" si="15"/>
        <v>1557.1666666666665</v>
      </c>
      <c r="L39" s="661" t="n">
        <f t="shared" si="15"/>
        <v>1564.1</v>
      </c>
      <c r="M39" s="661" t="n">
        <f t="shared" si="15"/>
        <v>1588.5533333333333</v>
      </c>
      <c r="N39" s="661" t="n">
        <f t="shared" si="15"/>
        <v>1595.4866666666667</v>
      </c>
      <c r="O39" s="661" t="n">
        <f t="shared" si="15"/>
        <v>1602.42</v>
      </c>
      <c r="P39" s="661" t="n">
        <f t="shared" si="15"/>
        <v>1609.3533333333335</v>
      </c>
      <c r="Q39" s="661" t="n">
        <f t="shared" si="15"/>
        <v>1688.207466666667</v>
      </c>
      <c r="R39" s="661" t="n">
        <f t="shared" si="15"/>
        <v>1695.1408000000004</v>
      </c>
      <c r="S39" s="661" t="n">
        <f t="shared" si="15"/>
        <v>1702.0741333333337</v>
      </c>
      <c r="T39" s="661" t="n">
        <f t="shared" si="15"/>
        <v>1709.0074666666671</v>
      </c>
      <c r="U39" s="661" t="n">
        <f t="shared" si="15"/>
        <v>1822.5884450000005</v>
      </c>
      <c r="V39" s="661" t="n">
        <f t="shared" si="15"/>
        <v>1829.5217783333339</v>
      </c>
      <c r="W39" s="791" t="n">
        <f t="shared" si="15"/>
        <v>1836.4551116666673</v>
      </c>
      <c r="X39" s="791" t="n">
        <f t="shared" si="15"/>
        <v>1843.3884450000007</v>
      </c>
      <c r="Y39" s="791" t="n">
        <f t="shared" si="15"/>
        <v>1892.9800005333341</v>
      </c>
      <c r="Z39" s="791" t="n">
        <f t="shared" si="15"/>
        <v>1899.9133338666675</v>
      </c>
      <c r="AA39" s="791" t="n">
        <f t="shared" si="15"/>
        <v>1906.8466672000009</v>
      </c>
      <c r="AB39" s="791" t="n">
        <f t="shared" si="15"/>
        <v>1913.7800005333343</v>
      </c>
      <c r="AC39" s="835" t="n">
        <f t="shared" si="15"/>
        <v>1950.3705249626676</v>
      </c>
    </row>
    <row r="40" ht="44.9" customHeight="1">
      <c r="B40" s="503" t="s">
        <v>1185</v>
      </c>
      <c r="D40" s="700"/>
      <c r="E40" s="661"/>
      <c r="F40" s="661"/>
      <c r="G40" s="661"/>
      <c r="H40" s="661"/>
      <c r="I40" s="661"/>
      <c r="J40" s="661"/>
      <c r="K40" s="661"/>
      <c r="L40" s="661"/>
      <c r="M40" s="661"/>
      <c r="N40" s="661"/>
      <c r="O40" s="661"/>
      <c r="P40" s="661"/>
      <c r="Q40" s="661"/>
      <c r="R40" s="661"/>
      <c r="S40" s="781" t="n">
        <f>'IRA and CHIPS'!E191</f>
        <v>-0.622</v>
      </c>
      <c r="T40" s="781" t="n">
        <f>'IRA and CHIPS'!F191</f>
        <v>21.89</v>
      </c>
      <c r="U40" s="781" t="n">
        <f>'IRA and CHIPS'!G191</f>
        <v>21.89</v>
      </c>
      <c r="V40" s="781" t="n">
        <f>'IRA and CHIPS'!H191</f>
        <v>21.89</v>
      </c>
      <c r="W40" s="793" t="n">
        <f>'IRA and CHIPS'!I191</f>
        <v>21.89</v>
      </c>
      <c r="X40" s="793" t="n">
        <f>'IRA and CHIPS'!J191</f>
        <v>15.439</v>
      </c>
      <c r="Y40" s="793" t="n">
        <f>'IRA and CHIPS'!K191</f>
        <v>15.439</v>
      </c>
      <c r="Z40" s="793" t="n">
        <f>'IRA and CHIPS'!L191</f>
        <v>15.439</v>
      </c>
      <c r="AA40" s="793" t="n">
        <f>'IRA and CHIPS'!M191</f>
        <v>15.439</v>
      </c>
      <c r="AB40" s="793" t="n">
        <f>'IRA and CHIPS'!N191</f>
        <v>16.966999999999999</v>
      </c>
      <c r="AC40" s="863" t="n">
        <f>'IRA and CHIPS'!O191</f>
        <v>16.966999999999999</v>
      </c>
    </row>
    <row r="41" ht="31.4" customHeight="1">
      <c r="B41" s="688" t="s">
        <v>800</v>
      </c>
      <c r="C41" s="319"/>
      <c r="D41" s="658" t="n">
        <f t="shared" ref="D41:R41" si="16">D39+SUM(D34:D37)+D40</f>
        <v>1440.9</v>
      </c>
      <c r="E41" s="658" t="n">
        <f t="shared" si="16"/>
        <v>1501.1999999999998</v>
      </c>
      <c r="F41" s="658" t="n">
        <f t="shared" si="16"/>
        <v>1507.1000000000001</v>
      </c>
      <c r="G41" s="658" t="n">
        <f t="shared" si="16"/>
        <v>1514</v>
      </c>
      <c r="H41" s="658" t="n">
        <f t="shared" si="16"/>
        <v>1522</v>
      </c>
      <c r="I41" s="658" t="n">
        <f t="shared" si="16"/>
        <v>1573.3</v>
      </c>
      <c r="J41" s="658" t="n">
        <f t="shared" si="16"/>
        <v>1650.6000000000004</v>
      </c>
      <c r="K41" s="658" t="n">
        <f t="shared" si="16"/>
        <v>1808.6</v>
      </c>
      <c r="L41" s="658" t="n">
        <f t="shared" si="16"/>
        <v>1697.9</v>
      </c>
      <c r="M41" s="658" t="n">
        <f t="shared" si="16"/>
        <v>1739.3999999999999</v>
      </c>
      <c r="N41" s="658" t="n">
        <f t="shared" si="16"/>
        <v>1749.07816</v>
      </c>
      <c r="O41" s="658" t="n">
        <f t="shared" si="16"/>
        <v>1919.92984</v>
      </c>
      <c r="P41" s="658" t="n">
        <f t="shared" si="16"/>
        <v>1894.6239999999998</v>
      </c>
      <c r="Q41" s="658" t="n">
        <f t="shared" si="16"/>
        <v>1859.424</v>
      </c>
      <c r="R41" s="658" t="n">
        <f t="shared" si="16"/>
        <v>1856.6239999999998</v>
      </c>
      <c r="S41" s="658" t="n">
        <f>S39+SUM(S34:S37)+S40</f>
        <v>1839.4019999999998</v>
      </c>
      <c r="T41" s="809" t="n">
        <f>T39+SUM(T34:T37)+T40</f>
        <v>1925.9739999999999</v>
      </c>
      <c r="U41" s="809" t="n">
        <f>U39+SUM(U34:U37)+U40</f>
        <v>1994.1740000000004</v>
      </c>
      <c r="V41" s="859" t="n">
        <f>V39+SUM(V34:V37)+V40</f>
        <v>1973.6454285714285</v>
      </c>
      <c r="W41" s="663" t="n">
        <f t="shared" ref="W41:AC41" si="17">W39+SUM(W34:W37)+W40</f>
        <v>1980.5787619047619</v>
      </c>
      <c r="X41" s="663" t="n">
        <f t="shared" si="17"/>
        <v>1981.0610952380953</v>
      </c>
      <c r="Y41" s="663" t="n">
        <f t="shared" si="17"/>
        <v>2030.6526507714286</v>
      </c>
      <c r="Z41" s="663" t="n">
        <f t="shared" si="17"/>
        <v>2037.585984104762</v>
      </c>
      <c r="AA41" s="663" t="n">
        <f t="shared" si="17"/>
        <v>2044.5193174380954</v>
      </c>
      <c r="AB41" s="663" t="n">
        <f t="shared" si="17"/>
        <v>2052.9806507714288</v>
      </c>
      <c r="AC41" s="663" t="n">
        <f t="shared" si="17"/>
        <v>2089.5711752007619</v>
      </c>
    </row>
    <row r="42" ht="31.4" customHeight="1">
      <c r="B42" s="688"/>
      <c r="C42" s="319"/>
      <c r="D42" s="658"/>
      <c r="E42" s="658"/>
      <c r="F42" s="658"/>
      <c r="G42" s="658"/>
      <c r="H42" s="658"/>
      <c r="I42" s="658"/>
      <c r="J42" s="658"/>
      <c r="K42" s="658"/>
      <c r="L42" s="658"/>
      <c r="M42" s="658"/>
      <c r="N42" s="658"/>
      <c r="O42" s="658"/>
      <c r="P42" s="658"/>
      <c r="Q42" s="658"/>
      <c r="R42" s="658"/>
      <c r="S42" s="658"/>
      <c r="T42" s="658"/>
      <c r="U42" s="658"/>
      <c r="V42" s="658" t="n">
        <f>V12-SUM(V14,V17,V18,V21,V32,V33,V34,V35)+V40</f>
        <v>1891.2266785714285</v>
      </c>
      <c r="W42" s="663"/>
      <c r="X42" s="663"/>
      <c r="Y42" s="663"/>
      <c r="Z42" s="663"/>
      <c r="AA42" s="663"/>
      <c r="AB42" s="663"/>
      <c r="AC42" s="663"/>
    </row>
    <row r="43" ht="31.4" customHeight="1">
      <c r="B43" s="770" t="s">
        <v>473</v>
      </c>
      <c r="C43" s="771"/>
      <c r="D43" s="683"/>
      <c r="E43" s="684"/>
      <c r="F43" s="684"/>
      <c r="G43" s="684"/>
      <c r="H43" s="684"/>
      <c r="I43" s="684"/>
      <c r="J43" s="684"/>
      <c r="K43" s="684"/>
      <c r="L43" s="684"/>
      <c r="M43" s="684"/>
      <c r="N43" s="684"/>
      <c r="O43" s="684"/>
      <c r="P43" s="684"/>
      <c r="Q43" s="684"/>
      <c r="R43" s="684"/>
      <c r="S43" s="684"/>
      <c r="T43" s="658"/>
      <c r="U43" s="684"/>
      <c r="V43" s="658" t="n">
        <f>V39+V37</f>
        <v>1869.3366785714284</v>
      </c>
      <c r="W43" s="663"/>
      <c r="X43" s="663"/>
      <c r="Y43" s="663"/>
      <c r="Z43" s="663"/>
      <c r="AA43" s="663"/>
      <c r="AB43" s="663"/>
      <c r="AC43" s="802"/>
    </row>
    <row r="44">
      <c r="B44" s="554" t="s">
        <v>805</v>
      </c>
      <c r="C44" s="297" t="s">
        <v>474</v>
      </c>
      <c r="D44" s="330" t="n">
        <f>'Haver Pivoted'!GO37</f>
        <v>733.6</v>
      </c>
      <c r="E44" s="291" t="n">
        <f>'Haver Pivoted'!GP37</f>
        <v>744.2</v>
      </c>
      <c r="F44" s="291" t="n">
        <f>'Haver Pivoted'!GQ37</f>
        <v>762.1</v>
      </c>
      <c r="G44" s="291" t="n">
        <f>'Haver Pivoted'!GR37</f>
        <v>772.2</v>
      </c>
      <c r="H44" s="291" t="n">
        <f>'Haver Pivoted'!GS37</f>
        <v>772.4</v>
      </c>
      <c r="I44" s="291" t="n">
        <f>'Haver Pivoted'!GT37</f>
        <v>761.7</v>
      </c>
      <c r="J44" s="291" t="n">
        <f>'Haver Pivoted'!GU37</f>
        <v>812.1</v>
      </c>
      <c r="K44" s="291" t="n">
        <f>'Haver Pivoted'!GV37</f>
        <v>850.2</v>
      </c>
      <c r="L44" s="291" t="n">
        <f>'Haver Pivoted'!GW37</f>
        <v>838.8</v>
      </c>
      <c r="M44" s="291" t="n">
        <f>'Haver Pivoted'!GX37</f>
        <v>866.1</v>
      </c>
      <c r="N44" s="291" t="n">
        <f>'Haver Pivoted'!GY37</f>
        <v>908</v>
      </c>
      <c r="O44" s="291" t="n">
        <f>'Haver Pivoted'!GZ37</f>
        <v>915.6</v>
      </c>
      <c r="P44" s="291" t="n">
        <f>'Haver Pivoted'!HA37</f>
        <v>912.9</v>
      </c>
      <c r="Q44" s="291" t="n">
        <f>'Haver Pivoted'!HB37</f>
        <v>960.5</v>
      </c>
      <c r="R44" s="291" t="n">
        <f>'Haver Pivoted'!HC37</f>
        <v>995.3</v>
      </c>
      <c r="S44" s="742" t="n">
        <f>'Haver Pivoted'!HD37</f>
        <v>1015.5</v>
      </c>
      <c r="T44" s="742" t="n">
        <f>'Haver Pivoted'!HE37</f>
        <v>1078.2</v>
      </c>
      <c r="U44" s="742" t="n">
        <f>'Haver Pivoted'!HF37</f>
        <v>1055.7</v>
      </c>
      <c r="V44" s="742" t="n">
        <f>'Haver Pivoted'!HG37</f>
        <v>1087.5</v>
      </c>
      <c r="W44" s="514"/>
      <c r="X44" s="514"/>
      <c r="Y44" s="514"/>
      <c r="Z44" s="514"/>
      <c r="AA44" s="514"/>
      <c r="AB44" s="514"/>
      <c r="AC44" s="848"/>
    </row>
    <row r="45">
      <c r="B45" s="657" t="s">
        <v>209</v>
      </c>
      <c r="C45" s="297"/>
      <c r="D45" s="700" t="n">
        <f>Medicaid!D27</f>
        <v>589.5</v>
      </c>
      <c r="E45" s="661" t="n">
        <f>Medicaid!E27</f>
        <v>598.70000000000005</v>
      </c>
      <c r="F45" s="661" t="n">
        <f>Medicaid!F27</f>
        <v>614.4</v>
      </c>
      <c r="G45" s="661" t="n">
        <f>Medicaid!G27</f>
        <v>622.4</v>
      </c>
      <c r="H45" s="661" t="n">
        <f>Medicaid!H27</f>
        <v>620.6</v>
      </c>
      <c r="I45" s="661" t="n">
        <f>Medicaid!I27</f>
        <v>606.4</v>
      </c>
      <c r="J45" s="661" t="n">
        <f>Medicaid!J27</f>
        <v>654.6</v>
      </c>
      <c r="K45" s="661" t="n">
        <f>Medicaid!K27</f>
        <v>690.8</v>
      </c>
      <c r="L45" s="661" t="n">
        <f>Medicaid!L27</f>
        <v>678.6</v>
      </c>
      <c r="M45" s="661" t="n">
        <f>Medicaid!M27</f>
        <v>705</v>
      </c>
      <c r="N45" s="661" t="n">
        <f>Medicaid!N27</f>
        <v>745.7</v>
      </c>
      <c r="O45" s="661" t="n">
        <f>Medicaid!O27</f>
        <v>749.2</v>
      </c>
      <c r="P45" s="661" t="n">
        <f>Medicaid!P27</f>
        <v>746.1</v>
      </c>
      <c r="Q45" s="661" t="n">
        <f>Medicaid!Q27</f>
        <v>791.4</v>
      </c>
      <c r="R45" s="661" t="n">
        <f>Medicaid!R27</f>
        <v>818.7</v>
      </c>
      <c r="S45" s="742" t="n">
        <f>Medicaid!S27</f>
        <v>819</v>
      </c>
      <c r="T45" s="661" t="n">
        <f>Medicaid!T27</f>
        <v>828.4</v>
      </c>
      <c r="U45" s="661" t="n">
        <f>Medicaid!U27</f>
        <v>871.5</v>
      </c>
      <c r="V45" s="661" t="n">
        <f>Medicaid!V27</f>
        <v>911.4</v>
      </c>
      <c r="W45" s="791" t="n">
        <f>Medicaid!W27</f>
        <v>880.6</v>
      </c>
      <c r="X45" s="791" t="n">
        <f>Medicaid!X27</f>
        <v>868.3</v>
      </c>
      <c r="Y45" s="791" t="n">
        <f>Medicaid!Y27</f>
        <v>916.9</v>
      </c>
      <c r="Z45" s="791" t="n">
        <f>Medicaid!Z27</f>
        <v>942.7</v>
      </c>
      <c r="AA45" s="791" t="n">
        <f>Medicaid!AA27</f>
        <v>946.2506373162654</v>
      </c>
      <c r="AB45" s="791" t="n">
        <f>Medicaid!AB27</f>
        <v>950.46592587609643</v>
      </c>
      <c r="AC45" s="835" t="n">
        <f>Medicaid!AC27</f>
        <v>954.69999239701076</v>
      </c>
    </row>
    <row r="46" ht="14.9" customHeight="1">
      <c r="B46" s="688" t="s">
        <v>806</v>
      </c>
      <c r="C46" s="319"/>
      <c r="D46" s="699" t="n">
        <f>D44-D45</f>
        <v>144.10000000000002</v>
      </c>
      <c r="E46" s="658" t="n">
        <f t="shared" ref="E46:O46" si="18">E44-E45</f>
        <v>145.5</v>
      </c>
      <c r="F46" s="658" t="n">
        <f t="shared" si="18"/>
        <v>147.70000000000005</v>
      </c>
      <c r="G46" s="658" t="n">
        <f t="shared" si="18"/>
        <v>149.80000000000007</v>
      </c>
      <c r="H46" s="658" t="n">
        <f t="shared" si="18"/>
        <v>151.79999999999995</v>
      </c>
      <c r="I46" s="658" t="n">
        <f t="shared" si="18"/>
        <v>155.30000000000007</v>
      </c>
      <c r="J46" s="658" t="n">
        <f t="shared" si="18"/>
        <v>157.5</v>
      </c>
      <c r="K46" s="658" t="n">
        <f t="shared" si="18"/>
        <v>159.40000000000009</v>
      </c>
      <c r="L46" s="658" t="n">
        <f t="shared" si="18"/>
        <v>160.19999999999993</v>
      </c>
      <c r="M46" s="658" t="n">
        <f t="shared" si="18"/>
        <v>161.10000000000002</v>
      </c>
      <c r="N46" s="658" t="n">
        <f t="shared" si="18"/>
        <v>162.29999999999995</v>
      </c>
      <c r="O46" s="658" t="n">
        <f t="shared" si="18"/>
        <v>166.39999999999998</v>
      </c>
      <c r="P46" s="658" t="n">
        <f>P44-P45</f>
        <v>166.79999999999995</v>
      </c>
      <c r="Q46" s="658" t="n">
        <f>Q44-Q45</f>
        <v>169.10000000000002</v>
      </c>
      <c r="R46" s="658" t="n">
        <f>R44-R45</f>
        <v>176.59999999999991</v>
      </c>
      <c r="S46" s="742" t="n">
        <f>S44-S45</f>
        <v>196.5</v>
      </c>
      <c r="T46" s="742" t="n">
        <f>T44-T45</f>
        <v>249.80000000000007</v>
      </c>
      <c r="U46" s="658" t="n">
        <f>T46*(1+AVERAGE($F$48:$I$48))+U47</f>
        <v>183.90584224202988</v>
      </c>
      <c r="V46" s="859" t="n">
        <f>U46*(1+AVERAGE($F$48:$I$48))+V47</f>
        <v>186.92861396193939</v>
      </c>
      <c r="W46" s="663" t="n">
        <f t="shared" ref="W46:AC46" si="19">V46*(1+AVERAGE($F$48:$I$48))</f>
        <v>190.00106952418523</v>
      </c>
      <c r="X46" s="663" t="n">
        <f t="shared" si="19"/>
        <v>193.12402555814535</v>
      </c>
      <c r="Y46" s="663" t="n">
        <f t="shared" si="19"/>
        <v>196.29831211574134</v>
      </c>
      <c r="Z46" s="663" t="n">
        <f t="shared" si="19"/>
        <v>199.52477289205825</v>
      </c>
      <c r="AA46" s="663" t="n">
        <f t="shared" si="19"/>
        <v>202.80426544959073</v>
      </c>
      <c r="AB46" s="663" t="n">
        <f t="shared" si="19"/>
        <v>206.137661446175</v>
      </c>
      <c r="AC46" s="802" t="n">
        <f t="shared" si="19"/>
        <v>209.52584686666717</v>
      </c>
    </row>
    <row r="47" ht="14.9" customHeight="1">
      <c r="B47" s="688" t="s">
        <v>1695</v>
      </c>
      <c r="C47" s="319"/>
      <c r="D47" s="699"/>
      <c r="E47" s="658"/>
      <c r="F47" s="658"/>
      <c r="G47" s="658"/>
      <c r="H47" s="658"/>
      <c r="I47" s="658"/>
      <c r="J47" s="658"/>
      <c r="K47" s="658"/>
      <c r="L47" s="658"/>
      <c r="M47" s="658"/>
      <c r="N47" s="658"/>
      <c r="O47" s="658"/>
      <c r="P47" s="658"/>
      <c r="Q47" s="658"/>
      <c r="R47" s="658"/>
      <c r="S47" s="742"/>
      <c r="T47" s="658"/>
      <c r="U47" s="658" t="n">
        <v>-70</v>
      </c>
      <c r="V47" s="658"/>
      <c r="W47" s="663"/>
      <c r="X47" s="663"/>
      <c r="Y47" s="663"/>
      <c r="Z47" s="663"/>
      <c r="AA47" s="663"/>
      <c r="AB47" s="663"/>
      <c r="AC47" s="802"/>
    </row>
    <row r="48">
      <c r="B48" s="829" t="s">
        <v>807</v>
      </c>
      <c r="C48" s="437"/>
      <c r="D48" s="701"/>
      <c r="E48" s="687" t="n">
        <f>E46/D46-1</f>
        <v>9.7154753643302616E-3</v>
      </c>
      <c r="F48" s="687" t="n">
        <f t="shared" ref="F48:N48" si="20">F46/E46-1</f>
        <v>1.5120274914089737E-2</v>
      </c>
      <c r="G48" s="687" t="n">
        <f t="shared" si="20"/>
        <v>1.4218009478673244E-2</v>
      </c>
      <c r="H48" s="687" t="n">
        <f t="shared" si="20"/>
        <v>1.3351134846461221E-2</v>
      </c>
      <c r="I48" s="687" t="n">
        <f t="shared" si="20"/>
        <v>2.3056653491436929E-2</v>
      </c>
      <c r="J48" s="687" t="n">
        <f t="shared" si="20"/>
        <v>1.416613007083023E-2</v>
      </c>
      <c r="K48" s="687" t="n">
        <f t="shared" si="20"/>
        <v>1.2063492063492554E-2</v>
      </c>
      <c r="L48" s="687" t="n">
        <f t="shared" si="20"/>
        <v>5.0188205771632965E-3</v>
      </c>
      <c r="M48" s="687" t="n">
        <f t="shared" si="20"/>
        <v>5.6179775280904565E-3</v>
      </c>
      <c r="N48" s="687" t="n">
        <f t="shared" si="20"/>
        <v>7.4487895716941477E-3</v>
      </c>
      <c r="O48" s="687" t="n">
        <f>O46/N46-1</f>
        <v>2.5261860751694565E-2</v>
      </c>
      <c r="P48" s="687" t="n">
        <f t="shared" ref="P48:S48" si="21">P46/O46-1</f>
        <v>2.4038461538460343E-3</v>
      </c>
      <c r="Q48" s="687" t="n">
        <f t="shared" si="21"/>
        <v>1.3788968824940406E-2</v>
      </c>
      <c r="R48" s="687" t="n">
        <f t="shared" si="21"/>
        <v>4.4352454169130029E-2</v>
      </c>
      <c r="S48" s="762" t="n">
        <f t="shared" si="21"/>
        <v>0.1126840317100799</v>
      </c>
      <c r="T48" s="660"/>
      <c r="U48" s="660"/>
      <c r="V48" s="660"/>
      <c r="W48" s="695"/>
      <c r="X48" s="695"/>
      <c r="Y48" s="695"/>
      <c r="Z48" s="695"/>
      <c r="AA48" s="695"/>
      <c r="AB48" s="695"/>
      <c r="AC48" s="801"/>
    </row>
    <row r="51">
      <c r="B51" s="390"/>
      <c r="C51" s="390"/>
      <c r="U51" s="291"/>
      <c r="V51" s="291"/>
      <c r="W51" s="291"/>
      <c r="X51" s="291"/>
      <c r="Y51" s="291"/>
      <c r="Z51" s="291"/>
      <c r="AA51" s="291"/>
      <c r="AB51" s="291"/>
      <c r="AC51" s="291"/>
    </row>
    <row r="52">
      <c r="B52" s="564"/>
      <c r="C52" s="297"/>
      <c r="U52" s="661"/>
      <c r="V52" s="661" t="n">
        <f>V40+V39+V34+V35+V36+V37</f>
        <v>1973.6454285714285</v>
      </c>
      <c r="W52" s="661"/>
      <c r="X52" s="661"/>
      <c r="Y52" s="661"/>
      <c r="Z52" s="661"/>
      <c r="AA52" s="661"/>
      <c r="AB52" s="661"/>
      <c r="AC52" s="661"/>
      <c r="AD52" s="614"/>
      <c r="AE52" s="614"/>
      <c r="AF52" s="614"/>
      <c r="AG52" s="614"/>
      <c r="AH52" s="614"/>
      <c r="AI52" s="614"/>
      <c r="AJ52" s="614"/>
      <c r="AK52" s="614"/>
      <c r="AL52" s="614"/>
      <c r="AM52" s="614"/>
    </row>
    <row r="53">
      <c r="B53" s="564"/>
      <c r="C53" s="297"/>
      <c r="U53" s="291"/>
      <c r="V53" s="291"/>
      <c r="W53" s="291"/>
      <c r="X53" s="291"/>
      <c r="Y53" s="291"/>
      <c r="Z53" s="291"/>
      <c r="AA53" s="291"/>
      <c r="AB53" s="291"/>
      <c r="AC53" s="291"/>
      <c r="AD53" s="614"/>
      <c r="AE53" s="614"/>
      <c r="AF53" s="614"/>
      <c r="AG53" s="614"/>
      <c r="AH53" s="614"/>
      <c r="AI53" s="614"/>
      <c r="AJ53" s="614"/>
      <c r="AK53" s="614"/>
      <c r="AL53" s="614"/>
      <c r="AM53" s="614"/>
    </row>
    <row r="54" ht="28.5" customHeight="1">
      <c r="B54" s="306"/>
      <c r="C54" s="297"/>
      <c r="U54" s="661"/>
      <c r="V54" s="661"/>
      <c r="W54" s="661"/>
      <c r="X54" s="661"/>
      <c r="Y54" s="661"/>
      <c r="Z54" s="661"/>
      <c r="AA54" s="661"/>
      <c r="AB54" s="661"/>
      <c r="AC54" s="661"/>
      <c r="AD54" s="614"/>
      <c r="AE54" s="614"/>
      <c r="AF54" s="614"/>
      <c r="AG54" s="614"/>
      <c r="AH54" s="614"/>
      <c r="AI54" s="614"/>
      <c r="AJ54" s="614"/>
      <c r="AK54" s="614"/>
      <c r="AL54" s="614"/>
      <c r="AM54" s="614"/>
    </row>
    <row r="55">
      <c r="B55" s="306"/>
      <c r="C55" s="297"/>
      <c r="U55" s="661"/>
      <c r="V55" s="661"/>
      <c r="W55" s="661"/>
      <c r="X55" s="661"/>
      <c r="Y55" s="661"/>
      <c r="Z55" s="661"/>
      <c r="AA55" s="661"/>
      <c r="AB55" s="661"/>
      <c r="AC55" s="661"/>
      <c r="AD55" s="614"/>
      <c r="AE55" s="614"/>
      <c r="AF55" s="614"/>
      <c r="AG55" s="614"/>
      <c r="AH55" s="614"/>
      <c r="AI55" s="614"/>
      <c r="AJ55" s="614"/>
      <c r="AK55" s="614"/>
      <c r="AL55" s="614"/>
      <c r="AM55" s="614"/>
    </row>
    <row r="56">
      <c r="B56" s="564"/>
      <c r="C56" s="297"/>
      <c r="U56" s="661"/>
      <c r="V56" s="661"/>
      <c r="W56" s="661"/>
      <c r="X56" s="661"/>
      <c r="Y56" s="661"/>
      <c r="Z56" s="661"/>
      <c r="AA56" s="661"/>
      <c r="AB56" s="661"/>
      <c r="AC56" s="661"/>
      <c r="AD56" s="614"/>
      <c r="AE56" s="614"/>
      <c r="AF56" s="614"/>
      <c r="AG56" s="614"/>
      <c r="AH56" s="614"/>
      <c r="AI56" s="614"/>
      <c r="AJ56" s="614"/>
      <c r="AK56" s="614"/>
      <c r="AL56" s="614"/>
      <c r="AM56" s="614"/>
    </row>
    <row r="57">
      <c r="B57" s="311"/>
      <c r="C57" s="319"/>
      <c r="U57" s="658"/>
      <c r="V57" s="658"/>
      <c r="W57" s="658"/>
      <c r="X57" s="658"/>
      <c r="Y57" s="658"/>
      <c r="Z57" s="658"/>
      <c r="AA57" s="658"/>
      <c r="AB57" s="658"/>
      <c r="AC57" s="658"/>
      <c r="AD57" s="614"/>
      <c r="AE57" s="614"/>
      <c r="AF57" s="614"/>
      <c r="AG57" s="614"/>
      <c r="AH57" s="614"/>
      <c r="AI57" s="614"/>
      <c r="AJ57" s="614"/>
      <c r="AK57" s="614"/>
      <c r="AL57" s="614"/>
      <c r="AM57" s="614"/>
    </row>
    <row r="58">
      <c r="B58" s="306"/>
      <c r="C58" s="794"/>
      <c r="U58" s="661"/>
      <c r="V58" s="661"/>
      <c r="W58" s="661"/>
      <c r="X58" s="661"/>
      <c r="Y58" s="661"/>
      <c r="Z58" s="661"/>
      <c r="AA58" s="661"/>
      <c r="AB58" s="661"/>
      <c r="AC58" s="661"/>
      <c r="AD58" s="614"/>
      <c r="AE58" s="614"/>
      <c r="AF58" s="614"/>
      <c r="AG58" s="614"/>
      <c r="AH58" s="614"/>
      <c r="AI58" s="614"/>
      <c r="AJ58" s="614"/>
      <c r="AK58" s="614"/>
      <c r="AL58" s="614"/>
      <c r="AM58" s="614"/>
    </row>
    <row r="59">
      <c r="B59" s="306"/>
      <c r="C59" s="794"/>
      <c r="U59" s="287"/>
      <c r="V59" s="287"/>
      <c r="W59" s="287"/>
      <c r="X59" s="287"/>
      <c r="Y59" s="287"/>
      <c r="Z59" s="287"/>
      <c r="AA59" s="287"/>
      <c r="AB59" s="287"/>
      <c r="AC59" s="287"/>
      <c r="AD59" s="614"/>
      <c r="AE59" s="614"/>
      <c r="AF59" s="614"/>
      <c r="AG59" s="614"/>
      <c r="AH59" s="614"/>
      <c r="AI59" s="614"/>
      <c r="AJ59" s="614"/>
      <c r="AK59" s="614"/>
      <c r="AL59" s="614"/>
      <c r="AM59" s="614"/>
    </row>
    <row r="60">
      <c r="B60" s="306"/>
      <c r="C60" s="297"/>
      <c r="U60" s="661"/>
      <c r="V60" s="661"/>
      <c r="W60" s="661"/>
      <c r="X60" s="661"/>
      <c r="Y60" s="661"/>
      <c r="Z60" s="661"/>
      <c r="AA60" s="661"/>
      <c r="AB60" s="661"/>
      <c r="AC60" s="661"/>
      <c r="AD60" s="614"/>
      <c r="AE60" s="614"/>
      <c r="AF60" s="614"/>
      <c r="AG60" s="614"/>
      <c r="AH60" s="614"/>
      <c r="AI60" s="614"/>
      <c r="AJ60" s="614"/>
      <c r="AK60" s="614"/>
      <c r="AL60" s="614"/>
      <c r="AM60" s="614"/>
    </row>
    <row r="61">
      <c r="B61" s="306"/>
      <c r="C61" s="297"/>
      <c r="U61" s="661"/>
      <c r="V61" s="661"/>
      <c r="W61" s="661"/>
      <c r="X61" s="661"/>
      <c r="Y61" s="661"/>
      <c r="Z61" s="661"/>
      <c r="AA61" s="661"/>
      <c r="AB61" s="661"/>
      <c r="AC61" s="661"/>
      <c r="AD61" s="614"/>
      <c r="AE61" s="614"/>
      <c r="AF61" s="614"/>
      <c r="AG61" s="614"/>
      <c r="AH61" s="614"/>
      <c r="AI61" s="614"/>
      <c r="AJ61" s="614"/>
      <c r="AK61" s="614"/>
      <c r="AL61" s="614"/>
      <c r="AM61" s="614"/>
    </row>
    <row r="62">
      <c r="B62" s="306"/>
      <c r="C62" s="297"/>
      <c r="U62" s="661"/>
      <c r="V62" s="661"/>
      <c r="W62" s="661"/>
      <c r="X62" s="661"/>
      <c r="Y62" s="661"/>
      <c r="Z62" s="661"/>
      <c r="AA62" s="661"/>
      <c r="AB62" s="661"/>
      <c r="AC62" s="661"/>
      <c r="AD62" s="614"/>
      <c r="AE62" s="614"/>
      <c r="AF62" s="614"/>
      <c r="AG62" s="614"/>
      <c r="AH62" s="614"/>
      <c r="AI62" s="614"/>
      <c r="AJ62" s="614"/>
      <c r="AK62" s="614"/>
      <c r="AL62" s="614"/>
      <c r="AM62" s="614"/>
    </row>
    <row r="63">
      <c r="B63" s="564"/>
      <c r="C63" s="297"/>
      <c r="U63" s="661"/>
      <c r="V63" s="661"/>
      <c r="W63" s="661"/>
      <c r="X63" s="661"/>
      <c r="Y63" s="661"/>
      <c r="Z63" s="661"/>
      <c r="AA63" s="661"/>
      <c r="AB63" s="661"/>
      <c r="AC63" s="661"/>
      <c r="AD63" s="614"/>
      <c r="AE63" s="614"/>
      <c r="AF63" s="614"/>
      <c r="AG63" s="614"/>
      <c r="AH63" s="614"/>
      <c r="AI63" s="614"/>
      <c r="AJ63" s="614"/>
      <c r="AK63" s="614"/>
      <c r="AL63" s="614"/>
      <c r="AM63" s="614"/>
    </row>
    <row r="64">
      <c r="B64" s="311"/>
      <c r="C64" s="319"/>
      <c r="U64" s="743"/>
      <c r="V64" s="743"/>
      <c r="W64" s="743"/>
      <c r="X64" s="743"/>
      <c r="Y64" s="743"/>
      <c r="Z64" s="743"/>
      <c r="AA64" s="743"/>
      <c r="AB64" s="743"/>
      <c r="AC64" s="743"/>
      <c r="AD64" s="614"/>
      <c r="AE64" s="614"/>
      <c r="AF64" s="614"/>
      <c r="AG64" s="614"/>
      <c r="AH64" s="614"/>
      <c r="AI64" s="614"/>
      <c r="AJ64" s="614"/>
      <c r="AK64" s="614"/>
      <c r="AL64" s="614"/>
      <c r="AM64" s="614"/>
    </row>
    <row r="65" ht="28.5" customHeight="1">
      <c r="B65" s="306"/>
      <c r="C65" s="297"/>
      <c r="U65" s="661"/>
      <c r="V65" s="661"/>
      <c r="W65" s="661"/>
      <c r="X65" s="661"/>
      <c r="Y65" s="661"/>
      <c r="Z65" s="661"/>
      <c r="AA65" s="661"/>
      <c r="AB65" s="661"/>
      <c r="AC65" s="661"/>
      <c r="AD65" s="614"/>
      <c r="AE65" s="614"/>
      <c r="AF65" s="614"/>
      <c r="AG65" s="614"/>
      <c r="AH65" s="614"/>
      <c r="AI65" s="614"/>
      <c r="AJ65" s="614"/>
      <c r="AK65" s="614"/>
      <c r="AL65" s="614"/>
      <c r="AM65" s="614"/>
    </row>
    <row r="66">
      <c r="B66" s="458"/>
      <c r="C66" s="85"/>
      <c r="U66" s="781"/>
      <c r="V66" s="781"/>
      <c r="W66" s="781"/>
      <c r="X66" s="781"/>
      <c r="Y66" s="781"/>
      <c r="Z66" s="781"/>
      <c r="AA66" s="781"/>
      <c r="AB66" s="781"/>
      <c r="AC66" s="781"/>
      <c r="AD66" s="614"/>
      <c r="AE66" s="614"/>
      <c r="AF66" s="614"/>
      <c r="AG66" s="614"/>
      <c r="AH66" s="614"/>
      <c r="AI66" s="614"/>
      <c r="AJ66" s="614"/>
      <c r="AK66" s="614"/>
      <c r="AL66" s="614"/>
      <c r="AM66" s="614"/>
    </row>
    <row r="67">
      <c r="B67" s="319"/>
      <c r="C67" s="319"/>
      <c r="U67" s="658"/>
      <c r="V67" s="658"/>
      <c r="W67" s="658"/>
      <c r="X67" s="658"/>
      <c r="Y67" s="658"/>
      <c r="Z67" s="658"/>
      <c r="AA67" s="658"/>
      <c r="AB67" s="658"/>
      <c r="AC67" s="658"/>
      <c r="AD67" s="614"/>
      <c r="AE67" s="614"/>
      <c r="AF67" s="614"/>
      <c r="AG67" s="614"/>
      <c r="AH67" s="614"/>
      <c r="AI67" s="614"/>
      <c r="AJ67" s="614"/>
      <c r="AK67" s="614"/>
      <c r="AL67" s="614"/>
      <c r="AM67" s="614"/>
    </row>
    <row r="68">
      <c r="B68" s="390"/>
      <c r="C68" s="390"/>
      <c r="U68" s="658"/>
      <c r="V68" s="658"/>
      <c r="W68" s="658"/>
      <c r="X68" s="658"/>
      <c r="Y68" s="658"/>
      <c r="Z68" s="658"/>
      <c r="AA68" s="658"/>
      <c r="AB68" s="658"/>
      <c r="AC68" s="658"/>
      <c r="AD68" s="614"/>
      <c r="AE68" s="614"/>
      <c r="AF68" s="614"/>
      <c r="AG68" s="614"/>
      <c r="AH68" s="614"/>
      <c r="AI68" s="614"/>
      <c r="AJ68" s="614"/>
      <c r="AK68" s="614"/>
      <c r="AL68" s="614"/>
      <c r="AM68" s="614"/>
    </row>
    <row r="69">
      <c r="B69" s="564"/>
      <c r="C69" s="297"/>
      <c r="U69" s="297"/>
      <c r="V69" s="297"/>
      <c r="W69" s="297"/>
      <c r="X69" s="297"/>
      <c r="Y69" s="297"/>
      <c r="Z69" s="297"/>
      <c r="AA69" s="297"/>
      <c r="AB69" s="297"/>
      <c r="AC69" s="297"/>
      <c r="AD69" s="614"/>
      <c r="AE69" s="614"/>
      <c r="AF69" s="614"/>
      <c r="AG69" s="614"/>
      <c r="AH69" s="614"/>
      <c r="AI69" s="614"/>
      <c r="AJ69" s="614"/>
      <c r="AK69" s="614"/>
      <c r="AL69" s="614"/>
      <c r="AM69" s="614"/>
    </row>
    <row r="70">
      <c r="B70" s="297"/>
      <c r="C70" s="297"/>
      <c r="U70" s="661"/>
      <c r="V70" s="661"/>
      <c r="W70" s="661"/>
      <c r="X70" s="661"/>
      <c r="Y70" s="661"/>
      <c r="Z70" s="661"/>
      <c r="AA70" s="661"/>
      <c r="AB70" s="661"/>
      <c r="AC70" s="661"/>
      <c r="AD70" s="614"/>
      <c r="AE70" s="614"/>
      <c r="AF70" s="614"/>
      <c r="AG70" s="614"/>
      <c r="AH70" s="614"/>
      <c r="AI70" s="614"/>
      <c r="AJ70" s="614"/>
      <c r="AK70" s="614"/>
      <c r="AL70" s="614"/>
      <c r="AM70" s="614"/>
    </row>
    <row r="71">
      <c r="B71" s="319"/>
      <c r="C71" s="319"/>
      <c r="U71" s="658"/>
      <c r="V71" s="658"/>
      <c r="W71" s="658"/>
      <c r="X71" s="658"/>
      <c r="Y71" s="658"/>
      <c r="Z71" s="658"/>
      <c r="AA71" s="658"/>
      <c r="AB71" s="658"/>
      <c r="AC71" s="658"/>
      <c r="AD71" s="614"/>
      <c r="AE71" s="614"/>
      <c r="AF71" s="614"/>
      <c r="AG71" s="614"/>
      <c r="AH71" s="614"/>
      <c r="AI71" s="614"/>
      <c r="AJ71" s="614"/>
      <c r="AK71" s="614"/>
      <c r="AL71" s="614"/>
      <c r="AM71" s="614"/>
    </row>
    <row r="72">
      <c r="B72" s="319"/>
      <c r="C72" s="319"/>
      <c r="U72" s="658"/>
      <c r="V72" s="658"/>
      <c r="W72" s="658"/>
      <c r="X72" s="658"/>
      <c r="Y72" s="658"/>
      <c r="Z72" s="658"/>
      <c r="AA72" s="658"/>
      <c r="AB72" s="658"/>
      <c r="AC72" s="658"/>
      <c r="AD72" s="614"/>
      <c r="AE72" s="614"/>
      <c r="AF72" s="614"/>
      <c r="AG72" s="614"/>
      <c r="AH72" s="614"/>
      <c r="AI72" s="614"/>
      <c r="AJ72" s="614"/>
      <c r="AK72" s="614"/>
      <c r="AL72" s="614"/>
      <c r="AM72" s="614"/>
    </row>
    <row r="73">
      <c r="B73" s="856"/>
      <c r="C73" s="297"/>
      <c r="U73" s="661"/>
      <c r="V73" s="661"/>
      <c r="W73" s="661"/>
      <c r="X73" s="661"/>
      <c r="Y73" s="661"/>
      <c r="Z73" s="661"/>
      <c r="AA73" s="661"/>
      <c r="AB73" s="661"/>
      <c r="AC73" s="661"/>
      <c r="AD73" s="614"/>
      <c r="AE73" s="614"/>
      <c r="AF73" s="614"/>
      <c r="AG73" s="614"/>
      <c r="AH73" s="614"/>
      <c r="AI73" s="614"/>
      <c r="AJ73" s="614"/>
      <c r="AK73" s="614"/>
      <c r="AL73" s="614"/>
      <c r="AM73" s="614"/>
    </row>
    <row r="75">
      <c r="U75" s="854"/>
      <c r="V75" s="854"/>
      <c r="W75" s="854"/>
      <c r="X75" s="854"/>
    </row>
    <row r="76">
      <c r="U76" s="854"/>
      <c r="V76" s="854"/>
      <c r="W76" s="854"/>
      <c r="X76" s="854"/>
    </row>
    <row r="77">
      <c r="U77" s="854"/>
      <c r="V77" s="854"/>
      <c r="W77" s="854"/>
      <c r="X77" s="854"/>
    </row>
    <row r="79">
      <c r="P79" s="578"/>
      <c r="Q79" s="578"/>
    </row>
    <row r="80">
      <c r="B80" s="611" t="s">
        <v>352</v>
      </c>
      <c r="D80" s="661"/>
      <c r="E80" s="661"/>
      <c r="F80" s="661"/>
      <c r="G80" s="661"/>
      <c r="H80" s="661"/>
      <c r="I80" s="661"/>
      <c r="J80" s="661"/>
      <c r="K80" s="661"/>
      <c r="L80" s="661"/>
      <c r="M80" s="661"/>
      <c r="N80" s="661"/>
      <c r="O80" s="661"/>
      <c r="P80" s="661"/>
      <c r="Q80" s="661"/>
      <c r="R80" s="661"/>
      <c r="S80" s="661"/>
      <c r="T80" s="661"/>
      <c r="U80" s="661"/>
      <c r="V80" s="661"/>
      <c r="W80" s="661"/>
      <c r="X80" s="661"/>
      <c r="Y80" s="661"/>
      <c r="Z80" s="661"/>
      <c r="AA80" s="661"/>
      <c r="AB80" s="661"/>
      <c r="AC80" s="661"/>
    </row>
    <row r="81" ht="45.75" customHeight="1">
      <c r="B81" s="772" t="s">
        <v>477</v>
      </c>
      <c r="C81" s="772"/>
      <c r="D81" s="772"/>
      <c r="E81" s="772"/>
      <c r="F81" s="772"/>
      <c r="G81" s="772"/>
      <c r="H81" s="772"/>
      <c r="I81" s="772"/>
      <c r="J81" s="772"/>
      <c r="K81" s="772"/>
      <c r="L81" s="772"/>
      <c r="M81" s="772"/>
      <c r="N81" s="772"/>
      <c r="O81" s="772"/>
      <c r="P81" s="772"/>
      <c r="Q81" s="772"/>
      <c r="R81" s="772"/>
      <c r="S81" s="772"/>
      <c r="T81" s="772"/>
      <c r="U81" s="772"/>
      <c r="V81" s="772"/>
      <c r="W81" s="772"/>
      <c r="X81" s="772"/>
      <c r="Y81" s="772"/>
      <c r="Z81" s="772"/>
      <c r="AA81" s="772"/>
      <c r="AB81" s="772"/>
      <c r="AC81" s="772"/>
    </row>
    <row r="82" ht="14.9" customHeight="1">
      <c r="B82" s="264" t="s">
        <v>478</v>
      </c>
      <c r="C82" s="265"/>
      <c r="D82" s="591" t="s">
        <v>280</v>
      </c>
      <c r="E82" s="592"/>
      <c r="F82" s="592"/>
      <c r="G82" s="592"/>
      <c r="H82" s="592"/>
      <c r="I82" s="592"/>
      <c r="J82" s="592"/>
      <c r="K82" s="592"/>
      <c r="L82" s="592"/>
      <c r="M82" s="592"/>
      <c r="N82" s="592"/>
      <c r="O82" s="592"/>
      <c r="P82" s="592"/>
      <c r="Q82" s="592"/>
      <c r="R82" s="592"/>
      <c r="S82" s="592"/>
      <c r="T82" s="592"/>
      <c r="U82" s="592"/>
      <c r="V82" s="768"/>
      <c r="W82" s="392" t="s">
        <v>281</v>
      </c>
      <c r="X82" s="380"/>
      <c r="Y82" s="380"/>
      <c r="Z82" s="380"/>
      <c r="AA82" s="380"/>
      <c r="AB82" s="380"/>
      <c r="AC82" s="380"/>
      <c r="AD82" s="380"/>
      <c r="AE82" s="380"/>
      <c r="AF82" s="380"/>
      <c r="AG82" s="380"/>
    </row>
    <row r="83">
      <c r="B83" s="264"/>
      <c r="C83" s="265"/>
      <c r="D83" s="269" t="n">
        <v>2018</v>
      </c>
      <c r="E83" s="269" t="n">
        <v>2019</v>
      </c>
      <c r="F83" s="270"/>
      <c r="G83" s="270"/>
      <c r="H83" s="271"/>
      <c r="I83" s="269" t="n">
        <v>2020</v>
      </c>
      <c r="J83" s="270"/>
      <c r="K83" s="270"/>
      <c r="L83" s="270"/>
      <c r="M83" s="269" t="n">
        <v>2021</v>
      </c>
      <c r="N83" s="270"/>
      <c r="O83" s="270"/>
      <c r="P83" s="270"/>
      <c r="Q83" s="269" t="n">
        <v>2022</v>
      </c>
      <c r="R83" s="358"/>
      <c r="S83" s="358"/>
      <c r="T83" s="271"/>
      <c r="U83" s="343"/>
      <c r="V83" s="666" t="n">
        <v>2023</v>
      </c>
      <c r="W83" s="662"/>
      <c r="X83" s="316"/>
      <c r="Y83" s="255" t="n">
        <v>2024</v>
      </c>
      <c r="Z83" s="347"/>
      <c r="AA83" s="347"/>
      <c r="AB83" s="256"/>
      <c r="AC83" s="255" t="n">
        <v>2025</v>
      </c>
      <c r="AD83" s="347"/>
      <c r="AE83" s="347"/>
      <c r="AF83" s="256"/>
      <c r="AG83" s="855" t="n">
        <v>2026</v>
      </c>
    </row>
    <row r="84">
      <c r="B84" s="266"/>
      <c r="C84" s="267"/>
      <c r="D84" s="259" t="s">
        <v>282</v>
      </c>
      <c r="E84" s="259" t="s">
        <v>283</v>
      </c>
      <c r="F84" s="260" t="s">
        <v>284</v>
      </c>
      <c r="G84" s="260" t="s">
        <v>238</v>
      </c>
      <c r="H84" s="261" t="s">
        <v>282</v>
      </c>
      <c r="I84" s="260" t="s">
        <v>283</v>
      </c>
      <c r="J84" s="260" t="s">
        <v>284</v>
      </c>
      <c r="K84" s="260" t="s">
        <v>238</v>
      </c>
      <c r="L84" s="260" t="s">
        <v>282</v>
      </c>
      <c r="M84" s="259" t="s">
        <v>283</v>
      </c>
      <c r="N84" s="260" t="s">
        <v>284</v>
      </c>
      <c r="O84" s="260" t="s">
        <v>238</v>
      </c>
      <c r="P84" s="260" t="s">
        <v>282</v>
      </c>
      <c r="Q84" s="259" t="s">
        <v>283</v>
      </c>
      <c r="R84" s="260" t="s">
        <v>284</v>
      </c>
      <c r="S84" s="260" t="s">
        <v>238</v>
      </c>
      <c r="T84" s="261" t="s">
        <v>282</v>
      </c>
      <c r="U84" s="260" t="s">
        <v>283</v>
      </c>
      <c r="V84" s="341" t="s">
        <v>284</v>
      </c>
      <c r="W84" s="326" t="s">
        <v>238</v>
      </c>
      <c r="X84" s="327" t="s">
        <v>282</v>
      </c>
      <c r="Y84" s="325" t="s">
        <v>283</v>
      </c>
      <c r="Z84" s="323" t="s">
        <v>284</v>
      </c>
      <c r="AA84" s="326" t="s">
        <v>238</v>
      </c>
      <c r="AB84" s="326" t="s">
        <v>282</v>
      </c>
      <c r="AC84" s="325" t="s">
        <v>283</v>
      </c>
      <c r="AD84" s="323" t="s">
        <v>284</v>
      </c>
      <c r="AE84" s="326" t="s">
        <v>238</v>
      </c>
      <c r="AF84" s="326" t="s">
        <v>282</v>
      </c>
      <c r="AG84" s="325" t="s">
        <v>283</v>
      </c>
    </row>
    <row r="85">
      <c r="B85" s="657" t="s">
        <v>1434</v>
      </c>
      <c r="D85" s="309"/>
      <c r="E85" s="373"/>
      <c r="F85" s="373"/>
      <c r="G85" s="373"/>
      <c r="H85" s="373"/>
      <c r="I85" s="680" t="n">
        <f>(I86-AVERAGE($E86:$H86))</f>
        <v>6.6417500000000018</v>
      </c>
      <c r="J85" s="680" t="n">
        <f t="shared" ref="J85:U85" si="22">(J86-AVERAGE($E86:$H86))</f>
        <v>51.388749999999995</v>
      </c>
      <c r="K85" s="680" t="n">
        <f t="shared" si="22"/>
        <v>55.337750000000007</v>
      </c>
      <c r="L85" s="680" t="n">
        <f t="shared" si="22"/>
        <v>62.597749999999998</v>
      </c>
      <c r="M85" s="680" t="n">
        <f t="shared" si="22"/>
        <v>88.07774999999998</v>
      </c>
      <c r="N85" s="680" t="n">
        <f t="shared" si="22"/>
        <v>102.89075</v>
      </c>
      <c r="O85" s="680" t="n">
        <f t="shared" si="22"/>
        <v>94.404750000000007</v>
      </c>
      <c r="P85" s="680" t="n">
        <f t="shared" si="22"/>
        <v>91.919749999999993</v>
      </c>
      <c r="Q85" s="680" t="n">
        <f t="shared" si="22"/>
        <v>80.097749999999991</v>
      </c>
      <c r="R85" s="680" t="n">
        <f t="shared" si="22"/>
        <v>69.023750000000007</v>
      </c>
      <c r="S85" s="681" t="n">
        <f t="shared" si="22"/>
        <v>61.349750000000007</v>
      </c>
      <c r="T85" s="668" t="n">
        <f t="shared" si="22"/>
        <v>81.433750000000003</v>
      </c>
      <c r="U85" s="681" t="n">
        <f t="shared" si="22"/>
        <v>75.465749999999986</v>
      </c>
      <c r="V85" s="681" t="n">
        <f>(V86-AVERAGE($E86:$H86))</f>
        <v>48.418749999999996</v>
      </c>
      <c r="W85" s="838" t="n">
        <f>V85</f>
        <v>48.418749999999996</v>
      </c>
      <c r="X85" s="838" t="n">
        <f t="shared" ref="X85:AG85" si="23">W85</f>
        <v>48.418749999999996</v>
      </c>
      <c r="Y85" s="838" t="n">
        <f t="shared" si="23"/>
        <v>48.418749999999996</v>
      </c>
      <c r="Z85" s="838" t="n">
        <f t="shared" si="23"/>
        <v>48.418749999999996</v>
      </c>
      <c r="AA85" s="838" t="n">
        <f t="shared" si="23"/>
        <v>48.418749999999996</v>
      </c>
      <c r="AB85" s="838" t="n">
        <f t="shared" si="23"/>
        <v>48.418749999999996</v>
      </c>
      <c r="AC85" s="799" t="n">
        <f t="shared" si="23"/>
        <v>48.418749999999996</v>
      </c>
      <c r="AD85" s="838" t="n">
        <f t="shared" si="23"/>
        <v>48.418749999999996</v>
      </c>
      <c r="AE85" s="838" t="n">
        <f t="shared" si="23"/>
        <v>48.418749999999996</v>
      </c>
      <c r="AF85" s="838" t="n">
        <f t="shared" si="23"/>
        <v>48.418749999999996</v>
      </c>
      <c r="AG85" s="838" t="n">
        <f t="shared" si="23"/>
        <v>48.418749999999996</v>
      </c>
    </row>
    <row r="86">
      <c r="B86" s="657" t="s">
        <v>160</v>
      </c>
      <c r="C86" s="297" t="s">
        <v>479</v>
      </c>
      <c r="D86" s="330" t="n">
        <f>'Haver Pivoted'!GO66</f>
        <v>57.017000000000003</v>
      </c>
      <c r="E86" s="291" t="n">
        <f>'Haver Pivoted'!GP66</f>
        <v>55.847999999999999</v>
      </c>
      <c r="F86" s="291" t="n">
        <f>'Haver Pivoted'!GQ66</f>
        <v>54.531999999999996</v>
      </c>
      <c r="G86" s="291" t="n">
        <f>'Haver Pivoted'!GR66</f>
        <v>54.451999999999998</v>
      </c>
      <c r="H86" s="291" t="n">
        <f>'Haver Pivoted'!GS66</f>
        <v>54.012999999999998</v>
      </c>
      <c r="I86" s="291" t="n">
        <f>'Haver Pivoted'!GT66</f>
        <v>61.353000000000002</v>
      </c>
      <c r="J86" s="291" t="n">
        <f>'Haver Pivoted'!GU66</f>
        <v>106.1</v>
      </c>
      <c r="K86" s="291" t="n">
        <f>'Haver Pivoted'!GV66</f>
        <v>110.04900000000001</v>
      </c>
      <c r="L86" s="291" t="n">
        <f>'Haver Pivoted'!GW66</f>
        <v>117.309</v>
      </c>
      <c r="M86" s="291" t="n">
        <f>'Haver Pivoted'!GX66</f>
        <v>142.78899999999999</v>
      </c>
      <c r="N86" s="291" t="n">
        <f>'Haver Pivoted'!GY66</f>
        <v>157.602</v>
      </c>
      <c r="O86" s="291" t="n">
        <f>'Haver Pivoted'!GZ66</f>
        <v>149.11600000000001</v>
      </c>
      <c r="P86" s="291" t="n">
        <f>'Haver Pivoted'!HA66</f>
        <v>146.631</v>
      </c>
      <c r="Q86" s="291" t="n">
        <f>'Haver Pivoted'!HB66</f>
        <v>134.809</v>
      </c>
      <c r="R86" s="291" t="n">
        <f>'Haver Pivoted'!HC66</f>
        <v>123.735</v>
      </c>
      <c r="S86" s="260" t="n">
        <f>'Haver Pivoted'!HD66</f>
        <v>116.06100000000001</v>
      </c>
      <c r="T86" s="260" t="n">
        <f>'Haver Pivoted'!HE66</f>
        <v>136.14500000000001</v>
      </c>
      <c r="U86" s="260" t="n">
        <f>'Haver Pivoted'!HF66</f>
        <v>130.17699999999999</v>
      </c>
      <c r="V86" s="260" t="n">
        <f>'Haver Pivoted'!HG66</f>
        <v>103.13</v>
      </c>
      <c r="W86" s="406"/>
      <c r="X86" s="406"/>
      <c r="Y86" s="406"/>
      <c r="Z86" s="406"/>
      <c r="AA86" s="406"/>
      <c r="AB86" s="406"/>
      <c r="AC86" s="406"/>
      <c r="AD86" s="602"/>
      <c r="AE86" s="602"/>
      <c r="AF86" s="602"/>
      <c r="AG86" s="602"/>
    </row>
    <row r="87" ht="29.15" customHeight="1">
      <c r="B87" s="436" t="s">
        <v>480</v>
      </c>
      <c r="C87" s="437"/>
      <c r="D87" s="833"/>
      <c r="E87" s="671"/>
      <c r="F87" s="671"/>
      <c r="G87" s="671"/>
      <c r="H87" s="671"/>
      <c r="I87" s="671"/>
      <c r="J87" s="671" t="n">
        <f t="shared" ref="J87:V87" si="24">J86-$H86</f>
        <v>52.086999999999996</v>
      </c>
      <c r="K87" s="671" t="n">
        <f t="shared" si="24"/>
        <v>56.036000000000008</v>
      </c>
      <c r="L87" s="671" t="n">
        <f t="shared" si="24"/>
        <v>63.295999999999999</v>
      </c>
      <c r="M87" s="671" t="n">
        <f t="shared" si="24"/>
        <v>88.775999999999982</v>
      </c>
      <c r="N87" s="671" t="n">
        <f>N86-$H86</f>
        <v>103.589</v>
      </c>
      <c r="O87" s="671" t="n">
        <f>O86-$H86</f>
        <v>95.103000000000009</v>
      </c>
      <c r="P87" s="671" t="n">
        <f t="shared" si="24"/>
        <v>92.617999999999995</v>
      </c>
      <c r="Q87" s="671" t="n">
        <f t="shared" si="24"/>
        <v>80.795999999999992</v>
      </c>
      <c r="R87" s="671" t="n">
        <f t="shared" si="24"/>
        <v>69.722000000000008</v>
      </c>
      <c r="S87" s="341" t="n">
        <f t="shared" si="24"/>
        <v>62.048000000000009</v>
      </c>
      <c r="T87" s="341" t="n">
        <f t="shared" si="24"/>
        <v>82.132000000000005</v>
      </c>
      <c r="U87" s="341" t="n">
        <f t="shared" si="24"/>
        <v>76.163999999999987</v>
      </c>
      <c r="V87" s="341" t="n">
        <f t="shared" si="24"/>
        <v>49.116999999999997</v>
      </c>
      <c r="W87" s="326"/>
      <c r="X87" s="326"/>
      <c r="Y87" s="326"/>
      <c r="Z87" s="326"/>
      <c r="AA87" s="326"/>
      <c r="AB87" s="326"/>
      <c r="AC87" s="326"/>
      <c r="AD87" s="602"/>
      <c r="AE87" s="602"/>
      <c r="AF87" s="602"/>
      <c r="AG87" s="602"/>
    </row>
    <row r="88" ht="29.15" customHeight="1">
      <c r="B88" s="297"/>
      <c r="C88" s="297"/>
      <c r="D88" s="291"/>
      <c r="E88" s="291"/>
      <c r="F88" s="291"/>
      <c r="G88" s="291"/>
      <c r="H88" s="291"/>
      <c r="I88" s="291"/>
      <c r="J88" s="291"/>
      <c r="K88" s="291"/>
      <c r="L88" s="291"/>
      <c r="M88" s="291"/>
      <c r="N88" s="291"/>
      <c r="O88" s="291"/>
      <c r="P88" s="291"/>
      <c r="Q88" s="291"/>
      <c r="R88" s="291"/>
      <c r="S88" s="291"/>
      <c r="T88" s="291"/>
      <c r="U88" s="291"/>
      <c r="V88" s="291"/>
      <c r="W88" s="291"/>
      <c r="X88" s="291"/>
      <c r="Y88" s="291"/>
      <c r="Z88" s="291"/>
      <c r="AA88" s="291"/>
      <c r="AB88" s="291"/>
      <c r="AC88" s="291"/>
    </row>
    <row r="89" ht="29.15" customHeight="1">
      <c r="B89" s="297"/>
      <c r="C89" s="297"/>
      <c r="D89" s="291"/>
      <c r="E89" s="291"/>
      <c r="F89" s="291"/>
      <c r="G89" s="291"/>
      <c r="H89" s="291"/>
      <c r="I89" s="291"/>
      <c r="J89" s="291"/>
      <c r="K89" s="291"/>
      <c r="L89" s="291"/>
      <c r="M89" s="291"/>
      <c r="N89" s="291"/>
      <c r="O89" s="291"/>
      <c r="P89" s="291"/>
      <c r="Q89" s="291"/>
      <c r="R89" s="291"/>
      <c r="S89" s="291"/>
      <c r="T89" s="291"/>
      <c r="U89" s="291"/>
      <c r="V89" s="291"/>
      <c r="W89" s="291"/>
      <c r="X89" s="291"/>
      <c r="Y89" s="291"/>
      <c r="Z89" s="291"/>
      <c r="AA89" s="291"/>
      <c r="AB89" s="291"/>
      <c r="AC89" s="291"/>
    </row>
    <row r="90" ht="29.15" customHeight="1">
      <c r="B90" s="297"/>
      <c r="C90" s="297"/>
      <c r="D90" s="291"/>
      <c r="E90" s="291"/>
      <c r="F90" s="291"/>
      <c r="G90" s="291"/>
      <c r="H90" s="291"/>
      <c r="I90" s="291"/>
      <c r="J90" s="291"/>
      <c r="K90" s="291"/>
      <c r="L90" s="291"/>
      <c r="M90" s="291"/>
      <c r="N90" s="291"/>
      <c r="O90" s="291"/>
      <c r="P90" s="291"/>
      <c r="Q90" s="291"/>
      <c r="R90" s="291"/>
      <c r="S90" s="291"/>
      <c r="T90" s="291"/>
      <c r="U90" s="291"/>
      <c r="V90" s="291"/>
      <c r="W90" s="291"/>
      <c r="X90" s="291"/>
      <c r="Y90" s="291"/>
      <c r="Z90" s="291"/>
      <c r="AA90" s="291"/>
      <c r="AB90" s="291"/>
      <c r="AC90" s="291"/>
    </row>
    <row r="91" ht="35.9" customHeight="1"/>
    <row r="92">
      <c r="B92" s="611" t="s">
        <v>365</v>
      </c>
    </row>
    <row r="93">
      <c r="B93" s="773" t="s">
        <v>804</v>
      </c>
      <c r="C93" s="774"/>
      <c r="D93" s="266" t="s">
        <v>280</v>
      </c>
      <c r="E93" s="277"/>
      <c r="F93" s="277"/>
      <c r="G93" s="277"/>
      <c r="H93" s="277"/>
      <c r="I93" s="277"/>
      <c r="J93" s="277"/>
      <c r="K93" s="277"/>
      <c r="L93" s="277"/>
      <c r="M93" s="277"/>
      <c r="N93" s="277"/>
      <c r="O93" s="277"/>
      <c r="P93" s="277"/>
      <c r="Q93" s="277"/>
      <c r="R93" s="277"/>
      <c r="S93" s="277"/>
      <c r="T93" s="277"/>
      <c r="U93" s="277"/>
      <c r="V93" s="267"/>
      <c r="W93" s="392" t="s">
        <v>281</v>
      </c>
      <c r="X93" s="380"/>
      <c r="Y93" s="380"/>
      <c r="Z93" s="380"/>
      <c r="AA93" s="380"/>
      <c r="AB93" s="380"/>
      <c r="AC93" s="380"/>
      <c r="AD93" s="380"/>
      <c r="AE93" s="380"/>
      <c r="AF93" s="380"/>
      <c r="AG93" s="380"/>
    </row>
    <row r="94">
      <c r="B94" s="775"/>
      <c r="C94" s="776"/>
      <c r="D94" s="269" t="n">
        <v>2018</v>
      </c>
      <c r="E94" s="269" t="n">
        <v>2019</v>
      </c>
      <c r="F94" s="270"/>
      <c r="G94" s="270"/>
      <c r="H94" s="271"/>
      <c r="I94" s="269" t="n">
        <v>2020</v>
      </c>
      <c r="J94" s="270"/>
      <c r="K94" s="270"/>
      <c r="L94" s="270"/>
      <c r="M94" s="269" t="n">
        <v>2021</v>
      </c>
      <c r="N94" s="270"/>
      <c r="O94" s="270"/>
      <c r="P94" s="270"/>
      <c r="Q94" s="269" t="n">
        <v>2022</v>
      </c>
      <c r="R94" s="358"/>
      <c r="S94" s="358"/>
      <c r="T94" s="271"/>
      <c r="U94" s="343"/>
      <c r="V94" s="666" t="n">
        <v>2023</v>
      </c>
      <c r="W94" s="662"/>
      <c r="X94" s="316"/>
      <c r="Y94" s="255" t="n">
        <v>2024</v>
      </c>
      <c r="Z94" s="347"/>
      <c r="AA94" s="347"/>
      <c r="AB94" s="256"/>
      <c r="AC94" s="255" t="n">
        <v>2025</v>
      </c>
      <c r="AD94" s="347"/>
      <c r="AE94" s="347"/>
      <c r="AF94" s="256"/>
      <c r="AG94" s="855" t="n">
        <v>2026</v>
      </c>
    </row>
    <row r="95">
      <c r="B95" s="775"/>
      <c r="C95" s="776"/>
      <c r="D95" s="259" t="s">
        <v>282</v>
      </c>
      <c r="E95" s="259" t="s">
        <v>283</v>
      </c>
      <c r="F95" s="260" t="s">
        <v>284</v>
      </c>
      <c r="G95" s="260" t="s">
        <v>238</v>
      </c>
      <c r="H95" s="261" t="s">
        <v>282</v>
      </c>
      <c r="I95" s="260" t="s">
        <v>283</v>
      </c>
      <c r="J95" s="260" t="s">
        <v>284</v>
      </c>
      <c r="K95" s="260" t="s">
        <v>238</v>
      </c>
      <c r="L95" s="260" t="s">
        <v>282</v>
      </c>
      <c r="M95" s="259" t="s">
        <v>283</v>
      </c>
      <c r="N95" s="260" t="s">
        <v>284</v>
      </c>
      <c r="O95" s="260" t="s">
        <v>238</v>
      </c>
      <c r="P95" s="260" t="s">
        <v>282</v>
      </c>
      <c r="Q95" s="259" t="s">
        <v>283</v>
      </c>
      <c r="R95" s="260" t="s">
        <v>284</v>
      </c>
      <c r="S95" s="260" t="s">
        <v>238</v>
      </c>
      <c r="T95" s="261" t="s">
        <v>282</v>
      </c>
      <c r="U95" s="260" t="s">
        <v>283</v>
      </c>
      <c r="V95" s="341" t="s">
        <v>284</v>
      </c>
      <c r="W95" s="326" t="s">
        <v>238</v>
      </c>
      <c r="X95" s="327" t="s">
        <v>282</v>
      </c>
      <c r="Y95" s="325" t="s">
        <v>283</v>
      </c>
      <c r="Z95" s="323" t="s">
        <v>284</v>
      </c>
      <c r="AA95" s="326" t="s">
        <v>238</v>
      </c>
      <c r="AB95" s="326" t="s">
        <v>282</v>
      </c>
      <c r="AC95" s="325" t="s">
        <v>283</v>
      </c>
      <c r="AD95" s="323" t="s">
        <v>284</v>
      </c>
      <c r="AE95" s="326" t="s">
        <v>238</v>
      </c>
      <c r="AF95" s="326" t="s">
        <v>282</v>
      </c>
      <c r="AG95" s="325" t="s">
        <v>283</v>
      </c>
    </row>
    <row r="96" ht="25.75" customHeight="1">
      <c r="B96" s="790" t="s">
        <v>467</v>
      </c>
      <c r="C96" s="536" t="s">
        <v>468</v>
      </c>
      <c r="D96" s="445" t="n">
        <f>'Haver Pivoted'!GO31</f>
        <v>2223</v>
      </c>
      <c r="E96" s="446" t="n">
        <f>'Haver Pivoted'!GP31</f>
        <v>2303.6</v>
      </c>
      <c r="F96" s="446" t="n">
        <f>'Haver Pivoted'!GQ31</f>
        <v>2320.1</v>
      </c>
      <c r="G96" s="446" t="n">
        <f>'Haver Pivoted'!GR31</f>
        <v>2332.9</v>
      </c>
      <c r="H96" s="446" t="n">
        <f>'Haver Pivoted'!GS31</f>
        <v>2346.6</v>
      </c>
      <c r="I96" s="446" t="n">
        <f>'Haver Pivoted'!GT31</f>
        <v>2412.6</v>
      </c>
      <c r="J96" s="446" t="n">
        <f>'Haver Pivoted'!GU31</f>
        <v>4652.1000000000004</v>
      </c>
      <c r="K96" s="446" t="n">
        <f>'Haver Pivoted'!GV31</f>
        <v>3508</v>
      </c>
      <c r="L96" s="446" t="n">
        <f>'Haver Pivoted'!GW31</f>
        <v>2895.4</v>
      </c>
      <c r="M96" s="446" t="n">
        <f>'Haver Pivoted'!GX31</f>
        <v>5127.3999999999996</v>
      </c>
      <c r="N96" s="446" t="n">
        <f>'Haver Pivoted'!GY31</f>
        <v>3403.8</v>
      </c>
      <c r="O96" s="446" t="n">
        <f>'Haver Pivoted'!GZ31</f>
        <v>3135</v>
      </c>
      <c r="P96" s="446" t="n">
        <f>'Haver Pivoted'!HA31</f>
        <v>2947.7</v>
      </c>
      <c r="Q96" s="446" t="n">
        <f>'Haver Pivoted'!HB31</f>
        <v>2903.2</v>
      </c>
      <c r="R96" s="446" t="n">
        <f>'Haver Pivoted'!HC31</f>
        <v>2895.2</v>
      </c>
      <c r="S96" s="447" t="n">
        <f>'Haver Pivoted'!HD31</f>
        <v>2867.4</v>
      </c>
      <c r="T96" s="800" t="n">
        <f>'Haver Pivoted'!HE31</f>
        <v>2896.7</v>
      </c>
      <c r="U96" s="447" t="n">
        <f>'Haver Pivoted'!HF31</f>
        <v>2945.8</v>
      </c>
      <c r="V96" s="447" t="n">
        <f>'Haver Pivoted'!HG31</f>
        <v>2929.7</v>
      </c>
      <c r="W96" s="810"/>
      <c r="X96" s="810"/>
      <c r="Y96" s="810"/>
      <c r="Z96" s="810"/>
      <c r="AA96" s="810"/>
      <c r="AB96" s="810"/>
      <c r="AC96" s="852"/>
      <c r="AD96" s="852"/>
      <c r="AE96" s="852"/>
      <c r="AF96" s="852"/>
      <c r="AG96" s="602"/>
    </row>
    <row r="97" ht="25.75" customHeight="1">
      <c r="B97" s="573" t="s">
        <v>1850</v>
      </c>
      <c r="C97" s="297"/>
      <c r="D97" s="828" t="n">
        <f>D98+D99</f>
        <v>812.1</v>
      </c>
      <c r="E97" s="530" t="n">
        <f>E98+E99</f>
        <v>832.4</v>
      </c>
      <c r="F97" s="530" t="n">
        <f>F98+F99</f>
        <v>843</v>
      </c>
      <c r="G97" s="530" t="n">
        <f t="shared" ref="G97:N97" si="25">G98+G99</f>
        <v>848.9</v>
      </c>
      <c r="H97" s="530" t="n">
        <f t="shared" si="25"/>
        <v>854.6</v>
      </c>
      <c r="I97" s="530" t="n">
        <f t="shared" si="25"/>
        <v>875.94174999999996</v>
      </c>
      <c r="J97" s="530" t="n">
        <f t="shared" si="25"/>
        <v>3140.0887499999999</v>
      </c>
      <c r="K97" s="530" t="n">
        <f t="shared" si="25"/>
        <v>1866.1377500000001</v>
      </c>
      <c r="L97" s="530" t="n">
        <f t="shared" si="25"/>
        <v>1314.69775</v>
      </c>
      <c r="M97" s="530" t="n">
        <f t="shared" si="25"/>
        <v>3522.1777499999998</v>
      </c>
      <c r="N97" s="530" t="n">
        <f t="shared" si="25"/>
        <v>1820.5125900000003</v>
      </c>
      <c r="O97" s="530" t="n">
        <f>O98+O99</f>
        <v>1547.208243333333</v>
      </c>
      <c r="P97" s="530" t="n">
        <f t="shared" ref="P97:R97" si="26">P98+P99</f>
        <v>1369.7290833333329</v>
      </c>
      <c r="Q97" s="530" t="n">
        <f t="shared" si="26"/>
        <v>1218.1737499999999</v>
      </c>
      <c r="R97" s="530" t="n">
        <f t="shared" si="26"/>
        <v>1201.89975</v>
      </c>
      <c r="S97" s="795" t="n">
        <f>S98+S99</f>
        <v>1183.0257500000002</v>
      </c>
      <c r="T97" s="795" t="n">
        <f t="shared" ref="T97:U97" si="27">T98+T99</f>
        <v>1168.3497500000001</v>
      </c>
      <c r="U97" s="795" t="n">
        <f t="shared" si="27"/>
        <v>1082.9817499999999</v>
      </c>
      <c r="V97" s="795" t="n">
        <f>V98+V99</f>
        <v>1060.3633214285715</v>
      </c>
      <c r="W97" s="777"/>
      <c r="X97" s="777"/>
      <c r="Y97" s="777"/>
      <c r="Z97" s="777"/>
      <c r="AA97" s="777"/>
      <c r="AB97" s="777"/>
      <c r="AC97" s="777"/>
      <c r="AD97" s="777"/>
      <c r="AE97" s="777"/>
      <c r="AF97" s="777"/>
      <c r="AG97" s="602"/>
    </row>
    <row r="98" ht="25.75" customHeight="1">
      <c r="B98" s="502" t="s">
        <v>1848</v>
      </c>
      <c r="C98" s="297"/>
      <c r="D98" s="828" t="n">
        <f t="shared" ref="D98:V98" si="28">D14+D17+D35</f>
        <v>812.1</v>
      </c>
      <c r="E98" s="828" t="n">
        <f t="shared" si="28"/>
        <v>832.4</v>
      </c>
      <c r="F98" s="530" t="n">
        <f t="shared" si="28"/>
        <v>843</v>
      </c>
      <c r="G98" s="530" t="n">
        <f t="shared" si="28"/>
        <v>848.9</v>
      </c>
      <c r="H98" s="530" t="n">
        <f t="shared" si="28"/>
        <v>854.6</v>
      </c>
      <c r="I98" s="530" t="n">
        <f t="shared" si="28"/>
        <v>869.3</v>
      </c>
      <c r="J98" s="530" t="n">
        <f t="shared" si="28"/>
        <v>1792.5</v>
      </c>
      <c r="K98" s="530" t="n">
        <f t="shared" si="28"/>
        <v>1655.6000000000001</v>
      </c>
      <c r="L98" s="530" t="n">
        <f t="shared" si="28"/>
        <v>1188.2</v>
      </c>
      <c r="M98" s="530" t="n">
        <f t="shared" si="28"/>
        <v>1467.3000000000002</v>
      </c>
      <c r="N98" s="530" t="n">
        <f t="shared" si="28"/>
        <v>1351.8000000000002</v>
      </c>
      <c r="O98" s="530" t="n">
        <f t="shared" si="28"/>
        <v>1328.333333333333</v>
      </c>
      <c r="P98" s="530" t="n">
        <f t="shared" si="28"/>
        <v>1157.333333333333</v>
      </c>
      <c r="Q98" s="530" t="n">
        <f t="shared" si="28"/>
        <v>1038.7</v>
      </c>
      <c r="R98" s="530" t="n">
        <f t="shared" si="28"/>
        <v>1040.4000000000001</v>
      </c>
      <c r="S98" s="795" t="n">
        <f t="shared" si="28"/>
        <v>1041.1000000000001</v>
      </c>
      <c r="T98" s="795" t="n">
        <f t="shared" si="28"/>
        <v>1050.6000000000001</v>
      </c>
      <c r="U98" s="795" t="n">
        <f t="shared" si="28"/>
        <v>994.1</v>
      </c>
      <c r="V98" s="795" t="n">
        <f t="shared" si="28"/>
        <v>998.52857142857135</v>
      </c>
      <c r="W98" s="777"/>
      <c r="X98" s="777"/>
      <c r="Y98" s="777"/>
      <c r="Z98" s="777"/>
      <c r="AA98" s="777"/>
      <c r="AB98" s="777"/>
      <c r="AC98" s="777"/>
      <c r="AD98" s="777"/>
      <c r="AE98" s="777"/>
      <c r="AF98" s="777"/>
      <c r="AG98" s="777"/>
    </row>
    <row r="99" ht="36" customHeight="1">
      <c r="B99" s="502" t="s">
        <v>1849</v>
      </c>
      <c r="C99" s="297"/>
      <c r="D99" s="530" t="n">
        <f t="shared" ref="D99:AG99" si="29">D18+D21+D32+D33+D34+D36</f>
        <v>0</v>
      </c>
      <c r="E99" s="530" t="n">
        <f t="shared" si="29"/>
        <v>0</v>
      </c>
      <c r="F99" s="530" t="n">
        <f t="shared" si="29"/>
        <v>0</v>
      </c>
      <c r="G99" s="530" t="n">
        <f t="shared" si="29"/>
        <v>0</v>
      </c>
      <c r="H99" s="530" t="n">
        <f t="shared" si="29"/>
        <v>0</v>
      </c>
      <c r="I99" s="530" t="n">
        <f t="shared" si="29"/>
        <v>6.6417500000000018</v>
      </c>
      <c r="J99" s="530" t="n">
        <f t="shared" si="29"/>
        <v>1347.5887500000001</v>
      </c>
      <c r="K99" s="530" t="n">
        <f t="shared" si="29"/>
        <v>210.53775000000002</v>
      </c>
      <c r="L99" s="530" t="n">
        <f t="shared" si="29"/>
        <v>126.49775</v>
      </c>
      <c r="M99" s="530" t="n">
        <f t="shared" si="29"/>
        <v>2054.8777499999997</v>
      </c>
      <c r="N99" s="530" t="n">
        <f t="shared" si="29"/>
        <v>468.71259000000009</v>
      </c>
      <c r="O99" s="530" t="n">
        <f t="shared" si="29"/>
        <v>218.87491000000009</v>
      </c>
      <c r="P99" s="530" t="n">
        <f t="shared" si="29"/>
        <v>212.39574999999999</v>
      </c>
      <c r="Q99" s="530" t="n">
        <f t="shared" si="29"/>
        <v>179.47375</v>
      </c>
      <c r="R99" s="530" t="n">
        <f t="shared" si="29"/>
        <v>161.49975000000001</v>
      </c>
      <c r="S99" s="795" t="n">
        <f t="shared" si="29"/>
        <v>141.92575000000002</v>
      </c>
      <c r="T99" s="795" t="n">
        <f t="shared" si="29"/>
        <v>117.74975000000001</v>
      </c>
      <c r="U99" s="795" t="n">
        <f t="shared" si="29"/>
        <v>88.881749999999982</v>
      </c>
      <c r="V99" s="795" t="n">
        <f t="shared" si="29"/>
        <v>61.83475</v>
      </c>
      <c r="W99" s="777" t="n">
        <f t="shared" si="29"/>
        <v>61.83475</v>
      </c>
      <c r="X99" s="777" t="n">
        <f t="shared" si="29"/>
        <v>54.119749999999996</v>
      </c>
      <c r="Y99" s="777" t="n">
        <f t="shared" si="29"/>
        <v>54.119749999999996</v>
      </c>
      <c r="Z99" s="777" t="n">
        <f t="shared" si="29"/>
        <v>54.119749999999996</v>
      </c>
      <c r="AA99" s="777" t="n">
        <f t="shared" si="29"/>
        <v>54.119749999999996</v>
      </c>
      <c r="AB99" s="777" t="n">
        <f t="shared" si="29"/>
        <v>52.420749999999998</v>
      </c>
      <c r="AC99" s="777" t="n">
        <f t="shared" si="29"/>
        <v>52.420749999999998</v>
      </c>
      <c r="AD99" s="777" t="n">
        <f t="shared" si="29"/>
        <v>0</v>
      </c>
      <c r="AE99" s="777" t="n">
        <f t="shared" si="29"/>
        <v>0</v>
      </c>
      <c r="AF99" s="777" t="n">
        <f t="shared" si="29"/>
        <v>0</v>
      </c>
      <c r="AG99" s="777" t="n">
        <f t="shared" si="29"/>
        <v>0</v>
      </c>
    </row>
    <row r="100" ht="25.75" customHeight="1">
      <c r="B100" s="573" t="s">
        <v>801</v>
      </c>
      <c r="C100" s="297"/>
      <c r="D100" s="828" t="n">
        <f>D96-D97</f>
        <v>1410.9</v>
      </c>
      <c r="E100" s="530" t="n">
        <f t="shared" ref="E100:T100" si="30">E96-E97</f>
        <v>1471.1999999999998</v>
      </c>
      <c r="F100" s="530" t="n">
        <f t="shared" si="30"/>
        <v>1477.1</v>
      </c>
      <c r="G100" s="530" t="n">
        <f t="shared" si="30"/>
        <v>1484</v>
      </c>
      <c r="H100" s="530" t="n">
        <f t="shared" si="30"/>
        <v>1492</v>
      </c>
      <c r="I100" s="530" t="n">
        <f t="shared" si="30"/>
        <v>1536.65825</v>
      </c>
      <c r="J100" s="530" t="n">
        <f t="shared" si="30"/>
        <v>1512.0112500000005</v>
      </c>
      <c r="K100" s="530" t="n">
        <f t="shared" si="30"/>
        <v>1641.8622499999999</v>
      </c>
      <c r="L100" s="530" t="n">
        <f t="shared" si="30"/>
        <v>1580.70225</v>
      </c>
      <c r="M100" s="530" t="n">
        <f t="shared" si="30"/>
        <v>1605.2222499999998</v>
      </c>
      <c r="N100" s="530" t="n">
        <f t="shared" si="30"/>
        <v>1583.2874099999999</v>
      </c>
      <c r="O100" s="530" t="n">
        <f t="shared" si="30"/>
        <v>1587.791756666667</v>
      </c>
      <c r="P100" s="530" t="n">
        <f t="shared" si="30"/>
        <v>1577.9709166666669</v>
      </c>
      <c r="Q100" s="530" t="n">
        <f t="shared" si="30"/>
        <v>1685.0262499999999</v>
      </c>
      <c r="R100" s="530" t="n">
        <f t="shared" si="30"/>
        <v>1693.3002499999998</v>
      </c>
      <c r="S100" s="795" t="n">
        <f t="shared" si="30"/>
        <v>1684.3742499999998</v>
      </c>
      <c r="T100" s="795" t="n">
        <f t="shared" si="30"/>
        <v>1728.3502499999997</v>
      </c>
      <c r="U100" s="795" t="n">
        <f>U96-U97</f>
        <v>1862.8182500000003</v>
      </c>
      <c r="V100" s="795" t="n">
        <f>V96-V97</f>
        <v>1869.3366785714284</v>
      </c>
      <c r="W100" s="777"/>
      <c r="X100" s="777"/>
      <c r="Y100" s="777"/>
      <c r="Z100" s="777"/>
      <c r="AA100" s="777"/>
      <c r="AB100" s="777"/>
      <c r="AC100" s="777"/>
      <c r="AD100" s="777"/>
      <c r="AE100" s="777"/>
      <c r="AF100" s="777"/>
      <c r="AG100" s="602"/>
    </row>
    <row r="101" ht="20.5" customHeight="1">
      <c r="B101" s="811" t="s">
        <v>802</v>
      </c>
      <c r="C101" s="812"/>
      <c r="D101" s="818" t="n">
        <f t="shared" ref="D101:I101" si="31">D12-D14-D17-D35</f>
        <v>1410.9</v>
      </c>
      <c r="E101" s="782" t="n">
        <f t="shared" si="31"/>
        <v>1471.1999999999998</v>
      </c>
      <c r="F101" s="782" t="n">
        <f t="shared" si="31"/>
        <v>1477.1000000000001</v>
      </c>
      <c r="G101" s="782" t="n">
        <f t="shared" si="31"/>
        <v>1484</v>
      </c>
      <c r="H101" s="782" t="n">
        <f t="shared" si="31"/>
        <v>1492</v>
      </c>
      <c r="I101" s="782" t="n">
        <f t="shared" si="31"/>
        <v>1543.2999999999997</v>
      </c>
      <c r="J101" s="819" t="n">
        <f>I101+($H$101-$E$101)/3</f>
        <v>1550.2333333333331</v>
      </c>
      <c r="K101" s="819" t="n">
        <f>J101+($H$101-$E$101)/3</f>
        <v>1557.1666666666665</v>
      </c>
      <c r="L101" s="819" t="n">
        <f>K101+($H$101-$E$101)/3</f>
        <v>1564.1</v>
      </c>
      <c r="M101" s="820" t="n">
        <f>L101+($H$101-$E$101)/3 +(M105-L105)</f>
        <v>1588.5533333333333</v>
      </c>
      <c r="N101" s="819" t="n">
        <f>M101+($H$101-$E$101)/3</f>
        <v>1595.4866666666667</v>
      </c>
      <c r="O101" s="819" t="n">
        <f>N101+($H$101-$E$101)/3</f>
        <v>1602.42</v>
      </c>
      <c r="P101" s="819" t="n">
        <f>O101+($H$101-$E$101)/3</f>
        <v>1609.3533333333335</v>
      </c>
      <c r="Q101" s="820" t="n">
        <f>P101+($H$101-$E$101)/3 + 0.06*Q105</f>
        <v>1688.207466666667</v>
      </c>
      <c r="R101" s="819" t="n">
        <f>Q101+($H$101-$E$101)/3</f>
        <v>1695.1408000000004</v>
      </c>
      <c r="S101" s="819" t="n">
        <f>R101+($H$101-$E$101)/3</f>
        <v>1702.0741333333337</v>
      </c>
      <c r="T101" s="819" t="n">
        <f>S101+($H$101-$E$101)/3</f>
        <v>1709.0074666666671</v>
      </c>
      <c r="U101" s="819" t="n">
        <f>T101+U102</f>
        <v>1822.5884450000005</v>
      </c>
      <c r="V101" s="819" t="n">
        <f>U101+V102</f>
        <v>1829.5217783333339</v>
      </c>
      <c r="W101" s="813" t="n">
        <f t="shared" ref="W101:AF101" si="32">V101+W102</f>
        <v>1836.4551116666673</v>
      </c>
      <c r="X101" s="813" t="n">
        <f t="shared" si="32"/>
        <v>1843.3884450000007</v>
      </c>
      <c r="Y101" s="813" t="n">
        <f t="shared" si="32"/>
        <v>1892.9800005333341</v>
      </c>
      <c r="Z101" s="813" t="n">
        <f t="shared" si="32"/>
        <v>1899.9133338666675</v>
      </c>
      <c r="AA101" s="813" t="n">
        <f t="shared" si="32"/>
        <v>1906.8466672000009</v>
      </c>
      <c r="AB101" s="813" t="n">
        <f t="shared" si="32"/>
        <v>1913.7800005333343</v>
      </c>
      <c r="AC101" s="813" t="n">
        <f t="shared" si="32"/>
        <v>1950.3705249626676</v>
      </c>
      <c r="AD101" s="813" t="n">
        <f t="shared" si="32"/>
        <v>1957.303858296001</v>
      </c>
      <c r="AE101" s="813" t="n">
        <f t="shared" si="32"/>
        <v>1964.2371916293343</v>
      </c>
      <c r="AF101" s="813" t="n">
        <f t="shared" si="32"/>
        <v>1971.1705249626677</v>
      </c>
      <c r="AG101" s="602"/>
    </row>
    <row r="102" ht="20.5" customHeight="1">
      <c r="B102" s="814" t="s">
        <v>1808</v>
      </c>
      <c r="C102" s="297"/>
      <c r="D102" s="828"/>
      <c r="E102" s="530"/>
      <c r="F102" s="530"/>
      <c r="G102" s="530"/>
      <c r="H102" s="530"/>
      <c r="I102" s="530"/>
      <c r="J102" s="796"/>
      <c r="K102" s="796"/>
      <c r="L102" s="796"/>
      <c r="M102" s="821"/>
      <c r="N102" s="796"/>
      <c r="O102" s="796"/>
      <c r="P102" s="796"/>
      <c r="Q102" s="821"/>
      <c r="R102" s="796"/>
      <c r="S102" s="796"/>
      <c r="T102" s="796"/>
      <c r="U102" s="796" t="n">
        <f>U103+U104</f>
        <v>113.58097833333339</v>
      </c>
      <c r="V102" s="796" t="n">
        <f>V103+V104</f>
        <v>6.933333333333394</v>
      </c>
      <c r="W102" s="777" t="n">
        <f t="shared" ref="W102:AF102" si="33">W103+W108*W105</f>
        <v>6.933333333333394</v>
      </c>
      <c r="X102" s="777" t="n">
        <f t="shared" si="33"/>
        <v>6.933333333333394</v>
      </c>
      <c r="Y102" s="777" t="n">
        <f t="shared" si="33"/>
        <v>49.591555533333391</v>
      </c>
      <c r="Z102" s="777" t="n">
        <f t="shared" si="33"/>
        <v>6.933333333333394</v>
      </c>
      <c r="AA102" s="777" t="n">
        <f t="shared" si="33"/>
        <v>6.933333333333394</v>
      </c>
      <c r="AB102" s="777" t="n">
        <f t="shared" si="33"/>
        <v>6.933333333333394</v>
      </c>
      <c r="AC102" s="777" t="n">
        <f t="shared" si="33"/>
        <v>36.590524429333399</v>
      </c>
      <c r="AD102" s="777" t="n">
        <f t="shared" si="33"/>
        <v>6.933333333333394</v>
      </c>
      <c r="AE102" s="777" t="n">
        <f t="shared" si="33"/>
        <v>6.933333333333394</v>
      </c>
      <c r="AF102" s="777" t="n">
        <f t="shared" si="33"/>
        <v>6.933333333333394</v>
      </c>
      <c r="AG102" s="602"/>
    </row>
    <row r="103" ht="28.4" customHeight="1">
      <c r="B103" s="815" t="s">
        <v>1805</v>
      </c>
      <c r="C103" s="297"/>
      <c r="D103" s="828"/>
      <c r="E103" s="530"/>
      <c r="F103" s="530"/>
      <c r="G103" s="530"/>
      <c r="H103" s="530"/>
      <c r="I103" s="530"/>
      <c r="J103" s="796"/>
      <c r="K103" s="796"/>
      <c r="L103" s="796"/>
      <c r="M103" s="821"/>
      <c r="N103" s="796"/>
      <c r="O103" s="796"/>
      <c r="P103" s="796"/>
      <c r="Q103" s="821"/>
      <c r="R103" s="796"/>
      <c r="S103" s="796"/>
      <c r="T103" s="796"/>
      <c r="U103" s="796" t="n">
        <f>($H$101-$E$101)/3</f>
        <v>6.933333333333394</v>
      </c>
      <c r="V103" s="796" t="n">
        <f>($H$101-$E$101)/3</f>
        <v>6.933333333333394</v>
      </c>
      <c r="W103" s="777" t="n">
        <f t="shared" ref="W103:AF103" si="34">V103</f>
        <v>6.933333333333394</v>
      </c>
      <c r="X103" s="777" t="n">
        <f t="shared" si="34"/>
        <v>6.933333333333394</v>
      </c>
      <c r="Y103" s="777" t="n">
        <f t="shared" si="34"/>
        <v>6.933333333333394</v>
      </c>
      <c r="Z103" s="777" t="n">
        <f t="shared" si="34"/>
        <v>6.933333333333394</v>
      </c>
      <c r="AA103" s="777" t="n">
        <f t="shared" si="34"/>
        <v>6.933333333333394</v>
      </c>
      <c r="AB103" s="777" t="n">
        <f t="shared" si="34"/>
        <v>6.933333333333394</v>
      </c>
      <c r="AC103" s="777" t="n">
        <f t="shared" si="34"/>
        <v>6.933333333333394</v>
      </c>
      <c r="AD103" s="777" t="n">
        <f t="shared" si="34"/>
        <v>6.933333333333394</v>
      </c>
      <c r="AE103" s="777" t="n">
        <f t="shared" si="34"/>
        <v>6.933333333333394</v>
      </c>
      <c r="AF103" s="777" t="n">
        <f t="shared" si="34"/>
        <v>6.933333333333394</v>
      </c>
      <c r="AG103" s="602"/>
    </row>
    <row r="104" ht="30.65" customHeight="1">
      <c r="B104" s="816" t="s">
        <v>1806</v>
      </c>
      <c r="C104" s="817"/>
      <c r="D104" s="822"/>
      <c r="E104" s="783"/>
      <c r="F104" s="783"/>
      <c r="G104" s="783"/>
      <c r="H104" s="783"/>
      <c r="I104" s="783"/>
      <c r="J104" s="823"/>
      <c r="K104" s="823"/>
      <c r="L104" s="823"/>
      <c r="M104" s="824"/>
      <c r="N104" s="823"/>
      <c r="O104" s="823"/>
      <c r="P104" s="823"/>
      <c r="Q104" s="824"/>
      <c r="R104" s="823"/>
      <c r="S104" s="823"/>
      <c r="T104" s="823"/>
      <c r="U104" s="823" t="n">
        <f>U108*T105</f>
        <v>106.647645</v>
      </c>
      <c r="V104" s="823" t="n">
        <f>V108*U105</f>
        <v>0</v>
      </c>
      <c r="W104" s="825" t="n">
        <f t="shared" ref="W104:AF104" si="35">W108*V105</f>
        <v>0</v>
      </c>
      <c r="X104" s="825" t="n">
        <f t="shared" si="35"/>
        <v>0</v>
      </c>
      <c r="Y104" s="825" t="n">
        <f>Y108*X105</f>
        <v>41.182740000000003</v>
      </c>
      <c r="Z104" s="825" t="n">
        <f t="shared" si="35"/>
        <v>0</v>
      </c>
      <c r="AA104" s="825" t="n">
        <f t="shared" si="35"/>
        <v>0</v>
      </c>
      <c r="AB104" s="825" t="n">
        <f t="shared" si="35"/>
        <v>0</v>
      </c>
      <c r="AC104" s="825" t="n">
        <f t="shared" si="35"/>
        <v>28.9188148</v>
      </c>
      <c r="AD104" s="825" t="n">
        <f t="shared" si="35"/>
        <v>0</v>
      </c>
      <c r="AE104" s="825" t="n">
        <f t="shared" si="35"/>
        <v>0</v>
      </c>
      <c r="AF104" s="825" t="n">
        <f t="shared" si="35"/>
        <v>0</v>
      </c>
      <c r="AG104" s="602"/>
    </row>
    <row r="105" ht="17.5" customHeight="1">
      <c r="B105" s="657" t="s">
        <v>475</v>
      </c>
      <c r="C105" s="297" t="s">
        <v>476</v>
      </c>
      <c r="D105" s="828" t="n">
        <f>'Haver Pivoted'!GO88/1000</f>
        <v>983.86099999999999</v>
      </c>
      <c r="E105" s="530" t="n">
        <f>'Haver Pivoted'!GP88/1000</f>
        <v>1019.17</v>
      </c>
      <c r="F105" s="530" t="n">
        <f>'Haver Pivoted'!GQ88/1000</f>
        <v>1026.74</v>
      </c>
      <c r="G105" s="530" t="n">
        <f>'Haver Pivoted'!GR88/1000</f>
        <v>1034.364</v>
      </c>
      <c r="H105" s="530" t="n">
        <f>'Haver Pivoted'!GS88/1000</f>
        <v>1042.6969999999999</v>
      </c>
      <c r="I105" s="530" t="n">
        <f>'Haver Pivoted'!GT88/1000</f>
        <v>1068.172</v>
      </c>
      <c r="J105" s="530" t="n">
        <f>'Haver Pivoted'!GU88/1000</f>
        <v>1075.0809999999999</v>
      </c>
      <c r="K105" s="530" t="n">
        <f>'Haver Pivoted'!GV88/1000</f>
        <v>1080.296</v>
      </c>
      <c r="L105" s="530" t="n">
        <f>'Haver Pivoted'!GW88/1000</f>
        <v>1088.164</v>
      </c>
      <c r="M105" s="530" t="n">
        <f>'Haver Pivoted'!GX88/1000</f>
        <v>1105.684</v>
      </c>
      <c r="N105" s="530" t="n">
        <f>'Haver Pivoted'!GY88/1000</f>
        <v>1109.6220000000001</v>
      </c>
      <c r="O105" s="530" t="n">
        <f>'Haver Pivoted'!GZ88/1000</f>
        <v>1116.8399999999999</v>
      </c>
      <c r="P105" s="530" t="n">
        <f>'Haver Pivoted'!HA88/1000</f>
        <v>1126.2539999999999</v>
      </c>
      <c r="Q105" s="530" t="n">
        <f>'Haver Pivoted'!HB88/1000</f>
        <v>1198.68</v>
      </c>
      <c r="R105" s="530" t="n">
        <f>'Haver Pivoted'!HC88/1000</f>
        <v>1207.049</v>
      </c>
      <c r="S105" s="795" t="n">
        <f>'Haver Pivoted'!HD88/1000</f>
        <v>1214.451</v>
      </c>
      <c r="T105" s="795" t="n">
        <f>'Haver Pivoted'!HE88/1000</f>
        <v>1225.835</v>
      </c>
      <c r="U105" s="795" t="n">
        <f>'Haver Pivoted'!HF88/1000</f>
        <v>1339.9770000000001</v>
      </c>
      <c r="V105" s="795" t="n">
        <f>'Haver Pivoted'!HG88/1000</f>
        <v>1353.758</v>
      </c>
      <c r="W105" s="777" t="n">
        <f t="shared" ref="W105:AF105" si="36">V105+W106</f>
        <v>1364.758</v>
      </c>
      <c r="X105" s="777" t="n">
        <f t="shared" si="36"/>
        <v>1372.758</v>
      </c>
      <c r="Y105" s="777" t="n">
        <f t="shared" si="36"/>
        <v>1421.94074</v>
      </c>
      <c r="Z105" s="777" t="n">
        <f t="shared" si="36"/>
        <v>1429.94074</v>
      </c>
      <c r="AA105" s="777" t="n">
        <f t="shared" si="36"/>
        <v>1437.94074</v>
      </c>
      <c r="AB105" s="777" t="n">
        <f t="shared" si="36"/>
        <v>1445.94074</v>
      </c>
      <c r="AC105" s="777" t="n">
        <f t="shared" si="36"/>
        <v>1482.8595548000001</v>
      </c>
      <c r="AD105" s="777" t="n">
        <f t="shared" si="36"/>
        <v>1491.8595548000001</v>
      </c>
      <c r="AE105" s="777" t="n">
        <f t="shared" si="36"/>
        <v>1501.8595548000001</v>
      </c>
      <c r="AF105" s="777" t="n">
        <f t="shared" si="36"/>
        <v>1512.8595548000001</v>
      </c>
      <c r="AG105" s="602"/>
    </row>
    <row r="106" ht="17.5" customHeight="1">
      <c r="B106" s="502" t="s">
        <v>1807</v>
      </c>
      <c r="C106" s="297"/>
      <c r="D106" s="828"/>
      <c r="E106" s="530"/>
      <c r="F106" s="530"/>
      <c r="G106" s="530"/>
      <c r="H106" s="530"/>
      <c r="I106" s="530"/>
      <c r="J106" s="530"/>
      <c r="K106" s="530"/>
      <c r="L106" s="530"/>
      <c r="M106" s="530"/>
      <c r="N106" s="530"/>
      <c r="O106" s="530"/>
      <c r="P106" s="530"/>
      <c r="Q106" s="530"/>
      <c r="R106" s="530"/>
      <c r="S106" s="795"/>
      <c r="T106" s="795"/>
      <c r="U106" s="795" t="n">
        <f>U104+U107</f>
        <v>114.647645</v>
      </c>
      <c r="V106" s="795" t="n">
        <f>V104+V107</f>
        <v>8</v>
      </c>
      <c r="W106" s="777" t="n">
        <f t="shared" ref="W106:AF106" si="37">W104+W107</f>
        <v>11</v>
      </c>
      <c r="X106" s="777" t="n">
        <f t="shared" si="37"/>
        <v>8</v>
      </c>
      <c r="Y106" s="777" t="n">
        <f>Y104+Y107</f>
        <v>49.182740000000003</v>
      </c>
      <c r="Z106" s="777" t="n">
        <f t="shared" si="37"/>
        <v>8</v>
      </c>
      <c r="AA106" s="777" t="n">
        <f t="shared" si="37"/>
        <v>8</v>
      </c>
      <c r="AB106" s="777" t="n">
        <f t="shared" si="37"/>
        <v>8</v>
      </c>
      <c r="AC106" s="777" t="n">
        <f t="shared" si="37"/>
        <v>36.9188148</v>
      </c>
      <c r="AD106" s="777" t="n">
        <f t="shared" si="37"/>
        <v>9</v>
      </c>
      <c r="AE106" s="777" t="n">
        <f t="shared" si="37"/>
        <v>10</v>
      </c>
      <c r="AF106" s="777" t="n">
        <f t="shared" si="37"/>
        <v>11</v>
      </c>
      <c r="AG106" s="602"/>
    </row>
    <row r="107" ht="17.5" customHeight="1">
      <c r="B107" s="493" t="s">
        <v>1810</v>
      </c>
      <c r="C107" s="297"/>
      <c r="D107" s="828"/>
      <c r="E107" s="530"/>
      <c r="F107" s="530"/>
      <c r="G107" s="530"/>
      <c r="H107" s="530"/>
      <c r="I107" s="530"/>
      <c r="J107" s="530"/>
      <c r="K107" s="530"/>
      <c r="L107" s="530"/>
      <c r="M107" s="530"/>
      <c r="N107" s="530"/>
      <c r="O107" s="530"/>
      <c r="P107" s="530"/>
      <c r="Q107" s="530"/>
      <c r="R107" s="530"/>
      <c r="S107" s="795"/>
      <c r="T107" s="795"/>
      <c r="U107" s="795" t="n">
        <v>8</v>
      </c>
      <c r="V107" s="795" t="n">
        <v>8</v>
      </c>
      <c r="W107" s="777" t="n">
        <v>11</v>
      </c>
      <c r="X107" s="777" t="n">
        <v>8</v>
      </c>
      <c r="Y107" s="777" t="n">
        <v>8</v>
      </c>
      <c r="Z107" s="777" t="n">
        <v>8</v>
      </c>
      <c r="AA107" s="777" t="n">
        <v>8</v>
      </c>
      <c r="AB107" s="777" t="n">
        <v>8</v>
      </c>
      <c r="AC107" s="777" t="n">
        <v>8</v>
      </c>
      <c r="AD107" s="777" t="n">
        <v>9</v>
      </c>
      <c r="AE107" s="777" t="n">
        <v>10</v>
      </c>
      <c r="AF107" s="777" t="n">
        <v>11</v>
      </c>
      <c r="AG107" s="602"/>
    </row>
    <row r="108" ht="39" customHeight="1">
      <c r="B108" s="493" t="s">
        <v>1811</v>
      </c>
      <c r="C108" s="297"/>
      <c r="D108" s="828"/>
      <c r="E108" s="530"/>
      <c r="F108" s="530"/>
      <c r="G108" s="530"/>
      <c r="H108" s="530"/>
      <c r="I108" s="783"/>
      <c r="J108" s="783"/>
      <c r="K108" s="783"/>
      <c r="L108" s="783"/>
      <c r="M108" s="783"/>
      <c r="N108" s="783"/>
      <c r="O108" s="783"/>
      <c r="P108" s="783"/>
      <c r="Q108" s="783"/>
      <c r="R108" s="783"/>
      <c r="S108" s="826"/>
      <c r="T108" s="826"/>
      <c r="U108" s="797" t="n">
        <v>8.6999999999999994E-2</v>
      </c>
      <c r="V108" s="784" t="n">
        <v>0</v>
      </c>
      <c r="W108" s="827" t="n">
        <v>0</v>
      </c>
      <c r="X108" s="827" t="n">
        <v>0</v>
      </c>
      <c r="Y108" s="827" t="n">
        <v>0.03</v>
      </c>
      <c r="Z108" s="827" t="n">
        <v>0</v>
      </c>
      <c r="AA108" s="827" t="n">
        <v>0</v>
      </c>
      <c r="AB108" s="827" t="n">
        <v>0</v>
      </c>
      <c r="AC108" s="827" t="n">
        <v>0.02</v>
      </c>
      <c r="AD108" s="827" t="n">
        <v>0</v>
      </c>
      <c r="AE108" s="827" t="n">
        <v>0</v>
      </c>
      <c r="AF108" s="827" t="n">
        <v>0</v>
      </c>
      <c r="AG108" s="602"/>
    </row>
    <row r="109" ht="49.75" customHeight="1">
      <c r="B109" s="573" t="s">
        <v>1432</v>
      </c>
      <c r="C109" s="297"/>
      <c r="D109" s="828" t="n">
        <f t="shared" ref="D109:T109" si="38">D100-D101</f>
        <v>0</v>
      </c>
      <c r="E109" s="530" t="n">
        <f t="shared" si="38"/>
        <v>0</v>
      </c>
      <c r="F109" s="530" t="n">
        <f t="shared" si="38"/>
        <v>0</v>
      </c>
      <c r="G109" s="530" t="n">
        <f t="shared" si="38"/>
        <v>0</v>
      </c>
      <c r="H109" s="530" t="n">
        <f t="shared" si="38"/>
        <v>0</v>
      </c>
      <c r="I109" s="530" t="n">
        <f t="shared" si="38"/>
        <v>-6.6417499999997744</v>
      </c>
      <c r="J109" s="530" t="n">
        <f t="shared" si="38"/>
        <v>-38.222083333332648</v>
      </c>
      <c r="K109" s="530" t="n">
        <f t="shared" si="38"/>
        <v>84.695583333333389</v>
      </c>
      <c r="L109" s="530" t="n">
        <f t="shared" si="38"/>
        <v>16.60225000000014</v>
      </c>
      <c r="M109" s="530" t="n">
        <f t="shared" si="38"/>
        <v>16.668916666666519</v>
      </c>
      <c r="N109" s="530" t="n">
        <f t="shared" si="38"/>
        <v>-12.19925666666677</v>
      </c>
      <c r="O109" s="530" t="n">
        <f t="shared" si="38"/>
        <v>-14.628243333333103</v>
      </c>
      <c r="P109" s="530" t="n">
        <f t="shared" si="38"/>
        <v>-31.382416666666586</v>
      </c>
      <c r="Q109" s="530" t="n">
        <f t="shared" si="38"/>
        <v>-3.1812166666670691</v>
      </c>
      <c r="R109" s="530" t="n">
        <f t="shared" si="38"/>
        <v>-1.8405500000005759</v>
      </c>
      <c r="S109" s="795" t="n">
        <f t="shared" si="38"/>
        <v>-17.699883333333901</v>
      </c>
      <c r="T109" s="795" t="n">
        <f t="shared" si="38"/>
        <v>19.342783333332591</v>
      </c>
      <c r="U109" s="795" t="n">
        <f>U100-U101</f>
        <v>40.229804999999715</v>
      </c>
      <c r="V109" s="795" t="n">
        <f>V100-V101</f>
        <v>39.814900238094424</v>
      </c>
      <c r="W109" s="777" t="n">
        <f t="shared" ref="W109:AF109" si="39">V109</f>
        <v>39.814900238094424</v>
      </c>
      <c r="X109" s="777" t="n">
        <f t="shared" si="39"/>
        <v>39.814900238094424</v>
      </c>
      <c r="Y109" s="777" t="n">
        <f t="shared" si="39"/>
        <v>39.814900238094424</v>
      </c>
      <c r="Z109" s="777" t="n">
        <f t="shared" si="39"/>
        <v>39.814900238094424</v>
      </c>
      <c r="AA109" s="777" t="n">
        <f t="shared" si="39"/>
        <v>39.814900238094424</v>
      </c>
      <c r="AB109" s="777" t="n">
        <f t="shared" si="39"/>
        <v>39.814900238094424</v>
      </c>
      <c r="AC109" s="777" t="n">
        <f t="shared" si="39"/>
        <v>39.814900238094424</v>
      </c>
      <c r="AD109" s="777" t="n">
        <f t="shared" si="39"/>
        <v>39.814900238094424</v>
      </c>
      <c r="AE109" s="777" t="n">
        <f t="shared" si="39"/>
        <v>39.814900238094424</v>
      </c>
      <c r="AF109" s="777" t="n">
        <f t="shared" si="39"/>
        <v>39.814900238094424</v>
      </c>
      <c r="AG109" s="602"/>
    </row>
    <row r="110" ht="29.5" customHeight="1">
      <c r="B110" s="338"/>
      <c r="C110" s="297"/>
      <c r="D110" s="280"/>
      <c r="E110" s="280"/>
      <c r="F110" s="280"/>
      <c r="G110" s="280"/>
      <c r="H110" s="280"/>
      <c r="I110" s="280"/>
      <c r="J110" s="280"/>
      <c r="K110" s="280"/>
      <c r="L110" s="280"/>
      <c r="M110" s="280"/>
      <c r="N110" s="280"/>
      <c r="O110" s="280"/>
      <c r="P110" s="280"/>
      <c r="Q110" s="280"/>
      <c r="R110" s="280"/>
      <c r="S110" s="280"/>
      <c r="T110" s="280"/>
      <c r="U110" s="280"/>
      <c r="V110" s="280"/>
      <c r="W110" s="280"/>
      <c r="X110" s="280"/>
      <c r="Y110" s="280"/>
      <c r="Z110" s="280"/>
      <c r="AA110" s="280"/>
      <c r="AB110" s="280"/>
      <c r="AC110" s="280"/>
    </row>
    <row r="111" ht="16.75" customHeight="1">
      <c r="B111" s="297"/>
      <c r="C111" s="297"/>
      <c r="S111" s="661"/>
      <c r="T111" s="661"/>
      <c r="U111" s="297"/>
      <c r="V111" s="297"/>
      <c r="W111" s="297"/>
      <c r="X111" s="297"/>
      <c r="Y111" s="297"/>
      <c r="Z111" s="297"/>
      <c r="AA111" s="297"/>
      <c r="AB111" s="297"/>
      <c r="AC111" s="297"/>
    </row>
    <row r="112" ht="16.75" customHeight="1">
      <c r="B112" s="297"/>
      <c r="C112" s="297"/>
      <c r="S112" s="280"/>
      <c r="T112" s="280"/>
      <c r="U112" s="297"/>
      <c r="V112" s="297"/>
      <c r="W112" s="297"/>
      <c r="X112" s="297"/>
      <c r="Y112" s="297"/>
      <c r="Z112" s="297"/>
      <c r="AA112" s="297"/>
      <c r="AB112" s="297"/>
      <c r="AC112" s="297"/>
    </row>
    <row r="113" ht="16.75" customHeight="1">
      <c r="B113" s="297"/>
      <c r="C113" s="297"/>
      <c r="S113" s="280"/>
      <c r="T113" s="280"/>
      <c r="U113" s="297"/>
      <c r="V113" s="297"/>
      <c r="W113" s="297"/>
      <c r="X113" s="297"/>
      <c r="Y113" s="297"/>
      <c r="Z113" s="297"/>
      <c r="AA113" s="297"/>
      <c r="AB113" s="297"/>
      <c r="AC113" s="297"/>
    </row>
    <row r="114" ht="16.75" customHeight="1">
      <c r="B114" s="297"/>
      <c r="C114" s="297"/>
      <c r="S114" s="280"/>
      <c r="T114" s="280"/>
      <c r="U114" s="530"/>
      <c r="V114" s="530"/>
      <c r="W114" s="530"/>
      <c r="X114" s="530"/>
      <c r="Y114" s="530"/>
      <c r="Z114" s="530"/>
      <c r="AA114" s="530"/>
      <c r="AB114" s="530"/>
      <c r="AC114" s="530"/>
      <c r="AD114" s="614"/>
    </row>
    <row r="115" ht="16.75" customHeight="1">
      <c r="B115" s="564"/>
      <c r="C115" s="297"/>
      <c r="S115" s="280"/>
      <c r="T115" s="280"/>
      <c r="U115" s="280"/>
      <c r="V115" s="280"/>
      <c r="W115" s="280"/>
      <c r="X115" s="280"/>
      <c r="Y115" s="280"/>
      <c r="Z115" s="280"/>
      <c r="AA115" s="280"/>
      <c r="AB115" s="280"/>
      <c r="AC115" s="280"/>
      <c r="AD115" s="614"/>
    </row>
    <row r="116" ht="16.75" customHeight="1">
      <c r="B116" s="564"/>
      <c r="C116" s="297"/>
      <c r="S116" s="280"/>
      <c r="T116" s="280"/>
      <c r="U116" s="280"/>
      <c r="V116" s="280"/>
      <c r="W116" s="280"/>
      <c r="X116" s="280"/>
      <c r="Y116" s="280"/>
      <c r="Z116" s="280"/>
      <c r="AA116" s="280"/>
      <c r="AB116" s="280"/>
      <c r="AC116" s="280"/>
      <c r="AD116" s="614"/>
    </row>
    <row r="117" ht="16.75" customHeight="1">
      <c r="B117" s="564"/>
      <c r="C117" s="297"/>
      <c r="S117" s="280"/>
      <c r="T117" s="280"/>
      <c r="U117" s="280"/>
      <c r="V117" s="280"/>
      <c r="W117" s="280"/>
      <c r="X117" s="280"/>
      <c r="Y117" s="280"/>
      <c r="Z117" s="280"/>
      <c r="AA117" s="280"/>
      <c r="AB117" s="280"/>
      <c r="AC117" s="280"/>
      <c r="AD117" s="614"/>
    </row>
    <row r="118" ht="16.75" customHeight="1">
      <c r="B118" s="297"/>
      <c r="C118" s="297"/>
      <c r="S118" s="297"/>
      <c r="T118" s="297"/>
      <c r="U118" s="530"/>
      <c r="V118" s="530"/>
      <c r="W118" s="530"/>
      <c r="X118" s="530"/>
      <c r="Y118" s="530"/>
      <c r="Z118" s="530"/>
      <c r="AA118" s="530"/>
      <c r="AB118" s="530"/>
      <c r="AC118" s="530"/>
      <c r="AD118" s="614"/>
    </row>
    <row r="119" ht="16.75" customHeight="1">
      <c r="B119" s="564"/>
      <c r="C119" s="297"/>
      <c r="S119" s="297"/>
      <c r="T119" s="297"/>
      <c r="U119" s="530"/>
      <c r="V119" s="530"/>
      <c r="W119" s="530"/>
      <c r="X119" s="530"/>
      <c r="Y119" s="530"/>
      <c r="Z119" s="530"/>
      <c r="AA119" s="530"/>
      <c r="AB119" s="530"/>
      <c r="AC119" s="530"/>
      <c r="AD119" s="614"/>
    </row>
    <row r="120" ht="16.75" customHeight="1">
      <c r="B120" s="564"/>
      <c r="C120" s="297"/>
      <c r="S120" s="297"/>
      <c r="T120" s="297"/>
      <c r="U120" s="280"/>
      <c r="V120" s="280"/>
      <c r="W120" s="280"/>
      <c r="X120" s="280"/>
      <c r="Y120" s="280"/>
      <c r="Z120" s="280"/>
      <c r="AA120" s="280"/>
      <c r="AB120" s="280"/>
      <c r="AC120" s="280"/>
      <c r="AD120" s="614"/>
    </row>
    <row r="121" ht="16.75" customHeight="1">
      <c r="B121" s="564"/>
      <c r="C121" s="297"/>
      <c r="S121" s="297"/>
      <c r="T121" s="297"/>
      <c r="U121" s="798"/>
      <c r="V121" s="798"/>
      <c r="W121" s="798"/>
      <c r="X121" s="798"/>
      <c r="Y121" s="798"/>
      <c r="Z121" s="798"/>
      <c r="AA121" s="798"/>
      <c r="AB121" s="798"/>
      <c r="AC121" s="798"/>
      <c r="AD121" s="614"/>
    </row>
    <row r="122" ht="16.75" customHeight="1">
      <c r="B122" s="297"/>
      <c r="C122" s="297"/>
      <c r="S122" s="280"/>
      <c r="T122" s="280"/>
      <c r="U122" s="280"/>
      <c r="V122" s="280"/>
      <c r="W122" s="280"/>
      <c r="X122" s="280"/>
      <c r="Y122" s="280"/>
      <c r="Z122" s="280"/>
      <c r="AA122" s="280"/>
      <c r="AB122" s="280"/>
      <c r="AC122" s="280"/>
      <c r="AD122" s="614"/>
    </row>
    <row r="123" ht="22.5" customHeight="1">
      <c r="B123" s="338"/>
      <c r="C123" s="297"/>
      <c r="D123" s="280"/>
      <c r="E123" s="280"/>
      <c r="F123" s="280"/>
      <c r="G123" s="280"/>
      <c r="H123" s="280"/>
      <c r="I123" s="280"/>
      <c r="J123" s="280"/>
      <c r="K123" s="280"/>
      <c r="L123" s="280"/>
      <c r="M123" s="280"/>
      <c r="N123" s="280"/>
      <c r="O123" s="280"/>
      <c r="P123" s="280"/>
      <c r="Q123" s="280"/>
      <c r="R123" s="280"/>
      <c r="S123" s="280"/>
      <c r="T123" s="280"/>
      <c r="U123" s="280"/>
      <c r="V123" s="280"/>
      <c r="W123" s="280"/>
      <c r="X123" s="280"/>
      <c r="Y123" s="280"/>
      <c r="Z123" s="280"/>
      <c r="AA123" s="280"/>
      <c r="AB123" s="280"/>
      <c r="AC123" s="280"/>
    </row>
    <row r="124" ht="22.5" customHeight="1">
      <c r="B124" s="338"/>
      <c r="C124" s="297"/>
      <c r="D124" s="280"/>
      <c r="E124" s="280"/>
      <c r="F124" s="280"/>
      <c r="G124" s="280"/>
      <c r="H124" s="280"/>
      <c r="I124" s="280"/>
      <c r="J124" s="280"/>
      <c r="K124" s="280"/>
      <c r="L124" s="280"/>
      <c r="M124" s="280"/>
      <c r="N124" s="280"/>
      <c r="O124" s="280"/>
      <c r="P124" s="280"/>
      <c r="Q124" s="280"/>
      <c r="R124" s="280"/>
      <c r="S124" s="280"/>
      <c r="T124" s="280"/>
      <c r="U124" s="280"/>
      <c r="V124" s="280"/>
      <c r="W124" s="280"/>
      <c r="X124" s="280"/>
      <c r="Y124" s="280"/>
      <c r="Z124" s="280"/>
      <c r="AA124" s="280"/>
      <c r="AB124" s="280"/>
      <c r="AC124" s="280"/>
    </row>
    <row r="125" ht="38.5" customHeight="1">
      <c r="B125" s="582"/>
      <c r="C125" s="830" t="n">
        <v>2022</v>
      </c>
      <c r="D125" s="831" t="n">
        <v>2023</v>
      </c>
      <c r="E125" s="831" t="n">
        <v>2024</v>
      </c>
      <c r="F125" s="832" t="n">
        <v>2025</v>
      </c>
      <c r="G125" s="280" t="n">
        <v>2026</v>
      </c>
      <c r="H125" s="280"/>
      <c r="I125" s="280"/>
      <c r="J125" s="280"/>
      <c r="K125" s="280"/>
      <c r="L125" s="280"/>
      <c r="M125" s="280"/>
      <c r="N125" s="280"/>
      <c r="O125" s="280"/>
      <c r="P125" s="280"/>
      <c r="Q125" s="280"/>
      <c r="R125" s="280"/>
      <c r="S125" s="280"/>
      <c r="T125" s="280"/>
      <c r="U125" s="280"/>
      <c r="V125" s="280"/>
      <c r="W125" s="280"/>
      <c r="X125" s="280"/>
      <c r="Y125" s="280"/>
      <c r="Z125" s="280"/>
      <c r="AA125" s="280"/>
      <c r="AB125" s="280"/>
      <c r="AC125" s="280"/>
    </row>
    <row r="126" ht="38.5" customHeight="1">
      <c r="B126" s="623" t="s">
        <v>1804</v>
      </c>
      <c r="C126" s="322" t="n">
        <v>1212.4870000000001</v>
      </c>
      <c r="D126" s="322" t="n">
        <v>1344.7529999999999</v>
      </c>
      <c r="E126" s="322" t="n">
        <v>1456.7</v>
      </c>
      <c r="F126" s="322" t="n">
        <v>1553.5309999999999</v>
      </c>
      <c r="G126" s="322" t="n">
        <v>1643.9870000000001</v>
      </c>
      <c r="H126" s="280"/>
      <c r="I126" s="280"/>
      <c r="J126" s="280"/>
      <c r="K126" s="280"/>
      <c r="L126" s="280"/>
      <c r="M126" s="280"/>
      <c r="N126" s="280"/>
      <c r="O126" s="280"/>
      <c r="P126" s="280"/>
      <c r="Q126" s="280"/>
      <c r="R126" s="280"/>
      <c r="S126" s="280"/>
      <c r="T126" s="280"/>
      <c r="U126" s="280"/>
      <c r="V126" s="280"/>
      <c r="W126" s="280"/>
      <c r="X126" s="280"/>
      <c r="Y126" s="280"/>
      <c r="Z126" s="280"/>
      <c r="AA126" s="280"/>
      <c r="AB126" s="280"/>
      <c r="AC126" s="280"/>
    </row>
    <row r="127" ht="69" customHeight="1">
      <c r="B127" s="338"/>
      <c r="C127" s="297"/>
      <c r="D127" s="280"/>
      <c r="E127" s="280"/>
      <c r="F127" s="280"/>
      <c r="G127" s="280"/>
      <c r="H127" s="280"/>
      <c r="I127" s="280"/>
      <c r="J127" s="280"/>
      <c r="K127" s="280"/>
      <c r="L127" s="280"/>
      <c r="M127" s="280"/>
      <c r="N127" s="280"/>
      <c r="O127" s="280"/>
      <c r="P127" s="280"/>
      <c r="Q127" s="280"/>
      <c r="R127" s="280"/>
      <c r="S127" s="280"/>
      <c r="T127" s="280"/>
      <c r="U127" s="280"/>
      <c r="V127" s="280"/>
      <c r="W127" s="280"/>
      <c r="X127" s="280"/>
      <c r="Y127" s="280"/>
      <c r="Z127" s="280"/>
      <c r="AA127" s="280"/>
      <c r="AB127" s="280"/>
      <c r="AC127" s="280"/>
    </row>
    <row r="128">
      <c r="B128" s="105" t="s">
        <v>1431</v>
      </c>
      <c r="D128" s="297"/>
      <c r="E128" s="297"/>
      <c r="F128" s="297"/>
      <c r="G128" s="297"/>
      <c r="H128" s="297"/>
      <c r="I128" s="297"/>
      <c r="J128" s="297"/>
      <c r="K128" s="297"/>
      <c r="L128" s="297"/>
      <c r="M128" s="280"/>
      <c r="N128" s="280"/>
      <c r="O128" s="280"/>
      <c r="P128" s="297"/>
    </row>
    <row r="129">
      <c r="B129" s="670" t="s">
        <v>808</v>
      </c>
      <c r="C129" s="778"/>
      <c r="D129" s="844" t="n">
        <v>2021</v>
      </c>
      <c r="E129" s="844" t="n">
        <v>2022</v>
      </c>
      <c r="F129" s="844" t="n">
        <v>2023</v>
      </c>
      <c r="G129" s="845" t="n">
        <v>2024</v>
      </c>
      <c r="R129" s="614"/>
    </row>
    <row r="130">
      <c r="B130" s="738" t="s">
        <v>809</v>
      </c>
      <c r="C130" s="851"/>
      <c r="D130" s="839" t="n">
        <v>3605.8330000000001</v>
      </c>
      <c r="E130" s="839" t="n">
        <v>2900</v>
      </c>
      <c r="F130" s="839" t="n">
        <f>E130*1.02</f>
        <v>2958</v>
      </c>
      <c r="G130" s="840" t="n">
        <f>F130*1.06</f>
        <v>3135.48</v>
      </c>
    </row>
    <row r="131">
      <c r="B131" s="738" t="s">
        <v>812</v>
      </c>
      <c r="C131" s="841"/>
      <c r="D131" s="834" t="n">
        <f>AVERAGE(Medicare!L10:O10)</f>
        <v>858.02499999999998</v>
      </c>
      <c r="E131" s="834" t="n">
        <f>AVERAGE(Medicare!P10:S10)</f>
        <v>917.59999999999991</v>
      </c>
      <c r="F131" s="834" t="n">
        <f>AVERAGE(Medicare!T10:W10)</f>
        <v>940.125</v>
      </c>
      <c r="G131" s="849" t="n">
        <f>AVERAGE(Medicare!X10:AA10)</f>
        <v>976.17283859089639</v>
      </c>
    </row>
    <row r="132" ht="13.4" customHeight="1">
      <c r="B132" s="738" t="s">
        <v>810</v>
      </c>
      <c r="C132" s="841"/>
      <c r="D132" s="834" t="n">
        <f>D130-D131</f>
        <v>2747.808</v>
      </c>
      <c r="E132" s="834" t="n">
        <f t="shared" ref="E132:G132" si="40">E130-E131</f>
        <v>1982.4</v>
      </c>
      <c r="F132" s="834" t="n">
        <f t="shared" si="40"/>
        <v>2017.875</v>
      </c>
      <c r="G132" s="849" t="n">
        <f t="shared" si="40"/>
        <v>2159.3071614091036</v>
      </c>
    </row>
    <row r="133">
      <c r="B133" s="738" t="s">
        <v>813</v>
      </c>
      <c r="C133" s="841"/>
      <c r="D133" s="834" t="n">
        <f>AVERAGE(L12:O12)</f>
        <v>3640.3999999999996</v>
      </c>
      <c r="E133" s="834" t="n">
        <f>AVERAGE(P12:S12)</f>
        <v>2903.3749999999995</v>
      </c>
      <c r="F133" s="834" t="n">
        <f>AVERAGE(T12:W12)</f>
        <v>2965.6843958333334</v>
      </c>
      <c r="G133" s="849" t="n">
        <f>AVERAGE(X12:AA12)</f>
        <v>3162.2328504789925</v>
      </c>
    </row>
    <row r="134">
      <c r="B134" s="738" t="s">
        <v>812</v>
      </c>
      <c r="C134" s="841"/>
      <c r="D134" s="834" t="n">
        <f>AVERAGE(Medicare!L10:O10)</f>
        <v>858.02499999999998</v>
      </c>
      <c r="E134" s="834" t="n">
        <f>AVERAGE(Medicare!P10:S10)</f>
        <v>917.59999999999991</v>
      </c>
      <c r="F134" s="834" t="n">
        <f>AVERAGE(Medicare!T10:W10)</f>
        <v>940.125</v>
      </c>
      <c r="G134" s="849" t="n">
        <f>AVERAGE(Medicare!X10:AA10)</f>
        <v>976.17283859089639</v>
      </c>
    </row>
    <row r="135">
      <c r="B135" s="738" t="s">
        <v>532</v>
      </c>
      <c r="C135" s="841"/>
      <c r="D135" s="834" t="n">
        <f>AVERAGE(L39:O39)</f>
        <v>1587.6399999999999</v>
      </c>
      <c r="E135" s="834" t="n">
        <f>AVERAGE(P39:S39)</f>
        <v>1673.6939333333335</v>
      </c>
      <c r="F135" s="834" t="n">
        <f>AVERAGE(T39:W39)</f>
        <v>1799.3932004166672</v>
      </c>
      <c r="G135" s="849" t="n">
        <f>AVERAGE(X39:AA39)</f>
        <v>1885.7821116500008</v>
      </c>
    </row>
    <row r="136" ht="27.65" customHeight="1">
      <c r="B136" s="842" t="s">
        <v>811</v>
      </c>
      <c r="C136" s="436"/>
      <c r="D136" s="728"/>
      <c r="E136" s="846" t="n">
        <v>1.157</v>
      </c>
      <c r="F136" s="846" t="n">
        <v>1.0109999999999999</v>
      </c>
      <c r="G136" s="850" t="n">
        <v>1.0529999999999999</v>
      </c>
    </row>
    <row r="137">
      <c r="B137" s="297" t="s">
        <v>814</v>
      </c>
      <c r="D137" s="847" t="n">
        <f>D133-D130</f>
        <v>34.566999999999553</v>
      </c>
      <c r="E137" s="847" t="n">
        <f>E133-E130</f>
        <v>3.3749999999995453</v>
      </c>
      <c r="F137" s="847" t="n">
        <f>F133-F130</f>
        <v>7.6843958333333831</v>
      </c>
      <c r="G137" s="847" t="n">
        <f t="shared" ref="G137" si="41">G133-G130</f>
        <v>26.752850478992514</v>
      </c>
    </row>
    <row r="139">
      <c r="B139" t="s">
        <v>809</v>
      </c>
      <c r="D139" t="n">
        <v>3605.8330000000001</v>
      </c>
      <c r="E139" t="n">
        <v>2832.5949999999998</v>
      </c>
      <c r="F139" t="n">
        <v>2833.72</v>
      </c>
      <c r="G139" t="n">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workbookViewId="0">
      <selection activeCell="AA15" sqref="AA15"/>
    </sheetView>
  </sheetViews>
  <sheetFormatPr defaultRowHeight="15.0" baseColWidth="10"/>
  <sheetData>
    <row r="1">
      <c r="M1" s="105" t="s">
        <v>1861</v>
      </c>
      <c r="S1" s="105" t="s">
        <v>1862</v>
      </c>
      <c r="Z1" t="s">
        <v>1893</v>
      </c>
      <c r="AA1" t="s">
        <v>1894</v>
      </c>
    </row>
    <row r="2">
      <c r="M2" t="s">
        <v>1863</v>
      </c>
      <c r="Q2" t="n">
        <v>2952.3</v>
      </c>
      <c r="S2" t="s">
        <v>1863</v>
      </c>
      <c r="X2" t="n">
        <v>2952.3</v>
      </c>
      <c r="Z2" t="n">
        <v>2917.6753774795288</v>
      </c>
      <c r="AA2" s="791" t="n">
        <v>2928.3</v>
      </c>
    </row>
    <row r="3">
      <c r="M3" t="s">
        <v>1864</v>
      </c>
      <c r="P3" t="s">
        <v>1865</v>
      </c>
      <c r="Q3" t="n">
        <v>23.1</v>
      </c>
      <c r="S3" t="s">
        <v>1864</v>
      </c>
      <c r="W3" t="s">
        <v>1865</v>
      </c>
      <c r="X3" t="n">
        <v>23.1</v>
      </c>
      <c r="Z3" t="n">
        <v>22.62857142857143</v>
      </c>
      <c r="AA3" t="n">
        <v>22.62857142857143</v>
      </c>
    </row>
    <row r="4">
      <c r="M4" t="s">
        <v>55</v>
      </c>
      <c r="P4" t="s">
        <v>1865</v>
      </c>
      <c r="Q4" t="n">
        <v>967.3</v>
      </c>
      <c r="S4" t="s">
        <v>55</v>
      </c>
      <c r="W4" t="s">
        <v>1865</v>
      </c>
      <c r="X4" t="n">
        <v>967.3</v>
      </c>
      <c r="Z4" t="n">
        <v>944.50347271762462</v>
      </c>
      <c r="AA4" t="n">
        <v>946.3</v>
      </c>
    </row>
    <row r="5">
      <c r="M5" t="s">
        <v>56</v>
      </c>
      <c r="P5" t="s">
        <v>1865</v>
      </c>
      <c r="Q5" t="n">
        <v>0</v>
      </c>
      <c r="S5" t="s">
        <v>56</v>
      </c>
      <c r="W5" t="s">
        <v>1865</v>
      </c>
      <c r="X5" t="n">
        <v>0</v>
      </c>
      <c r="Z5" t="n">
        <v>0</v>
      </c>
      <c r="AA5" t="n">
        <v>0</v>
      </c>
    </row>
    <row r="6">
      <c r="M6" t="s">
        <v>1866</v>
      </c>
      <c r="P6" t="s">
        <v>1865</v>
      </c>
      <c r="Q6" t="n">
        <v>0</v>
      </c>
      <c r="S6" t="s">
        <v>1866</v>
      </c>
      <c r="W6" t="s">
        <v>1865</v>
      </c>
      <c r="X6" t="n">
        <v>0</v>
      </c>
      <c r="Z6" t="n">
        <v>0</v>
      </c>
      <c r="AA6" t="n">
        <v>0</v>
      </c>
    </row>
    <row r="7">
      <c r="Q7" t="n">
        <f>Q2-SUM(Q3:Q6)</f>
        <v>1961.9</v>
      </c>
      <c r="X7" t="n">
        <f>X2-SUM(X3:X6)</f>
        <v>1961.9</v>
      </c>
      <c r="Z7" t="n">
        <f>Z2-SUM(Z3:Z6)</f>
        <v>1950.5433333333328</v>
      </c>
      <c r="AA7" t="n">
        <f>AA2-SUM(AA3:AA6)</f>
        <v>1959.3714285714289</v>
      </c>
    </row>
    <row r="8">
      <c r="S8" t="s">
        <v>1867</v>
      </c>
      <c r="W8" t="s">
        <v>1865</v>
      </c>
      <c r="X8" t="n">
        <v>34</v>
      </c>
    </row>
    <row r="9">
      <c r="S9" t="s">
        <v>1867</v>
      </c>
      <c r="W9" t="s">
        <v>1868</v>
      </c>
      <c r="X9" t="n">
        <v>34</v>
      </c>
    </row>
    <row r="10">
      <c r="S10" t="s">
        <v>1869</v>
      </c>
      <c r="W10" t="s">
        <v>1865</v>
      </c>
      <c r="X10" t="n">
        <v>37.700000000000003</v>
      </c>
    </row>
    <row r="11">
      <c r="S11" t="s">
        <v>1869</v>
      </c>
      <c r="W11" t="s">
        <v>1868</v>
      </c>
      <c r="X11" t="n">
        <v>37.700000000000003</v>
      </c>
    </row>
    <row r="12">
      <c r="S12" t="s">
        <v>470</v>
      </c>
      <c r="W12" t="s">
        <v>1865</v>
      </c>
      <c r="X12" t="n">
        <v>0</v>
      </c>
    </row>
    <row r="13">
      <c r="S13" t="s">
        <v>470</v>
      </c>
      <c r="W13" t="s">
        <v>1868</v>
      </c>
      <c r="X13" t="n">
        <v>0</v>
      </c>
    </row>
    <row r="14">
      <c r="S14" t="s">
        <v>1871</v>
      </c>
      <c r="W14" t="s">
        <v>1865</v>
      </c>
      <c r="X14" t="n">
        <v>21.9</v>
      </c>
    </row>
    <row r="15">
      <c r="S15" t="s">
        <v>1871</v>
      </c>
      <c r="W15" t="s">
        <v>1868</v>
      </c>
      <c r="X15" t="n">
        <f>X8-X9+X10-X11+X12-X13+X14</f>
        <v>21.9</v>
      </c>
      <c r="Z15" t="n">
        <v>21.9</v>
      </c>
      <c r="AA15" t="n">
        <v>21.89</v>
      </c>
    </row>
    <row r="16">
      <c r="X16" t="n">
        <f>X7-X8+X9-X10+X11-X12+X13-X14+X15</f>
        <v>1961.9</v>
      </c>
    </row>
    <row r="17">
      <c r="S17" t="s">
        <v>1870</v>
      </c>
      <c r="W17" t="s">
        <v>1865</v>
      </c>
      <c r="X17" t="n">
        <v>12</v>
      </c>
      <c r="Z17" t="n">
        <v>12</v>
      </c>
      <c r="AA17" t="n">
        <v>12</v>
      </c>
    </row>
    <row r="18">
      <c r="S18" t="s">
        <v>218</v>
      </c>
      <c r="W18" t="s">
        <v>1865</v>
      </c>
      <c r="X18" t="n">
        <v>1.4</v>
      </c>
      <c r="Z18" t="n">
        <v>1.4</v>
      </c>
      <c r="AA18" t="n">
        <v>1.4</v>
      </c>
    </row>
    <row r="19">
      <c r="X19" t="n">
        <f>X16-X17-X18</f>
        <v>1948.5</v>
      </c>
      <c r="Z19" t="n">
        <f>Z7-Z17-Z18+Z15</f>
        <v>1959.0433333333328</v>
      </c>
      <c r="AA19" t="n">
        <f>AA7-AA17-AA18+AA15</f>
        <v>1967.8614285714289</v>
      </c>
    </row>
    <row r="21">
      <c r="M21" s="105" t="s">
        <v>1872</v>
      </c>
    </row>
    <row r="22">
      <c r="M22" s="864" t="s">
        <v>123</v>
      </c>
      <c r="N22" s="597"/>
      <c r="O22" s="597"/>
      <c r="P22" s="597"/>
      <c r="Q22" s="597"/>
      <c r="R22" s="597"/>
      <c r="S22" s="597"/>
      <c r="T22" s="597"/>
      <c r="U22" s="597"/>
      <c r="V22" s="597"/>
      <c r="W22" s="542"/>
    </row>
    <row r="23">
      <c r="M23" s="865" t="s">
        <v>1881</v>
      </c>
      <c r="W23" s="281"/>
    </row>
    <row r="24">
      <c r="M24" s="865" t="s">
        <v>1880</v>
      </c>
      <c r="N24" s="184"/>
      <c r="O24" s="184"/>
      <c r="P24" s="184"/>
      <c r="Q24" s="184"/>
      <c r="R24" s="184"/>
      <c r="S24" s="184"/>
      <c r="T24" s="184"/>
      <c r="U24" s="184"/>
      <c r="V24" s="184"/>
      <c r="W24" s="866"/>
      <c r="X24" s="184"/>
      <c r="Y24" s="184"/>
    </row>
    <row r="25">
      <c r="M25" s="69" t="s">
        <v>203</v>
      </c>
      <c r="W25" s="281"/>
    </row>
    <row r="26">
      <c r="M26" s="69" t="s">
        <v>205</v>
      </c>
      <c r="W26" s="281"/>
    </row>
    <row r="27">
      <c r="M27" s="69" t="s">
        <v>56</v>
      </c>
      <c r="W27" s="281"/>
    </row>
    <row r="28">
      <c r="M28" s="69" t="s">
        <v>214</v>
      </c>
      <c r="W28" s="281"/>
    </row>
    <row r="29">
      <c r="M29" s="69" t="s">
        <v>1873</v>
      </c>
      <c r="W29" s="281"/>
    </row>
    <row r="30">
      <c r="M30" s="867" t="s">
        <v>1874</v>
      </c>
      <c r="N30" s="86"/>
      <c r="O30" s="86"/>
      <c r="P30" s="86"/>
      <c r="Q30" s="86"/>
      <c r="R30" s="86"/>
      <c r="S30" s="86"/>
      <c r="T30" s="86"/>
      <c r="U30" s="86"/>
      <c r="V30" s="86"/>
      <c r="W30" s="282"/>
      <c r="X30" t="s">
        <v>1875</v>
      </c>
    </row>
    <row r="31">
      <c r="M31" s="868" t="s">
        <v>1870</v>
      </c>
      <c r="N31" s="597"/>
      <c r="O31" s="597"/>
      <c r="P31" s="597"/>
      <c r="Q31" s="597"/>
      <c r="R31" s="597"/>
      <c r="S31" s="597"/>
      <c r="T31" s="597"/>
      <c r="U31" s="597"/>
      <c r="V31" s="597"/>
      <c r="W31" s="542"/>
    </row>
    <row r="32">
      <c r="M32" s="867" t="s">
        <v>218</v>
      </c>
      <c r="N32" s="86"/>
      <c r="O32" s="86"/>
      <c r="P32" s="86"/>
      <c r="Q32" s="86"/>
      <c r="R32" s="86"/>
      <c r="S32" s="86"/>
      <c r="T32" s="86"/>
      <c r="U32" s="86"/>
      <c r="V32" s="86"/>
      <c r="W32" s="282"/>
      <c r="X32" t="s">
        <v>1876</v>
      </c>
    </row>
    <row r="33">
      <c r="M33" s="868" t="s">
        <v>135</v>
      </c>
      <c r="N33" s="597"/>
      <c r="O33" s="597"/>
      <c r="P33" s="597"/>
      <c r="Q33" s="597"/>
      <c r="R33" s="597"/>
      <c r="S33" s="597"/>
      <c r="T33" s="597"/>
      <c r="U33" s="597"/>
      <c r="V33" s="597"/>
      <c r="W33" s="542"/>
    </row>
    <row r="34">
      <c r="M34" s="69" t="s">
        <v>136</v>
      </c>
      <c r="W34" s="281"/>
    </row>
    <row r="35">
      <c r="M35" s="69" t="s">
        <v>1877</v>
      </c>
      <c r="W35" s="281"/>
    </row>
    <row r="36">
      <c r="M36" s="69" t="s">
        <v>129</v>
      </c>
      <c r="W36" s="281"/>
    </row>
    <row r="37">
      <c r="M37" s="867" t="s">
        <v>1878</v>
      </c>
      <c r="N37" s="86"/>
      <c r="O37" s="86"/>
      <c r="P37" s="86"/>
      <c r="Q37" s="86"/>
      <c r="R37" s="86"/>
      <c r="S37" s="86"/>
      <c r="T37" s="86"/>
      <c r="U37" s="86"/>
      <c r="V37" s="86"/>
      <c r="W37" s="282"/>
      <c r="X37" t="s">
        <v>1879</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R1" workbookViewId="0">
      <selection activeCell="B1" sqref="B1:AC1"/>
    </sheetView>
  </sheetViews>
  <sheetFormatPr defaultRowHeight="15.0" baseColWidth="10"/>
  <sheetData>
    <row r="1">
      <c r="B1" s="257" t="s">
        <v>1912</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ht="14.25" customHeight="1">
      <c r="B2" s="84" t="s">
        <v>1913</v>
      </c>
      <c r="C2" s="84"/>
      <c r="D2" s="84"/>
      <c r="E2" s="84"/>
      <c r="F2" s="84"/>
      <c r="G2" s="84"/>
      <c r="H2" s="84"/>
      <c r="I2" s="84"/>
      <c r="J2" s="84"/>
      <c r="K2" s="84"/>
      <c r="L2" s="84"/>
      <c r="M2" s="84"/>
      <c r="N2" s="84"/>
      <c r="O2" s="84"/>
      <c r="P2" s="84"/>
      <c r="Q2" s="84"/>
      <c r="R2" s="84"/>
      <c r="S2" s="704"/>
      <c r="T2" s="707"/>
      <c r="U2" s="707"/>
      <c r="V2" s="707"/>
      <c r="W2" s="707"/>
      <c r="X2" s="707"/>
      <c r="Y2" s="707"/>
      <c r="Z2" s="707"/>
      <c r="AA2" s="707"/>
      <c r="AB2" s="707"/>
      <c r="AC2" s="707"/>
    </row>
    <row r="3">
      <c r="B3" s="84"/>
      <c r="C3" s="84"/>
      <c r="D3" s="84"/>
      <c r="E3" s="84"/>
      <c r="F3" s="84"/>
      <c r="G3" s="84"/>
      <c r="H3" s="84"/>
      <c r="I3" s="84"/>
      <c r="J3" s="84"/>
      <c r="K3" s="84"/>
      <c r="L3" s="84"/>
      <c r="M3" s="84"/>
      <c r="N3" s="84"/>
      <c r="O3" s="84"/>
      <c r="P3" s="84"/>
      <c r="Q3" s="84"/>
      <c r="R3" s="84"/>
      <c r="S3" s="704"/>
      <c r="T3" s="707"/>
      <c r="U3" s="707"/>
      <c r="V3" s="707"/>
      <c r="W3" s="707"/>
      <c r="X3" s="707"/>
      <c r="Y3" s="707"/>
      <c r="Z3" s="707"/>
      <c r="AA3" s="707"/>
      <c r="AB3" s="707"/>
      <c r="AC3" s="707"/>
    </row>
    <row r="4" ht="21" customHeight="1">
      <c r="B4" s="84"/>
      <c r="C4" s="84"/>
      <c r="D4" s="84"/>
      <c r="E4" s="84"/>
      <c r="F4" s="84"/>
      <c r="G4" s="84"/>
      <c r="H4" s="84"/>
      <c r="I4" s="84"/>
      <c r="J4" s="84"/>
      <c r="K4" s="84"/>
      <c r="L4" s="84"/>
      <c r="M4" s="84"/>
      <c r="N4" s="84"/>
      <c r="O4" s="84"/>
      <c r="P4" s="84"/>
      <c r="Q4" s="84"/>
      <c r="R4" s="84"/>
      <c r="S4" s="704"/>
      <c r="T4" s="707"/>
      <c r="U4" s="707"/>
      <c r="V4" s="707"/>
      <c r="W4" s="707"/>
      <c r="X4" s="707"/>
      <c r="Y4" s="707"/>
      <c r="Z4" s="707"/>
      <c r="AA4" s="707"/>
      <c r="AB4" s="707"/>
      <c r="AC4" s="707"/>
    </row>
    <row r="6">
      <c r="B6" s="611" t="s">
        <v>333</v>
      </c>
    </row>
    <row r="7" ht="14.9" customHeight="1">
      <c r="B7" s="262" t="s">
        <v>1883</v>
      </c>
      <c r="C7" s="263"/>
      <c r="D7" s="266" t="s">
        <v>280</v>
      </c>
      <c r="E7" s="277"/>
      <c r="F7" s="277"/>
      <c r="G7" s="277"/>
      <c r="H7" s="277"/>
      <c r="I7" s="277"/>
      <c r="J7" s="277"/>
      <c r="K7" s="277"/>
      <c r="L7" s="277"/>
      <c r="M7" s="277"/>
      <c r="N7" s="277"/>
      <c r="O7" s="277"/>
      <c r="P7" s="277"/>
      <c r="Q7" s="277"/>
      <c r="R7" s="277"/>
      <c r="S7" s="277"/>
      <c r="T7" s="277"/>
      <c r="U7" s="278"/>
      <c r="V7" s="265"/>
      <c r="W7" s="379" t="s">
        <v>281</v>
      </c>
      <c r="X7" s="295"/>
      <c r="Y7" s="295"/>
      <c r="Z7" s="295"/>
      <c r="AA7" s="295"/>
      <c r="AB7" s="295"/>
      <c r="AC7" s="295"/>
      <c r="AD7" s="295"/>
      <c r="AE7" s="295"/>
      <c r="AF7" s="295"/>
      <c r="AG7" s="295"/>
      <c r="AH7" s="295"/>
    </row>
    <row r="8">
      <c r="B8" s="264"/>
      <c r="C8" s="265"/>
      <c r="D8" s="269" t="n">
        <v>2018</v>
      </c>
      <c r="E8" s="269" t="n">
        <v>2019</v>
      </c>
      <c r="F8" s="270"/>
      <c r="G8" s="270"/>
      <c r="H8" s="271"/>
      <c r="I8" s="269" t="n">
        <v>2020</v>
      </c>
      <c r="J8" s="270"/>
      <c r="K8" s="270"/>
      <c r="L8" s="270"/>
      <c r="M8" s="269" t="n">
        <v>2021</v>
      </c>
      <c r="N8" s="270"/>
      <c r="O8" s="270"/>
      <c r="P8" s="358"/>
      <c r="Q8" s="269" t="n">
        <v>2022</v>
      </c>
      <c r="R8" s="358"/>
      <c r="S8" s="358"/>
      <c r="T8" s="358"/>
      <c r="U8" s="296"/>
      <c r="V8" s="343" t="n">
        <v>2023</v>
      </c>
      <c r="W8" s="344"/>
      <c r="X8" s="316"/>
      <c r="Y8" s="268" t="n">
        <v>2024</v>
      </c>
      <c r="Z8" s="347"/>
      <c r="AA8" s="347"/>
      <c r="AB8" s="256"/>
      <c r="AC8" s="255" t="n">
        <v>2025</v>
      </c>
      <c r="AD8" s="347"/>
      <c r="AE8" s="347"/>
      <c r="AF8" s="256"/>
      <c r="AG8" s="255" t="n">
        <v>2026</v>
      </c>
      <c r="AH8" s="256"/>
    </row>
    <row r="9">
      <c r="B9" s="266"/>
      <c r="C9" s="267"/>
      <c r="D9" s="259" t="s">
        <v>282</v>
      </c>
      <c r="E9" s="259" t="s">
        <v>283</v>
      </c>
      <c r="F9" s="260" t="s">
        <v>284</v>
      </c>
      <c r="G9" s="260" t="s">
        <v>238</v>
      </c>
      <c r="H9" s="261" t="s">
        <v>282</v>
      </c>
      <c r="I9" s="260" t="s">
        <v>283</v>
      </c>
      <c r="J9" s="260" t="s">
        <v>284</v>
      </c>
      <c r="K9" s="260" t="s">
        <v>238</v>
      </c>
      <c r="L9" s="260" t="s">
        <v>282</v>
      </c>
      <c r="M9" s="259" t="s">
        <v>283</v>
      </c>
      <c r="N9" s="260" t="s">
        <v>284</v>
      </c>
      <c r="O9" s="260" t="s">
        <v>238</v>
      </c>
      <c r="P9" s="260" t="s">
        <v>282</v>
      </c>
      <c r="Q9" s="259" t="s">
        <v>283</v>
      </c>
      <c r="R9" s="260" t="s">
        <v>284</v>
      </c>
      <c r="S9" s="260" t="s">
        <v>238</v>
      </c>
      <c r="T9" s="260" t="s">
        <v>282</v>
      </c>
      <c r="U9" s="340" t="s">
        <v>283</v>
      </c>
      <c r="V9" s="341" t="s">
        <v>284</v>
      </c>
      <c r="W9" s="326" t="s">
        <v>238</v>
      </c>
      <c r="X9" s="327" t="s">
        <v>282</v>
      </c>
      <c r="Y9" s="326" t="s">
        <v>283</v>
      </c>
      <c r="Z9" s="323" t="s">
        <v>284</v>
      </c>
      <c r="AA9" s="326" t="s">
        <v>238</v>
      </c>
      <c r="AB9" s="326" t="s">
        <v>282</v>
      </c>
      <c r="AC9" s="325" t="s">
        <v>283</v>
      </c>
      <c r="AD9" s="323" t="s">
        <v>284</v>
      </c>
      <c r="AE9" s="326" t="s">
        <v>238</v>
      </c>
      <c r="AF9" s="326" t="s">
        <v>282</v>
      </c>
      <c r="AG9" s="325" t="s">
        <v>283</v>
      </c>
      <c r="AH9" s="881" t="s">
        <v>284</v>
      </c>
    </row>
    <row r="10">
      <c r="S10" s="886" t="s">
        <v>184</v>
      </c>
      <c r="T10" s="886" t="s">
        <v>185</v>
      </c>
      <c r="U10" s="886" t="s">
        <v>186</v>
      </c>
      <c r="V10" s="886" t="s">
        <v>187</v>
      </c>
      <c r="W10" s="886" t="s">
        <v>188</v>
      </c>
      <c r="X10" s="886" t="s">
        <v>189</v>
      </c>
      <c r="Y10" s="886" t="s">
        <v>190</v>
      </c>
      <c r="Z10" s="886" t="s">
        <v>191</v>
      </c>
      <c r="AA10" s="886" t="s">
        <v>175</v>
      </c>
      <c r="AB10" s="886" t="s">
        <v>176</v>
      </c>
      <c r="AC10" s="886" t="s">
        <v>177</v>
      </c>
      <c r="AD10" s="886" t="s">
        <v>765</v>
      </c>
      <c r="AE10" s="886" t="s">
        <v>766</v>
      </c>
      <c r="AF10" s="886" t="s">
        <v>767</v>
      </c>
      <c r="AG10" s="886" t="s">
        <v>1157</v>
      </c>
      <c r="AH10" s="886" t="s">
        <v>1158</v>
      </c>
      <c r="AI10" s="886" t="s">
        <v>1159</v>
      </c>
      <c r="AJ10" s="886" t="s">
        <v>1160</v>
      </c>
    </row>
    <row r="11">
      <c r="S11" s="885"/>
      <c r="T11" s="885"/>
      <c r="U11" s="885"/>
      <c r="V11" s="885"/>
      <c r="W11" s="885"/>
      <c r="X11" s="885"/>
      <c r="Y11" s="885"/>
      <c r="Z11" s="885"/>
      <c r="AA11" s="885"/>
      <c r="AB11" s="885"/>
      <c r="AC11" s="885"/>
      <c r="AD11" s="885"/>
      <c r="AE11" s="885"/>
      <c r="AF11" s="885"/>
      <c r="AG11" s="885"/>
      <c r="AH11" s="885"/>
    </row>
    <row r="12">
      <c r="B12" s="885" t="s">
        <v>1856</v>
      </c>
      <c r="P12" t="s">
        <v>1856</v>
      </c>
      <c r="S12" s="874" t="n">
        <v>4.0506371546650453</v>
      </c>
      <c r="T12" s="874" t="n">
        <v>6.7510619244417409</v>
      </c>
      <c r="U12" s="874" t="n">
        <v>25.428999915397224</v>
      </c>
      <c r="V12" s="874" t="n">
        <v>38.481052969317929</v>
      </c>
      <c r="W12" s="874" t="n">
        <v>51.308070625757232</v>
      </c>
      <c r="X12" s="874" t="n">
        <v>56.236345830599703</v>
      </c>
      <c r="Y12" s="874" t="n">
        <v>63.685017487233758</v>
      </c>
      <c r="Z12" s="874" t="n">
        <v>69.310902424268548</v>
      </c>
      <c r="AA12" s="874" t="n">
        <v>64.357873325703125</v>
      </c>
      <c r="AB12" s="874" t="n">
        <v>57.18149450002155</v>
      </c>
      <c r="AC12" s="874" t="n">
        <v>59.094295378613374</v>
      </c>
      <c r="AD12" s="874" t="n">
        <v>70.233547553942245</v>
      </c>
      <c r="AE12" s="874" t="n">
        <v>81.462813888263668</v>
      </c>
      <c r="AF12" s="874" t="n">
        <v>86.188557235372897</v>
      </c>
      <c r="AG12" s="874" t="n">
        <v>105.31656602129117</v>
      </c>
      <c r="AH12" s="874" t="n">
        <v>120.73149074876648</v>
      </c>
      <c r="AI12" s="874" t="n">
        <v>126.01869741259176</v>
      </c>
      <c r="AJ12" s="874" t="n">
        <v>123.55455981017052</v>
      </c>
      <c r="AK12" s="874" t="n">
        <v>112.20152400723433</v>
      </c>
      <c r="AL12" s="874" t="n">
        <v>93.984908581115704</v>
      </c>
      <c r="AM12" s="874" t="n">
        <v>72.945224093593026</v>
      </c>
      <c r="AN12" s="874" t="n">
        <v>47.054901613358936</v>
      </c>
    </row>
    <row r="13">
      <c r="B13" s="885" t="s">
        <v>1857</v>
      </c>
      <c r="P13" t="s">
        <v>1857</v>
      </c>
      <c r="S13" s="197" t="n">
        <f>Deflators!S71</f>
        <v>1.1690178087443976</v>
      </c>
      <c r="T13" s="197" t="n">
        <f>Deflators!T71</f>
        <v>1.1809720922261624</v>
      </c>
      <c r="U13" s="197" t="n">
        <f>Deflators!U71</f>
        <v>1.1930855683769892</v>
      </c>
      <c r="V13" s="197" t="n">
        <f>Deflators!V71</f>
        <v>1.2004353606715503</v>
      </c>
      <c r="W13" s="197" t="n">
        <f>Deflators!W71</f>
        <v>1.208137684815088</v>
      </c>
      <c r="X13" s="197" t="n">
        <f>Deflators!X71</f>
        <v>1.2135025374197232</v>
      </c>
      <c r="Y13" s="197" t="n">
        <f>Deflators!Y71</f>
        <v>1.2236809385660088</v>
      </c>
      <c r="Z13" s="197" t="n">
        <f>Deflators!Z71</f>
        <v>1.233275799935512</v>
      </c>
      <c r="AA13" s="197" t="n">
        <f>Deflators!AA71</f>
        <v>1.2401475124550019</v>
      </c>
      <c r="AB13" s="197" t="n">
        <f>Deflators!AB71</f>
        <v>1.246450659789168</v>
      </c>
      <c r="AC13" s="197" t="n">
        <f>Deflators!AC71</f>
        <v>1.2531877614899707</v>
      </c>
      <c r="AD13" s="197" t="n">
        <f>Deflators!AD71</f>
        <v>1.2598936725213026</v>
      </c>
      <c r="AE13" s="197" t="n">
        <f>Deflators!AE71</f>
        <v>1.2663663310581259</v>
      </c>
      <c r="AF13" s="197" t="n">
        <f>Deflators!AF71</f>
        <v>1.2726857847671909</v>
      </c>
      <c r="AG13" s="197" t="n">
        <f>Deflators!AG71</f>
        <v>1.2789269673291086</v>
      </c>
      <c r="AH13" s="884" t="n">
        <f>Deflators!AH71</f>
        <v>1.2851218883804243</v>
      </c>
      <c r="AI13" s="884" t="n">
        <f>Deflators!AI71</f>
        <v>1.291282552879325</v>
      </c>
      <c r="AJ13" s="883"/>
    </row>
    <row r="14">
      <c r="B14" s="885" t="s">
        <v>1858</v>
      </c>
      <c r="P14" t="s">
        <v>1858</v>
      </c>
      <c r="S14" t="n">
        <f>S12*S13</f>
        <v>4.7352669705651733</v>
      </c>
      <c r="T14" t="n">
        <f t="shared" ref="T14:AJ14" si="0">T12*T13</f>
        <v>7.9728157256563454</v>
      </c>
      <c r="U14" t="n">
        <f t="shared" si="0"/>
        <v>30.338972817320109</v>
      </c>
      <c r="V14" t="n">
        <f t="shared" si="0"/>
        <v>46.194016700244198</v>
      </c>
      <c r="W14" t="n">
        <f t="shared" si="0"/>
        <v>61.987213658131367</v>
      </c>
      <c r="X14" t="n">
        <f t="shared" si="0"/>
        <v>68.242948360645812</v>
      </c>
      <c r="Y14" t="n">
        <f t="shared" si="0"/>
        <v>77.930141971370887</v>
      </c>
      <c r="Z14" t="n">
        <f t="shared" si="0"/>
        <v>85.479458631542002</v>
      </c>
      <c r="AA14" t="n">
        <f t="shared" si="0"/>
        <v>79.813256511764848</v>
      </c>
      <c r="AB14" t="n">
        <f t="shared" si="0"/>
        <v>71.273911547282538</v>
      </c>
      <c r="AC14" t="n">
        <f t="shared" si="0"/>
        <v>74.056247742351616</v>
      </c>
      <c r="AD14" t="n">
        <f t="shared" si="0"/>
        <v>88.486802161935842</v>
      </c>
      <c r="AE14" t="n">
        <f t="shared" si="0"/>
        <v>103.1617647413514</v>
      </c>
      <c r="AF14" t="n">
        <f t="shared" si="0"/>
        <v>109.6909516030525</v>
      </c>
      <c r="AG14" t="n">
        <f>AG12*AG13</f>
        <v>134.69219639112575</v>
      </c>
      <c r="AH14" s="600" t="n">
        <f t="shared" si="0"/>
        <v>155.1546813780385</v>
      </c>
      <c r="AI14" s="600" t="n">
        <f t="shared" si="0"/>
        <v>162.72574530545867</v>
      </c>
      <c r="AJ14" s="600" t="n">
        <f t="shared" si="0"/>
        <v>0</v>
      </c>
    </row>
    <row r="15">
      <c r="S15" s="874"/>
      <c r="T15" s="874"/>
      <c r="U15" s="874"/>
      <c r="V15" s="874"/>
      <c r="W15" s="874"/>
      <c r="X15" s="874"/>
      <c r="Y15" s="874"/>
      <c r="Z15" s="874"/>
      <c r="AA15" s="874"/>
      <c r="AB15" s="874"/>
      <c r="AC15" s="874"/>
      <c r="AD15" s="874"/>
      <c r="AE15" s="874"/>
      <c r="AF15" s="874"/>
      <c r="AG15" s="874"/>
      <c r="AH15" s="874"/>
      <c r="AI15" s="874"/>
      <c r="AJ15" s="874"/>
      <c r="AK15" s="874"/>
      <c r="AL15" s="874"/>
      <c r="AM15" s="874"/>
      <c r="AN15" s="874"/>
    </row>
    <row r="16">
      <c r="S16" s="874" t="n">
        <v>4.0506371546650453</v>
      </c>
      <c r="T16" s="874" t="n">
        <v>6.7510619244417409</v>
      </c>
      <c r="U16" s="874" t="n">
        <v>25.428999915397224</v>
      </c>
      <c r="V16" s="874" t="n">
        <v>38.481052969317929</v>
      </c>
      <c r="W16" s="874" t="n">
        <v>51.308070625757232</v>
      </c>
      <c r="X16" s="874" t="n">
        <v>56.236345830599703</v>
      </c>
      <c r="Y16" s="874" t="n">
        <v>63.685017487233758</v>
      </c>
      <c r="Z16" s="874" t="n">
        <v>69.310902424268548</v>
      </c>
      <c r="AA16" s="874" t="n">
        <v>64.357873325703125</v>
      </c>
      <c r="AB16" s="874" t="n">
        <v>57.18149450002155</v>
      </c>
      <c r="AC16" s="874" t="n">
        <v>59.094295378613374</v>
      </c>
      <c r="AD16" s="874" t="n">
        <v>70.233547553942245</v>
      </c>
      <c r="AE16" s="874" t="n">
        <v>81.462813888263668</v>
      </c>
      <c r="AF16" s="874" t="n">
        <v>86.188557235372897</v>
      </c>
      <c r="AG16" s="874" t="n">
        <v>105.31656602129117</v>
      </c>
      <c r="AH16" s="874" t="n">
        <v>120.73149074876648</v>
      </c>
      <c r="AI16" s="874" t="n">
        <v>126.01869741259176</v>
      </c>
      <c r="AJ16" s="874" t="n">
        <v>123.55455981017052</v>
      </c>
      <c r="AK16" s="874" t="n">
        <v>112.20152400723433</v>
      </c>
      <c r="AL16" s="874" t="n">
        <v>93.984908581115704</v>
      </c>
      <c r="AM16" s="874" t="n">
        <v>72.945224093593026</v>
      </c>
      <c r="AN16" s="874" t="n">
        <v>47.054901613358936</v>
      </c>
    </row>
    <row r="18">
      <c r="P18" t="s">
        <v>2289</v>
      </c>
      <c r="S18" s="882" t="n">
        <v>9.676624590017175</v>
      </c>
      <c r="T18" s="882" t="n">
        <v>9.6670597070816413</v>
      </c>
      <c r="U18" s="882" t="n">
        <v>29.968874069165178</v>
      </c>
      <c r="V18" s="882" t="n">
        <v>48.407564583050345</v>
      </c>
      <c r="W18" s="882" t="n">
        <v>68.860864510897471</v>
      </c>
      <c r="X18" s="882" t="n">
        <v>88.107434654608909</v>
      </c>
      <c r="Y18" s="882" t="n">
        <v>101.08174054588757</v>
      </c>
      <c r="Z18" s="882" t="n">
        <v>103.56513754278419</v>
      </c>
      <c r="AA18" s="882" t="n">
        <v>106.00637033635157</v>
      </c>
      <c r="AB18" s="882" t="n">
        <v>108.38917414017335</v>
      </c>
      <c r="AC18" s="882" t="n">
        <v>110.69246087615031</v>
      </c>
      <c r="AD18" s="882" t="n">
        <v>112.950351679587</v>
      </c>
      <c r="AE18" s="882" t="n">
        <v>115.16440141682602</v>
      </c>
      <c r="AF18" s="882" t="n">
        <v>117.3462460140392</v>
      </c>
      <c r="AG18" s="882" t="n">
        <v>118.525001293339</v>
      </c>
      <c r="AH18" s="883" t="n">
        <f>AG18</f>
        <v>118.525001293339</v>
      </c>
    </row>
    <row r="19">
      <c r="S19" s="874"/>
    </row>
    <row r="20">
      <c r="S20" s="874"/>
    </row>
    <row r="21">
      <c r="S21" s="874"/>
    </row>
    <row r="22">
      <c r="S22" s="874"/>
    </row>
    <row r="23">
      <c r="B23" s="870"/>
      <c r="C23" s="870"/>
      <c r="D23" s="870"/>
      <c r="E23" s="870"/>
      <c r="H23" s="870"/>
      <c r="I23" s="870"/>
      <c r="J23" s="870"/>
      <c r="K23" t="s">
        <v>2268</v>
      </c>
      <c r="S23" s="874"/>
    </row>
    <row r="24" ht="29" customHeight="1">
      <c r="B24" s="870"/>
      <c r="C24" s="871" t="s">
        <v>2269</v>
      </c>
      <c r="D24" s="870"/>
      <c r="E24" s="870"/>
      <c r="H24" s="870"/>
      <c r="I24" s="870"/>
      <c r="J24" s="870"/>
      <c r="K24" t="s">
        <v>2270</v>
      </c>
      <c r="S24" s="874"/>
    </row>
    <row r="25" ht="29" customHeight="1">
      <c r="B25" s="870"/>
      <c r="C25" s="871" t="s">
        <v>2271</v>
      </c>
      <c r="D25" s="870" t="s">
        <v>2272</v>
      </c>
      <c r="E25" s="870"/>
      <c r="F25" s="870"/>
      <c r="G25" s="870"/>
      <c r="H25" s="870"/>
      <c r="I25" s="870"/>
      <c r="J25" s="870"/>
      <c r="S25" s="874"/>
    </row>
    <row r="26" ht="72.5" customHeight="1">
      <c r="B26" s="872" t="n">
        <v>44774</v>
      </c>
      <c r="C26" s="870" t="n">
        <v>9</v>
      </c>
      <c r="D26" s="870"/>
      <c r="E26" s="870"/>
      <c r="H26" s="870"/>
      <c r="I26" s="870"/>
      <c r="J26" s="871" t="s">
        <v>2273</v>
      </c>
      <c r="K26" s="873" t="s">
        <v>2274</v>
      </c>
      <c r="L26" s="873" t="s">
        <v>2275</v>
      </c>
      <c r="M26" s="873" t="s">
        <v>2276</v>
      </c>
      <c r="N26" s="871" t="s">
        <v>2277</v>
      </c>
      <c r="S26" s="874"/>
    </row>
    <row r="27">
      <c r="B27" s="872" t="n">
        <f>B26+31</f>
        <v>44805</v>
      </c>
      <c r="C27" s="870" t="n">
        <v>9</v>
      </c>
      <c r="D27" s="870" t="n">
        <v>2022</v>
      </c>
      <c r="E27" s="870" t="s">
        <v>331</v>
      </c>
      <c r="F27" t="n">
        <f>SUM(C26:C27)/3</f>
        <v>6</v>
      </c>
      <c r="H27" s="870" t="n">
        <v>2022</v>
      </c>
      <c r="I27" s="870" t="s">
        <v>331</v>
      </c>
      <c r="J27" s="874" t="n">
        <v>6</v>
      </c>
      <c r="K27" s="874"/>
      <c r="L27" s="874"/>
      <c r="M27" s="874" t="n">
        <f>K27+J27</f>
        <v>6</v>
      </c>
      <c r="N27" s="874" t="n">
        <f>M27*F$81</f>
        <v>4.0506371546650453</v>
      </c>
      <c r="S27" s="874"/>
    </row>
    <row r="28">
      <c r="B28" s="872" t="n">
        <f t="shared" ref="B28:B57" si="1">B27+31</f>
        <v>44836</v>
      </c>
      <c r="C28" s="870" t="n">
        <v>10</v>
      </c>
      <c r="D28" s="870"/>
      <c r="E28" s="870"/>
      <c r="H28" s="870" t="n">
        <v>2022</v>
      </c>
      <c r="I28" s="870" t="s">
        <v>776</v>
      </c>
      <c r="J28" s="874" t="n">
        <v>10</v>
      </c>
      <c r="K28" s="874"/>
      <c r="L28" s="874"/>
      <c r="M28" s="874" t="n">
        <f t="shared" ref="M28:M48" si="2">K28+J28</f>
        <v>10</v>
      </c>
      <c r="N28" s="874" t="n">
        <f t="shared" ref="N28:N48" si="3">M28*F$81</f>
        <v>6.7510619244417409</v>
      </c>
      <c r="S28" s="874"/>
    </row>
    <row r="29">
      <c r="B29" s="872" t="n">
        <f t="shared" si="1"/>
        <v>44867</v>
      </c>
      <c r="C29" s="870" t="n">
        <v>10</v>
      </c>
      <c r="D29" s="870"/>
      <c r="E29" s="870"/>
      <c r="H29" s="870" t="n">
        <v>2023</v>
      </c>
      <c r="I29" s="870" t="s">
        <v>240</v>
      </c>
      <c r="J29" s="874" t="n">
        <v>37.666666666666664</v>
      </c>
      <c r="K29" s="874"/>
      <c r="L29" s="874"/>
      <c r="M29" s="874" t="n">
        <f t="shared" si="2"/>
        <v>37.666666666666664</v>
      </c>
      <c r="N29" s="874" t="n">
        <f t="shared" si="3"/>
        <v>25.428999915397224</v>
      </c>
      <c r="S29" s="874"/>
    </row>
    <row r="30">
      <c r="B30" s="872" t="n">
        <f t="shared" si="1"/>
        <v>44898</v>
      </c>
      <c r="C30" s="870" t="n">
        <v>10</v>
      </c>
      <c r="D30" s="870" t="n">
        <v>2022</v>
      </c>
      <c r="E30" s="870" t="s">
        <v>776</v>
      </c>
      <c r="F30" t="n">
        <f>AVERAGE(C28:C30)</f>
        <v>10</v>
      </c>
      <c r="H30" s="870" t="n">
        <v>2023</v>
      </c>
      <c r="I30" s="870" t="s">
        <v>241</v>
      </c>
      <c r="J30" s="874" t="n">
        <v>57</v>
      </c>
      <c r="K30" s="874"/>
      <c r="L30" s="874"/>
      <c r="M30" s="874" t="n">
        <f t="shared" si="2"/>
        <v>57</v>
      </c>
      <c r="N30" s="874" t="n">
        <f t="shared" si="3"/>
        <v>38.481052969317929</v>
      </c>
      <c r="S30" s="874"/>
    </row>
    <row r="31">
      <c r="B31" s="872" t="n">
        <f t="shared" si="1"/>
        <v>44929</v>
      </c>
      <c r="C31" s="870" t="n">
        <v>34</v>
      </c>
      <c r="D31" s="870"/>
      <c r="E31" s="870"/>
      <c r="H31" s="870" t="n">
        <v>2023</v>
      </c>
      <c r="I31" s="870" t="s">
        <v>331</v>
      </c>
      <c r="J31" s="874" t="n">
        <v>76.666666666666671</v>
      </c>
      <c r="K31" s="874"/>
      <c r="L31" s="874"/>
      <c r="M31" s="874" t="n">
        <v>76</v>
      </c>
      <c r="N31" s="874" t="n">
        <f t="shared" si="3"/>
        <v>51.308070625757232</v>
      </c>
      <c r="S31" s="874"/>
    </row>
    <row r="32">
      <c r="B32" s="872" t="n">
        <f t="shared" si="1"/>
        <v>44960</v>
      </c>
      <c r="C32" s="870" t="n">
        <v>35</v>
      </c>
      <c r="D32" s="870"/>
      <c r="E32" s="870"/>
      <c r="H32" s="870" t="n">
        <v>2023</v>
      </c>
      <c r="I32" s="870" t="s">
        <v>776</v>
      </c>
      <c r="J32" s="874" t="n">
        <v>84</v>
      </c>
      <c r="K32" s="874"/>
      <c r="L32" s="874"/>
      <c r="M32" s="874" t="n">
        <v>83.3</v>
      </c>
      <c r="N32" s="874" t="n">
        <f t="shared" si="3"/>
        <v>56.236345830599703</v>
      </c>
      <c r="S32" s="874"/>
    </row>
    <row r="33">
      <c r="B33" s="872" t="n">
        <f t="shared" si="1"/>
        <v>44991</v>
      </c>
      <c r="C33" s="870" t="n">
        <v>44</v>
      </c>
      <c r="D33" s="870" t="n">
        <v>2023</v>
      </c>
      <c r="E33" s="870" t="s">
        <v>240</v>
      </c>
      <c r="F33" t="n">
        <f>AVERAGE(C31:C33)</f>
        <v>37.666666666666664</v>
      </c>
      <c r="H33" s="870" t="n">
        <v>2024</v>
      </c>
      <c r="I33" s="870" t="s">
        <v>240</v>
      </c>
      <c r="J33" s="874" t="n">
        <v>94.333333333333329</v>
      </c>
      <c r="K33" s="874"/>
      <c r="L33" s="874"/>
      <c r="M33" s="874" t="n">
        <f t="shared" si="2"/>
        <v>94.333333333333329</v>
      </c>
      <c r="N33" s="874" t="n">
        <f t="shared" si="3"/>
        <v>63.685017487233758</v>
      </c>
      <c r="O33" t="s">
        <v>2288</v>
      </c>
      <c r="S33" s="874"/>
    </row>
    <row r="34">
      <c r="B34" s="872" t="n">
        <f t="shared" si="1"/>
        <v>45022</v>
      </c>
      <c r="C34" s="870" t="n">
        <v>49</v>
      </c>
      <c r="D34" s="870"/>
      <c r="E34" s="870"/>
      <c r="H34" s="870" t="n">
        <v>2024</v>
      </c>
      <c r="I34" s="870" t="s">
        <v>241</v>
      </c>
      <c r="J34" s="874" t="n">
        <v>102.66666666666667</v>
      </c>
      <c r="K34" s="874"/>
      <c r="L34" s="874"/>
      <c r="M34" s="874" t="n">
        <f t="shared" si="2"/>
        <v>102.66666666666667</v>
      </c>
      <c r="N34" s="874" t="n">
        <f t="shared" si="3"/>
        <v>69.310902424268548</v>
      </c>
      <c r="S34" s="874"/>
    </row>
    <row r="35">
      <c r="B35" s="872" t="n">
        <f t="shared" si="1"/>
        <v>45053</v>
      </c>
      <c r="C35" s="870" t="n">
        <v>58</v>
      </c>
      <c r="D35" s="870"/>
      <c r="E35" s="870"/>
      <c r="H35" s="870" t="n">
        <v>2024</v>
      </c>
      <c r="I35" s="870" t="s">
        <v>331</v>
      </c>
      <c r="J35" s="874" t="n">
        <v>92.33</v>
      </c>
      <c r="K35" s="874" t="n">
        <f>(+J27)*0.5</f>
        <v>3</v>
      </c>
      <c r="L35" s="874" t="n">
        <f>K35</f>
        <v>3</v>
      </c>
      <c r="M35" s="874" t="n">
        <f t="shared" si="2"/>
        <v>95.33</v>
      </c>
      <c r="N35" s="874" t="n">
        <f t="shared" si="3"/>
        <v>64.357873325703125</v>
      </c>
      <c r="S35" s="874"/>
    </row>
    <row r="36">
      <c r="B36" s="872" t="n">
        <f t="shared" si="1"/>
        <v>45084</v>
      </c>
      <c r="C36" s="870" t="n">
        <v>64</v>
      </c>
      <c r="D36" s="870" t="n">
        <v>2023</v>
      </c>
      <c r="E36" s="870" t="s">
        <v>241</v>
      </c>
      <c r="F36" t="n">
        <f>AVERAGE(C34:C36)</f>
        <v>57</v>
      </c>
      <c r="H36" s="870" t="n">
        <v>2024</v>
      </c>
      <c r="I36" s="870" t="s">
        <v>776</v>
      </c>
      <c r="J36" s="874" t="n">
        <v>76.7</v>
      </c>
      <c r="K36" s="874" t="n">
        <f>(J27+J28)*0.5</f>
        <v>8</v>
      </c>
      <c r="L36" s="874" t="n">
        <f>K36</f>
        <v>8</v>
      </c>
      <c r="M36" s="874" t="n">
        <f t="shared" si="2"/>
        <v>84.7</v>
      </c>
      <c r="N36" s="874" t="n">
        <f t="shared" si="3"/>
        <v>57.18149450002155</v>
      </c>
      <c r="S36" s="874"/>
    </row>
    <row r="37">
      <c r="B37" s="872" t="n">
        <f t="shared" si="1"/>
        <v>45115</v>
      </c>
      <c r="C37" s="870" t="n">
        <v>72</v>
      </c>
      <c r="D37" s="870"/>
      <c r="E37" s="870"/>
      <c r="H37" s="870" t="n">
        <v>2025</v>
      </c>
      <c r="I37" s="870" t="s">
        <v>240</v>
      </c>
      <c r="J37" s="874" t="n">
        <v>60.7</v>
      </c>
      <c r="K37" s="874" t="n">
        <f>(J27+J28+J29)*0.5</f>
        <v>26.833333333333332</v>
      </c>
      <c r="L37" s="874" t="n">
        <f>K37-10</f>
        <v>16.833333333333332</v>
      </c>
      <c r="M37" s="874" t="n">
        <f t="shared" si="2"/>
        <v>87.533333333333331</v>
      </c>
      <c r="N37" s="874" t="n">
        <f t="shared" si="3"/>
        <v>59.094295378613374</v>
      </c>
    </row>
    <row r="38">
      <c r="B38" s="872" t="n">
        <f t="shared" si="1"/>
        <v>45146</v>
      </c>
      <c r="C38" s="870" t="n">
        <v>76</v>
      </c>
      <c r="D38" s="870"/>
      <c r="E38" s="870"/>
      <c r="H38" s="870" t="n">
        <v>2025</v>
      </c>
      <c r="I38" s="870" t="s">
        <v>241</v>
      </c>
      <c r="J38" s="874" t="n">
        <v>48.7</v>
      </c>
      <c r="K38" s="874" t="n">
        <f t="shared" ref="K38:K50" si="4">(J27+J28+J29+J30)*0.5</f>
        <v>55.333333333333329</v>
      </c>
      <c r="L38" s="874" t="n">
        <f>K38-15</f>
        <v>40.333333333333329</v>
      </c>
      <c r="M38" s="874" t="n">
        <f t="shared" si="2"/>
        <v>104.03333333333333</v>
      </c>
      <c r="N38" s="874" t="n">
        <f t="shared" si="3"/>
        <v>70.233547553942245</v>
      </c>
    </row>
    <row r="39">
      <c r="B39" s="872" t="n">
        <f t="shared" si="1"/>
        <v>45177</v>
      </c>
      <c r="C39" s="870" t="n">
        <v>80</v>
      </c>
      <c r="D39" s="870" t="n">
        <v>2023</v>
      </c>
      <c r="E39" s="870" t="s">
        <v>331</v>
      </c>
      <c r="F39" t="n">
        <f>AVERAGE(C37:C39)</f>
        <v>76</v>
      </c>
      <c r="H39" s="870" t="n">
        <v>2025</v>
      </c>
      <c r="I39" s="870" t="s">
        <v>331</v>
      </c>
      <c r="J39" s="874" t="n">
        <v>30</v>
      </c>
      <c r="K39" s="874" t="n">
        <f t="shared" si="4"/>
        <v>90.666666666666657</v>
      </c>
      <c r="L39" s="874" t="n">
        <f>K39</f>
        <v>90.666666666666657</v>
      </c>
      <c r="M39" s="874" t="n">
        <f t="shared" si="2"/>
        <v>120.66666666666666</v>
      </c>
      <c r="N39" s="874" t="n">
        <f t="shared" si="3"/>
        <v>81.462813888263668</v>
      </c>
    </row>
    <row r="40">
      <c r="B40" s="872" t="n">
        <f t="shared" si="1"/>
        <v>45208</v>
      </c>
      <c r="C40" s="870" t="n">
        <v>82</v>
      </c>
      <c r="D40" s="870"/>
      <c r="E40" s="870"/>
      <c r="H40" s="870" t="n">
        <v>2025</v>
      </c>
      <c r="I40" s="870" t="s">
        <v>776</v>
      </c>
      <c r="J40" s="874" t="n">
        <v>0</v>
      </c>
      <c r="K40" s="874" t="n">
        <f t="shared" si="4"/>
        <v>127.66666666666666</v>
      </c>
      <c r="L40" s="874" t="n">
        <f>K40+15</f>
        <v>142.66666666666666</v>
      </c>
      <c r="M40" s="874" t="n">
        <f t="shared" si="2"/>
        <v>127.66666666666666</v>
      </c>
      <c r="N40" s="874" t="n">
        <f t="shared" si="3"/>
        <v>86.188557235372897</v>
      </c>
    </row>
    <row r="41">
      <c r="B41" s="872" t="n">
        <f t="shared" si="1"/>
        <v>45239</v>
      </c>
      <c r="C41" s="870" t="n">
        <v>82</v>
      </c>
      <c r="D41" s="870"/>
      <c r="E41" s="870"/>
      <c r="H41" s="870" t="n">
        <v>2026</v>
      </c>
      <c r="I41" s="870" t="s">
        <v>240</v>
      </c>
      <c r="J41" s="874" t="n">
        <v>0</v>
      </c>
      <c r="K41" s="874" t="n">
        <f t="shared" si="4"/>
        <v>156</v>
      </c>
      <c r="L41" s="874" t="n">
        <f>K41+10</f>
        <v>166</v>
      </c>
      <c r="M41" s="874" t="n">
        <f t="shared" si="2"/>
        <v>156</v>
      </c>
      <c r="N41" s="874" t="n">
        <f t="shared" si="3"/>
        <v>105.31656602129117</v>
      </c>
    </row>
    <row r="42">
      <c r="B42" s="872" t="n">
        <f t="shared" si="1"/>
        <v>45270</v>
      </c>
      <c r="C42" s="870" t="n">
        <v>86</v>
      </c>
      <c r="D42" s="870" t="n">
        <v>2023</v>
      </c>
      <c r="E42" s="870" t="s">
        <v>776</v>
      </c>
      <c r="F42" t="n">
        <f>AVERAGE(C40:C42)</f>
        <v>83.333333333333329</v>
      </c>
      <c r="H42" s="870" t="n">
        <v>2027</v>
      </c>
      <c r="I42" s="870" t="s">
        <v>241</v>
      </c>
      <c r="J42" s="874" t="n">
        <v>0</v>
      </c>
      <c r="K42" s="874" t="n">
        <f t="shared" si="4"/>
        <v>178.83333333333334</v>
      </c>
      <c r="L42" s="874" t="n">
        <f>K42</f>
        <v>178.83333333333334</v>
      </c>
      <c r="M42" s="874" t="n">
        <f t="shared" si="2"/>
        <v>178.83333333333334</v>
      </c>
      <c r="N42" s="874" t="n">
        <f t="shared" si="3"/>
        <v>120.73149074876648</v>
      </c>
    </row>
    <row r="43">
      <c r="B43" s="872" t="n">
        <f t="shared" si="1"/>
        <v>45301</v>
      </c>
      <c r="C43" s="870" t="n">
        <v>90</v>
      </c>
      <c r="D43" s="870"/>
      <c r="E43" s="870"/>
      <c r="H43" s="870" t="n">
        <v>2027</v>
      </c>
      <c r="I43" s="870" t="s">
        <v>331</v>
      </c>
      <c r="J43" s="874"/>
      <c r="K43" s="874" t="n">
        <f t="shared" si="4"/>
        <v>186.66499999999999</v>
      </c>
      <c r="L43" s="874" t="n">
        <f t="shared" ref="L43:L51" si="5">K43</f>
        <v>186.66499999999999</v>
      </c>
      <c r="M43" s="874" t="n">
        <f t="shared" si="2"/>
        <v>186.66499999999999</v>
      </c>
      <c r="N43" s="874" t="n">
        <f t="shared" si="3"/>
        <v>126.01869741259176</v>
      </c>
    </row>
    <row r="44">
      <c r="B44" s="872" t="n">
        <f t="shared" si="1"/>
        <v>45332</v>
      </c>
      <c r="C44" s="870" t="n">
        <v>95</v>
      </c>
      <c r="D44" s="870"/>
      <c r="E44" s="870"/>
      <c r="H44" s="870" t="n">
        <v>2027</v>
      </c>
      <c r="I44" s="870" t="s">
        <v>776</v>
      </c>
      <c r="J44" s="874"/>
      <c r="K44" s="874" t="n">
        <f t="shared" si="4"/>
        <v>183.01499999999999</v>
      </c>
      <c r="L44" s="874" t="n">
        <f t="shared" si="5"/>
        <v>183.01499999999999</v>
      </c>
      <c r="M44" s="874" t="n">
        <f t="shared" si="2"/>
        <v>183.01499999999999</v>
      </c>
      <c r="N44" s="874" t="n">
        <f t="shared" si="3"/>
        <v>123.55455981017052</v>
      </c>
    </row>
    <row r="45">
      <c r="B45" s="872" t="n">
        <f t="shared" si="1"/>
        <v>45363</v>
      </c>
      <c r="C45" s="870" t="n">
        <v>98</v>
      </c>
      <c r="D45" s="870" t="n">
        <v>2024</v>
      </c>
      <c r="E45" s="870" t="s">
        <v>240</v>
      </c>
      <c r="F45" t="n">
        <f>AVERAGE(C43:C45)</f>
        <v>94.333333333333329</v>
      </c>
      <c r="H45" s="870" t="n">
        <v>2028</v>
      </c>
      <c r="I45" s="870" t="s">
        <v>240</v>
      </c>
      <c r="J45" s="874"/>
      <c r="K45" s="874" t="n">
        <f t="shared" si="4"/>
        <v>166.19833333333332</v>
      </c>
      <c r="L45" s="874" t="n">
        <f t="shared" si="5"/>
        <v>166.19833333333332</v>
      </c>
      <c r="M45" s="874" t="n">
        <f t="shared" si="2"/>
        <v>166.19833333333332</v>
      </c>
      <c r="N45" s="874" t="n">
        <f t="shared" si="3"/>
        <v>112.20152400723433</v>
      </c>
    </row>
    <row r="46">
      <c r="B46" s="872" t="n">
        <f t="shared" si="1"/>
        <v>45394</v>
      </c>
      <c r="C46" s="870" t="n">
        <v>98</v>
      </c>
      <c r="D46" s="870"/>
      <c r="E46" s="870"/>
      <c r="H46" s="870" t="n">
        <v>2028</v>
      </c>
      <c r="I46" s="870" t="s">
        <v>241</v>
      </c>
      <c r="J46" s="874"/>
      <c r="K46" s="874" t="n">
        <f t="shared" si="4"/>
        <v>139.215</v>
      </c>
      <c r="L46" s="874" t="n">
        <f t="shared" si="5"/>
        <v>139.215</v>
      </c>
      <c r="M46" s="874" t="n">
        <f t="shared" si="2"/>
        <v>139.215</v>
      </c>
      <c r="N46" s="874" t="n">
        <f t="shared" si="3"/>
        <v>93.984908581115704</v>
      </c>
    </row>
    <row r="47">
      <c r="B47" s="872" t="n">
        <f t="shared" si="1"/>
        <v>45425</v>
      </c>
      <c r="C47" s="870" t="n">
        <v>104</v>
      </c>
      <c r="D47" s="870"/>
      <c r="E47" s="870"/>
      <c r="H47" s="870" t="n">
        <v>2028</v>
      </c>
      <c r="I47" s="870" t="s">
        <v>331</v>
      </c>
      <c r="J47" s="874"/>
      <c r="K47" s="874" t="n">
        <f t="shared" si="4"/>
        <v>108.05000000000001</v>
      </c>
      <c r="L47" s="874" t="n">
        <f t="shared" si="5"/>
        <v>108.05000000000001</v>
      </c>
      <c r="M47" s="874" t="n">
        <f t="shared" si="2"/>
        <v>108.05000000000001</v>
      </c>
      <c r="N47" s="874" t="n">
        <f t="shared" si="3"/>
        <v>72.945224093593026</v>
      </c>
    </row>
    <row r="48">
      <c r="B48" s="872" t="n">
        <f t="shared" si="1"/>
        <v>45456</v>
      </c>
      <c r="C48" s="870" t="n">
        <v>106</v>
      </c>
      <c r="D48" s="870" t="n">
        <v>2024</v>
      </c>
      <c r="E48" s="870" t="s">
        <v>241</v>
      </c>
      <c r="F48" t="n">
        <f>AVERAGE(C46:C48)</f>
        <v>102.66666666666667</v>
      </c>
      <c r="H48" s="870" t="n">
        <v>2028</v>
      </c>
      <c r="I48" s="870" t="s">
        <v>776</v>
      </c>
      <c r="J48" s="874"/>
      <c r="K48" s="874" t="n">
        <f t="shared" si="4"/>
        <v>69.7</v>
      </c>
      <c r="L48" s="874" t="n">
        <f t="shared" si="5"/>
        <v>69.7</v>
      </c>
      <c r="M48" s="874" t="n">
        <f t="shared" si="2"/>
        <v>69.7</v>
      </c>
      <c r="N48" s="874" t="n">
        <f t="shared" si="3"/>
        <v>47.054901613358936</v>
      </c>
    </row>
    <row r="49">
      <c r="B49" s="872" t="n">
        <f t="shared" si="1"/>
        <v>45487</v>
      </c>
      <c r="C49" s="870" t="n">
        <v>96</v>
      </c>
      <c r="D49" s="870"/>
      <c r="E49" s="870"/>
      <c r="H49" s="870" t="s">
        <v>323</v>
      </c>
      <c r="I49" s="870" t="s">
        <v>323</v>
      </c>
      <c r="J49" s="870"/>
      <c r="K49" s="874" t="n">
        <f t="shared" si="4"/>
        <v>39.35</v>
      </c>
      <c r="L49" s="874" t="n">
        <f t="shared" si="5"/>
        <v>39.35</v>
      </c>
      <c r="M49" s="874"/>
      <c r="N49" s="874"/>
    </row>
    <row r="50">
      <c r="B50" s="872" t="n">
        <f t="shared" si="1"/>
        <v>45518</v>
      </c>
      <c r="C50" s="870" t="n">
        <v>93</v>
      </c>
      <c r="D50" s="870"/>
      <c r="E50" s="870"/>
      <c r="H50" s="870" t="s">
        <v>323</v>
      </c>
      <c r="I50" s="870" t="s">
        <v>323</v>
      </c>
      <c r="J50" s="870"/>
      <c r="K50" s="874" t="n">
        <f t="shared" si="4"/>
        <v>15</v>
      </c>
      <c r="L50" s="874" t="n">
        <f t="shared" si="5"/>
        <v>15</v>
      </c>
      <c r="M50" s="874"/>
      <c r="N50" s="874"/>
    </row>
    <row r="51">
      <c r="B51" s="872" t="n">
        <f t="shared" si="1"/>
        <v>45549</v>
      </c>
      <c r="C51" s="870" t="n">
        <v>88</v>
      </c>
      <c r="D51" s="870" t="n">
        <v>2024</v>
      </c>
      <c r="E51" s="870" t="s">
        <v>331</v>
      </c>
      <c r="F51" t="n">
        <f>AVERAGE(C49:C51)</f>
        <v>92.333333333333329</v>
      </c>
      <c r="H51" s="870" t="s">
        <v>323</v>
      </c>
      <c r="I51" s="870" t="s">
        <v>323</v>
      </c>
      <c r="J51" s="870"/>
      <c r="K51" s="874" t="n">
        <f t="shared" ref="K51" si="6">J41+J42+J43</f>
        <v>0</v>
      </c>
      <c r="L51" s="874" t="n">
        <f t="shared" si="5"/>
        <v>0</v>
      </c>
      <c r="M51" s="874"/>
      <c r="N51" s="874"/>
    </row>
    <row r="52">
      <c r="B52" s="872" t="n">
        <f t="shared" si="1"/>
        <v>45580</v>
      </c>
      <c r="C52" s="870" t="n">
        <v>80</v>
      </c>
      <c r="D52" s="870"/>
      <c r="E52" s="870"/>
      <c r="H52" s="870" t="s">
        <v>323</v>
      </c>
      <c r="I52" s="870" t="s">
        <v>323</v>
      </c>
      <c r="J52" s="870" t="n">
        <f>SUM(J27:J51)</f>
        <v>776.76333333333343</v>
      </c>
      <c r="K52" t="n">
        <f>SUM(K27:K51)</f>
        <v>1553.5266666666664</v>
      </c>
      <c r="L52" t="n">
        <f>SUM(L27:L51)</f>
        <v>1553.5266666666664</v>
      </c>
    </row>
    <row r="53">
      <c r="B53" s="872" t="n">
        <f t="shared" si="1"/>
        <v>45611</v>
      </c>
      <c r="C53" s="870" t="n">
        <v>76</v>
      </c>
      <c r="D53" s="870"/>
      <c r="E53" s="870"/>
      <c r="H53" s="870"/>
      <c r="I53" s="870"/>
      <c r="J53" s="870"/>
    </row>
    <row r="54">
      <c r="B54" s="872" t="n">
        <f t="shared" si="1"/>
        <v>45642</v>
      </c>
      <c r="C54" s="870" t="n">
        <v>74</v>
      </c>
      <c r="D54" s="870" t="n">
        <v>2024</v>
      </c>
      <c r="E54" s="870" t="s">
        <v>776</v>
      </c>
      <c r="F54" t="n">
        <f>AVERAGE(C52:C54)</f>
        <v>76.666666666666671</v>
      </c>
      <c r="H54" s="870"/>
      <c r="I54" s="870"/>
      <c r="J54" s="870"/>
    </row>
    <row r="55">
      <c r="B55" s="872" t="n">
        <f t="shared" si="1"/>
        <v>45673</v>
      </c>
      <c r="C55" s="870" t="n">
        <v>66</v>
      </c>
      <c r="D55" s="870"/>
      <c r="E55" s="870"/>
      <c r="H55" s="870"/>
      <c r="I55" s="870"/>
      <c r="J55" s="870"/>
    </row>
    <row r="56">
      <c r="B56" s="872" t="n">
        <f t="shared" si="1"/>
        <v>45704</v>
      </c>
      <c r="C56" s="870" t="n">
        <v>58</v>
      </c>
      <c r="D56" s="870"/>
      <c r="E56" s="870"/>
      <c r="H56" s="870"/>
      <c r="I56" s="870"/>
      <c r="J56" s="870"/>
    </row>
    <row r="57">
      <c r="B57" s="872" t="n">
        <f t="shared" si="1"/>
        <v>45735</v>
      </c>
      <c r="C57" s="870" t="n">
        <v>58</v>
      </c>
      <c r="D57" s="870" t="n">
        <v>2025</v>
      </c>
      <c r="E57" s="870" t="s">
        <v>240</v>
      </c>
      <c r="F57" t="n">
        <f>AVERAGE(C55:C57)</f>
        <v>60.666666666666664</v>
      </c>
      <c r="H57" s="870"/>
      <c r="I57" s="870"/>
      <c r="J57" s="870"/>
    </row>
    <row r="58">
      <c r="B58" s="872"/>
      <c r="C58" s="875" t="n">
        <v>50</v>
      </c>
      <c r="D58" s="870"/>
      <c r="E58" s="870"/>
      <c r="H58" s="870"/>
      <c r="I58" s="870"/>
      <c r="J58" s="870"/>
    </row>
    <row r="59">
      <c r="B59" s="872"/>
      <c r="C59" s="875" t="n">
        <v>48</v>
      </c>
      <c r="D59" s="870"/>
      <c r="E59" s="870"/>
      <c r="H59" s="870"/>
      <c r="I59" s="870"/>
      <c r="J59" s="870"/>
    </row>
    <row r="60">
      <c r="B60" s="870"/>
      <c r="C60" s="875" t="n">
        <v>48</v>
      </c>
      <c r="D60" s="870" t="n">
        <v>2025</v>
      </c>
      <c r="E60" s="870" t="s">
        <v>241</v>
      </c>
      <c r="F60" t="n">
        <f>AVERAGE(C58:C60)</f>
        <v>48.666666666666664</v>
      </c>
      <c r="H60" s="870"/>
      <c r="I60" s="870"/>
      <c r="J60" s="870"/>
    </row>
    <row r="61">
      <c r="B61" s="870"/>
      <c r="C61" s="870" t="n">
        <v>40</v>
      </c>
      <c r="D61" s="870"/>
      <c r="E61" s="870"/>
      <c r="H61" s="870"/>
      <c r="I61" s="870"/>
      <c r="J61" s="870"/>
    </row>
    <row r="62">
      <c r="B62" s="870"/>
      <c r="C62" s="875" t="n">
        <v>30</v>
      </c>
      <c r="D62" s="870"/>
      <c r="E62" s="870"/>
      <c r="H62" s="870"/>
      <c r="I62" s="870"/>
      <c r="J62" s="870"/>
    </row>
    <row r="63">
      <c r="B63" s="870"/>
      <c r="C63" s="875" t="n">
        <v>20</v>
      </c>
      <c r="D63" s="870"/>
      <c r="E63" s="870"/>
      <c r="F63" t="n">
        <f>AVERAGE(C61:C63)</f>
        <v>30</v>
      </c>
      <c r="H63" s="870"/>
      <c r="I63" s="870"/>
      <c r="J63" s="870"/>
    </row>
    <row r="64">
      <c r="B64" s="870"/>
      <c r="C64" s="870"/>
      <c r="D64" s="870"/>
      <c r="E64" s="870"/>
      <c r="H64" s="870"/>
      <c r="I64" s="870"/>
      <c r="J64" s="870"/>
    </row>
    <row r="65">
      <c r="B65" s="870"/>
      <c r="C65" s="854"/>
      <c r="D65" s="876"/>
      <c r="E65" s="854"/>
      <c r="H65" s="870"/>
      <c r="I65" s="870"/>
      <c r="J65" s="870"/>
    </row>
    <row r="66">
      <c r="B66" s="870"/>
      <c r="C66" s="870"/>
      <c r="D66" s="870"/>
      <c r="E66" s="870"/>
      <c r="F66" t="e">
        <f>AVERAGE(C64:C66)</f>
        <v>#DIV/0!</v>
      </c>
      <c r="H66" s="870"/>
      <c r="I66" s="870"/>
      <c r="J66" s="870"/>
    </row>
    <row r="67">
      <c r="B67" s="870"/>
      <c r="C67" s="870"/>
      <c r="D67" s="869"/>
      <c r="E67" s="870"/>
      <c r="H67" s="870"/>
      <c r="I67" s="870"/>
      <c r="J67" s="870"/>
    </row>
    <row r="68">
      <c r="B68" s="870"/>
      <c r="C68" s="870"/>
      <c r="D68" s="869"/>
      <c r="E68" s="869"/>
      <c r="H68" s="870"/>
      <c r="I68" s="870"/>
      <c r="J68" s="870"/>
    </row>
    <row r="69">
      <c r="B69" s="877"/>
      <c r="C69" s="878"/>
      <c r="D69" s="879"/>
      <c r="E69" s="870"/>
      <c r="H69" s="870"/>
      <c r="I69" s="870"/>
      <c r="J69" s="870"/>
    </row>
    <row r="70">
      <c r="B70" s="869" t="s">
        <v>2278</v>
      </c>
      <c r="C70" s="869"/>
      <c r="D70" s="879"/>
      <c r="E70" s="870"/>
      <c r="H70" s="870"/>
      <c r="I70" s="870"/>
      <c r="J70" s="870"/>
    </row>
    <row r="71">
      <c r="B71" s="869" t="s">
        <v>2279</v>
      </c>
      <c r="C71" s="869"/>
      <c r="D71" s="879"/>
      <c r="E71" s="870"/>
      <c r="H71" s="870"/>
      <c r="I71" s="870"/>
      <c r="J71" s="870"/>
    </row>
    <row r="72">
      <c r="B72" s="869" t="s">
        <v>2280</v>
      </c>
      <c r="C72" s="869"/>
      <c r="D72" s="879"/>
      <c r="E72" s="870"/>
      <c r="H72" s="870"/>
      <c r="I72" s="870"/>
      <c r="J72" s="870"/>
    </row>
    <row r="73">
      <c r="B73" s="869" t="s">
        <v>2281</v>
      </c>
      <c r="C73" s="869"/>
      <c r="D73" s="879"/>
      <c r="E73" s="870"/>
      <c r="H73" s="870" t="s">
        <v>2282</v>
      </c>
      <c r="I73" s="870"/>
      <c r="J73" s="870"/>
    </row>
    <row r="74">
      <c r="B74" s="869" t="s">
        <v>2283</v>
      </c>
      <c r="C74" s="869"/>
      <c r="D74" s="879"/>
      <c r="E74" s="870"/>
      <c r="H74" s="870" t="s">
        <v>2284</v>
      </c>
      <c r="I74" s="870"/>
      <c r="J74" s="870"/>
    </row>
    <row r="75">
      <c r="B75" s="869" t="s">
        <v>1859</v>
      </c>
      <c r="C75" s="869"/>
      <c r="D75" s="870"/>
      <c r="E75" s="870"/>
      <c r="H75" s="870"/>
      <c r="I75" s="870"/>
      <c r="J75" s="870"/>
    </row>
    <row r="76">
      <c r="B76" s="870"/>
      <c r="C76" s="870"/>
      <c r="D76" s="870"/>
      <c r="E76" s="870"/>
      <c r="H76" s="870"/>
      <c r="I76" s="870"/>
      <c r="J76" s="870"/>
    </row>
    <row r="77">
      <c r="B77" s="869" t="s">
        <v>2285</v>
      </c>
      <c r="C77" s="869" t="s">
        <v>2286</v>
      </c>
      <c r="D77" s="870"/>
      <c r="E77" s="870"/>
      <c r="H77" s="870"/>
      <c r="I77" s="870"/>
      <c r="J77" s="870"/>
    </row>
    <row r="78">
      <c r="B78" s="870"/>
      <c r="C78" s="870"/>
      <c r="D78" s="870"/>
      <c r="E78" s="870"/>
      <c r="H78" s="870"/>
      <c r="I78" s="870"/>
      <c r="J78" s="870"/>
    </row>
    <row r="79">
      <c r="B79" s="869" t="s">
        <v>2287</v>
      </c>
      <c r="C79" s="869"/>
      <c r="D79" s="870"/>
      <c r="E79" s="870"/>
      <c r="H79" s="870"/>
      <c r="I79" s="870"/>
      <c r="J79" s="870"/>
    </row>
    <row r="80">
      <c r="B80" s="869" t="s">
        <v>1860</v>
      </c>
      <c r="C80" s="869" t="s">
        <v>2285</v>
      </c>
      <c r="D80" s="870"/>
      <c r="E80" s="870"/>
      <c r="H80" s="870"/>
      <c r="I80" s="870"/>
      <c r="J80" s="870"/>
    </row>
    <row r="81">
      <c r="B81" s="880" t="n">
        <v>42736</v>
      </c>
      <c r="C81" s="879" t="n">
        <v>234.95833333333334</v>
      </c>
      <c r="D81" s="870"/>
      <c r="E81" s="870"/>
      <c r="F81" t="n">
        <f>C81/C86</f>
        <v>0.67510619244417414</v>
      </c>
      <c r="H81" s="870"/>
      <c r="I81" s="870"/>
      <c r="J81" s="870"/>
    </row>
    <row r="82">
      <c r="B82" s="880" t="n">
        <v>43101</v>
      </c>
      <c r="C82" s="879" t="n">
        <v>247.02500000000001</v>
      </c>
      <c r="D82" s="870"/>
      <c r="E82" s="870"/>
      <c r="H82" s="870"/>
      <c r="I82" s="870"/>
      <c r="J82" s="870"/>
    </row>
    <row r="83">
      <c r="B83" s="880" t="n">
        <v>43466</v>
      </c>
      <c r="C83" s="879" t="n">
        <v>251.27500000000001</v>
      </c>
      <c r="D83" s="870"/>
      <c r="E83" s="870"/>
      <c r="H83" s="870"/>
      <c r="I83" s="870"/>
      <c r="J83" s="870"/>
    </row>
    <row r="84">
      <c r="B84" s="880" t="n">
        <v>43831</v>
      </c>
      <c r="C84" s="879" t="n">
        <v>256.94166666666666</v>
      </c>
      <c r="D84" s="870"/>
      <c r="E84" s="870"/>
      <c r="H84" s="870"/>
      <c r="I84" s="870"/>
      <c r="J84" s="870"/>
    </row>
    <row r="85">
      <c r="B85" s="880" t="n">
        <v>44197</v>
      </c>
      <c r="C85" s="879" t="n">
        <v>298.95841666666666</v>
      </c>
      <c r="D85" s="870"/>
      <c r="E85" s="870"/>
      <c r="H85" s="870"/>
      <c r="I85" s="870"/>
      <c r="J85" s="870"/>
    </row>
    <row r="86">
      <c r="B86" s="880" t="n">
        <v>44562</v>
      </c>
      <c r="C86" s="879" t="n">
        <v>348.03166666666669</v>
      </c>
      <c r="D86" s="870"/>
      <c r="E86" s="870"/>
      <c r="H86" s="870"/>
      <c r="I86" s="870"/>
      <c r="J86" s="870"/>
    </row>
    <row r="87">
      <c r="B87" s="880" t="n">
        <v>44927</v>
      </c>
      <c r="C87" s="879" t="n">
        <v>351.04091666666665</v>
      </c>
      <c r="D87" s="870"/>
      <c r="E87" s="870"/>
      <c r="H87" s="870"/>
      <c r="I87" s="870"/>
      <c r="J87" s="870"/>
    </row>
    <row r="88">
      <c r="B88" s="880" t="n">
        <v>45292</v>
      </c>
      <c r="C88" s="869" t="n">
        <v>0</v>
      </c>
      <c r="D88" s="870"/>
      <c r="E88" s="870"/>
      <c r="H88" s="870"/>
      <c r="I88" s="870"/>
      <c r="J88" s="870"/>
    </row>
  </sheetData>
  <mergeCells count="14">
    <mergeCell ref="D25:F25"/>
    <mergeCell ref="AG8:AH8"/>
    <mergeCell ref="W7:AH7"/>
    <mergeCell ref="Y8:AB8"/>
    <mergeCell ref="AC8:AF8"/>
    <mergeCell ref="B1:AC1"/>
    <mergeCell ref="B2:R4"/>
    <mergeCell ref="T2:AC4"/>
    <mergeCell ref="B7:C9"/>
    <mergeCell ref="D7:V7"/>
    <mergeCell ref="E8:H8"/>
    <mergeCell ref="I8:L8"/>
    <mergeCell ref="M8:P8"/>
    <mergeCell ref="Q8:T8"/>
  </mergeCells>
  <pageMargins left="0.7" right="0.7" top="0.75" bottom="0.75" header="0.3" footer="0.3"/>
  <pageSetup paperSize="9" orientation="portrait" horizontalDpi="300" verticalDpi="300"/>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87" zoomScaleNormal="87" workbookViewId="0">
      <pane xSplit="2" ySplit="3" topLeftCell="O4" activePane="bottomRight" state="frozen"/>
      <selection activeCell="C1" sqref="C1"/>
      <selection pane="topRight" activeCell="E1" sqref="E1"/>
      <selection pane="bottomLeft" activeCell="C4" sqref="C4"/>
      <selection pane="bottomRight" activeCell="AA10" sqref="AA10"/>
    </sheetView>
  </sheetViews>
  <sheetFormatPr defaultRowHeight="15.0" baseColWidth="10"/>
  <cols>
    <col min="1" max="1" width="0" hidden="1" customWidth="1"/>
    <col min="2" max="2" width="0" hidden="1" customWidth="1"/>
    <col min="4" max="4" width="45.1796875" hidden="0" customWidth="1"/>
    <col min="5" max="5" width="11.1796875" hidden="0" customWidth="1"/>
    <col min="11" max="11" width="10.81640625" hidden="0" customWidth="1"/>
    <col min="12" max="12" width="24.7265625" hidden="0" customWidth="1"/>
    <col min="13" max="13" width="12.453125" hidden="0" customWidth="1"/>
    <col min="14" max="14" width="13.453125" hidden="0" customWidth="1"/>
    <col min="15" max="15" width="13.453125" hidden="0" customWidth="1"/>
    <col min="16" max="16" width="11.1796875" hidden="0" customWidth="1"/>
    <col min="19" max="19" width="12" hidden="0" customWidth="1"/>
    <col min="31" max="31" width="17.81640625" hidden="0" customWidth="1"/>
  </cols>
  <sheetData>
    <row r="1">
      <c r="D1" s="257" t="s">
        <v>58</v>
      </c>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ht="14.25" customHeight="1">
      <c r="D2" s="304" t="s">
        <v>912</v>
      </c>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84.75" customHeight="1">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D4" s="942" t="s">
        <v>333</v>
      </c>
      <c r="W4" s="85"/>
    </row>
    <row r="5">
      <c r="D5" s="262" t="s">
        <v>404</v>
      </c>
      <c r="E5" s="263"/>
      <c r="F5" s="896" t="s">
        <v>280</v>
      </c>
      <c r="G5" s="897"/>
      <c r="H5" s="897"/>
      <c r="I5" s="897"/>
      <c r="J5" s="897"/>
      <c r="K5" s="897"/>
      <c r="L5" s="897"/>
      <c r="M5" s="897"/>
      <c r="N5" s="897"/>
      <c r="O5" s="897"/>
      <c r="P5" s="897"/>
      <c r="Q5" s="897"/>
      <c r="R5" s="897"/>
      <c r="S5" s="897"/>
      <c r="T5" s="897"/>
      <c r="U5" s="897"/>
      <c r="V5" s="898"/>
      <c r="W5" s="392" t="s">
        <v>281</v>
      </c>
      <c r="X5" s="380"/>
      <c r="Y5" s="380"/>
      <c r="Z5" s="380"/>
      <c r="AA5" s="380"/>
      <c r="AB5" s="380"/>
      <c r="AC5" s="380"/>
      <c r="AD5" s="380"/>
      <c r="AE5" s="380"/>
      <c r="AF5" s="380"/>
      <c r="AG5" s="295"/>
      <c r="AH5" s="295"/>
      <c r="AI5" s="1020"/>
      <c r="AJ5" s="1020"/>
      <c r="AK5" s="1020"/>
      <c r="AL5" s="1020"/>
      <c r="AM5" s="1020"/>
      <c r="AN5" s="1020"/>
      <c r="AO5" s="1020"/>
      <c r="AP5" s="1020"/>
      <c r="AQ5" s="1020"/>
      <c r="AR5" s="1020"/>
      <c r="AS5" s="1020"/>
      <c r="AT5" s="1020"/>
      <c r="AU5" s="1020"/>
      <c r="AV5" s="1020"/>
      <c r="AW5" s="1020"/>
      <c r="AX5" s="1020"/>
      <c r="AY5" s="1020"/>
      <c r="AZ5" s="1020"/>
      <c r="BA5" s="1020"/>
      <c r="BB5" s="1020"/>
      <c r="BC5" s="1020"/>
      <c r="BD5" s="1020"/>
      <c r="BE5" s="1020"/>
    </row>
    <row r="6">
      <c r="D6" s="264"/>
      <c r="E6" s="278"/>
      <c r="F6" s="259" t="n">
        <v>2019</v>
      </c>
      <c r="G6" s="260"/>
      <c r="H6" s="261"/>
      <c r="I6" s="260" t="n">
        <v>2020</v>
      </c>
      <c r="J6" s="260"/>
      <c r="K6" s="260"/>
      <c r="L6" s="260"/>
      <c r="M6" s="269" t="n">
        <v>2021</v>
      </c>
      <c r="N6" s="270"/>
      <c r="O6" s="270"/>
      <c r="P6" s="270"/>
      <c r="Q6" s="269" t="n">
        <v>2022</v>
      </c>
      <c r="R6" s="358"/>
      <c r="S6" s="358"/>
      <c r="T6" s="271"/>
      <c r="U6" s="343"/>
      <c r="V6" s="343" t="n">
        <v>2023</v>
      </c>
      <c r="W6" s="662"/>
      <c r="X6" s="316"/>
      <c r="Y6" s="255" t="n">
        <v>2024</v>
      </c>
      <c r="Z6" s="347"/>
      <c r="AA6" s="347"/>
      <c r="AB6" s="256"/>
      <c r="AC6" s="255" t="n">
        <v>2025</v>
      </c>
      <c r="AD6" s="347"/>
      <c r="AE6" s="347"/>
      <c r="AF6" s="256"/>
      <c r="AG6" s="255" t="n">
        <v>2026</v>
      </c>
      <c r="AH6" s="256"/>
      <c r="AI6" s="1021"/>
      <c r="AJ6" s="1021"/>
      <c r="AK6" s="1021"/>
      <c r="AL6" s="1021"/>
      <c r="AM6" s="1021"/>
      <c r="AN6" s="1021"/>
      <c r="AO6" s="1021"/>
      <c r="AP6" s="1021"/>
      <c r="AQ6" s="1021"/>
      <c r="AR6" s="1021"/>
      <c r="AS6" s="1021"/>
      <c r="AT6" s="1021"/>
      <c r="AU6" s="1021"/>
      <c r="AV6" s="1021"/>
      <c r="AW6" s="1021"/>
      <c r="AX6" s="1021"/>
      <c r="AY6" s="1021"/>
      <c r="AZ6" s="1021"/>
      <c r="BA6" s="1021"/>
      <c r="BB6" s="1021"/>
      <c r="BC6" s="1021"/>
      <c r="BD6" s="1021"/>
    </row>
    <row r="7">
      <c r="D7" s="266"/>
      <c r="E7" s="277"/>
      <c r="F7" s="259" t="s">
        <v>284</v>
      </c>
      <c r="G7" s="260" t="s">
        <v>238</v>
      </c>
      <c r="H7" s="261" t="s">
        <v>282</v>
      </c>
      <c r="I7" s="260" t="s">
        <v>283</v>
      </c>
      <c r="J7" s="260" t="s">
        <v>284</v>
      </c>
      <c r="K7" s="260" t="s">
        <v>238</v>
      </c>
      <c r="L7" s="260" t="s">
        <v>282</v>
      </c>
      <c r="M7" s="259" t="s">
        <v>283</v>
      </c>
      <c r="N7" s="260" t="s">
        <v>284</v>
      </c>
      <c r="O7" s="260" t="s">
        <v>238</v>
      </c>
      <c r="P7" s="260" t="s">
        <v>282</v>
      </c>
      <c r="Q7" s="259" t="s">
        <v>283</v>
      </c>
      <c r="R7" s="260" t="s">
        <v>284</v>
      </c>
      <c r="S7" s="260" t="s">
        <v>238</v>
      </c>
      <c r="T7" s="261" t="s">
        <v>282</v>
      </c>
      <c r="U7" s="260" t="s">
        <v>283</v>
      </c>
      <c r="V7" s="341" t="s">
        <v>284</v>
      </c>
      <c r="W7" s="406" t="s">
        <v>238</v>
      </c>
      <c r="X7" s="509" t="s">
        <v>282</v>
      </c>
      <c r="Y7" s="510" t="s">
        <v>283</v>
      </c>
      <c r="Z7" s="413" t="s">
        <v>284</v>
      </c>
      <c r="AA7" s="406" t="s">
        <v>238</v>
      </c>
      <c r="AB7" s="406" t="s">
        <v>282</v>
      </c>
      <c r="AC7" s="325" t="s">
        <v>283</v>
      </c>
      <c r="AD7" s="323" t="s">
        <v>284</v>
      </c>
      <c r="AE7" s="326" t="s">
        <v>238</v>
      </c>
      <c r="AF7" s="326" t="s">
        <v>282</v>
      </c>
      <c r="AG7" s="325" t="s">
        <v>283</v>
      </c>
      <c r="AH7" s="327" t="s">
        <v>284</v>
      </c>
      <c r="AI7" s="1001"/>
      <c r="AJ7" s="1001"/>
      <c r="AK7" s="1001"/>
      <c r="AL7" s="1001"/>
      <c r="AM7" s="1001"/>
      <c r="AN7" s="1001"/>
      <c r="AO7" s="1001"/>
      <c r="AP7" s="1001"/>
      <c r="AQ7" s="1001"/>
      <c r="AR7" s="1001"/>
      <c r="AS7" s="1001"/>
      <c r="AT7" s="1001"/>
      <c r="AU7" s="1001"/>
      <c r="AV7" s="1001"/>
      <c r="AW7" s="1001"/>
      <c r="AX7" s="1001"/>
      <c r="AY7" s="1001"/>
      <c r="AZ7" s="1001"/>
      <c r="BA7" s="1001"/>
      <c r="BB7" s="1001"/>
      <c r="BC7" s="1001"/>
      <c r="BD7" s="1001"/>
    </row>
    <row r="8">
      <c r="D8" s="957" t="s">
        <v>466</v>
      </c>
      <c r="E8" s="84"/>
      <c r="F8" s="951"/>
      <c r="G8" s="952"/>
      <c r="H8" s="952"/>
      <c r="I8" s="952"/>
      <c r="J8" s="952"/>
      <c r="K8" s="952"/>
      <c r="L8" s="952"/>
      <c r="M8" s="952"/>
      <c r="N8" s="952"/>
      <c r="O8" s="952"/>
      <c r="P8" s="952"/>
      <c r="Q8" s="952"/>
      <c r="R8" s="952"/>
      <c r="S8" s="952"/>
      <c r="T8" s="952"/>
      <c r="U8" s="1000"/>
      <c r="V8" s="1000"/>
      <c r="W8" s="1000"/>
      <c r="X8" s="952"/>
      <c r="Y8" s="953"/>
      <c r="Z8" s="953"/>
      <c r="AA8" s="953"/>
      <c r="AB8" s="953"/>
      <c r="AC8" s="1041"/>
      <c r="AD8" s="1041"/>
      <c r="AE8" s="1041"/>
      <c r="AF8" s="1041"/>
      <c r="AG8" s="903"/>
      <c r="AH8" s="903"/>
      <c r="AI8" s="798"/>
      <c r="AJ8" s="798"/>
      <c r="AK8" s="798"/>
      <c r="AL8" s="798"/>
      <c r="AM8" s="798"/>
      <c r="AN8" s="798"/>
      <c r="AO8" s="798"/>
      <c r="AP8" s="798"/>
      <c r="AQ8" s="798"/>
      <c r="AR8" s="798"/>
      <c r="AS8" s="798"/>
      <c r="AT8" s="798"/>
      <c r="AU8" s="798"/>
      <c r="AV8" s="798"/>
      <c r="AW8" s="798"/>
      <c r="AX8" s="798"/>
      <c r="AY8" s="798"/>
      <c r="AZ8" s="798"/>
      <c r="BA8" s="798"/>
      <c r="BB8" s="798"/>
      <c r="BC8" s="798"/>
      <c r="BD8" s="798"/>
    </row>
    <row r="9" ht="14.9" customHeight="1">
      <c r="D9" s="584" t="s">
        <v>481</v>
      </c>
      <c r="E9" s="956"/>
      <c r="F9" s="997" t="n">
        <f t="shared" ref="F9:S9" si="0">SUM(F10:F14)</f>
        <v>3262.7999999999997</v>
      </c>
      <c r="G9" s="997" t="n">
        <f t="shared" si="0"/>
        <v>3288.1000000000004</v>
      </c>
      <c r="H9" s="997" t="n">
        <f t="shared" si="0"/>
        <v>3338</v>
      </c>
      <c r="I9" s="997" t="n">
        <f t="shared" si="0"/>
        <v>3404.2999999999997</v>
      </c>
      <c r="J9" s="997" t="n">
        <f t="shared" si="0"/>
        <v>3145.3</v>
      </c>
      <c r="K9" s="997" t="n">
        <f t="shared" si="0"/>
        <v>3330.5</v>
      </c>
      <c r="L9" s="997" t="n">
        <f t="shared" si="0"/>
        <v>3493.7000000000003</v>
      </c>
      <c r="M9" s="997" t="n">
        <f t="shared" si="0"/>
        <v>3658.9</v>
      </c>
      <c r="N9" s="997" t="n">
        <f t="shared" si="0"/>
        <v>3818.6000000000004</v>
      </c>
      <c r="O9" s="997" t="n">
        <f t="shared" si="0"/>
        <v>3938.9</v>
      </c>
      <c r="P9" s="997" t="n">
        <f t="shared" si="0"/>
        <v>4059.7000000000003</v>
      </c>
      <c r="Q9" s="997" t="n">
        <f t="shared" si="0"/>
        <v>4353.7</v>
      </c>
      <c r="R9" s="997" t="n">
        <f t="shared" si="0"/>
        <v>4373.2</v>
      </c>
      <c r="S9" s="997" t="n">
        <f t="shared" si="0"/>
        <v>4423.7</v>
      </c>
      <c r="T9" s="997" t="n">
        <f t="shared" ref="T9:AG9" si="1">SUM(T10,T12,T14)</f>
        <v>4387.7</v>
      </c>
      <c r="U9" s="997" t="n">
        <f t="shared" si="1"/>
        <v>4116.5</v>
      </c>
      <c r="V9" s="997" t="n">
        <f t="shared" si="1"/>
        <v>4129.2</v>
      </c>
      <c r="W9" s="997" t="n">
        <f t="shared" si="1"/>
        <v>4161.7</v>
      </c>
      <c r="X9" s="997" t="n">
        <f t="shared" si="1"/>
        <v>4178.3</v>
      </c>
      <c r="Y9" s="1032" t="n">
        <f t="shared" si="1"/>
        <v>4381.5</v>
      </c>
      <c r="Z9" s="1032" t="n">
        <f t="shared" si="1"/>
        <v>4433.3999999999996</v>
      </c>
      <c r="AA9" s="1032" t="n">
        <f t="shared" si="1"/>
        <v>4489.7713883870456</v>
      </c>
      <c r="AB9" s="1032" t="n">
        <f t="shared" si="1"/>
        <v>4538.5469751658384</v>
      </c>
      <c r="AC9" s="1032" t="n">
        <f t="shared" si="1"/>
        <v>4612.4270713244514</v>
      </c>
      <c r="AD9" s="1032" t="n">
        <f t="shared" si="1"/>
        <v>4644.0864887445623</v>
      </c>
      <c r="AE9" s="1032" t="n">
        <f t="shared" si="1"/>
        <v>4675.9902837778927</v>
      </c>
      <c r="AF9" s="1032" t="n">
        <f t="shared" si="1"/>
        <v>4708.1405975032039</v>
      </c>
      <c r="AG9" s="1032" t="n">
        <f t="shared" si="1"/>
        <v>4791.4510358579109</v>
      </c>
      <c r="AH9" s="1032" t="n">
        <f>SUM(AH10,AH12,AH14)</f>
        <v>4824.3535656118838</v>
      </c>
      <c r="AI9" s="985"/>
      <c r="AJ9" s="985"/>
      <c r="AK9" s="985"/>
      <c r="AL9" s="985"/>
      <c r="AM9" s="985"/>
      <c r="AN9" s="985"/>
      <c r="AO9" s="985"/>
      <c r="AP9" s="985"/>
      <c r="AV9" s="1024"/>
      <c r="AW9" s="1024"/>
      <c r="AX9" s="1024"/>
      <c r="AY9" s="1024"/>
      <c r="AZ9" s="1024"/>
      <c r="BA9" s="1024"/>
      <c r="BB9" s="1024"/>
      <c r="BC9" s="1024"/>
      <c r="BD9" s="1024"/>
    </row>
    <row r="10">
      <c r="D10" s="618" t="s">
        <v>482</v>
      </c>
      <c r="E10" s="67" t="s">
        <v>115</v>
      </c>
      <c r="F10" s="915" t="n">
        <f>'Haver Pivoted'!GQ27</f>
        <v>1689.1</v>
      </c>
      <c r="G10" s="915" t="n">
        <f>'Haver Pivoted'!GR27</f>
        <v>1700.3</v>
      </c>
      <c r="H10" s="915" t="n">
        <f>'Haver Pivoted'!GS27</f>
        <v>1732.4</v>
      </c>
      <c r="I10" s="915" t="n">
        <f>'Haver Pivoted'!GT27</f>
        <v>1767.8</v>
      </c>
      <c r="J10" s="915" t="n">
        <f>'Haver Pivoted'!GU27</f>
        <v>1631.4</v>
      </c>
      <c r="K10" s="915" t="n">
        <f>'Haver Pivoted'!GV27</f>
        <v>1747.9</v>
      </c>
      <c r="L10" s="915" t="n">
        <f>'Haver Pivoted'!GW27</f>
        <v>1866.9</v>
      </c>
      <c r="M10" s="915" t="n">
        <f>'Haver Pivoted'!GX27</f>
        <v>2013.4</v>
      </c>
      <c r="N10" s="915" t="n">
        <f>'Haver Pivoted'!GY27</f>
        <v>2118.4</v>
      </c>
      <c r="O10" s="915" t="n">
        <f>'Haver Pivoted'!GZ27</f>
        <v>2200</v>
      </c>
      <c r="P10" s="915" t="n">
        <f>'Haver Pivoted'!HA27</f>
        <v>2265.3000000000002</v>
      </c>
      <c r="Q10" s="915" t="n">
        <f>'Haver Pivoted'!HB27</f>
        <v>2506.9</v>
      </c>
      <c r="R10" s="915" t="n">
        <f>'Haver Pivoted'!HC27</f>
        <v>2502.6</v>
      </c>
      <c r="S10" s="915" t="n">
        <f>'Haver Pivoted'!HD27</f>
        <v>2521.9</v>
      </c>
      <c r="T10" s="1031" t="n">
        <f>'Haver Pivoted'!HE27</f>
        <v>2490.1</v>
      </c>
      <c r="U10" s="1031" t="n">
        <f>'Haver Pivoted'!HF27</f>
        <v>2181</v>
      </c>
      <c r="V10" s="1031" t="n">
        <f>'Haver Pivoted'!HG27</f>
        <v>2175.1</v>
      </c>
      <c r="W10" s="1031" t="n">
        <f>'Haver Pivoted'!HH27</f>
        <v>2188.6999999999998</v>
      </c>
      <c r="X10" s="1031" t="n">
        <f>'Haver Pivoted'!HI27</f>
        <v>2199.8000000000002</v>
      </c>
      <c r="Y10" s="1031" t="n">
        <f>'Haver Pivoted'!HJ27</f>
        <v>2364.6999999999998</v>
      </c>
      <c r="Z10" s="1031" t="n">
        <f>'Haver Pivoted'!HK27</f>
        <v>2402</v>
      </c>
      <c r="AA10" s="1033" t="n">
        <f>Z10*(1.05)^0.25+AA11</f>
        <v>2448.4779070985524</v>
      </c>
      <c r="AB10" s="1033" t="n">
        <f>AA10*(1.05)^0.25+AB11</f>
        <v>2478.5262019687893</v>
      </c>
      <c r="AC10" s="996" t="n">
        <f>AB10*(1+$L39-0.02)+AC11</f>
        <v>2533.5006348868787</v>
      </c>
      <c r="AD10" s="1033" t="n">
        <f>AC10*(1.02)^0.25+AD11</f>
        <v>2546.0742251784909</v>
      </c>
      <c r="AE10" s="1033" t="n">
        <f t="shared" ref="AE10:AF10" si="2">AD10*(1.02)^0.25+AE11</f>
        <v>2558.7102173383496</v>
      </c>
      <c r="AF10" s="1033" t="n">
        <f t="shared" si="2"/>
        <v>2571.4089210626571</v>
      </c>
      <c r="AG10" s="996" t="n">
        <f>AF10*(1+$M39-0.02)+AG11</f>
        <v>2635.0820911533169</v>
      </c>
      <c r="AH10" s="1033" t="n">
        <f>AG10*(1.02)^0.25+AH11</f>
        <v>2648.1598232614856</v>
      </c>
      <c r="AI10" s="985"/>
      <c r="AJ10" s="985"/>
      <c r="AK10" s="985"/>
      <c r="AL10" s="985"/>
      <c r="AM10" s="985"/>
      <c r="AN10" s="985"/>
      <c r="AO10" s="985"/>
      <c r="AP10" s="985"/>
      <c r="AV10" s="798"/>
      <c r="AW10" s="798"/>
      <c r="AX10" s="798"/>
      <c r="AY10" s="798"/>
      <c r="AZ10" s="798"/>
      <c r="BA10" s="798"/>
      <c r="BB10" s="798"/>
      <c r="BC10" s="798"/>
      <c r="BD10" s="798"/>
    </row>
    <row r="11">
      <c r="D11" s="618" t="s">
        <v>1753</v>
      </c>
      <c r="E11" s="67"/>
      <c r="F11" s="954"/>
      <c r="G11" s="954"/>
      <c r="H11" s="954"/>
      <c r="I11" s="954"/>
      <c r="J11" s="954"/>
      <c r="K11" s="954"/>
      <c r="L11" s="954"/>
      <c r="M11" s="954"/>
      <c r="N11" s="954"/>
      <c r="O11" s="954"/>
      <c r="P11" s="954"/>
      <c r="Q11" s="954"/>
      <c r="R11" s="954"/>
      <c r="S11" s="998"/>
      <c r="T11" s="998" t="n">
        <v>46</v>
      </c>
      <c r="U11" s="998" t="n">
        <v>-5</v>
      </c>
      <c r="V11" s="998" t="n">
        <v>12</v>
      </c>
      <c r="W11" s="998" t="n">
        <v>67</v>
      </c>
      <c r="X11" s="998" t="n">
        <v>7</v>
      </c>
      <c r="Y11" s="950" t="n">
        <v>-205</v>
      </c>
      <c r="Z11" s="950" t="n">
        <v>47</v>
      </c>
      <c r="AA11" s="950" t="n">
        <v>17</v>
      </c>
      <c r="AB11" s="950" t="n">
        <v>0</v>
      </c>
      <c r="AC11" s="950" t="n">
        <v>0</v>
      </c>
      <c r="AD11" s="950" t="n">
        <v>0</v>
      </c>
      <c r="AE11" s="950" t="n">
        <v>0</v>
      </c>
      <c r="AF11" s="950" t="n">
        <v>0</v>
      </c>
      <c r="AG11" s="950" t="n">
        <v>0</v>
      </c>
      <c r="AH11" s="950" t="n">
        <v>0</v>
      </c>
      <c r="AI11" s="985"/>
      <c r="AJ11" s="985"/>
      <c r="AK11" s="985"/>
      <c r="AL11" s="985"/>
      <c r="AM11" s="985"/>
      <c r="AN11" s="985"/>
      <c r="AO11" s="985"/>
      <c r="AP11" s="985"/>
      <c r="AV11" s="798"/>
      <c r="AW11" s="798"/>
      <c r="AX11" s="798"/>
      <c r="AY11" s="798"/>
      <c r="AZ11" s="798"/>
      <c r="BA11" s="798"/>
      <c r="BB11" s="798"/>
      <c r="BC11" s="798"/>
      <c r="BD11" s="798"/>
    </row>
    <row r="12">
      <c r="D12" s="618" t="s">
        <v>483</v>
      </c>
      <c r="E12" s="64" t="s">
        <v>121</v>
      </c>
      <c r="F12" s="915" t="n">
        <f>'Haver Pivoted'!GQ30</f>
        <v>1403.3</v>
      </c>
      <c r="G12" s="915" t="n">
        <f>'Haver Pivoted'!GR30</f>
        <v>1410</v>
      </c>
      <c r="H12" s="915" t="n">
        <f>'Haver Pivoted'!GS30</f>
        <v>1427.9</v>
      </c>
      <c r="I12" s="915" t="n">
        <f>'Haver Pivoted'!GT30</f>
        <v>1453.3</v>
      </c>
      <c r="J12" s="915" t="n">
        <f>'Haver Pivoted'!GU30</f>
        <v>1383.5</v>
      </c>
      <c r="K12" s="915" t="n">
        <f>'Haver Pivoted'!GV30</f>
        <v>1432.5</v>
      </c>
      <c r="L12" s="915" t="n">
        <f>'Haver Pivoted'!GW30</f>
        <v>1469</v>
      </c>
      <c r="M12" s="915" t="n">
        <f>'Haver Pivoted'!GX30</f>
        <v>1484.6</v>
      </c>
      <c r="N12" s="915" t="n">
        <f>'Haver Pivoted'!GY30</f>
        <v>1519.7</v>
      </c>
      <c r="O12" s="915" t="n">
        <f>'Haver Pivoted'!GZ30</f>
        <v>1556.8</v>
      </c>
      <c r="P12" s="915" t="n">
        <f>'Haver Pivoted'!HA30</f>
        <v>1603.4</v>
      </c>
      <c r="Q12" s="915" t="n">
        <f>'Haver Pivoted'!HB30</f>
        <v>1645.9</v>
      </c>
      <c r="R12" s="915" t="n">
        <f>'Haver Pivoted'!HC30</f>
        <v>1667.8</v>
      </c>
      <c r="S12" s="915" t="n">
        <f>'Haver Pivoted'!HD30</f>
        <v>1709.6</v>
      </c>
      <c r="T12" s="1031" t="n">
        <f>'Haver Pivoted'!HE30</f>
        <v>1716.7</v>
      </c>
      <c r="U12" s="1031" t="n">
        <f>'Haver Pivoted'!HF30</f>
        <v>1758.5</v>
      </c>
      <c r="V12" s="1031" t="n">
        <f>'Haver Pivoted'!HG30</f>
        <v>1778.7</v>
      </c>
      <c r="W12" s="1031" t="n">
        <f>'Haver Pivoted'!HH30</f>
        <v>1801.4</v>
      </c>
      <c r="X12" s="1031" t="n">
        <f>'Haver Pivoted'!HI30</f>
        <v>1808.9</v>
      </c>
      <c r="Y12" s="1031" t="n">
        <f>'Haver Pivoted'!HJ30</f>
        <v>1845.3</v>
      </c>
      <c r="Z12" s="1031" t="n">
        <f>'Haver Pivoted'!HK30</f>
        <v>1864.7</v>
      </c>
      <c r="AA12" s="1033" t="n">
        <f>Z12*(1+$K41)^0.25+AA13</f>
        <v>1872.910657686512</v>
      </c>
      <c r="AB12" s="1033" t="n">
        <f t="shared" ref="AB12:AH12" si="3">AA12*(1+$L41)^0.25+AB13</f>
        <v>1889.0862306183681</v>
      </c>
      <c r="AC12" s="1033" t="n">
        <f t="shared" si="3"/>
        <v>1905.4015054407548</v>
      </c>
      <c r="AD12" s="1033" t="n">
        <f t="shared" si="3"/>
        <v>1921.8576887024788</v>
      </c>
      <c r="AE12" s="1033" t="n">
        <f t="shared" si="3"/>
        <v>1938.4559973728215</v>
      </c>
      <c r="AF12" s="1033" t="n">
        <f t="shared" si="3"/>
        <v>1955.1976589315364</v>
      </c>
      <c r="AG12" s="1033" t="n">
        <f t="shared" si="3"/>
        <v>1972.083911459624</v>
      </c>
      <c r="AH12" s="1033" t="n">
        <f t="shared" si="3"/>
        <v>1989.1160037308905</v>
      </c>
      <c r="AI12" s="985"/>
      <c r="AJ12" s="985"/>
      <c r="AK12" s="985"/>
      <c r="AL12" s="985"/>
      <c r="AM12" s="985"/>
      <c r="AN12" s="985"/>
      <c r="AO12" s="985"/>
      <c r="AP12" s="985"/>
      <c r="AV12" s="798"/>
      <c r="AW12" s="798"/>
      <c r="AX12" s="798"/>
      <c r="AY12" s="798"/>
      <c r="AZ12" s="798"/>
      <c r="BA12" s="798"/>
      <c r="BB12" s="798"/>
      <c r="BC12" s="798"/>
      <c r="BD12" s="798"/>
    </row>
    <row r="13">
      <c r="D13" s="618" t="s">
        <v>1736</v>
      </c>
      <c r="E13" s="64"/>
      <c r="F13" s="954"/>
      <c r="G13" s="954"/>
      <c r="H13" s="954"/>
      <c r="I13" s="954"/>
      <c r="J13" s="954"/>
      <c r="K13" s="954"/>
      <c r="L13" s="954"/>
      <c r="M13" s="954"/>
      <c r="N13" s="954"/>
      <c r="O13" s="954"/>
      <c r="P13" s="954"/>
      <c r="Q13" s="954"/>
      <c r="R13" s="954"/>
      <c r="S13" s="954"/>
      <c r="T13" s="998"/>
      <c r="U13" s="998" t="n">
        <v>8</v>
      </c>
      <c r="V13" s="998" t="n">
        <v>-10</v>
      </c>
      <c r="W13" s="998" t="n">
        <v>-5</v>
      </c>
      <c r="X13" s="998" t="n">
        <v>-6</v>
      </c>
      <c r="Y13" s="950" t="n">
        <v>21</v>
      </c>
      <c r="Z13" s="950" t="n">
        <v>5</v>
      </c>
      <c r="AA13" s="950" t="n">
        <v>-10</v>
      </c>
      <c r="AB13" s="950"/>
      <c r="AC13" s="950"/>
      <c r="AD13" s="950"/>
      <c r="AE13" s="950"/>
      <c r="AF13" s="950"/>
      <c r="AG13" s="950"/>
      <c r="AH13" s="1033"/>
      <c r="AI13" s="985"/>
      <c r="AJ13" s="985"/>
      <c r="AK13" s="985"/>
      <c r="AL13" s="985"/>
      <c r="AM13" s="985"/>
      <c r="AN13" s="985"/>
      <c r="AO13" s="985"/>
      <c r="AP13" s="985"/>
      <c r="AV13" s="798"/>
      <c r="AW13" s="798"/>
      <c r="AX13" s="798"/>
      <c r="AY13" s="798"/>
      <c r="AZ13" s="798"/>
      <c r="BA13" s="798"/>
      <c r="BB13" s="798"/>
      <c r="BC13" s="798"/>
      <c r="BD13" s="798"/>
    </row>
    <row r="14">
      <c r="D14" s="618" t="s">
        <v>484</v>
      </c>
      <c r="E14" s="67" t="s">
        <v>117</v>
      </c>
      <c r="F14" s="915" t="n">
        <f>'Haver Pivoted'!GQ28</f>
        <v>170.4</v>
      </c>
      <c r="G14" s="915" t="n">
        <f>'Haver Pivoted'!GR28</f>
        <v>177.8</v>
      </c>
      <c r="H14" s="915" t="n">
        <f>'Haver Pivoted'!GS28</f>
        <v>177.7</v>
      </c>
      <c r="I14" s="915" t="n">
        <f>'Haver Pivoted'!GT28</f>
        <v>183.2</v>
      </c>
      <c r="J14" s="915" t="n">
        <f>'Haver Pivoted'!GU28</f>
        <v>130.4</v>
      </c>
      <c r="K14" s="915" t="n">
        <f>'Haver Pivoted'!GV28</f>
        <v>150.1</v>
      </c>
      <c r="L14" s="915" t="n">
        <f>'Haver Pivoted'!GW28</f>
        <v>157.80000000000001</v>
      </c>
      <c r="M14" s="915" t="n">
        <f>'Haver Pivoted'!GX28</f>
        <v>160.9</v>
      </c>
      <c r="N14" s="915" t="n">
        <f>'Haver Pivoted'!GY28</f>
        <v>180.5</v>
      </c>
      <c r="O14" s="915" t="n">
        <f>'Haver Pivoted'!GZ28</f>
        <v>182.1</v>
      </c>
      <c r="P14" s="915" t="n">
        <f>'Haver Pivoted'!HA28</f>
        <v>191</v>
      </c>
      <c r="Q14" s="915" t="n">
        <f>'Haver Pivoted'!HB28</f>
        <v>200.9</v>
      </c>
      <c r="R14" s="915" t="n">
        <f>'Haver Pivoted'!HC28</f>
        <v>202.8</v>
      </c>
      <c r="S14" s="915" t="n">
        <f>'Haver Pivoted'!HD28</f>
        <v>192.2</v>
      </c>
      <c r="T14" s="1031" t="n">
        <f>'Haver Pivoted'!HE28</f>
        <v>180.9</v>
      </c>
      <c r="U14" s="1031" t="n">
        <f>'Haver Pivoted'!HF28</f>
        <v>177</v>
      </c>
      <c r="V14" s="1031" t="n">
        <f>'Haver Pivoted'!HG28</f>
        <v>175.4</v>
      </c>
      <c r="W14" s="1031" t="n">
        <f>'Haver Pivoted'!HH28</f>
        <v>171.6</v>
      </c>
      <c r="X14" s="1031" t="n">
        <f>'Haver Pivoted'!HI28</f>
        <v>169.6</v>
      </c>
      <c r="Y14" s="1031" t="n">
        <f>'Haver Pivoted'!HJ28</f>
        <v>171.5</v>
      </c>
      <c r="Z14" s="1031" t="n">
        <f>'Haver Pivoted'!HK28</f>
        <v>166.7</v>
      </c>
      <c r="AA14" s="1033" t="n">
        <f>Z14*(1+$K42)^0.25</f>
        <v>168.38282360198136</v>
      </c>
      <c r="AB14" s="1033" t="n">
        <f t="shared" ref="AB14:AH14" si="4">AA14*(1+$L42)^0.25</f>
        <v>170.93454257868166</v>
      </c>
      <c r="AC14" s="1033" t="n">
        <f t="shared" si="4"/>
        <v>173.52493099681766</v>
      </c>
      <c r="AD14" s="1033" t="n">
        <f t="shared" si="4"/>
        <v>176.15457486359256</v>
      </c>
      <c r="AE14" s="1033" t="n">
        <f t="shared" si="4"/>
        <v>178.82406906672168</v>
      </c>
      <c r="AF14" s="1033" t="n">
        <f t="shared" si="4"/>
        <v>181.53401750901011</v>
      </c>
      <c r="AG14" s="1033" t="n">
        <f t="shared" si="4"/>
        <v>184.28503324496987</v>
      </c>
      <c r="AH14" s="1033" t="n">
        <f t="shared" si="4"/>
        <v>187.07773861950727</v>
      </c>
      <c r="AI14" s="985"/>
      <c r="AJ14" s="985"/>
      <c r="AK14" s="985"/>
      <c r="AL14" s="985"/>
      <c r="AM14" s="985"/>
      <c r="AN14" s="985"/>
      <c r="AO14" s="985"/>
      <c r="AP14" s="985"/>
      <c r="AV14" s="798"/>
      <c r="AW14" s="798"/>
      <c r="AX14" s="798"/>
      <c r="AY14" s="798"/>
      <c r="AZ14" s="798"/>
      <c r="BA14" s="798"/>
      <c r="BB14" s="798"/>
      <c r="BC14" s="798"/>
      <c r="BD14" s="798"/>
    </row>
    <row r="15">
      <c r="D15" s="1016" t="s">
        <v>1430</v>
      </c>
      <c r="E15" s="1017"/>
      <c r="F15" s="955"/>
      <c r="G15" s="954"/>
      <c r="H15" s="954"/>
      <c r="I15" s="954"/>
      <c r="J15" s="954"/>
      <c r="K15" s="954"/>
      <c r="L15" s="954"/>
      <c r="M15" s="954"/>
      <c r="N15" s="954"/>
      <c r="O15" s="954"/>
      <c r="P15" s="954"/>
      <c r="Q15" s="954"/>
      <c r="R15" s="954"/>
      <c r="S15" s="998"/>
      <c r="T15" s="998"/>
      <c r="U15" s="998" t="n">
        <v>0</v>
      </c>
      <c r="V15" s="998" t="n">
        <v>0</v>
      </c>
      <c r="W15" s="998" t="n">
        <v>0</v>
      </c>
      <c r="X15" s="998" t="n">
        <v>0</v>
      </c>
      <c r="Y15" s="950" t="n">
        <v>0</v>
      </c>
      <c r="Z15" s="950" t="n">
        <v>0</v>
      </c>
      <c r="AA15" s="950" t="n">
        <v>0</v>
      </c>
      <c r="AB15" s="950" t="n">
        <v>0</v>
      </c>
      <c r="AC15" s="950" t="n">
        <v>0</v>
      </c>
      <c r="AD15" s="950" t="n">
        <v>1</v>
      </c>
      <c r="AE15" s="950" t="n">
        <v>2</v>
      </c>
      <c r="AF15" s="950" t="n">
        <v>3</v>
      </c>
      <c r="AG15" s="950" t="n">
        <v>4</v>
      </c>
      <c r="AH15" s="1033"/>
      <c r="AI15" s="985"/>
      <c r="AJ15" s="985"/>
      <c r="AK15" s="985"/>
      <c r="AL15" s="985"/>
      <c r="AM15" s="985"/>
      <c r="AN15" s="985"/>
      <c r="AO15" s="985"/>
      <c r="AP15" s="985"/>
      <c r="AV15" s="798"/>
      <c r="AW15" s="798"/>
      <c r="AX15" s="798"/>
      <c r="AY15" s="798"/>
      <c r="AZ15" s="798"/>
      <c r="BA15" s="798"/>
      <c r="BB15" s="798"/>
      <c r="BC15" s="798"/>
      <c r="BD15" s="798"/>
    </row>
    <row r="16" ht="14.9" customHeight="1">
      <c r="D16" s="501" t="s">
        <v>1882</v>
      </c>
      <c r="E16" s="1013" t="s">
        <v>119</v>
      </c>
      <c r="F16" s="943" t="n">
        <f>'Haver Pivoted'!GQ29</f>
        <v>210.4</v>
      </c>
      <c r="G16" s="999" t="n">
        <f>'Haver Pivoted'!GR29</f>
        <v>198.2</v>
      </c>
      <c r="H16" s="999" t="n">
        <f>'Haver Pivoted'!GS29</f>
        <v>233.1</v>
      </c>
      <c r="I16" s="999" t="n">
        <f>'Haver Pivoted'!GT29</f>
        <v>189.6</v>
      </c>
      <c r="J16" s="999" t="n">
        <f>'Haver Pivoted'!GU29</f>
        <v>199.8</v>
      </c>
      <c r="K16" s="999" t="n">
        <f>'Haver Pivoted'!GV29</f>
        <v>246.8</v>
      </c>
      <c r="L16" s="999" t="n">
        <f>'Haver Pivoted'!GW29</f>
        <v>250.9</v>
      </c>
      <c r="M16" s="999" t="n">
        <f>'Haver Pivoted'!GX29</f>
        <v>252.3</v>
      </c>
      <c r="N16" s="999" t="n">
        <f>'Haver Pivoted'!GY29</f>
        <v>283.60000000000002</v>
      </c>
      <c r="O16" s="999" t="n">
        <f>'Haver Pivoted'!GZ29</f>
        <v>279.8</v>
      </c>
      <c r="P16" s="999" t="n">
        <f>'Haver Pivoted'!HA29</f>
        <v>303.89999999999998</v>
      </c>
      <c r="Q16" s="999" t="n">
        <f>'Haver Pivoted'!HB29</f>
        <v>329.8</v>
      </c>
      <c r="R16" s="999" t="n">
        <f>'Haver Pivoted'!HC29</f>
        <v>388.8</v>
      </c>
      <c r="S16" s="999" t="n">
        <f>'Haver Pivoted'!HD29</f>
        <v>383.6</v>
      </c>
      <c r="T16" s="994" t="n">
        <f>'Haver Pivoted'!HE29</f>
        <v>373.6</v>
      </c>
      <c r="U16" s="994" t="n">
        <f>'Haver Pivoted'!HF29</f>
        <v>388.6</v>
      </c>
      <c r="V16" s="994" t="n">
        <f>'Haver Pivoted'!HG29</f>
        <v>403.3</v>
      </c>
      <c r="W16" s="994" t="n">
        <f>'Haver Pivoted'!HH29</f>
        <v>418</v>
      </c>
      <c r="X16" s="994" t="n">
        <f>'Haver Pivoted'!HI29</f>
        <v>429.4</v>
      </c>
      <c r="Y16" s="994" t="n">
        <f>'Haver Pivoted'!HJ29</f>
        <v>453.8</v>
      </c>
      <c r="Z16" s="994" t="n">
        <f>'Haver Pivoted'!HK29</f>
        <v>470.1</v>
      </c>
      <c r="AA16" s="1033" t="n">
        <f>Z16*(1+$K43)^0.25</f>
        <v>481.67610036716962</v>
      </c>
      <c r="AB16" s="1033" t="n">
        <f>AA16*(1+$L43)^0.25</f>
        <v>491.34941698295808</v>
      </c>
      <c r="AC16" s="1033" t="n">
        <f>AB16*(1+$L43)^0.25</f>
        <v>501.21699911094026</v>
      </c>
      <c r="AD16" s="1033" t="n">
        <f>AC16*(1+$L43)^0.25</f>
        <v>511.28274811098333</v>
      </c>
      <c r="AE16" s="1033" t="n">
        <f>AD16*(1+$L43)^0.25</f>
        <v>521.55064369247032</v>
      </c>
      <c r="AF16" s="1033" t="n">
        <f>AE16*(1+$M43)^0.25</f>
        <v>520.23365660978743</v>
      </c>
      <c r="AG16" s="1033" t="n">
        <f>AF16*(1+$M43)^0.25</f>
        <v>518.91999510055928</v>
      </c>
      <c r="AH16" s="1033" t="n">
        <f>AG16*(1+$M43)^0.25</f>
        <v>517.60965076725563</v>
      </c>
      <c r="AI16" s="985"/>
      <c r="AJ16" s="985"/>
      <c r="AK16" s="985"/>
      <c r="AL16" s="985"/>
      <c r="AM16" s="985"/>
      <c r="AN16" s="985"/>
      <c r="AO16" s="985"/>
      <c r="AP16" s="985"/>
      <c r="AV16" s="1024"/>
      <c r="AW16" s="1024"/>
      <c r="AX16" s="1024"/>
      <c r="AY16" s="1024"/>
      <c r="AZ16" s="1024"/>
      <c r="BA16" s="1024"/>
      <c r="BB16" s="1024"/>
      <c r="BC16" s="1024"/>
      <c r="BD16" s="1024"/>
    </row>
    <row r="17" ht="14.9" customHeight="1">
      <c r="D17" s="501"/>
      <c r="E17" s="1013"/>
      <c r="F17" s="943"/>
      <c r="G17" s="999"/>
      <c r="H17" s="999"/>
      <c r="I17" s="999"/>
      <c r="J17" s="999"/>
      <c r="K17" s="999"/>
      <c r="L17" s="999"/>
      <c r="M17" s="999"/>
      <c r="N17" s="999"/>
      <c r="O17" s="999"/>
      <c r="P17" s="999"/>
      <c r="Q17" s="999"/>
      <c r="R17" s="999"/>
      <c r="S17" s="999"/>
      <c r="T17" s="999"/>
      <c r="U17" s="999"/>
      <c r="V17" s="999"/>
      <c r="W17" s="999"/>
      <c r="X17" s="1029"/>
      <c r="Y17" s="1029"/>
      <c r="Z17" s="1029"/>
      <c r="AA17" s="1029"/>
      <c r="AB17" s="1029"/>
      <c r="AC17" s="1029"/>
      <c r="AD17" s="1029"/>
      <c r="AE17" s="1029"/>
      <c r="AF17" s="1029"/>
      <c r="AG17" s="1029"/>
      <c r="AH17" s="1029"/>
      <c r="AI17" s="985"/>
      <c r="AJ17" s="985"/>
      <c r="AK17" s="985"/>
      <c r="AL17" s="985"/>
      <c r="AM17" s="985"/>
      <c r="AN17" s="985"/>
      <c r="AO17" s="985"/>
      <c r="AP17" s="985"/>
      <c r="AV17" s="1024"/>
      <c r="AW17" s="1024"/>
      <c r="AX17" s="1024"/>
      <c r="AY17" s="1024"/>
      <c r="AZ17" s="1024"/>
      <c r="BA17" s="1024"/>
      <c r="BB17" s="1024"/>
      <c r="BC17" s="1024"/>
      <c r="BD17" s="1024"/>
    </row>
    <row r="18">
      <c r="D18" s="949" t="s">
        <v>473</v>
      </c>
      <c r="E18" s="494"/>
      <c r="F18" s="1050"/>
      <c r="G18" s="1042"/>
      <c r="H18" s="1042"/>
      <c r="I18" s="1042"/>
      <c r="J18" s="1042"/>
      <c r="K18" s="1042"/>
      <c r="L18" s="1042"/>
      <c r="M18" s="1042"/>
      <c r="N18" s="1042"/>
      <c r="O18" s="1042"/>
      <c r="P18" s="1042"/>
      <c r="Q18" s="1042"/>
      <c r="R18" s="1042"/>
      <c r="S18" s="1042"/>
      <c r="T18" s="1042"/>
      <c r="U18" s="952"/>
      <c r="V18" s="1042"/>
      <c r="W18" s="1042"/>
      <c r="X18" s="1042"/>
      <c r="Y18" s="1042"/>
      <c r="Z18" s="1042"/>
      <c r="AA18" s="1042"/>
      <c r="AB18" s="1042"/>
      <c r="AC18" s="1042"/>
      <c r="AF18" s="985"/>
      <c r="AG18" s="985"/>
      <c r="AH18" s="985"/>
      <c r="AI18" s="985"/>
      <c r="AJ18" s="985"/>
      <c r="AK18" s="985"/>
      <c r="AL18" s="985"/>
      <c r="AM18" s="985"/>
      <c r="AN18" s="985"/>
      <c r="AO18" s="985"/>
      <c r="AP18" s="985"/>
    </row>
    <row r="19" ht="14.9" customHeight="1">
      <c r="D19" s="1023" t="s">
        <v>481</v>
      </c>
      <c r="E19" s="1014"/>
      <c r="F19" s="943" t="n">
        <f t="shared" ref="F19:P19" si="5">SUM(F21:F24)</f>
        <v>1902.6999999999998</v>
      </c>
      <c r="G19" s="999" t="n">
        <f t="shared" si="5"/>
        <v>1892.4</v>
      </c>
      <c r="H19" s="999" t="n">
        <f t="shared" si="5"/>
        <v>1884.5</v>
      </c>
      <c r="I19" s="999" t="n">
        <f t="shared" si="5"/>
        <v>1887.9</v>
      </c>
      <c r="J19" s="999" t="n">
        <f t="shared" si="5"/>
        <v>1790.3</v>
      </c>
      <c r="K19" s="999" t="n">
        <f t="shared" si="5"/>
        <v>1921.1</v>
      </c>
      <c r="L19" s="999" t="n">
        <f t="shared" si="5"/>
        <v>1953.6</v>
      </c>
      <c r="M19" s="999" t="n">
        <f t="shared" si="5"/>
        <v>2006.3</v>
      </c>
      <c r="N19" s="999" t="n">
        <f t="shared" si="5"/>
        <v>2102.1999999999998</v>
      </c>
      <c r="O19" s="999" t="n">
        <f t="shared" si="5"/>
        <v>2115.6999999999998</v>
      </c>
      <c r="P19" s="999" t="n">
        <f t="shared" si="5"/>
        <v>2213.6999999999998</v>
      </c>
      <c r="Q19" s="999" t="n">
        <f>SUM(Q20:Q24)</f>
        <v>2261.8999999999996</v>
      </c>
      <c r="R19" s="999" t="n">
        <f t="shared" ref="R19:T19" si="6">SUM(R20:R24)</f>
        <v>2287.3000000000002</v>
      </c>
      <c r="S19" s="999" t="n">
        <f t="shared" si="6"/>
        <v>2269.4</v>
      </c>
      <c r="T19" s="999" t="n">
        <f t="shared" si="6"/>
        <v>2267.1999999999998</v>
      </c>
      <c r="U19" s="999" t="n">
        <f>SUM(U21:U24)</f>
        <v>2258.3000000000002</v>
      </c>
      <c r="V19" s="999" t="n">
        <f>SUM(V20:V24)</f>
        <v>2196.4</v>
      </c>
      <c r="W19" s="999" t="n">
        <f>SUM(W20,W21,W23,W24)</f>
        <v>2257.6999999999998</v>
      </c>
      <c r="X19" s="999" t="n">
        <f>SUM(X20,X21,X23,X24)</f>
        <v>2293</v>
      </c>
      <c r="Y19" s="1035" t="n">
        <f>SUM(Y20,Y21,Y23,Y24)</f>
        <v>2296.6999999999998</v>
      </c>
      <c r="Z19" s="1035" t="n">
        <f t="shared" ref="Z19:AF19" si="7">SUM(Z20,Z21,Z23,Z24)</f>
        <v>2334.8000000000002</v>
      </c>
      <c r="AA19" s="1035" t="n">
        <f t="shared" si="7"/>
        <v>2370.4934691362682</v>
      </c>
      <c r="AB19" s="1035" t="n">
        <f t="shared" si="7"/>
        <v>2394.4737296945541</v>
      </c>
      <c r="AC19" s="1035" t="n">
        <f t="shared" si="7"/>
        <v>2419.1819686234739</v>
      </c>
      <c r="AD19" s="1035" t="n">
        <f t="shared" si="7"/>
        <v>2443.8279877221571</v>
      </c>
      <c r="AE19" s="1035" t="n">
        <f t="shared" si="7"/>
        <v>2467.5122332493233</v>
      </c>
      <c r="AF19" s="1035" t="n">
        <f t="shared" si="7"/>
        <v>2490.887019004148</v>
      </c>
      <c r="AG19" s="1035" t="n">
        <f>SUM(AG20,AG21,AG23,AG24)</f>
        <v>2511.8002577188468</v>
      </c>
      <c r="AH19" s="1035" t="n">
        <f>SUM(AH20,AH21,AH23,AH24)</f>
        <v>2533.5609851387253</v>
      </c>
      <c r="AI19" s="985"/>
      <c r="AJ19" s="985"/>
      <c r="AK19" s="985"/>
      <c r="AL19" s="985"/>
      <c r="AM19" s="985"/>
      <c r="AN19" s="985"/>
      <c r="AO19" s="985"/>
      <c r="AP19" s="985"/>
    </row>
    <row r="20" ht="42" customHeight="1">
      <c r="D20" s="1019" t="s">
        <v>827</v>
      </c>
      <c r="E20" s="1014"/>
      <c r="F20" s="943"/>
      <c r="G20" s="999"/>
      <c r="H20" s="999"/>
      <c r="I20" s="999"/>
      <c r="J20" s="999"/>
      <c r="K20" s="999"/>
      <c r="L20" s="999"/>
      <c r="M20" s="999"/>
      <c r="N20" s="999"/>
      <c r="O20" s="999"/>
      <c r="P20" s="999"/>
      <c r="Q20" s="479"/>
      <c r="R20" s="479"/>
      <c r="S20" s="479"/>
      <c r="T20" s="479"/>
      <c r="U20" s="479" t="n">
        <v>0</v>
      </c>
      <c r="V20" s="479"/>
      <c r="W20" s="479"/>
      <c r="X20" s="479"/>
      <c r="Y20" s="426"/>
      <c r="Z20" s="426"/>
      <c r="AA20" s="426"/>
      <c r="AB20" s="426"/>
      <c r="AC20" s="426"/>
      <c r="AD20" s="426"/>
      <c r="AE20" s="426"/>
      <c r="AF20" s="426"/>
      <c r="AG20" s="426"/>
      <c r="AH20" s="426"/>
      <c r="AI20" s="985"/>
      <c r="AJ20" s="985"/>
      <c r="AK20" s="985"/>
      <c r="AL20" s="985"/>
      <c r="AM20" s="985"/>
      <c r="AN20" s="985"/>
      <c r="AO20" s="985"/>
      <c r="AP20" s="985"/>
    </row>
    <row r="21">
      <c r="D21" s="618" t="s">
        <v>486</v>
      </c>
      <c r="E21" s="64" t="s">
        <v>487</v>
      </c>
      <c r="F21" s="988" t="n">
        <f>'Haver Pivoted'!GQ33</f>
        <v>533.1</v>
      </c>
      <c r="G21" s="915" t="n">
        <f>'Haver Pivoted'!GR33</f>
        <v>497.6</v>
      </c>
      <c r="H21" s="915" t="n">
        <f>'Haver Pivoted'!GS33</f>
        <v>488</v>
      </c>
      <c r="I21" s="915" t="n">
        <f>'Haver Pivoted'!GT33</f>
        <v>488.2</v>
      </c>
      <c r="J21" s="915" t="n">
        <f>'Haver Pivoted'!GU33</f>
        <v>480.5</v>
      </c>
      <c r="K21" s="915" t="n">
        <f>'Haver Pivoted'!GV33</f>
        <v>515.5</v>
      </c>
      <c r="L21" s="915" t="n">
        <f>'Haver Pivoted'!GW33</f>
        <v>527.9</v>
      </c>
      <c r="M21" s="915" t="n">
        <f>'Haver Pivoted'!GX33</f>
        <v>564.20000000000005</v>
      </c>
      <c r="N21" s="915" t="n">
        <f>'Haver Pivoted'!GY33</f>
        <v>585.6</v>
      </c>
      <c r="O21" s="915" t="n">
        <f>'Haver Pivoted'!GZ33</f>
        <v>589.79999999999995</v>
      </c>
      <c r="P21" s="915" t="n">
        <f>'Haver Pivoted'!HA33</f>
        <v>636.29999999999995</v>
      </c>
      <c r="Q21" s="915" t="n">
        <f>'Haver Pivoted'!HB33</f>
        <v>655.9</v>
      </c>
      <c r="R21" s="915" t="n">
        <f>'Haver Pivoted'!HC33</f>
        <v>655.1</v>
      </c>
      <c r="S21" s="915" t="n">
        <f>'Haver Pivoted'!HD33</f>
        <v>615.20000000000005</v>
      </c>
      <c r="T21" s="1031" t="n">
        <f>'Haver Pivoted'!HE33</f>
        <v>605.6</v>
      </c>
      <c r="U21" s="1031" t="n">
        <f>'Haver Pivoted'!HF33</f>
        <v>582.70000000000005</v>
      </c>
      <c r="V21" s="1031" t="n">
        <f>'Haver Pivoted'!HG33</f>
        <v>528.79999999999995</v>
      </c>
      <c r="W21" s="1031" t="n">
        <f>'Haver Pivoted'!HH33</f>
        <v>576.6</v>
      </c>
      <c r="X21" s="1031" t="n">
        <f>'Haver Pivoted'!HI33</f>
        <v>592.6</v>
      </c>
      <c r="Y21" s="1031" t="n">
        <f>'Haver Pivoted'!HJ33</f>
        <v>584.4</v>
      </c>
      <c r="Z21" s="1031" t="n">
        <f>'Haver Pivoted'!HK33</f>
        <v>597.70000000000005</v>
      </c>
      <c r="AA21" s="1036" t="n">
        <f t="shared" ref="AA21:AH21" si="8">$Y123*AA132*(AA105/$Y105)+AA20+AA22</f>
        <v>607.50818167119326</v>
      </c>
      <c r="AB21" s="1036" t="n">
        <f t="shared" si="8"/>
        <v>616.0579434728694</v>
      </c>
      <c r="AC21" s="1036" t="n">
        <f t="shared" si="8"/>
        <v>624.05154656859281</v>
      </c>
      <c r="AD21" s="1036" t="n">
        <f t="shared" si="8"/>
        <v>631.92889049979522</v>
      </c>
      <c r="AE21" s="1036" t="n">
        <f t="shared" si="8"/>
        <v>639.63970103317024</v>
      </c>
      <c r="AF21" s="1036" t="n">
        <f t="shared" si="8"/>
        <v>647.55160849977074</v>
      </c>
      <c r="AG21" s="1036" t="n">
        <f t="shared" si="8"/>
        <v>655.00476358745016</v>
      </c>
      <c r="AH21" s="1036" t="n">
        <f t="shared" si="8"/>
        <v>662.10914118156609</v>
      </c>
      <c r="AI21" s="985"/>
      <c r="AJ21" s="985"/>
      <c r="AK21" s="985"/>
      <c r="AL21" s="985"/>
      <c r="AM21" s="985"/>
      <c r="AN21" s="985"/>
      <c r="AO21" s="985"/>
      <c r="AP21" s="985"/>
    </row>
    <row r="22">
      <c r="D22" s="618" t="s">
        <v>1890</v>
      </c>
      <c r="E22" s="64"/>
      <c r="F22" s="988"/>
      <c r="G22" s="915"/>
      <c r="H22" s="915"/>
      <c r="I22" s="915"/>
      <c r="J22" s="915"/>
      <c r="K22" s="915"/>
      <c r="L22" s="915"/>
      <c r="M22" s="915"/>
      <c r="N22" s="915"/>
      <c r="O22" s="915"/>
      <c r="P22" s="915"/>
      <c r="Q22" s="915"/>
      <c r="R22" s="915"/>
      <c r="S22" s="915"/>
      <c r="T22" s="915"/>
      <c r="U22" s="915"/>
      <c r="V22" s="915"/>
      <c r="W22" s="915" t="n">
        <v>20</v>
      </c>
      <c r="X22" s="915" t="n">
        <v>20</v>
      </c>
      <c r="Y22" s="1036" t="n">
        <v>0</v>
      </c>
      <c r="Z22" s="1036" t="n">
        <f>-24</f>
        <v>-24</v>
      </c>
      <c r="AA22" s="1036" t="n">
        <f>-11</f>
        <v>-11</v>
      </c>
      <c r="AB22" s="1036" t="n">
        <f t="shared" ref="AB22:AH22" si="9">-11</f>
        <v>-11</v>
      </c>
      <c r="AC22" s="1036" t="n">
        <f t="shared" si="9"/>
        <v>-11</v>
      </c>
      <c r="AD22" s="1036" t="n">
        <f t="shared" si="9"/>
        <v>-11</v>
      </c>
      <c r="AE22" s="1036" t="n">
        <f t="shared" si="9"/>
        <v>-11</v>
      </c>
      <c r="AF22" s="1036" t="n">
        <f t="shared" si="9"/>
        <v>-11</v>
      </c>
      <c r="AG22" s="1036" t="n">
        <f>-11</f>
        <v>-11</v>
      </c>
      <c r="AH22" s="1036" t="n">
        <f t="shared" si="9"/>
        <v>-11</v>
      </c>
      <c r="AI22" s="985"/>
      <c r="AJ22" s="985"/>
      <c r="AK22" s="985"/>
      <c r="AL22" s="985"/>
      <c r="AM22" s="985"/>
      <c r="AN22" s="985"/>
      <c r="AO22" s="985"/>
      <c r="AP22" s="985"/>
    </row>
    <row r="23">
      <c r="D23" s="618" t="s">
        <v>483</v>
      </c>
      <c r="E23" s="64" t="s">
        <v>488</v>
      </c>
      <c r="F23" s="988" t="n">
        <f>'Haver Pivoted'!GQ36</f>
        <v>20.8</v>
      </c>
      <c r="G23" s="915" t="n">
        <f>'Haver Pivoted'!GR36</f>
        <v>20.6</v>
      </c>
      <c r="H23" s="915" t="n">
        <f>'Haver Pivoted'!GS36</f>
        <v>20.399999999999999</v>
      </c>
      <c r="I23" s="915" t="n">
        <f>'Haver Pivoted'!GT36</f>
        <v>20.3</v>
      </c>
      <c r="J23" s="915" t="n">
        <f>'Haver Pivoted'!GU36</f>
        <v>19.3</v>
      </c>
      <c r="K23" s="915" t="n">
        <f>'Haver Pivoted'!GV36</f>
        <v>19.899999999999999</v>
      </c>
      <c r="L23" s="915" t="n">
        <f>'Haver Pivoted'!GW36</f>
        <v>20.7</v>
      </c>
      <c r="M23" s="915" t="n">
        <f>'Haver Pivoted'!GX36</f>
        <v>21.3</v>
      </c>
      <c r="N23" s="915" t="n">
        <f>'Haver Pivoted'!GY36</f>
        <v>22</v>
      </c>
      <c r="O23" s="915" t="n">
        <f>'Haver Pivoted'!GZ36</f>
        <v>22.6</v>
      </c>
      <c r="P23" s="915" t="n">
        <f>'Haver Pivoted'!HA36</f>
        <v>22.9</v>
      </c>
      <c r="Q23" s="915" t="n">
        <f>'Haver Pivoted'!HB36</f>
        <v>22.9</v>
      </c>
      <c r="R23" s="915" t="n">
        <f>'Haver Pivoted'!HC36</f>
        <v>22.6</v>
      </c>
      <c r="S23" s="915" t="n">
        <f>'Haver Pivoted'!HD36</f>
        <v>22.4</v>
      </c>
      <c r="T23" s="1031" t="n">
        <f>'Haver Pivoted'!HE36</f>
        <v>22</v>
      </c>
      <c r="U23" s="1031" t="n">
        <f>'Haver Pivoted'!HF36</f>
        <v>21.5</v>
      </c>
      <c r="V23" s="1031" t="n">
        <f>'Haver Pivoted'!HG36</f>
        <v>21.4</v>
      </c>
      <c r="W23" s="1031" t="n">
        <f>'Haver Pivoted'!HH36</f>
        <v>21.9</v>
      </c>
      <c r="X23" s="1031" t="n">
        <f>'Haver Pivoted'!HI36</f>
        <v>22.8</v>
      </c>
      <c r="Y23" s="1031" t="n">
        <f>'Haver Pivoted'!HJ36</f>
        <v>24.3</v>
      </c>
      <c r="Z23" s="1031" t="n">
        <f>'Haver Pivoted'!HK36</f>
        <v>25.7</v>
      </c>
      <c r="AA23" s="1036" t="n">
        <f t="shared" ref="AA23:AH23" si="10">$Y124*AA133*(AA106/$Y106)</f>
        <v>26.055524644593497</v>
      </c>
      <c r="AB23" s="1036" t="n">
        <f t="shared" si="10"/>
        <v>26.351527651239685</v>
      </c>
      <c r="AC23" s="1036" t="n">
        <f t="shared" si="10"/>
        <v>26.638196295377764</v>
      </c>
      <c r="AD23" s="1036" t="n">
        <f t="shared" si="10"/>
        <v>26.926109521183594</v>
      </c>
      <c r="AE23" s="1036" t="n">
        <f t="shared" si="10"/>
        <v>27.210703862542093</v>
      </c>
      <c r="AF23" s="1036" t="n">
        <f t="shared" si="10"/>
        <v>27.495090773622636</v>
      </c>
      <c r="AG23" s="1036" t="n">
        <f t="shared" si="10"/>
        <v>27.774084497476263</v>
      </c>
      <c r="AH23" s="1036" t="n">
        <f t="shared" si="10"/>
        <v>28.052663360773973</v>
      </c>
      <c r="AI23" s="985"/>
      <c r="AJ23" s="985"/>
      <c r="AK23" s="985"/>
      <c r="AL23" s="985"/>
      <c r="AM23" s="985"/>
      <c r="AN23" s="985"/>
      <c r="AO23" s="985"/>
      <c r="AP23" s="985"/>
    </row>
    <row r="24">
      <c r="D24" s="618" t="s">
        <v>484</v>
      </c>
      <c r="E24" s="64" t="s">
        <v>489</v>
      </c>
      <c r="F24" s="988" t="n">
        <f>'Haver Pivoted'!GQ34</f>
        <v>1348.8</v>
      </c>
      <c r="G24" s="915" t="n">
        <f>'Haver Pivoted'!GR34</f>
        <v>1374.2</v>
      </c>
      <c r="H24" s="915" t="n">
        <f>'Haver Pivoted'!GS34</f>
        <v>1376.1</v>
      </c>
      <c r="I24" s="915" t="n">
        <f>'Haver Pivoted'!GT34</f>
        <v>1379.4</v>
      </c>
      <c r="J24" s="915" t="n">
        <f>'Haver Pivoted'!GU34</f>
        <v>1290.5</v>
      </c>
      <c r="K24" s="915" t="n">
        <f>'Haver Pivoted'!GV34</f>
        <v>1385.7</v>
      </c>
      <c r="L24" s="915" t="n">
        <f>'Haver Pivoted'!GW34</f>
        <v>1405</v>
      </c>
      <c r="M24" s="915" t="n">
        <f>'Haver Pivoted'!GX34</f>
        <v>1420.8</v>
      </c>
      <c r="N24" s="915" t="n">
        <f>'Haver Pivoted'!GY34</f>
        <v>1494.6</v>
      </c>
      <c r="O24" s="915" t="n">
        <f>'Haver Pivoted'!GZ34</f>
        <v>1503.3</v>
      </c>
      <c r="P24" s="915" t="n">
        <f>'Haver Pivoted'!HA34</f>
        <v>1554.5</v>
      </c>
      <c r="Q24" s="915" t="n">
        <f>'Haver Pivoted'!HB34</f>
        <v>1583.1</v>
      </c>
      <c r="R24" s="915" t="n">
        <f>'Haver Pivoted'!HC34</f>
        <v>1609.6</v>
      </c>
      <c r="S24" s="915" t="n">
        <f>'Haver Pivoted'!HD34</f>
        <v>1631.8</v>
      </c>
      <c r="T24" s="1031" t="n">
        <f>'Haver Pivoted'!HE34</f>
        <v>1639.6</v>
      </c>
      <c r="U24" s="1031" t="n">
        <f>'Haver Pivoted'!HF34</f>
        <v>1654.1</v>
      </c>
      <c r="V24" s="1031" t="n">
        <f>'Haver Pivoted'!HG34</f>
        <v>1646.2</v>
      </c>
      <c r="W24" s="1031" t="n">
        <f>'Haver Pivoted'!HH34</f>
        <v>1659.2</v>
      </c>
      <c r="X24" s="1031" t="n">
        <f>'Haver Pivoted'!HI34</f>
        <v>1677.6</v>
      </c>
      <c r="Y24" s="1031" t="n">
        <f>'Haver Pivoted'!HJ34</f>
        <v>1688</v>
      </c>
      <c r="Z24" s="1031" t="n">
        <f>'Haver Pivoted'!HK34</f>
        <v>1711.4</v>
      </c>
      <c r="AA24" s="1036" t="n">
        <f t="shared" ref="AA24:AH24" si="11">$Y129*AA134*(AA108/$Y108)</f>
        <v>1736.9297628204815</v>
      </c>
      <c r="AB24" s="1036" t="n">
        <f t="shared" si="11"/>
        <v>1752.0642585704447</v>
      </c>
      <c r="AC24" s="1036" t="n">
        <f t="shared" si="11"/>
        <v>1768.4922257595035</v>
      </c>
      <c r="AD24" s="1036" t="n">
        <f t="shared" si="11"/>
        <v>1784.9729877011785</v>
      </c>
      <c r="AE24" s="1036" t="n">
        <f t="shared" si="11"/>
        <v>1800.6618283536111</v>
      </c>
      <c r="AF24" s="1036" t="n">
        <f t="shared" si="11"/>
        <v>1815.8403197307546</v>
      </c>
      <c r="AG24" s="1036" t="n">
        <f t="shared" si="11"/>
        <v>1829.0214096339203</v>
      </c>
      <c r="AH24" s="1036" t="n">
        <f t="shared" si="11"/>
        <v>1843.3991805963851</v>
      </c>
      <c r="AI24" s="985"/>
      <c r="AJ24" s="985"/>
      <c r="AK24" s="985"/>
      <c r="AL24" s="985"/>
      <c r="AM24" s="985"/>
      <c r="AN24" s="985"/>
      <c r="AO24" s="985"/>
      <c r="AP24" s="985"/>
    </row>
    <row r="25" ht="14.9" customHeight="1">
      <c r="D25" s="1025" t="s">
        <v>485</v>
      </c>
      <c r="E25" s="1051" t="s">
        <v>490</v>
      </c>
      <c r="F25" s="944" t="n">
        <f>'Haver Pivoted'!GQ35</f>
        <v>74.7</v>
      </c>
      <c r="G25" s="958" t="n">
        <f>'Haver Pivoted'!GR35</f>
        <v>74.2</v>
      </c>
      <c r="H25" s="958" t="n">
        <f>'Haver Pivoted'!GS35</f>
        <v>71.7</v>
      </c>
      <c r="I25" s="958" t="n">
        <f>'Haver Pivoted'!GT35</f>
        <v>65.8</v>
      </c>
      <c r="J25" s="958" t="n">
        <f>'Haver Pivoted'!GU35</f>
        <v>63.7</v>
      </c>
      <c r="K25" s="958" t="n">
        <f>'Haver Pivoted'!GV35</f>
        <v>79.599999999999994</v>
      </c>
      <c r="L25" s="958" t="n">
        <f>'Haver Pivoted'!GW35</f>
        <v>82.3</v>
      </c>
      <c r="M25" s="958" t="n">
        <f>'Haver Pivoted'!GX35</f>
        <v>86.5</v>
      </c>
      <c r="N25" s="958" t="n">
        <f>'Haver Pivoted'!GY35</f>
        <v>95.3</v>
      </c>
      <c r="O25" s="958" t="n">
        <f>'Haver Pivoted'!GZ35</f>
        <v>111.7</v>
      </c>
      <c r="P25" s="958" t="n">
        <f>'Haver Pivoted'!HA35</f>
        <v>150.1</v>
      </c>
      <c r="Q25" s="958" t="n">
        <f>'Haver Pivoted'!HB35</f>
        <v>184.2</v>
      </c>
      <c r="R25" s="958" t="n">
        <f>'Haver Pivoted'!HC35</f>
        <v>143.5</v>
      </c>
      <c r="S25" s="958" t="n">
        <f>'Haver Pivoted'!HD35</f>
        <v>146.19999999999999</v>
      </c>
      <c r="T25" s="960" t="n">
        <f>'Haver Pivoted'!HE35</f>
        <v>160.5</v>
      </c>
      <c r="U25" s="1034" t="n">
        <f>'Haver Pivoted'!HF35</f>
        <v>172.5</v>
      </c>
      <c r="V25" s="1034" t="n">
        <f>'Haver Pivoted'!HG35</f>
        <v>150.69999999999999</v>
      </c>
      <c r="W25" s="1034" t="n">
        <f>'Haver Pivoted'!HH35</f>
        <v>148.69999999999999</v>
      </c>
      <c r="X25" s="1034" t="n">
        <f>'Haver Pivoted'!HI35</f>
        <v>165.7</v>
      </c>
      <c r="Y25" s="1034" t="n">
        <f>'Haver Pivoted'!HJ35</f>
        <v>169.1</v>
      </c>
      <c r="Z25" s="1034" t="n">
        <f>'Haver Pivoted'!HK35</f>
        <v>162.69999999999999</v>
      </c>
      <c r="AA25" s="959" t="n">
        <f>$U130*AA135*(AA109/$U109)</f>
        <v>164.47905347684949</v>
      </c>
      <c r="AB25" s="959" t="n">
        <f>$U130*AB135*(AB109/$U109)</f>
        <v>165.71883136852895</v>
      </c>
      <c r="AC25" s="959" t="n">
        <f>$U130*AC135*(AC109/$U109)</f>
        <v>167.23658636596619</v>
      </c>
      <c r="AD25" s="959" t="n">
        <f t="shared" ref="AD25:AH25" si="12">$U130*AD135*(AD109/$U109)</f>
        <v>168.74878182128822</v>
      </c>
      <c r="AE25" s="959" t="n">
        <f t="shared" si="12"/>
        <v>169.71058260720997</v>
      </c>
      <c r="AF25" s="959" t="n">
        <f t="shared" si="12"/>
        <v>169.79397573893729</v>
      </c>
      <c r="AG25" s="959" t="n">
        <f t="shared" si="12"/>
        <v>169.04899709550656</v>
      </c>
      <c r="AH25" s="959" t="n">
        <f t="shared" si="12"/>
        <v>168.92668716897319</v>
      </c>
      <c r="AI25" s="985"/>
      <c r="AJ25" s="985"/>
      <c r="AK25" s="985"/>
      <c r="AL25" s="985"/>
      <c r="AM25" s="985"/>
      <c r="AN25" s="985"/>
      <c r="AO25" s="985"/>
      <c r="AP25" s="985"/>
    </row>
    <row r="26" ht="14.9" customHeight="1">
      <c r="D26" s="902" t="s">
        <v>1892</v>
      </c>
      <c r="E26" s="1014"/>
      <c r="F26" s="661" t="n">
        <f t="shared" ref="F26:AH26" si="13">F9+F19</f>
        <v>5165.5</v>
      </c>
      <c r="G26" s="661" t="n">
        <f t="shared" si="13"/>
        <v>5180.5</v>
      </c>
      <c r="H26" s="661" t="n">
        <f t="shared" si="13"/>
        <v>5222.5</v>
      </c>
      <c r="I26" s="661" t="n">
        <f t="shared" si="13"/>
        <v>5292.2</v>
      </c>
      <c r="J26" s="661" t="n">
        <f t="shared" si="13"/>
        <v>4935.6000000000004</v>
      </c>
      <c r="K26" s="661" t="n">
        <f t="shared" si="13"/>
        <v>5251.6</v>
      </c>
      <c r="L26" s="661" t="n">
        <f t="shared" si="13"/>
        <v>5447.3</v>
      </c>
      <c r="M26" s="661" t="n">
        <f t="shared" si="13"/>
        <v>5665.2</v>
      </c>
      <c r="N26" s="661" t="n">
        <f t="shared" si="13"/>
        <v>5920.8</v>
      </c>
      <c r="O26" s="661" t="n">
        <f t="shared" si="13"/>
        <v>6054.6</v>
      </c>
      <c r="P26" s="661" t="n">
        <f t="shared" si="13"/>
        <v>6273.4</v>
      </c>
      <c r="Q26" s="661" t="n">
        <f t="shared" si="13"/>
        <v>6615.5999999999995</v>
      </c>
      <c r="R26" s="661" t="n">
        <f t="shared" si="13"/>
        <v>6660.5</v>
      </c>
      <c r="S26" s="661" t="n">
        <f t="shared" si="13"/>
        <v>6693.1</v>
      </c>
      <c r="T26" s="661" t="n">
        <f t="shared" si="13"/>
        <v>6654.9</v>
      </c>
      <c r="U26" s="661" t="n">
        <f t="shared" si="13"/>
        <v>6374.8</v>
      </c>
      <c r="V26" s="661" t="n">
        <f t="shared" si="13"/>
        <v>6325.6</v>
      </c>
      <c r="W26" s="661" t="n">
        <f t="shared" si="13"/>
        <v>6419.4</v>
      </c>
      <c r="X26" s="661" t="n">
        <f t="shared" si="13"/>
        <v>6471.3</v>
      </c>
      <c r="Y26" s="791" t="n">
        <f t="shared" si="13"/>
        <v>6678.2</v>
      </c>
      <c r="Z26" s="791" t="n">
        <f t="shared" si="13"/>
        <v>6768.2</v>
      </c>
      <c r="AA26" s="791" t="n">
        <f t="shared" si="13"/>
        <v>6860.2648575233143</v>
      </c>
      <c r="AB26" s="791" t="n">
        <f t="shared" si="13"/>
        <v>6933.0207048603925</v>
      </c>
      <c r="AC26" s="791" t="n">
        <f t="shared" si="13"/>
        <v>7031.6090399479253</v>
      </c>
      <c r="AD26" s="791" t="n">
        <f t="shared" si="13"/>
        <v>7087.9144764667199</v>
      </c>
      <c r="AE26" s="791" t="n">
        <f t="shared" si="13"/>
        <v>7143.5025170272165</v>
      </c>
      <c r="AF26" s="791" t="n">
        <f t="shared" si="13"/>
        <v>7199.0276165073519</v>
      </c>
      <c r="AG26" s="791" t="n">
        <f t="shared" si="13"/>
        <v>7303.2512935767572</v>
      </c>
      <c r="AH26" s="791" t="n">
        <f t="shared" si="13"/>
        <v>7357.9145507506091</v>
      </c>
    </row>
    <row r="27" ht="14.9" customHeight="1">
      <c r="D27" s="902" t="s">
        <v>1910</v>
      </c>
      <c r="E27" s="1014"/>
      <c r="F27" s="661" t="n">
        <f t="shared" ref="F27:AG27" si="14">F10+F21</f>
        <v>2222.1999999999998</v>
      </c>
      <c r="G27" s="661" t="n">
        <f t="shared" si="14"/>
        <v>2197.9</v>
      </c>
      <c r="H27" s="661" t="n">
        <f t="shared" si="14"/>
        <v>2220.4</v>
      </c>
      <c r="I27" s="661" t="n">
        <f t="shared" si="14"/>
        <v>2256</v>
      </c>
      <c r="J27" s="661" t="n">
        <f t="shared" si="14"/>
        <v>2111.9</v>
      </c>
      <c r="K27" s="661" t="n">
        <f t="shared" si="14"/>
        <v>2263.4</v>
      </c>
      <c r="L27" s="661" t="n">
        <f t="shared" si="14"/>
        <v>2394.8000000000002</v>
      </c>
      <c r="M27" s="661" t="n">
        <f t="shared" si="14"/>
        <v>2577.6000000000004</v>
      </c>
      <c r="N27" s="661" t="n">
        <f t="shared" si="14"/>
        <v>2704</v>
      </c>
      <c r="O27" s="661" t="n">
        <f t="shared" si="14"/>
        <v>2789.8</v>
      </c>
      <c r="P27" s="661" t="n">
        <f t="shared" si="14"/>
        <v>2901.6000000000004</v>
      </c>
      <c r="Q27" s="661" t="n">
        <f t="shared" si="14"/>
        <v>3162.8</v>
      </c>
      <c r="R27" s="661" t="n">
        <f t="shared" si="14"/>
        <v>3157.7</v>
      </c>
      <c r="S27" s="661" t="n">
        <f t="shared" si="14"/>
        <v>3137.1000000000004</v>
      </c>
      <c r="T27" s="661" t="n">
        <f t="shared" si="14"/>
        <v>3095.7</v>
      </c>
      <c r="U27" s="661" t="n">
        <f t="shared" si="14"/>
        <v>2763.7</v>
      </c>
      <c r="V27" s="661" t="n">
        <f t="shared" si="14"/>
        <v>2703.8999999999996</v>
      </c>
      <c r="W27" s="661" t="n">
        <f t="shared" si="14"/>
        <v>2765.2999999999997</v>
      </c>
      <c r="X27" s="661" t="n">
        <f t="shared" si="14"/>
        <v>2792.4</v>
      </c>
      <c r="Y27" s="661" t="n">
        <f t="shared" si="14"/>
        <v>2949.1</v>
      </c>
      <c r="Z27" s="661" t="n">
        <f t="shared" si="14"/>
        <v>2999.7</v>
      </c>
      <c r="AA27" s="661" t="n">
        <f t="shared" si="14"/>
        <v>3055.9860887697455</v>
      </c>
      <c r="AB27" s="661" t="n">
        <f t="shared" si="14"/>
        <v>3094.5841454416586</v>
      </c>
      <c r="AC27" s="661" t="n">
        <f t="shared" si="14"/>
        <v>3157.5521814554713</v>
      </c>
      <c r="AD27" s="661" t="n">
        <f t="shared" si="14"/>
        <v>3178.0031156782861</v>
      </c>
      <c r="AE27" s="661" t="n">
        <f t="shared" si="14"/>
        <v>3198.3499183715198</v>
      </c>
      <c r="AF27" s="661" t="n">
        <f t="shared" si="14"/>
        <v>3218.9605295624278</v>
      </c>
      <c r="AG27" s="661" t="n">
        <f t="shared" si="14"/>
        <v>3290.0868547407672</v>
      </c>
      <c r="AH27" s="661" t="n">
        <f t="shared" ref="AH27" si="15">AH10+AH21</f>
        <v>3310.2689644430516</v>
      </c>
    </row>
    <row r="28" ht="14.9" customHeight="1">
      <c r="D28" s="902" t="s">
        <v>1911</v>
      </c>
      <c r="E28" s="1014"/>
      <c r="F28" s="661" t="n">
        <f>F12+F23</f>
        <v>1424.1</v>
      </c>
      <c r="G28" s="661" t="n">
        <f t="shared" ref="G28:AG28" si="16">G12+G23</f>
        <v>1430.6</v>
      </c>
      <c r="H28" s="661" t="n">
        <f t="shared" si="16"/>
        <v>1448.3000000000002</v>
      </c>
      <c r="I28" s="661" t="n">
        <f t="shared" si="16"/>
        <v>1473.6</v>
      </c>
      <c r="J28" s="661" t="n">
        <f t="shared" si="16"/>
        <v>1402.8</v>
      </c>
      <c r="K28" s="661" t="n">
        <f t="shared" si="16"/>
        <v>1452.4</v>
      </c>
      <c r="L28" s="661" t="n">
        <f t="shared" si="16"/>
        <v>1489.7</v>
      </c>
      <c r="M28" s="661" t="n">
        <f t="shared" si="16"/>
        <v>1505.8999999999999</v>
      </c>
      <c r="N28" s="661" t="n">
        <f t="shared" si="16"/>
        <v>1541.7</v>
      </c>
      <c r="O28" s="661" t="n">
        <f t="shared" si="16"/>
        <v>1579.3999999999999</v>
      </c>
      <c r="P28" s="661" t="n">
        <f t="shared" si="16"/>
        <v>1626.3000000000002</v>
      </c>
      <c r="Q28" s="661" t="n">
        <f t="shared" si="16"/>
        <v>1668.8000000000002</v>
      </c>
      <c r="R28" s="661" t="n">
        <f t="shared" si="16"/>
        <v>1690.3999999999999</v>
      </c>
      <c r="S28" s="661" t="n">
        <f t="shared" si="16"/>
        <v>1732</v>
      </c>
      <c r="T28" s="661" t="n">
        <f t="shared" si="16"/>
        <v>1738.7</v>
      </c>
      <c r="U28" s="661" t="n">
        <f t="shared" si="16"/>
        <v>1780</v>
      </c>
      <c r="V28" s="661" t="n">
        <f t="shared" si="16"/>
        <v>1800.1000000000001</v>
      </c>
      <c r="W28" s="661" t="n">
        <f t="shared" si="16"/>
        <v>1823.3000000000002</v>
      </c>
      <c r="X28" s="661" t="n">
        <f t="shared" si="16"/>
        <v>1831.7</v>
      </c>
      <c r="Y28" s="661" t="n">
        <f t="shared" si="16"/>
        <v>1869.6</v>
      </c>
      <c r="Z28" s="661" t="n">
        <f t="shared" si="16"/>
        <v>1890.4</v>
      </c>
      <c r="AA28" s="661" t="n">
        <f t="shared" si="16"/>
        <v>1898.9661823311055</v>
      </c>
      <c r="AB28" s="661" t="n">
        <f t="shared" si="16"/>
        <v>1915.4377582696077</v>
      </c>
      <c r="AC28" s="661" t="n">
        <f t="shared" si="16"/>
        <v>1932.0397017361327</v>
      </c>
      <c r="AD28" s="661" t="n">
        <f t="shared" si="16"/>
        <v>1948.7837982236624</v>
      </c>
      <c r="AE28" s="661" t="n">
        <f t="shared" si="16"/>
        <v>1965.6667012353635</v>
      </c>
      <c r="AF28" s="661" t="n">
        <f t="shared" si="16"/>
        <v>1982.692749705159</v>
      </c>
      <c r="AG28" s="661" t="n">
        <f t="shared" si="16"/>
        <v>1999.8579959571002</v>
      </c>
      <c r="AH28" s="661" t="n">
        <f t="shared" ref="AH28" si="17">AH12+AH23</f>
        <v>2017.1686670916645</v>
      </c>
    </row>
    <row r="29" ht="14.9" customHeight="1">
      <c r="D29" s="902"/>
      <c r="E29" s="1014"/>
      <c r="F29" s="661"/>
      <c r="G29" s="661"/>
      <c r="H29" s="661"/>
      <c r="I29" s="661"/>
      <c r="J29" s="661"/>
      <c r="K29" s="661"/>
      <c r="L29" s="661"/>
      <c r="M29" s="661"/>
      <c r="N29" s="661"/>
      <c r="O29" s="661"/>
      <c r="P29" s="661"/>
      <c r="Q29" s="661"/>
      <c r="R29" s="661"/>
      <c r="S29" s="661"/>
      <c r="T29" s="661"/>
      <c r="U29" s="661"/>
      <c r="V29" s="661"/>
      <c r="W29" s="661"/>
      <c r="X29" s="661"/>
      <c r="Y29" s="661"/>
      <c r="Z29" s="661"/>
      <c r="AA29" s="661"/>
      <c r="AB29" s="661"/>
      <c r="AC29" s="661"/>
      <c r="AD29" s="661"/>
      <c r="AE29" s="661"/>
      <c r="AF29" s="661"/>
      <c r="AG29" s="661"/>
      <c r="AH29" s="661"/>
    </row>
    <row r="30" ht="14.9" customHeight="1">
      <c r="D30" s="902"/>
      <c r="E30" s="1014"/>
      <c r="F30" s="661"/>
      <c r="G30" s="661"/>
      <c r="H30" s="661"/>
      <c r="I30" s="661"/>
      <c r="J30" s="661"/>
      <c r="K30" s="661"/>
      <c r="L30" s="661"/>
      <c r="M30" s="661"/>
      <c r="N30" s="661"/>
      <c r="O30" s="661"/>
    </row>
    <row r="31" ht="14.9" customHeight="1">
      <c r="D31" s="902"/>
      <c r="E31" s="1014"/>
      <c r="F31" s="661"/>
      <c r="G31" s="661"/>
      <c r="H31" s="661"/>
      <c r="I31" s="661"/>
      <c r="J31" s="661"/>
      <c r="K31" s="661"/>
      <c r="L31" s="661"/>
      <c r="M31" s="661"/>
      <c r="N31" s="661"/>
      <c r="O31" s="661"/>
    </row>
    <row r="32" ht="14.9" customHeight="1">
      <c r="D32" s="902"/>
      <c r="E32" s="1014"/>
      <c r="F32" s="661"/>
      <c r="G32" s="661"/>
      <c r="H32" s="661"/>
      <c r="I32" s="661"/>
      <c r="J32" s="661"/>
      <c r="K32" s="661"/>
      <c r="L32" s="661"/>
      <c r="M32" s="661"/>
      <c r="N32" s="661"/>
      <c r="O32" s="661"/>
    </row>
    <row r="33" ht="14.9" customHeight="1">
      <c r="D33" s="611"/>
      <c r="E33" s="390"/>
      <c r="F33" s="390"/>
      <c r="G33" s="390"/>
      <c r="H33" s="390"/>
      <c r="I33" s="390"/>
      <c r="J33" s="390"/>
      <c r="K33" s="390"/>
      <c r="L33" s="390"/>
      <c r="AI33" s="319"/>
      <c r="AJ33" s="319"/>
      <c r="AK33" s="319"/>
      <c r="AL33" s="319"/>
      <c r="AM33" s="319"/>
      <c r="AN33" s="319"/>
      <c r="AO33" s="319"/>
    </row>
    <row r="34" ht="14.9" customHeight="1">
      <c r="D34" s="893" t="s">
        <v>918</v>
      </c>
      <c r="E34" s="894"/>
      <c r="F34" s="895"/>
      <c r="G34" s="591" t="n">
        <v>2020</v>
      </c>
      <c r="H34" s="592" t="n">
        <v>2021</v>
      </c>
      <c r="I34" s="591" t="n">
        <v>2022</v>
      </c>
      <c r="J34" s="1053" t="n">
        <v>2023</v>
      </c>
      <c r="K34" s="1053" t="n">
        <v>2024</v>
      </c>
      <c r="L34" s="1054" t="n">
        <v>2025</v>
      </c>
      <c r="M34" s="1054" t="n">
        <v>2026</v>
      </c>
      <c r="AI34" s="319"/>
      <c r="AJ34" s="319"/>
      <c r="AK34" s="319"/>
      <c r="AL34" s="319"/>
      <c r="AM34" s="319"/>
      <c r="AN34" s="319"/>
      <c r="AO34" s="319"/>
    </row>
    <row r="35" ht="14.9" customHeight="1">
      <c r="D35" s="1018" t="s">
        <v>491</v>
      </c>
      <c r="E35" s="342"/>
      <c r="F35" s="373"/>
      <c r="G35" s="932" t="n">
        <f>AVERAGE(H10:K10)</f>
        <v>1719.875</v>
      </c>
      <c r="H35" s="555" t="n">
        <f>AVERAGE(L10:O10)</f>
        <v>2049.6750000000002</v>
      </c>
      <c r="I35" s="555" t="n">
        <f>AVERAGE(P10:S10)</f>
        <v>2449.1750000000002</v>
      </c>
      <c r="J35" s="555" t="n">
        <f t="shared" ref="J35:M37" si="18">I35*J59/I59</f>
        <v>2025.1858667265676</v>
      </c>
      <c r="K35" s="555" t="n">
        <f t="shared" si="18"/>
        <v>2276.5874608731669</v>
      </c>
      <c r="L35" s="555" t="n">
        <f t="shared" si="18"/>
        <v>2372.614582925713</v>
      </c>
      <c r="M35" s="555" t="n">
        <f t="shared" si="18"/>
        <v>2478.8175037279489</v>
      </c>
      <c r="N35" t="s">
        <v>1916</v>
      </c>
    </row>
    <row r="36" ht="14.9" customHeight="1">
      <c r="D36" s="1043" t="s">
        <v>496</v>
      </c>
      <c r="E36" s="291"/>
      <c r="F36" s="291"/>
      <c r="G36" s="933" t="n">
        <f>AVERAGE(H12:K12)</f>
        <v>1424.3</v>
      </c>
      <c r="H36" s="288" t="n">
        <f>AVERAGE(L12:O12)</f>
        <v>1507.5250000000001</v>
      </c>
      <c r="I36" s="288" t="n">
        <f>AVERAGE(P12:S12)</f>
        <v>1656.6750000000002</v>
      </c>
      <c r="J36" s="288" t="n">
        <f t="shared" si="18"/>
        <v>1802.8864298974202</v>
      </c>
      <c r="K36" s="288" t="n">
        <f t="shared" si="18"/>
        <v>1874.3528079555063</v>
      </c>
      <c r="L36" s="288" t="n">
        <f t="shared" si="18"/>
        <v>1939.9486178705331</v>
      </c>
      <c r="M36" s="288" t="n">
        <f t="shared" si="18"/>
        <v>2025.9948204817445</v>
      </c>
    </row>
    <row r="37" ht="14.9" customHeight="1">
      <c r="D37" s="1043" t="s">
        <v>105</v>
      </c>
      <c r="E37" s="291"/>
      <c r="F37" s="291"/>
      <c r="G37" s="933" t="n">
        <f>AVERAGE(H14:K14)</f>
        <v>160.35</v>
      </c>
      <c r="H37" s="288" t="n">
        <f>AVERAGE(L14:O14)</f>
        <v>170.32500000000002</v>
      </c>
      <c r="I37" s="288" t="n">
        <f>AVERAGE(P14:S14)</f>
        <v>196.72500000000002</v>
      </c>
      <c r="J37" s="288" t="n">
        <f t="shared" si="18"/>
        <v>163.38639095744685</v>
      </c>
      <c r="K37" s="288" t="n">
        <f t="shared" si="18"/>
        <v>170.08445864361704</v>
      </c>
      <c r="L37" s="288" t="n">
        <f t="shared" si="18"/>
        <v>180.63122074468086</v>
      </c>
      <c r="M37" s="288" t="n">
        <f t="shared" si="18"/>
        <v>187.05931476063833</v>
      </c>
    </row>
    <row r="38" ht="14.9" customHeight="1">
      <c r="D38" s="1043" t="s">
        <v>258</v>
      </c>
      <c r="E38" s="291"/>
      <c r="F38" s="291"/>
      <c r="G38" s="933" t="n">
        <f>AVERAGE(H16:K16)</f>
        <v>217.32499999999999</v>
      </c>
      <c r="H38" s="288" t="n">
        <f>AVERAGE(L16:O16)</f>
        <v>266.65000000000003</v>
      </c>
      <c r="I38" s="288" t="n">
        <f>AVERAGE(P16:S16)</f>
        <v>351.52499999999998</v>
      </c>
      <c r="J38" s="288" t="n">
        <f>I38*J64/I64</f>
        <v>347.15396959519092</v>
      </c>
      <c r="K38" s="288" t="n">
        <f>J38*K64/J64</f>
        <v>434.7053031889979</v>
      </c>
      <c r="L38" s="288" t="n">
        <f>K38*L64/K64</f>
        <v>405.48567233981447</v>
      </c>
      <c r="M38" s="288" t="n">
        <f>L38*M64/L64</f>
        <v>389.24096081832658</v>
      </c>
    </row>
    <row r="39" ht="14.9" customHeight="1">
      <c r="C39" s="85"/>
      <c r="D39" s="1043" t="s">
        <v>914</v>
      </c>
      <c r="E39" s="85"/>
      <c r="F39" s="297"/>
      <c r="G39" s="657"/>
      <c r="H39" s="931" t="n">
        <f>H35/G35-1+0.021</f>
        <v>0.21275812195653762</v>
      </c>
      <c r="I39" s="931" t="n">
        <f>I35/H35-1.05</f>
        <v>0.14490894897971618</v>
      </c>
      <c r="J39" s="931" t="n">
        <f>J35/I35-1</f>
        <v>-0.17311508294565825</v>
      </c>
      <c r="K39" s="931" t="n">
        <f>K35/J35-1+K40</f>
        <v>0.17913754128797815</v>
      </c>
      <c r="L39" s="931" t="n">
        <f>L35/K35-1+L40</f>
        <v>4.2180291204676923E-2</v>
      </c>
      <c r="M39" s="931" t="n">
        <f>M35/L35-1+M40</f>
        <v>4.4761977594892421E-2</v>
      </c>
      <c r="N39" t="s">
        <v>901</v>
      </c>
    </row>
    <row r="40" ht="14.9" customHeight="1">
      <c r="C40" s="85"/>
      <c r="D40" s="1043" t="s">
        <v>1891</v>
      </c>
      <c r="E40" s="85"/>
      <c r="F40" s="297"/>
      <c r="G40" s="657"/>
      <c r="H40" s="931"/>
      <c r="I40" s="931"/>
      <c r="J40" s="931"/>
      <c r="K40" s="931" t="n">
        <v>5.5E-2</v>
      </c>
      <c r="L40" s="931"/>
      <c r="M40" s="931"/>
    </row>
    <row r="41" ht="14.9" customHeight="1">
      <c r="C41" s="85"/>
      <c r="D41" s="1043" t="s">
        <v>915</v>
      </c>
      <c r="E41" s="85"/>
      <c r="F41" s="297"/>
      <c r="G41" s="657"/>
      <c r="H41" s="931" t="n">
        <f>H36/G36-1.03</f>
        <v>2.8432212314821292E-2</v>
      </c>
      <c r="I41" s="931" t="n">
        <f>I36/H36-1.013</f>
        <v>8.5936999386411639E-2</v>
      </c>
      <c r="J41" s="1001" t="n">
        <f>J36/I36-1</f>
        <v>8.8255952372927604E-2</v>
      </c>
      <c r="K41" s="931" t="n">
        <f>K36/J36-1</f>
        <v>3.9639977800571824E-2</v>
      </c>
      <c r="L41" s="931" t="n">
        <f>L36/K36-1</f>
        <v>3.4996511668780705E-2</v>
      </c>
      <c r="M41" s="931" t="n">
        <f>M36/L36-1</f>
        <v>4.4354887453495362E-2</v>
      </c>
      <c r="N41" t="s">
        <v>902</v>
      </c>
    </row>
    <row r="42" ht="14.9" customHeight="1">
      <c r="C42" s="85"/>
      <c r="D42" s="1043" t="s">
        <v>916</v>
      </c>
      <c r="E42" s="85"/>
      <c r="F42" s="297"/>
      <c r="G42" s="657"/>
      <c r="H42" s="931" t="n">
        <f>H37/G37-1</f>
        <v>6.2207670720299424E-2</v>
      </c>
      <c r="I42" s="931" t="n">
        <f>I37/H37-1.01</f>
        <v>0.14499779832672832</v>
      </c>
      <c r="J42" s="931" t="n">
        <f>J37/I37-1</f>
        <v>-0.16946808510638289</v>
      </c>
      <c r="K42" s="931" t="n">
        <f t="shared" ref="K42" si="19">K37/J37-1</f>
        <v>4.0995260663506894E-2</v>
      </c>
      <c r="L42" s="931" t="n">
        <f>L37/K37-1</f>
        <v>6.2008970044481027E-2</v>
      </c>
      <c r="M42" s="931" t="n">
        <f>M37/L37-1</f>
        <v>3.55868381415827E-2</v>
      </c>
    </row>
    <row r="43" ht="14.9" customHeight="1">
      <c r="C43" s="85"/>
      <c r="D43" s="1002" t="s">
        <v>917</v>
      </c>
      <c r="E43" s="86"/>
      <c r="F43" s="437"/>
      <c r="G43" s="436"/>
      <c r="H43" s="1003" t="n">
        <f>H38/G38-1</f>
        <v>0.22696422408834716</v>
      </c>
      <c r="I43" s="1003" t="n">
        <f>I38/H38-1.103</f>
        <v>0.21530114382148868</v>
      </c>
      <c r="J43" s="1003" t="n">
        <f>J38/I38-1</f>
        <v>-1.2434479495936457E-2</v>
      </c>
      <c r="K43" s="1003" t="n">
        <f>K38/J38-1-0.15</f>
        <v>0.10219741458206225</v>
      </c>
      <c r="L43" s="1003" t="n">
        <f>L38/K38-1+0.15</f>
        <v>8.2782897666929228E-2</v>
      </c>
      <c r="M43" s="1003" t="n">
        <f>M38/L38-1+0.03</f>
        <v>-1.0062356402753797E-2</v>
      </c>
    </row>
    <row r="44" ht="14.9" customHeight="1">
      <c r="D44" s="1015"/>
      <c r="E44" s="1014"/>
      <c r="F44" s="1027"/>
      <c r="G44" s="1027"/>
      <c r="H44" s="999"/>
      <c r="I44" s="999"/>
      <c r="J44" s="999"/>
      <c r="K44" s="999"/>
      <c r="L44" s="999"/>
    </row>
    <row r="45" ht="14.9" customHeight="1">
      <c r="D45" s="1015"/>
      <c r="E45" s="1014"/>
      <c r="F45" s="1027"/>
      <c r="G45" s="1027"/>
      <c r="H45" s="999"/>
      <c r="I45" s="999"/>
      <c r="J45" s="999"/>
      <c r="K45" s="999"/>
      <c r="L45" s="999"/>
    </row>
    <row r="46" ht="14.9" customHeight="1">
      <c r="D46" s="1015"/>
      <c r="E46" s="1014"/>
      <c r="F46" s="899" t="s">
        <v>280</v>
      </c>
      <c r="G46" s="900"/>
      <c r="H46" s="900"/>
      <c r="I46" s="900"/>
      <c r="J46" s="900"/>
      <c r="K46" s="900"/>
      <c r="L46" s="900"/>
      <c r="M46" s="900"/>
      <c r="N46" s="900"/>
      <c r="O46" s="900"/>
      <c r="P46" s="900"/>
      <c r="Q46" s="900"/>
      <c r="R46" s="900"/>
      <c r="S46" s="900"/>
      <c r="T46" s="900"/>
      <c r="U46" s="900"/>
      <c r="V46" s="901"/>
      <c r="W46" s="385" t="s">
        <v>281</v>
      </c>
      <c r="X46" s="275"/>
      <c r="Y46" s="275"/>
      <c r="Z46" s="275"/>
      <c r="AA46" s="275"/>
      <c r="AB46" s="275"/>
      <c r="AC46" s="275"/>
      <c r="AD46" s="275"/>
      <c r="AE46" s="275"/>
      <c r="AF46" s="275"/>
      <c r="AG46" s="275"/>
      <c r="AH46" s="853"/>
    </row>
    <row r="47" ht="14.9" customHeight="1">
      <c r="D47" s="1015"/>
      <c r="E47" s="1014"/>
      <c r="F47" s="269" t="n">
        <v>2019</v>
      </c>
      <c r="G47" s="358"/>
      <c r="H47" s="271"/>
      <c r="I47" s="358" t="n">
        <v>2020</v>
      </c>
      <c r="J47" s="358"/>
      <c r="K47" s="358"/>
      <c r="L47" s="358"/>
      <c r="M47" s="269" t="n">
        <v>2021</v>
      </c>
      <c r="N47" s="358"/>
      <c r="O47" s="358"/>
      <c r="P47" s="358"/>
      <c r="Q47" s="269" t="n">
        <v>2022</v>
      </c>
      <c r="R47" s="358"/>
      <c r="S47" s="358"/>
      <c r="T47" s="271"/>
      <c r="U47" s="343"/>
      <c r="V47" s="343" t="n">
        <v>2023</v>
      </c>
      <c r="W47" s="514"/>
      <c r="X47" s="848"/>
      <c r="Y47" s="510" t="n">
        <v>2024</v>
      </c>
      <c r="Z47" s="406"/>
      <c r="AA47" s="406"/>
      <c r="AB47" s="509"/>
      <c r="AC47" s="510" t="n">
        <v>2025</v>
      </c>
      <c r="AD47" s="406"/>
      <c r="AE47" s="406"/>
      <c r="AF47" s="509"/>
      <c r="AG47" s="255" t="n">
        <v>2026</v>
      </c>
      <c r="AH47" s="256"/>
    </row>
    <row r="48" ht="14.9" customHeight="1">
      <c r="D48" s="1015"/>
      <c r="E48" s="1014"/>
      <c r="F48" s="340" t="s">
        <v>284</v>
      </c>
      <c r="G48" s="341" t="s">
        <v>238</v>
      </c>
      <c r="H48" s="339" t="s">
        <v>282</v>
      </c>
      <c r="I48" s="341" t="s">
        <v>283</v>
      </c>
      <c r="J48" s="341" t="s">
        <v>284</v>
      </c>
      <c r="K48" s="341" t="s">
        <v>238</v>
      </c>
      <c r="L48" s="341" t="s">
        <v>282</v>
      </c>
      <c r="M48" s="340" t="s">
        <v>283</v>
      </c>
      <c r="N48" s="341" t="s">
        <v>284</v>
      </c>
      <c r="O48" s="341" t="s">
        <v>238</v>
      </c>
      <c r="P48" s="341" t="s">
        <v>282</v>
      </c>
      <c r="Q48" s="340" t="s">
        <v>283</v>
      </c>
      <c r="R48" s="341" t="s">
        <v>284</v>
      </c>
      <c r="S48" s="341" t="s">
        <v>238</v>
      </c>
      <c r="T48" s="339" t="s">
        <v>282</v>
      </c>
      <c r="U48" s="341" t="s">
        <v>283</v>
      </c>
      <c r="V48" s="341" t="s">
        <v>284</v>
      </c>
      <c r="W48" s="326" t="s">
        <v>238</v>
      </c>
      <c r="X48" s="327" t="s">
        <v>282</v>
      </c>
      <c r="Y48" s="325" t="s">
        <v>283</v>
      </c>
      <c r="Z48" s="323" t="s">
        <v>284</v>
      </c>
      <c r="AA48" s="326" t="s">
        <v>238</v>
      </c>
      <c r="AB48" s="327" t="s">
        <v>282</v>
      </c>
      <c r="AC48" s="325" t="s">
        <v>283</v>
      </c>
      <c r="AD48" s="323" t="s">
        <v>284</v>
      </c>
      <c r="AE48" s="326" t="s">
        <v>238</v>
      </c>
      <c r="AF48" s="326" t="s">
        <v>282</v>
      </c>
      <c r="AG48" s="325" t="s">
        <v>283</v>
      </c>
      <c r="AH48" s="327" t="s">
        <v>284</v>
      </c>
    </row>
    <row r="49" ht="14.9" customHeight="1">
      <c r="D49" s="1043" t="s">
        <v>914</v>
      </c>
      <c r="E49" s="1014"/>
      <c r="F49" s="1027"/>
      <c r="G49" s="1027"/>
      <c r="H49" s="999"/>
      <c r="I49" s="999"/>
      <c r="J49" s="999"/>
      <c r="K49" s="999"/>
      <c r="L49" s="999"/>
    </row>
    <row r="50" ht="14.9" customHeight="1">
      <c r="D50" s="1043" t="s">
        <v>1891</v>
      </c>
      <c r="E50" s="1014"/>
      <c r="F50" s="1027"/>
      <c r="G50" s="1027"/>
      <c r="H50" s="999"/>
      <c r="I50" s="999"/>
      <c r="J50" s="999"/>
      <c r="K50" s="999"/>
      <c r="L50" s="999"/>
      <c r="M50" s="995" t="n">
        <f>H39</f>
        <v>0.21275812195653762</v>
      </c>
      <c r="N50" s="995" t="n">
        <f>H39</f>
        <v>0.21275812195653762</v>
      </c>
      <c r="O50" s="995" t="n">
        <f>H39</f>
        <v>0.21275812195653762</v>
      </c>
      <c r="P50" s="995" t="n">
        <f>H39</f>
        <v>0.21275812195653762</v>
      </c>
      <c r="Q50" s="995" t="n">
        <f>I39</f>
        <v>0.14490894897971618</v>
      </c>
      <c r="R50" s="995" t="n">
        <f>I39</f>
        <v>0.14490894897971618</v>
      </c>
      <c r="S50" s="995" t="n">
        <f>I39</f>
        <v>0.14490894897971618</v>
      </c>
      <c r="T50" s="995" t="n">
        <f>I39</f>
        <v>0.14490894897971618</v>
      </c>
      <c r="U50" s="995" t="n">
        <f>J39</f>
        <v>-0.17311508294565825</v>
      </c>
      <c r="V50" s="995" t="n">
        <f>J39</f>
        <v>-0.17311508294565825</v>
      </c>
      <c r="W50" s="995" t="n">
        <f>J39</f>
        <v>-0.17311508294565825</v>
      </c>
      <c r="X50" s="995" t="n">
        <f>J39</f>
        <v>-0.17311508294565825</v>
      </c>
      <c r="Y50" s="995" t="n">
        <f>K39</f>
        <v>0.17913754128797815</v>
      </c>
      <c r="Z50" s="995" t="n">
        <f>K39</f>
        <v>0.17913754128797815</v>
      </c>
      <c r="AA50" s="995" t="n">
        <f>K39</f>
        <v>0.17913754128797815</v>
      </c>
      <c r="AB50" s="995" t="n">
        <f t="shared" ref="AB50:AC54" si="20">K39</f>
        <v>0.17913754128797815</v>
      </c>
      <c r="AC50" s="995" t="n">
        <f t="shared" si="20"/>
        <v>4.2180291204676923E-2</v>
      </c>
      <c r="AD50" s="995" t="n">
        <f>L39</f>
        <v>4.2180291204676923E-2</v>
      </c>
      <c r="AE50" s="995" t="n">
        <f>L39</f>
        <v>4.2180291204676923E-2</v>
      </c>
      <c r="AF50" s="995" t="n">
        <f>L39</f>
        <v>4.2180291204676923E-2</v>
      </c>
      <c r="AG50" s="995" t="n">
        <f>L39</f>
        <v>4.2180291204676923E-2</v>
      </c>
      <c r="AH50" s="995"/>
    </row>
    <row r="51" ht="14.9" customHeight="1">
      <c r="D51" s="1043" t="s">
        <v>915</v>
      </c>
      <c r="E51" s="1014"/>
      <c r="F51" s="1027"/>
      <c r="G51" s="1027"/>
      <c r="H51" s="999"/>
      <c r="I51" s="999"/>
      <c r="J51" s="999"/>
      <c r="K51" s="999"/>
      <c r="L51" s="999"/>
      <c r="Y51" s="995" t="n">
        <f>K40</f>
        <v>5.5E-2</v>
      </c>
      <c r="Z51" s="995" t="n">
        <f>K40</f>
        <v>5.5E-2</v>
      </c>
      <c r="AA51" s="995" t="n">
        <f>K40</f>
        <v>5.5E-2</v>
      </c>
      <c r="AB51" s="995" t="n">
        <f t="shared" si="20"/>
        <v>5.5E-2</v>
      </c>
      <c r="AC51" s="995" t="n">
        <f t="shared" si="20"/>
        <v>0</v>
      </c>
      <c r="AD51" s="995" t="n">
        <f>L40</f>
        <v>0</v>
      </c>
      <c r="AE51" s="995" t="n">
        <f>L40</f>
        <v>0</v>
      </c>
      <c r="AF51" s="995" t="n">
        <f>L40</f>
        <v>0</v>
      </c>
      <c r="AG51" s="995" t="n">
        <f>L40</f>
        <v>0</v>
      </c>
      <c r="AH51" s="995"/>
    </row>
    <row r="52" ht="14.9" customHeight="1">
      <c r="D52" s="1043" t="s">
        <v>916</v>
      </c>
      <c r="E52" s="1014"/>
      <c r="F52" s="1027"/>
      <c r="G52" s="1027"/>
      <c r="H52" s="999"/>
      <c r="I52" s="999"/>
      <c r="J52" s="999"/>
      <c r="K52" s="999"/>
      <c r="L52" s="999"/>
      <c r="M52" s="995" t="n">
        <f>H41</f>
        <v>2.8432212314821292E-2</v>
      </c>
      <c r="N52" s="995" t="n">
        <f>H41</f>
        <v>2.8432212314821292E-2</v>
      </c>
      <c r="O52" s="586" t="n">
        <f>H41</f>
        <v>2.8432212314821292E-2</v>
      </c>
      <c r="P52" s="995" t="n">
        <f t="shared" ref="P52:Q54" si="21">H41</f>
        <v>2.8432212314821292E-2</v>
      </c>
      <c r="Q52" s="995" t="n">
        <f t="shared" si="21"/>
        <v>8.5936999386411639E-2</v>
      </c>
      <c r="R52" s="995" t="n">
        <f>I41</f>
        <v>8.5936999386411639E-2</v>
      </c>
      <c r="S52" s="995" t="n">
        <f>I41</f>
        <v>8.5936999386411639E-2</v>
      </c>
      <c r="T52" s="995" t="n">
        <f t="shared" ref="T52:U54" si="22">I41</f>
        <v>8.5936999386411639E-2</v>
      </c>
      <c r="U52" s="586" t="n">
        <f t="shared" si="22"/>
        <v>8.8255952372927604E-2</v>
      </c>
      <c r="V52" s="586" t="n">
        <f>J41</f>
        <v>8.8255952372927604E-2</v>
      </c>
      <c r="W52" s="586" t="n">
        <f>J41</f>
        <v>8.8255952372927604E-2</v>
      </c>
      <c r="X52" s="586" t="n">
        <f>J41</f>
        <v>8.8255952372927604E-2</v>
      </c>
      <c r="Y52" s="995" t="n">
        <f>K41</f>
        <v>3.9639977800571824E-2</v>
      </c>
      <c r="Z52" s="995" t="n">
        <f>K41</f>
        <v>3.9639977800571824E-2</v>
      </c>
      <c r="AA52" s="995" t="n">
        <f>K41</f>
        <v>3.9639977800571824E-2</v>
      </c>
      <c r="AB52" s="995" t="n">
        <f t="shared" si="20"/>
        <v>3.9639977800571824E-2</v>
      </c>
      <c r="AC52" s="995" t="n">
        <f t="shared" si="20"/>
        <v>3.4996511668780705E-2</v>
      </c>
      <c r="AD52" s="995" t="n">
        <f>L41</f>
        <v>3.4996511668780705E-2</v>
      </c>
      <c r="AE52" s="995" t="n">
        <f>L41</f>
        <v>3.4996511668780705E-2</v>
      </c>
      <c r="AF52" s="995" t="n">
        <f>L41</f>
        <v>3.4996511668780705E-2</v>
      </c>
      <c r="AG52" s="995" t="n">
        <f>L41</f>
        <v>3.4996511668780705E-2</v>
      </c>
      <c r="AH52" s="995"/>
    </row>
    <row r="53" ht="14.9" customHeight="1">
      <c r="D53" s="1002" t="s">
        <v>917</v>
      </c>
      <c r="E53" s="1014"/>
      <c r="F53" s="1027"/>
      <c r="G53" s="1027"/>
      <c r="H53" s="999"/>
      <c r="I53" s="999"/>
      <c r="J53" s="999"/>
      <c r="K53" s="999"/>
      <c r="L53" s="999"/>
      <c r="M53" s="995" t="n">
        <f>H42</f>
        <v>6.2207670720299424E-2</v>
      </c>
      <c r="N53" s="995" t="n">
        <f>H42</f>
        <v>6.2207670720299424E-2</v>
      </c>
      <c r="O53" s="995" t="n">
        <f>H42</f>
        <v>6.2207670720299424E-2</v>
      </c>
      <c r="P53" s="995" t="n">
        <f t="shared" si="21"/>
        <v>6.2207670720299424E-2</v>
      </c>
      <c r="Q53" s="995" t="n">
        <f t="shared" si="21"/>
        <v>0.14499779832672832</v>
      </c>
      <c r="R53" s="995" t="n">
        <f>I42</f>
        <v>0.14499779832672832</v>
      </c>
      <c r="S53" s="995" t="n">
        <f>I42</f>
        <v>0.14499779832672832</v>
      </c>
      <c r="T53" s="995" t="n">
        <f t="shared" si="22"/>
        <v>0.14499779832672832</v>
      </c>
      <c r="U53" s="995" t="n">
        <f t="shared" si="22"/>
        <v>-0.16946808510638289</v>
      </c>
      <c r="V53" s="995" t="n">
        <f>J42</f>
        <v>-0.16946808510638289</v>
      </c>
      <c r="W53" s="995" t="n">
        <f>J42</f>
        <v>-0.16946808510638289</v>
      </c>
      <c r="X53" s="995" t="n">
        <f>J42</f>
        <v>-0.16946808510638289</v>
      </c>
      <c r="Y53" s="995" t="n">
        <f>K42</f>
        <v>4.0995260663506894E-2</v>
      </c>
      <c r="Z53" s="995" t="n">
        <f>K42</f>
        <v>4.0995260663506894E-2</v>
      </c>
      <c r="AA53" s="995" t="n">
        <f>K42</f>
        <v>4.0995260663506894E-2</v>
      </c>
      <c r="AB53" s="995" t="n">
        <f t="shared" si="20"/>
        <v>4.0995260663506894E-2</v>
      </c>
      <c r="AC53" s="995" t="n">
        <f t="shared" si="20"/>
        <v>6.2008970044481027E-2</v>
      </c>
      <c r="AD53" s="995" t="n">
        <f>L42</f>
        <v>6.2008970044481027E-2</v>
      </c>
      <c r="AE53" s="995" t="n">
        <f>L42</f>
        <v>6.2008970044481027E-2</v>
      </c>
      <c r="AF53" s="995" t="n">
        <f>L42</f>
        <v>6.2008970044481027E-2</v>
      </c>
      <c r="AG53" s="995" t="n">
        <f>L42</f>
        <v>6.2008970044481027E-2</v>
      </c>
      <c r="AH53" s="995"/>
    </row>
    <row r="54" ht="14.9" customHeight="1">
      <c r="D54" s="1015"/>
      <c r="E54" s="1014"/>
      <c r="F54" s="1027"/>
      <c r="G54" s="1027"/>
      <c r="H54" s="999"/>
      <c r="I54" s="999"/>
      <c r="J54" s="999"/>
      <c r="K54" s="999"/>
      <c r="L54" s="999"/>
      <c r="M54" s="995" t="n">
        <f>H43</f>
        <v>0.22696422408834716</v>
      </c>
      <c r="N54" s="995" t="n">
        <f>H43</f>
        <v>0.22696422408834716</v>
      </c>
      <c r="O54" s="995" t="n">
        <f>H43</f>
        <v>0.22696422408834716</v>
      </c>
      <c r="P54" s="995" t="n">
        <f t="shared" si="21"/>
        <v>0.22696422408834716</v>
      </c>
      <c r="Q54" s="995" t="n">
        <f t="shared" si="21"/>
        <v>0.21530114382148868</v>
      </c>
      <c r="R54" s="995" t="n">
        <f>I43</f>
        <v>0.21530114382148868</v>
      </c>
      <c r="S54" s="995" t="n">
        <f>I43</f>
        <v>0.21530114382148868</v>
      </c>
      <c r="T54" s="995" t="n">
        <f t="shared" si="22"/>
        <v>0.21530114382148868</v>
      </c>
      <c r="U54" s="995" t="n">
        <f t="shared" si="22"/>
        <v>-1.2434479495936457E-2</v>
      </c>
      <c r="V54" s="995" t="n">
        <f>J43</f>
        <v>-1.2434479495936457E-2</v>
      </c>
      <c r="W54" s="995" t="n">
        <f>J43</f>
        <v>-1.2434479495936457E-2</v>
      </c>
      <c r="X54" s="995" t="n">
        <f>J43</f>
        <v>-1.2434479495936457E-2</v>
      </c>
      <c r="Y54" s="995" t="n">
        <f>K43</f>
        <v>0.10219741458206225</v>
      </c>
      <c r="Z54" s="995" t="n">
        <f>K43</f>
        <v>0.10219741458206225</v>
      </c>
      <c r="AA54" s="995" t="n">
        <f>K43</f>
        <v>0.10219741458206225</v>
      </c>
      <c r="AB54" s="995" t="n">
        <f t="shared" si="20"/>
        <v>0.10219741458206225</v>
      </c>
      <c r="AC54" s="995" t="n">
        <f t="shared" si="20"/>
        <v>8.2782897666929228E-2</v>
      </c>
      <c r="AD54" s="995" t="n">
        <f>L43</f>
        <v>8.2782897666929228E-2</v>
      </c>
      <c r="AE54" s="995" t="n">
        <f>L43</f>
        <v>8.2782897666929228E-2</v>
      </c>
      <c r="AF54" s="995" t="n">
        <f>L43</f>
        <v>8.2782897666929228E-2</v>
      </c>
      <c r="AG54" s="995" t="n">
        <f>L43</f>
        <v>8.2782897666929228E-2</v>
      </c>
      <c r="AH54" s="995"/>
    </row>
    <row r="55" ht="14.9" customHeight="1">
      <c r="D55" s="1015"/>
      <c r="E55" s="1014"/>
      <c r="F55" s="1027"/>
      <c r="G55" s="1027"/>
      <c r="H55" s="999"/>
      <c r="I55" s="999"/>
      <c r="J55" s="948"/>
      <c r="K55" s="999"/>
      <c r="L55" s="999"/>
    </row>
    <row r="56" ht="14.9" customHeight="1">
      <c r="D56" s="1015"/>
      <c r="E56" s="1014"/>
      <c r="F56" s="1027"/>
      <c r="G56" s="1027"/>
      <c r="H56" s="999"/>
      <c r="I56" s="999"/>
      <c r="J56" s="999"/>
      <c r="K56" s="999"/>
      <c r="L56" s="999"/>
    </row>
    <row r="57" ht="41.9" customHeight="1">
      <c r="F57" s="297"/>
      <c r="G57" s="297"/>
      <c r="H57" s="834"/>
      <c r="I57" s="834"/>
      <c r="J57" s="834"/>
      <c r="K57" s="834"/>
      <c r="L57" s="834"/>
      <c r="M57" s="297" t="s">
        <v>1931</v>
      </c>
      <c r="N57" s="338"/>
      <c r="AF57" s="834"/>
      <c r="AG57" s="834"/>
      <c r="AH57" s="834"/>
      <c r="AI57" s="834"/>
      <c r="AJ57" s="834"/>
      <c r="AK57" s="834"/>
      <c r="AL57" s="834"/>
      <c r="AN57" s="834"/>
      <c r="AO57" s="834"/>
    </row>
    <row r="58" ht="30.75" customHeight="1">
      <c r="D58" s="974" t="s">
        <v>1932</v>
      </c>
      <c r="E58" s="770" t="n">
        <v>2018</v>
      </c>
      <c r="F58" s="976" t="n">
        <v>2019</v>
      </c>
      <c r="G58" s="976" t="n">
        <v>2020</v>
      </c>
      <c r="H58" s="976" t="n">
        <v>2021</v>
      </c>
      <c r="I58" s="977" t="n">
        <v>2022</v>
      </c>
      <c r="J58" s="916" t="n">
        <v>2023</v>
      </c>
      <c r="K58" s="917" t="n">
        <v>2024</v>
      </c>
      <c r="L58" s="918" t="n">
        <v>2025</v>
      </c>
      <c r="M58" s="918" t="n">
        <v>2026</v>
      </c>
      <c r="N58" s="1052"/>
      <c r="O58" s="280"/>
    </row>
    <row r="59" ht="30.75" customHeight="1">
      <c r="D59" s="978" t="s">
        <v>491</v>
      </c>
      <c r="E59" s="979" t="n">
        <v>1683.5</v>
      </c>
      <c r="F59" s="979" t="n">
        <v>1717.9</v>
      </c>
      <c r="G59" s="979" t="n">
        <v>1609</v>
      </c>
      <c r="H59" s="446" t="n">
        <v>2044.377</v>
      </c>
      <c r="I59" s="555" t="n">
        <v>2632.145</v>
      </c>
      <c r="J59" s="555" t="n">
        <v>2176.4810000000002</v>
      </c>
      <c r="K59" s="555" t="n">
        <v>2446.6640000000002</v>
      </c>
      <c r="L59" s="555" t="n">
        <v>2549.8649999999998</v>
      </c>
      <c r="M59" s="1044" t="n">
        <f>2841.002-147-30</f>
        <v>2664.002</v>
      </c>
      <c r="N59" s="936" t="n">
        <v>3121.953</v>
      </c>
      <c r="O59" s="280" t="n">
        <v>3224.15</v>
      </c>
      <c r="P59" t="n">
        <v>3326.8539999999998</v>
      </c>
      <c r="Q59" t="n">
        <v>3455.0859999999998</v>
      </c>
      <c r="R59" t="n">
        <v>3583.2</v>
      </c>
      <c r="S59" t="n">
        <v>3710.4380000000001</v>
      </c>
      <c r="T59" t="n">
        <v>3858.924</v>
      </c>
      <c r="U59" t="n">
        <v>4020.6480000000001</v>
      </c>
    </row>
    <row r="60" ht="16.5" customHeight="1">
      <c r="D60" s="1056" t="s">
        <v>492</v>
      </c>
      <c r="E60" s="913" t="n">
        <v>1170.7</v>
      </c>
      <c r="F60" s="913" t="n">
        <v>1243.4000000000001</v>
      </c>
      <c r="G60" s="913" t="n">
        <v>1310</v>
      </c>
      <c r="H60" s="513" t="n">
        <v>1314.088</v>
      </c>
      <c r="I60" s="288" t="n">
        <v>1483.5260000000001</v>
      </c>
      <c r="J60" s="288" t="n">
        <v>1614.4559999999999</v>
      </c>
      <c r="K60" s="288" t="n">
        <v>1678.453</v>
      </c>
      <c r="L60" s="288" t="n">
        <v>1737.193</v>
      </c>
      <c r="M60" s="934" t="n">
        <v>1814.2460000000001</v>
      </c>
      <c r="N60" s="1048" t="n">
        <v>1885.5429999999999</v>
      </c>
      <c r="O60" s="1022" t="n">
        <v>1960.0719999999999</v>
      </c>
      <c r="P60" s="1045" t="n">
        <v>2038.2460000000001</v>
      </c>
      <c r="Q60" t="n">
        <v>2118.127</v>
      </c>
      <c r="R60" t="n">
        <v>2199.9830000000002</v>
      </c>
      <c r="S60" t="n">
        <v>2283.1770000000001</v>
      </c>
      <c r="T60" t="n">
        <v>2367.9110000000001</v>
      </c>
      <c r="U60" t="n">
        <v>2455.0839999999998</v>
      </c>
    </row>
    <row r="61">
      <c r="D61" s="657" t="s">
        <v>493</v>
      </c>
      <c r="E61" s="513" t="n">
        <f t="shared" ref="E61:L61" si="23">E62+E63</f>
        <v>136.30000000000001</v>
      </c>
      <c r="F61" s="513" t="n">
        <f t="shared" si="23"/>
        <v>170.6</v>
      </c>
      <c r="G61" s="513" t="n">
        <f t="shared" si="23"/>
        <v>156</v>
      </c>
      <c r="H61" s="513" t="n">
        <f t="shared" si="23"/>
        <v>155.25900000000001</v>
      </c>
      <c r="I61" s="513" t="n">
        <f t="shared" si="23"/>
        <v>188</v>
      </c>
      <c r="J61" s="513" t="n">
        <f t="shared" si="23"/>
        <v>156.14000000000001</v>
      </c>
      <c r="K61" s="513" t="n">
        <f t="shared" si="23"/>
        <v>162.541</v>
      </c>
      <c r="L61" s="513" t="n">
        <f t="shared" si="23"/>
        <v>172.61999999999998</v>
      </c>
      <c r="M61" s="911" t="n">
        <f>M62+M63</f>
        <v>178.76300000000001</v>
      </c>
      <c r="N61" s="390"/>
      <c r="P61" s="1049"/>
      <c r="Q61" s="1049"/>
      <c r="R61" s="1049"/>
      <c r="S61" s="1049"/>
      <c r="T61" s="1049"/>
      <c r="U61" s="1049"/>
      <c r="V61" s="1049"/>
      <c r="W61" s="1049"/>
    </row>
    <row r="62">
      <c r="D62" s="787" t="s">
        <v>1918</v>
      </c>
      <c r="E62" s="913" t="n">
        <v>95</v>
      </c>
      <c r="F62" s="913" t="n">
        <v>99.8</v>
      </c>
      <c r="G62" s="913" t="n">
        <v>87</v>
      </c>
      <c r="H62" s="513" t="n">
        <v>75.274000000000001</v>
      </c>
      <c r="I62" s="912" t="n">
        <v>88</v>
      </c>
      <c r="J62" s="904" t="n">
        <v>75.802000000000007</v>
      </c>
      <c r="K62" s="904" t="n">
        <v>89.162000000000006</v>
      </c>
      <c r="L62" s="904" t="n">
        <v>96.432999999999979</v>
      </c>
      <c r="M62" s="910" t="n">
        <v>98.983999999999995</v>
      </c>
      <c r="N62" s="904" t="n">
        <v>99.646000000000001</v>
      </c>
      <c r="O62" s="904" t="n">
        <v>99.663999999999987</v>
      </c>
      <c r="P62" s="904" t="n">
        <v>99.603999999999999</v>
      </c>
      <c r="Q62" s="904" t="n">
        <v>99.308000000000007</v>
      </c>
      <c r="R62" s="904" t="n">
        <v>98.682000000000002</v>
      </c>
      <c r="S62" s="904" t="n">
        <v>97.385000000000005</v>
      </c>
      <c r="T62" s="904" t="n">
        <v>97.613</v>
      </c>
      <c r="U62" s="904" t="n">
        <v>98.284999999999997</v>
      </c>
      <c r="V62" s="904" t="n">
        <v>494.33099999999996</v>
      </c>
      <c r="W62" s="904" t="n">
        <v>985.60399999999993</v>
      </c>
    </row>
    <row r="63" ht="16.5" customHeight="1">
      <c r="D63" s="618" t="s">
        <v>1917</v>
      </c>
      <c r="E63" s="913" t="n">
        <v>41.3</v>
      </c>
      <c r="F63" s="913" t="n">
        <v>70.8</v>
      </c>
      <c r="G63" s="913" t="n">
        <v>69</v>
      </c>
      <c r="H63" s="513" t="n">
        <v>79.984999999999999</v>
      </c>
      <c r="I63" s="912" t="n">
        <v>100</v>
      </c>
      <c r="J63" s="904" t="n">
        <v>80.338000000000008</v>
      </c>
      <c r="K63" s="904" t="n">
        <v>73.378999999999991</v>
      </c>
      <c r="L63" s="904" t="n">
        <v>76.186999999999998</v>
      </c>
      <c r="M63" s="910" t="n">
        <v>79.779000000000011</v>
      </c>
      <c r="N63" s="904" t="n">
        <v>83.01700000000001</v>
      </c>
      <c r="O63" s="904" t="n">
        <v>85.426999999999992</v>
      </c>
      <c r="P63" s="904" t="n">
        <v>87.106999999999985</v>
      </c>
      <c r="Q63" s="904" t="n">
        <v>88.576999999999998</v>
      </c>
      <c r="R63" s="904" t="n">
        <v>90.27300000000001</v>
      </c>
      <c r="S63" s="904" t="n">
        <v>92.084999999999994</v>
      </c>
      <c r="T63" s="904" t="n">
        <v>94.007999999999996</v>
      </c>
      <c r="U63" s="904" t="n">
        <v>96.02600000000001</v>
      </c>
      <c r="V63" s="904" t="n">
        <v>411.51699999999994</v>
      </c>
      <c r="W63" s="904" t="n">
        <v>872.4860000000001</v>
      </c>
      <c r="X63" s="1028"/>
      <c r="Y63" s="1028"/>
      <c r="Z63" s="1046"/>
    </row>
    <row r="64" ht="16.5" customHeight="1">
      <c r="D64" s="980" t="s">
        <v>106</v>
      </c>
      <c r="E64" s="981" t="n">
        <v>204.7</v>
      </c>
      <c r="F64" s="981" t="n">
        <v>230.2</v>
      </c>
      <c r="G64" s="981" t="n">
        <v>212</v>
      </c>
      <c r="H64" s="1011" t="n">
        <v>371.83100000000002</v>
      </c>
      <c r="I64" s="580" t="n">
        <v>424.86700000000002</v>
      </c>
      <c r="J64" s="580" t="n">
        <v>419.584</v>
      </c>
      <c r="K64" s="580" t="n">
        <v>525.40200000000004</v>
      </c>
      <c r="L64" s="580" t="n">
        <v>490.08600000000001</v>
      </c>
      <c r="M64" s="947" t="n">
        <v>470.452</v>
      </c>
      <c r="N64" s="1028" t="n">
        <v>459.399</v>
      </c>
      <c r="O64" s="1047" t="n">
        <v>461.55399999999997</v>
      </c>
      <c r="P64" s="1045" t="n">
        <v>460.858</v>
      </c>
      <c r="Q64" s="1045" t="n">
        <v>462.81099999999998</v>
      </c>
      <c r="R64" s="1045" t="n">
        <v>465.98700000000002</v>
      </c>
      <c r="S64" s="1045" t="n">
        <v>471.01</v>
      </c>
      <c r="T64" s="1045" t="n">
        <v>495.30399999999997</v>
      </c>
      <c r="U64" s="1045" t="n">
        <v>506.70400000000001</v>
      </c>
      <c r="V64" s="1045"/>
      <c r="W64" s="1045"/>
      <c r="X64" s="1028"/>
      <c r="Y64" s="1028"/>
      <c r="Z64" s="1046"/>
    </row>
    <row r="65" ht="16.5" customHeight="1"/>
    <row r="66">
      <c r="D66" s="719" t="s">
        <v>494</v>
      </c>
      <c r="E66" s="770" t="n">
        <v>2018</v>
      </c>
      <c r="F66" s="836" t="n">
        <v>2019</v>
      </c>
      <c r="G66" s="890" t="n">
        <v>2020</v>
      </c>
      <c r="H66" s="836" t="n">
        <v>2021</v>
      </c>
      <c r="I66" s="836" t="n">
        <v>2022</v>
      </c>
      <c r="J66" s="920" t="n">
        <v>2023</v>
      </c>
      <c r="K66" s="920" t="n">
        <v>2024</v>
      </c>
      <c r="L66" s="1055" t="n">
        <v>2025</v>
      </c>
      <c r="M66" s="918" t="n">
        <v>2026</v>
      </c>
      <c r="O66" s="611" t="s">
        <v>495</v>
      </c>
    </row>
    <row r="67" ht="14.9" customHeight="1">
      <c r="D67" s="1018" t="s">
        <v>491</v>
      </c>
      <c r="E67" s="373" t="n">
        <v>1622</v>
      </c>
      <c r="F67" s="373" t="n">
        <v>1687</v>
      </c>
      <c r="G67" s="921" t="n">
        <f t="shared" ref="G67:M70" si="24">G35</f>
        <v>1719.875</v>
      </c>
      <c r="H67" s="921" t="n">
        <f t="shared" si="24"/>
        <v>2049.6750000000002</v>
      </c>
      <c r="I67" s="921" t="n">
        <f t="shared" si="24"/>
        <v>2449.1750000000002</v>
      </c>
      <c r="J67" s="905" t="n">
        <f t="shared" si="24"/>
        <v>2025.1858667265676</v>
      </c>
      <c r="K67" s="905" t="n">
        <f t="shared" si="24"/>
        <v>2276.5874608731669</v>
      </c>
      <c r="L67" s="905" t="n">
        <f t="shared" si="24"/>
        <v>2372.614582925713</v>
      </c>
      <c r="M67" s="905" t="n">
        <f t="shared" si="24"/>
        <v>2478.8175037279489</v>
      </c>
    </row>
    <row r="68">
      <c r="D68" s="1043" t="s">
        <v>496</v>
      </c>
      <c r="E68" s="291" t="n">
        <v>1332</v>
      </c>
      <c r="F68" s="291" t="n">
        <v>1388</v>
      </c>
      <c r="G68" s="905" t="n">
        <f t="shared" si="24"/>
        <v>1424.3</v>
      </c>
      <c r="H68" s="905" t="n">
        <f t="shared" si="24"/>
        <v>1507.5250000000001</v>
      </c>
      <c r="I68" s="905" t="n">
        <f t="shared" si="24"/>
        <v>1656.6750000000002</v>
      </c>
      <c r="J68" s="905" t="n">
        <f t="shared" ref="J68:M68" si="25">J36</f>
        <v>1802.8864298974202</v>
      </c>
      <c r="K68" s="905" t="n">
        <f t="shared" si="25"/>
        <v>1874.3528079555063</v>
      </c>
      <c r="L68" s="905" t="n">
        <f t="shared" si="25"/>
        <v>1939.9486178705331</v>
      </c>
      <c r="M68" s="905" t="n">
        <f t="shared" si="25"/>
        <v>2025.9948204817445</v>
      </c>
      <c r="N68" s="1026"/>
    </row>
    <row r="69">
      <c r="D69" s="1043" t="s">
        <v>105</v>
      </c>
      <c r="E69" s="291" t="n">
        <v>150</v>
      </c>
      <c r="F69" s="291" t="n">
        <v>175</v>
      </c>
      <c r="G69" s="905" t="n">
        <f t="shared" si="24"/>
        <v>160.35</v>
      </c>
      <c r="H69" s="905" t="n">
        <f t="shared" si="24"/>
        <v>170.32500000000002</v>
      </c>
      <c r="I69" s="905" t="n">
        <f t="shared" si="24"/>
        <v>196.72500000000002</v>
      </c>
      <c r="J69" s="905" t="n">
        <f t="shared" ref="J69:M69" si="26">J37</f>
        <v>163.38639095744685</v>
      </c>
      <c r="K69" s="905" t="n">
        <f t="shared" si="26"/>
        <v>170.08445864361704</v>
      </c>
      <c r="L69" s="905" t="n">
        <f t="shared" si="26"/>
        <v>180.63122074468086</v>
      </c>
      <c r="M69" s="905" t="n">
        <f t="shared" si="26"/>
        <v>187.05931476063833</v>
      </c>
      <c r="N69" s="1026"/>
    </row>
    <row r="70">
      <c r="D70" s="1002" t="s">
        <v>258</v>
      </c>
      <c r="E70" s="671" t="n">
        <v>208</v>
      </c>
      <c r="F70" s="671" t="n">
        <v>219</v>
      </c>
      <c r="G70" s="922" t="n">
        <f t="shared" si="24"/>
        <v>217.32499999999999</v>
      </c>
      <c r="H70" s="922" t="n">
        <f t="shared" si="24"/>
        <v>266.65000000000003</v>
      </c>
      <c r="I70" s="922" t="n">
        <f t="shared" si="24"/>
        <v>351.52499999999998</v>
      </c>
      <c r="J70" s="905" t="n">
        <f t="shared" ref="J70:M70" si="27">J38</f>
        <v>347.15396959519092</v>
      </c>
      <c r="K70" s="905" t="n">
        <f t="shared" si="27"/>
        <v>434.7053031889979</v>
      </c>
      <c r="L70" s="905" t="n">
        <f t="shared" si="27"/>
        <v>405.48567233981447</v>
      </c>
      <c r="M70" s="905" t="n">
        <f t="shared" si="27"/>
        <v>389.24096081832658</v>
      </c>
      <c r="O70" s="173" t="s">
        <v>896</v>
      </c>
      <c r="P70" s="173" t="s">
        <v>896</v>
      </c>
      <c r="Q70" s="173" t="s">
        <v>896</v>
      </c>
      <c r="R70" s="173" t="s">
        <v>896</v>
      </c>
      <c r="S70" s="173" t="s">
        <v>896</v>
      </c>
      <c r="T70" s="173" t="s">
        <v>896</v>
      </c>
      <c r="U70" s="173" t="s">
        <v>896</v>
      </c>
      <c r="V70" s="174" t="s">
        <v>896</v>
      </c>
    </row>
    <row r="71" ht="14.9" customHeight="1">
      <c r="D71" s="321"/>
      <c r="E71" s="291"/>
      <c r="F71" s="291"/>
      <c r="G71" s="291"/>
      <c r="P71" s="175" t="n">
        <v>2022</v>
      </c>
      <c r="Q71" s="177" t="n">
        <v>2022</v>
      </c>
      <c r="R71" s="177" t="n">
        <v>2022</v>
      </c>
      <c r="S71" s="178" t="n">
        <v>2022</v>
      </c>
    </row>
    <row r="72" ht="17.25" customHeight="1">
      <c r="D72" s="564" t="s">
        <v>498</v>
      </c>
      <c r="E72" s="291"/>
      <c r="F72" s="291"/>
      <c r="G72" s="291"/>
      <c r="P72" s="201" t="s">
        <v>897</v>
      </c>
      <c r="Q72" s="201" t="s">
        <v>898</v>
      </c>
      <c r="R72" s="201" t="s">
        <v>899</v>
      </c>
      <c r="S72" s="201" t="s">
        <v>900</v>
      </c>
      <c r="T72" s="171" t="s">
        <v>913</v>
      </c>
    </row>
    <row r="73" ht="30" customHeight="1">
      <c r="D73" s="929" t="s">
        <v>499</v>
      </c>
      <c r="E73" s="836" t="n">
        <v>2018</v>
      </c>
      <c r="F73" s="836" t="n">
        <v>2019</v>
      </c>
      <c r="G73" s="890" t="n">
        <v>2020</v>
      </c>
      <c r="H73" s="770" t="n">
        <v>2021</v>
      </c>
      <c r="I73" s="836" t="n">
        <v>2022</v>
      </c>
      <c r="J73" s="920" t="n">
        <v>2023</v>
      </c>
      <c r="K73" s="920" t="n">
        <v>2024</v>
      </c>
      <c r="L73" s="1055" t="n">
        <v>2025</v>
      </c>
      <c r="M73" s="918" t="n">
        <v>2026</v>
      </c>
      <c r="O73" s="58" t="s">
        <v>497</v>
      </c>
      <c r="P73" s="205" t="n">
        <v>2973</v>
      </c>
      <c r="Q73" s="205" t="n">
        <v>3062.8</v>
      </c>
      <c r="R73" s="205" t="n">
        <v>3085.2</v>
      </c>
      <c r="S73" s="975" t="n">
        <v>2106.1999999999998</v>
      </c>
      <c r="T73" s="205" t="n">
        <v>3123.2</v>
      </c>
    </row>
    <row r="74">
      <c r="D74" s="1018" t="s">
        <v>491</v>
      </c>
      <c r="E74" s="930" t="n">
        <f t="shared" ref="E74:M76" si="28">E67/E59</f>
        <v>0.96346896346896349</v>
      </c>
      <c r="F74" s="930" t="n">
        <f t="shared" si="28"/>
        <v>0.98201292275452579</v>
      </c>
      <c r="G74" s="930" t="n">
        <f t="shared" si="28"/>
        <v>1.0689092604101926</v>
      </c>
      <c r="H74" s="930" t="n">
        <f t="shared" si="28"/>
        <v>1.0025914985347615</v>
      </c>
      <c r="I74" s="930" t="n">
        <f t="shared" si="28"/>
        <v>0.93048635238560196</v>
      </c>
      <c r="J74" s="908" t="n">
        <f>J67/J59</f>
        <v>0.93048635238560196</v>
      </c>
      <c r="K74" s="930" t="n">
        <f t="shared" si="28"/>
        <v>0.93048635238560207</v>
      </c>
      <c r="L74" s="930" t="n">
        <f t="shared" si="28"/>
        <v>0.93048635238560207</v>
      </c>
      <c r="M74" s="907" t="n">
        <f t="shared" si="28"/>
        <v>0.93048635238560218</v>
      </c>
      <c r="T74" s="280"/>
    </row>
    <row r="75">
      <c r="D75" s="1043" t="s">
        <v>496</v>
      </c>
      <c r="E75" s="909" t="n">
        <f t="shared" si="28"/>
        <v>1.1377808148970701</v>
      </c>
      <c r="F75" s="909" t="n">
        <f t="shared" si="28"/>
        <v>1.1162940324915553</v>
      </c>
      <c r="G75" s="909" t="n">
        <f t="shared" si="28"/>
        <v>1.0872519083969465</v>
      </c>
      <c r="H75" s="909" t="n">
        <f t="shared" si="28"/>
        <v>1.1472024704585995</v>
      </c>
      <c r="I75" s="909" t="n">
        <f t="shared" si="28"/>
        <v>1.1167145031499279</v>
      </c>
      <c r="J75" s="1057" t="n">
        <f t="shared" si="28"/>
        <v>1.1167145031499282</v>
      </c>
      <c r="K75" s="909" t="n">
        <f t="shared" ref="K75:M75" si="29">K68/K60</f>
        <v>1.1167145031499282</v>
      </c>
      <c r="L75" s="909" t="n">
        <f t="shared" si="29"/>
        <v>1.1167145031499282</v>
      </c>
      <c r="M75" s="906" t="n">
        <f t="shared" si="29"/>
        <v>1.1167145031499282</v>
      </c>
    </row>
    <row r="76">
      <c r="D76" s="1043" t="s">
        <v>105</v>
      </c>
      <c r="E76" s="909" t="n">
        <f t="shared" si="28"/>
        <v>1.1005135730007336</v>
      </c>
      <c r="F76" s="909" t="n">
        <f t="shared" si="28"/>
        <v>1.0257913247362251</v>
      </c>
      <c r="G76" s="909" t="n">
        <f t="shared" si="28"/>
        <v>1.0278846153846153</v>
      </c>
      <c r="H76" s="909" t="n">
        <f t="shared" si="28"/>
        <v>1.097037852878094</v>
      </c>
      <c r="I76" s="909" t="n">
        <f t="shared" si="28"/>
        <v>1.0464095744680852</v>
      </c>
      <c r="J76" s="1057" t="n">
        <f t="shared" si="28"/>
        <v>1.0464095744680852</v>
      </c>
      <c r="K76" s="909" t="n">
        <f t="shared" ref="K76:M76" si="30">K69/K61</f>
        <v>1.0464095744680852</v>
      </c>
      <c r="L76" s="909" t="n">
        <f t="shared" si="30"/>
        <v>1.0464095744680852</v>
      </c>
      <c r="M76" s="906" t="n">
        <f t="shared" si="30"/>
        <v>1.0464095744680852</v>
      </c>
    </row>
    <row r="77">
      <c r="D77" s="1002" t="s">
        <v>258</v>
      </c>
      <c r="E77" s="1004" t="n">
        <f t="shared" ref="E77:I77" si="31">E70/E64</f>
        <v>1.0161211529066927</v>
      </c>
      <c r="F77" s="1004" t="n">
        <f t="shared" si="31"/>
        <v>0.95134665508253702</v>
      </c>
      <c r="G77" s="1004" t="n">
        <f t="shared" si="31"/>
        <v>1.0251179245283017</v>
      </c>
      <c r="H77" s="1004" t="n">
        <f t="shared" si="31"/>
        <v>0.71712686677549753</v>
      </c>
      <c r="I77" s="1004" t="n">
        <f t="shared" si="31"/>
        <v>0.82737656725516451</v>
      </c>
      <c r="J77" s="1058" t="n">
        <f t="shared" ref="J77:M77" si="32">J70/J62</f>
        <v>4.5797468351124095</v>
      </c>
      <c r="K77" s="1004" t="n">
        <f t="shared" si="32"/>
        <v>4.8754548259235762</v>
      </c>
      <c r="L77" s="1004" t="n">
        <f t="shared" si="32"/>
        <v>4.2048434907118368</v>
      </c>
      <c r="M77" s="1059" t="n">
        <f t="shared" si="32"/>
        <v>3.9323624102716259</v>
      </c>
    </row>
    <row r="79">
      <c r="D79" s="321"/>
      <c r="E79" s="291"/>
      <c r="F79" s="291"/>
      <c r="G79" s="291"/>
    </row>
    <row r="80">
      <c r="D80" s="297"/>
    </row>
    <row r="81" ht="30" customHeight="1">
      <c r="D81" s="477" t="s">
        <v>1933</v>
      </c>
      <c r="E81" s="770" t="n">
        <v>2018</v>
      </c>
      <c r="F81" s="976" t="n">
        <v>2019</v>
      </c>
      <c r="G81" s="976" t="n">
        <v>2020</v>
      </c>
      <c r="H81" s="989" t="n">
        <v>2021</v>
      </c>
      <c r="I81" s="976" t="n">
        <v>2022</v>
      </c>
      <c r="J81" s="982" t="n">
        <v>2023</v>
      </c>
      <c r="K81" s="982" t="n">
        <v>2024</v>
      </c>
      <c r="L81" s="935" t="n">
        <v>2025</v>
      </c>
      <c r="M81" s="918" t="n">
        <v>2026</v>
      </c>
    </row>
    <row r="82">
      <c r="D82" s="670" t="s">
        <v>1920</v>
      </c>
      <c r="E82" s="446" t="n">
        <v>14016.099999999999</v>
      </c>
      <c r="F82" s="446" t="n">
        <v>14604.2</v>
      </c>
      <c r="G82" s="446" t="n">
        <v>14711.300000000001</v>
      </c>
      <c r="H82" s="1030" t="n">
        <v>21015.3</v>
      </c>
      <c r="I82" s="831" t="n">
        <v>21593.3</v>
      </c>
      <c r="J82" s="831" t="n">
        <v>22717.9</v>
      </c>
      <c r="K82" s="831" t="n">
        <v>24019.200000000001</v>
      </c>
      <c r="L82" s="831" t="n">
        <v>25601.3</v>
      </c>
      <c r="M82" s="542" t="n">
        <v>26829.599999999999</v>
      </c>
      <c r="N82" t="n">
        <v>27946.1</v>
      </c>
      <c r="O82" t="n">
        <v>29114.3</v>
      </c>
      <c r="P82" t="n">
        <v>30350.5</v>
      </c>
      <c r="Q82" t="n">
        <v>31638.799999999999</v>
      </c>
      <c r="R82" t="n">
        <v>32975.4</v>
      </c>
      <c r="S82" t="n">
        <v>34369.5</v>
      </c>
      <c r="T82" t="n">
        <v>35806.400000000001</v>
      </c>
      <c r="U82" t="n">
        <v>37320.199999999997</v>
      </c>
    </row>
    <row r="83">
      <c r="D83" s="1043" t="s">
        <v>501</v>
      </c>
      <c r="E83" s="291" t="n">
        <v>8804</v>
      </c>
      <c r="F83" s="291" t="n">
        <v>9209</v>
      </c>
      <c r="G83" s="513" t="n">
        <v>9300</v>
      </c>
      <c r="H83" s="928" t="n">
        <v>10074.1</v>
      </c>
      <c r="I83" s="530" t="n">
        <v>10975.3</v>
      </c>
      <c r="J83" s="530" t="n">
        <v>11633.3</v>
      </c>
      <c r="K83" s="530" t="n">
        <v>12314.7</v>
      </c>
      <c r="L83" s="530" t="n">
        <v>12911.1</v>
      </c>
      <c r="M83" s="919" t="n">
        <v>13456.5</v>
      </c>
      <c r="N83" t="n">
        <v>13986.1</v>
      </c>
      <c r="O83" t="n">
        <v>14525.5</v>
      </c>
      <c r="P83" t="n">
        <v>15089.5</v>
      </c>
      <c r="Q83" t="n">
        <v>15670.2</v>
      </c>
      <c r="R83" t="n">
        <v>16264.2</v>
      </c>
      <c r="S83" t="n">
        <v>16872.900000000001</v>
      </c>
      <c r="T83" t="n">
        <v>17495.7</v>
      </c>
      <c r="U83" t="n">
        <v>18140.7</v>
      </c>
    </row>
    <row r="84">
      <c r="D84" s="1043" t="s">
        <v>502</v>
      </c>
      <c r="E84" s="291" t="n">
        <v>13844</v>
      </c>
      <c r="F84" s="291" t="n">
        <v>14403</v>
      </c>
      <c r="G84" s="513" t="n">
        <v>14201</v>
      </c>
      <c r="H84" s="928" t="n">
        <v>15545.1</v>
      </c>
      <c r="I84" s="530" t="n">
        <v>17212</v>
      </c>
      <c r="J84" s="530" t="n">
        <v>18321.3</v>
      </c>
      <c r="K84" s="530" t="n">
        <v>19338.099999999999</v>
      </c>
      <c r="L84" s="530" t="n">
        <v>20190.099999999999</v>
      </c>
      <c r="M84" s="919" t="n">
        <v>20873.900000000001</v>
      </c>
      <c r="N84" t="n">
        <v>21571.5</v>
      </c>
      <c r="O84" t="n">
        <v>22340.1</v>
      </c>
      <c r="P84" t="n">
        <v>23227.9</v>
      </c>
      <c r="Q84" t="n">
        <v>24187.599999999999</v>
      </c>
      <c r="R84" t="n">
        <v>25198.1</v>
      </c>
      <c r="S84" t="n">
        <v>26280.5</v>
      </c>
      <c r="T84" t="n">
        <v>27389</v>
      </c>
      <c r="U84" t="n">
        <v>28538.6</v>
      </c>
    </row>
    <row r="85">
      <c r="D85" s="1002" t="s">
        <v>1919</v>
      </c>
      <c r="E85" s="1011" t="n">
        <v>2335</v>
      </c>
      <c r="F85" s="1011" t="n">
        <v>2442</v>
      </c>
      <c r="G85" s="1011" t="n">
        <v>2392</v>
      </c>
      <c r="H85" s="983" t="n">
        <v>2796</v>
      </c>
      <c r="I85" s="990" t="n">
        <v>3144.3</v>
      </c>
      <c r="J85" s="990" t="n">
        <v>3216.6</v>
      </c>
      <c r="K85" s="990" t="n">
        <v>3412.7</v>
      </c>
      <c r="L85" s="990" t="n">
        <v>3518.9</v>
      </c>
      <c r="M85" s="282" t="n">
        <v>3584.9</v>
      </c>
      <c r="N85" t="n">
        <v>3652.1</v>
      </c>
      <c r="O85" t="n">
        <v>3702.7</v>
      </c>
      <c r="P85" t="n">
        <v>3767.6</v>
      </c>
      <c r="Q85" t="n">
        <v>3875.9</v>
      </c>
      <c r="R85" t="n">
        <v>4003.6</v>
      </c>
      <c r="S85" t="n">
        <v>4146.8999999999996</v>
      </c>
      <c r="T85" t="n">
        <v>4293.6000000000004</v>
      </c>
      <c r="U85" t="n">
        <v>4443.3999999999996</v>
      </c>
    </row>
    <row r="87">
      <c r="D87" s="297" t="s">
        <v>503</v>
      </c>
    </row>
    <row r="88">
      <c r="D88" s="719" t="s">
        <v>504</v>
      </c>
      <c r="E88" s="836" t="n">
        <v>2018</v>
      </c>
      <c r="F88" s="976" t="n">
        <v>2019</v>
      </c>
      <c r="G88" s="976" t="n">
        <v>2020</v>
      </c>
      <c r="H88" s="989" t="n">
        <v>2021</v>
      </c>
      <c r="I88" s="976" t="n">
        <v>2022</v>
      </c>
      <c r="J88" s="982" t="n">
        <v>2023</v>
      </c>
      <c r="K88" s="982" t="n">
        <v>2024</v>
      </c>
      <c r="L88" s="935" t="n">
        <v>2025</v>
      </c>
      <c r="M88" s="918" t="n">
        <v>2026</v>
      </c>
    </row>
    <row r="89">
      <c r="D89" s="923" t="s">
        <v>491</v>
      </c>
      <c r="E89" s="924" t="n">
        <f t="shared" ref="E89:L91" si="33">E59/E82</f>
        <v>0.12011187134794987</v>
      </c>
      <c r="F89" s="924" t="n">
        <f t="shared" si="33"/>
        <v>0.11763054463784391</v>
      </c>
      <c r="G89" s="924" t="n">
        <f t="shared" si="33"/>
        <v>0.10937170746297063</v>
      </c>
      <c r="H89" s="924" t="n">
        <f t="shared" si="33"/>
        <v>9.7280409987009472E-2</v>
      </c>
      <c r="I89" s="924" t="n">
        <f t="shared" si="33"/>
        <v>0.12189637526454966</v>
      </c>
      <c r="J89" s="924" t="n">
        <f t="shared" si="33"/>
        <v>9.5804673847494706E-2</v>
      </c>
      <c r="K89" s="924" t="n">
        <f t="shared" si="33"/>
        <v>0.10186284305888622</v>
      </c>
      <c r="L89" s="924" t="n">
        <f t="shared" si="33"/>
        <v>9.9599043798557094E-2</v>
      </c>
      <c r="M89" s="924" t="n">
        <f>M59/M82</f>
        <v>9.9293392372603401E-2</v>
      </c>
    </row>
    <row r="90">
      <c r="D90" s="937" t="s">
        <v>492</v>
      </c>
      <c r="E90" s="1039" t="n">
        <f t="shared" si="33"/>
        <v>0.13297364834166289</v>
      </c>
      <c r="F90" s="1039" t="n">
        <f>F60/F83</f>
        <v>0.13502008904332718</v>
      </c>
      <c r="G90" s="1039" t="n">
        <f>G60/G83</f>
        <v>0.14086021505376345</v>
      </c>
      <c r="H90" s="1039" t="n">
        <f t="shared" si="33"/>
        <v>0.13044222312663165</v>
      </c>
      <c r="I90" s="1039" t="n">
        <f t="shared" si="33"/>
        <v>0.13516951700636887</v>
      </c>
      <c r="J90" s="1039" t="n">
        <f t="shared" si="33"/>
        <v>0.13877885036919876</v>
      </c>
      <c r="K90" s="1039" t="n">
        <f t="shared" si="33"/>
        <v>0.13629670231511931</v>
      </c>
      <c r="L90" s="1039" t="n">
        <f t="shared" si="33"/>
        <v>0.13455034815004144</v>
      </c>
      <c r="M90" s="1039" t="n">
        <f t="shared" ref="M90" si="34">M60/M83</f>
        <v>0.1348230223312154</v>
      </c>
    </row>
    <row r="91">
      <c r="D91" s="1043" t="s">
        <v>505</v>
      </c>
      <c r="E91" s="1039" t="n">
        <f t="shared" si="33"/>
        <v>9.8454203987286912E-3</v>
      </c>
      <c r="F91" s="1039" t="n">
        <f t="shared" si="33"/>
        <v>1.1844754565021176E-2</v>
      </c>
      <c r="G91" s="1039" t="n">
        <f t="shared" si="33"/>
        <v>1.0985141891416098E-2</v>
      </c>
      <c r="H91" s="1039" t="n">
        <f t="shared" si="33"/>
        <v>9.9876488411139216E-3</v>
      </c>
      <c r="I91" s="1039" t="n">
        <f t="shared" si="33"/>
        <v>1.0922612131071346E-2</v>
      </c>
      <c r="J91" s="1039" t="n">
        <f t="shared" si="33"/>
        <v>8.5223210143385037E-3</v>
      </c>
      <c r="K91" s="1039" t="n">
        <f t="shared" si="33"/>
        <v>8.4052207817727695E-3</v>
      </c>
      <c r="L91" s="1039" t="n">
        <f t="shared" si="33"/>
        <v>8.5497347710016287E-3</v>
      </c>
      <c r="M91" s="1039" t="n">
        <f t="shared" ref="M91" si="35">M61/M84</f>
        <v>8.5639482799093596E-3</v>
      </c>
    </row>
    <row r="92">
      <c r="D92" s="938" t="s">
        <v>106</v>
      </c>
      <c r="E92" s="1006" t="n">
        <f t="shared" ref="E92:L92" si="36">E64/E85</f>
        <v>8.7665952890792292E-2</v>
      </c>
      <c r="F92" s="1006" t="n">
        <f t="shared" si="36"/>
        <v>9.4266994266994267E-2</v>
      </c>
      <c r="G92" s="1006" t="n">
        <f t="shared" si="36"/>
        <v>8.8628762541806017E-2</v>
      </c>
      <c r="H92" s="1006" t="n">
        <f t="shared" si="36"/>
        <v>0.13298676680972818</v>
      </c>
      <c r="I92" s="1006" t="n">
        <f t="shared" si="36"/>
        <v>0.13512292084088667</v>
      </c>
      <c r="J92" s="1006" t="n">
        <f t="shared" si="36"/>
        <v>0.13044332525026425</v>
      </c>
      <c r="K92" s="1006" t="n">
        <f t="shared" si="36"/>
        <v>0.1539549330442172</v>
      </c>
      <c r="L92" s="1006" t="n">
        <f t="shared" si="36"/>
        <v>0.13927249992895507</v>
      </c>
      <c r="M92" s="1006" t="n">
        <f t="shared" ref="M92" si="37">M64/M85</f>
        <v>0.1312315545761388</v>
      </c>
    </row>
    <row r="94">
      <c r="D94" s="297" t="s">
        <v>506</v>
      </c>
    </row>
    <row r="95">
      <c r="D95" s="942" t="s">
        <v>352</v>
      </c>
    </row>
    <row r="96">
      <c r="D96" s="719" t="s">
        <v>507</v>
      </c>
      <c r="E96" s="836" t="n">
        <v>2018</v>
      </c>
      <c r="F96" s="976" t="n">
        <v>2019</v>
      </c>
      <c r="G96" s="976" t="n">
        <v>2020</v>
      </c>
      <c r="H96" s="989" t="n">
        <v>2021</v>
      </c>
      <c r="I96" s="976" t="n">
        <v>2022</v>
      </c>
      <c r="J96" s="982" t="n">
        <v>2023</v>
      </c>
      <c r="K96" s="982" t="n">
        <v>2024</v>
      </c>
      <c r="L96" s="935" t="n">
        <v>2025</v>
      </c>
      <c r="M96" s="918" t="n">
        <v>2026</v>
      </c>
    </row>
    <row r="97" ht="20.25" customHeight="1">
      <c r="D97" s="923" t="s">
        <v>491</v>
      </c>
      <c r="E97" s="924" t="n">
        <f t="shared" ref="E97:G100" si="38">E89*E74</f>
        <v>0.11572406018792676</v>
      </c>
      <c r="F97" s="924" t="n">
        <f t="shared" si="38"/>
        <v>0.11551471494501581</v>
      </c>
      <c r="G97" s="924" t="n">
        <f t="shared" si="38"/>
        <v>0.11690843093404389</v>
      </c>
      <c r="H97" s="924" t="n">
        <f>N116</f>
        <v>0.13265203887386032</v>
      </c>
      <c r="I97" s="924" t="n">
        <f>H97</f>
        <v>0.13265203887386032</v>
      </c>
      <c r="J97" s="924" t="n">
        <f t="shared" ref="J97" si="39">I97</f>
        <v>0.13265203887386032</v>
      </c>
      <c r="K97" s="924" t="n">
        <f>J97</f>
        <v>0.13265203887386032</v>
      </c>
      <c r="L97" s="924" t="n">
        <f>K97</f>
        <v>0.13265203887386032</v>
      </c>
      <c r="M97" s="925"/>
      <c r="N97" s="939"/>
      <c r="O97" s="1039"/>
      <c r="P97" s="1039"/>
      <c r="Q97" s="1039"/>
      <c r="R97" s="1039"/>
      <c r="S97" s="1039"/>
      <c r="T97" s="1039"/>
      <c r="U97" s="1039"/>
      <c r="V97" s="1039"/>
      <c r="W97" s="1039"/>
      <c r="X97" s="1039"/>
      <c r="Y97" s="1039"/>
    </row>
    <row r="98" ht="18.75" customHeight="1">
      <c r="D98" s="937" t="s">
        <v>492</v>
      </c>
      <c r="E98" s="1039" t="n">
        <f t="shared" si="38"/>
        <v>0.15129486597001363</v>
      </c>
      <c r="F98" s="1039" t="n">
        <f t="shared" si="38"/>
        <v>0.15072211966554458</v>
      </c>
      <c r="G98" s="1039" t="n">
        <f t="shared" si="38"/>
        <v>0.15315053763440861</v>
      </c>
      <c r="H98" s="1039" t="n">
        <f>N118</f>
        <v>0.14928290766208252</v>
      </c>
      <c r="I98" s="1039" t="n">
        <f>H98</f>
        <v>0.14928290766208252</v>
      </c>
      <c r="J98" s="1039" t="n">
        <f>I98</f>
        <v>0.14928290766208252</v>
      </c>
      <c r="K98" s="1039" t="n">
        <f t="shared" ref="K98:L98" si="40">J98</f>
        <v>0.14928290766208252</v>
      </c>
      <c r="L98" s="1039" t="n">
        <f t="shared" si="40"/>
        <v>0.14928290766208252</v>
      </c>
      <c r="M98" s="926"/>
      <c r="N98" s="939"/>
      <c r="O98" s="1039"/>
      <c r="P98" s="1039"/>
      <c r="Q98" s="1039"/>
      <c r="R98" s="1039"/>
      <c r="S98" s="1039"/>
      <c r="T98" s="1039"/>
      <c r="U98" s="1039"/>
      <c r="V98" s="1039"/>
      <c r="W98" s="1039"/>
      <c r="X98" s="1039"/>
      <c r="Y98" s="1039"/>
    </row>
    <row r="99" ht="19.399999999999999" customHeight="1">
      <c r="D99" s="1043" t="s">
        <v>105</v>
      </c>
      <c r="E99" s="1039" t="n">
        <f t="shared" si="38"/>
        <v>1.0835018780699219E-2</v>
      </c>
      <c r="F99" s="1039" t="n">
        <f t="shared" si="38"/>
        <v>1.2150246476428523E-2</v>
      </c>
      <c r="G99" s="1039" t="n">
        <f t="shared" si="38"/>
        <v>1.1291458348003661E-2</v>
      </c>
      <c r="H99" s="1039" t="n">
        <f>N119</f>
        <v>1.1315975901046335E-2</v>
      </c>
      <c r="I99" s="1039" t="n">
        <f>AVERAGE($F76:$G76)*I91</f>
        <v>1.1215752868426621E-2</v>
      </c>
      <c r="J99" s="1039" t="n">
        <f>AVERAGE($F76:$G76)*J91</f>
        <v>8.7510428105666109E-3</v>
      </c>
      <c r="K99" s="1039" t="n">
        <f>J99</f>
        <v>8.7510428105666109E-3</v>
      </c>
      <c r="L99" s="1039" t="n">
        <f>K99</f>
        <v>8.7510428105666109E-3</v>
      </c>
      <c r="M99" s="926"/>
      <c r="N99" s="939"/>
      <c r="O99" s="1039"/>
      <c r="P99" s="1039"/>
      <c r="Q99" s="1039"/>
      <c r="R99" s="1039"/>
      <c r="S99" s="1039"/>
      <c r="T99" s="1039"/>
      <c r="U99" s="1039"/>
      <c r="V99" s="1039"/>
      <c r="W99" s="1039"/>
      <c r="X99" s="1039"/>
      <c r="Y99" s="1039"/>
    </row>
    <row r="100" ht="19.399999999999999" customHeight="1">
      <c r="D100" s="938" t="s">
        <v>106</v>
      </c>
      <c r="E100" s="1006" t="n">
        <f t="shared" si="38"/>
        <v>8.9079229122055667E-2</v>
      </c>
      <c r="F100" s="1006" t="n">
        <f t="shared" si="38"/>
        <v>8.9680589680589687E-2</v>
      </c>
      <c r="G100" s="1006" t="n">
        <f t="shared" si="38"/>
        <v>9.085493311036788E-2</v>
      </c>
      <c r="H100" s="1006" t="n">
        <f>M120</f>
        <v>0.11063848447640764</v>
      </c>
      <c r="I100" s="1006" t="n">
        <f>N120</f>
        <v>0.10992248062015504</v>
      </c>
      <c r="J100" s="1006" t="n">
        <f>I100</f>
        <v>0.10992248062015504</v>
      </c>
      <c r="K100" s="1006" t="n">
        <f>J100</f>
        <v>0.10992248062015504</v>
      </c>
      <c r="L100" s="1006" t="n">
        <f>K100</f>
        <v>0.10992248062015504</v>
      </c>
      <c r="M100" s="927"/>
      <c r="N100" s="939"/>
      <c r="O100" s="1039"/>
      <c r="P100" s="1039"/>
      <c r="Q100" s="1039"/>
      <c r="R100" s="1039"/>
      <c r="S100" s="1039"/>
      <c r="T100" s="1039"/>
      <c r="U100" s="1039"/>
      <c r="V100" s="1039"/>
      <c r="W100" s="1039"/>
      <c r="X100" s="1039"/>
      <c r="Y100" s="1039"/>
    </row>
    <row r="101">
      <c r="E101" s="798"/>
      <c r="F101" s="798"/>
      <c r="G101" s="798"/>
      <c r="H101" s="798"/>
      <c r="I101" s="798"/>
      <c r="J101" s="798"/>
      <c r="K101" s="798"/>
      <c r="L101" s="798"/>
    </row>
    <row r="102">
      <c r="D102" s="941" t="s">
        <v>365</v>
      </c>
      <c r="E102" s="1039"/>
      <c r="F102" s="1039"/>
      <c r="G102" s="1039"/>
      <c r="H102" s="1039"/>
      <c r="I102" s="1039"/>
      <c r="J102" s="1039"/>
      <c r="K102" s="1039"/>
      <c r="L102" s="1039"/>
      <c r="M102" s="1039"/>
      <c r="N102" s="1039"/>
      <c r="O102" s="1039"/>
      <c r="P102" s="1039"/>
      <c r="Q102" s="1039"/>
      <c r="R102" s="1039"/>
      <c r="S102" s="1039"/>
      <c r="T102" s="1039"/>
      <c r="U102" s="1039"/>
      <c r="V102" s="1039"/>
      <c r="W102" s="1039"/>
      <c r="X102" s="1039"/>
      <c r="Y102" s="1039"/>
    </row>
    <row r="103">
      <c r="D103" s="770" t="s">
        <v>1934</v>
      </c>
      <c r="E103" s="890"/>
      <c r="F103" s="269" t="n">
        <v>2019</v>
      </c>
      <c r="G103" s="270"/>
      <c r="H103" s="271"/>
      <c r="I103" s="269" t="n">
        <v>2020</v>
      </c>
      <c r="J103" s="270"/>
      <c r="K103" s="270"/>
      <c r="L103" s="271"/>
      <c r="M103" s="269" t="n">
        <v>2021</v>
      </c>
      <c r="N103" s="270"/>
      <c r="O103" s="270"/>
      <c r="P103" s="270"/>
      <c r="Q103" s="269" t="n">
        <v>2022</v>
      </c>
      <c r="R103" s="358"/>
      <c r="S103" s="358"/>
      <c r="T103" s="271"/>
      <c r="U103" s="343"/>
      <c r="V103" s="343" t="n">
        <v>2023</v>
      </c>
      <c r="W103" s="662"/>
      <c r="X103" s="316"/>
      <c r="Y103" s="255" t="n">
        <v>2024</v>
      </c>
      <c r="Z103" s="347"/>
      <c r="AA103" s="347"/>
      <c r="AB103" s="256"/>
      <c r="AC103" s="255" t="n">
        <v>2025</v>
      </c>
      <c r="AD103" s="347"/>
      <c r="AE103" s="347"/>
      <c r="AF103" s="256"/>
      <c r="AG103" s="420" t="n">
        <v>2026</v>
      </c>
      <c r="AH103" s="514"/>
    </row>
    <row r="104">
      <c r="D104" s="891"/>
      <c r="E104" s="892"/>
      <c r="F104" s="259" t="s">
        <v>284</v>
      </c>
      <c r="G104" s="260" t="s">
        <v>238</v>
      </c>
      <c r="H104" s="261" t="s">
        <v>282</v>
      </c>
      <c r="I104" s="259" t="s">
        <v>283</v>
      </c>
      <c r="J104" s="260" t="s">
        <v>284</v>
      </c>
      <c r="K104" s="260" t="s">
        <v>238</v>
      </c>
      <c r="L104" s="261" t="s">
        <v>282</v>
      </c>
      <c r="M104" s="259" t="s">
        <v>283</v>
      </c>
      <c r="N104" s="260" t="s">
        <v>284</v>
      </c>
      <c r="O104" s="260" t="s">
        <v>238</v>
      </c>
      <c r="P104" s="260" t="s">
        <v>282</v>
      </c>
      <c r="Q104" s="259" t="s">
        <v>283</v>
      </c>
      <c r="R104" s="260" t="s">
        <v>284</v>
      </c>
      <c r="S104" s="260" t="s">
        <v>238</v>
      </c>
      <c r="T104" s="261" t="s">
        <v>282</v>
      </c>
      <c r="U104" s="260" t="s">
        <v>283</v>
      </c>
      <c r="V104" s="341" t="s">
        <v>284</v>
      </c>
      <c r="W104" s="326" t="s">
        <v>238</v>
      </c>
      <c r="X104" s="327" t="s">
        <v>282</v>
      </c>
      <c r="Y104" s="325" t="s">
        <v>283</v>
      </c>
      <c r="Z104" s="323" t="s">
        <v>284</v>
      </c>
      <c r="AA104" s="326" t="s">
        <v>238</v>
      </c>
      <c r="AB104" s="326" t="s">
        <v>282</v>
      </c>
      <c r="AC104" s="325" t="s">
        <v>283</v>
      </c>
      <c r="AD104" s="323" t="s">
        <v>284</v>
      </c>
      <c r="AE104" s="326" t="s">
        <v>238</v>
      </c>
      <c r="AF104" s="326" t="s">
        <v>282</v>
      </c>
      <c r="AG104" s="357" t="s">
        <v>283</v>
      </c>
      <c r="AH104" s="406"/>
    </row>
    <row r="105">
      <c r="D105" s="945" t="s">
        <v>500</v>
      </c>
      <c r="E105" s="984"/>
      <c r="F105" s="446" t="n">
        <f t="shared" ref="F105:AC105" si="41">F106+F107</f>
        <v>0</v>
      </c>
      <c r="G105" s="446" t="n">
        <f t="shared" si="41"/>
        <v>0</v>
      </c>
      <c r="H105" s="446" t="n">
        <f t="shared" si="41"/>
        <v>0</v>
      </c>
      <c r="I105" s="446" t="n">
        <f t="shared" si="41"/>
        <v>15134.800000000001</v>
      </c>
      <c r="J105" s="446" t="n">
        <f t="shared" si="41"/>
        <v>14265.5</v>
      </c>
      <c r="K105" s="446" t="n">
        <f t="shared" si="41"/>
        <v>14943.5</v>
      </c>
      <c r="L105" s="446" t="n">
        <f t="shared" si="41"/>
        <v>15319.300000000001</v>
      </c>
      <c r="M105" s="446" t="n">
        <f t="shared" si="41"/>
        <v>15399.800000000001</v>
      </c>
      <c r="N105" s="446" t="n">
        <f t="shared" si="41"/>
        <v>15959.6</v>
      </c>
      <c r="O105" s="446" t="n">
        <f t="shared" si="41"/>
        <v>16325.6</v>
      </c>
      <c r="P105" s="446" t="n">
        <f t="shared" si="41"/>
        <v>16677.3</v>
      </c>
      <c r="Q105" s="446" t="n">
        <f t="shared" si="41"/>
        <v>16822.5</v>
      </c>
      <c r="R105" s="446" t="n">
        <f t="shared" si="41"/>
        <v>17045.7</v>
      </c>
      <c r="S105" s="446" t="n">
        <f t="shared" si="41"/>
        <v>17425.3</v>
      </c>
      <c r="T105" s="961" t="n">
        <f t="shared" si="41"/>
        <v>17575.3</v>
      </c>
      <c r="U105" s="446" t="n">
        <f t="shared" si="41"/>
        <v>17915.599999999999</v>
      </c>
      <c r="V105" s="446" t="n">
        <f t="shared" si="41"/>
        <v>18121.099999999999</v>
      </c>
      <c r="W105" s="446" t="n">
        <f>W106+W107</f>
        <v>18358</v>
      </c>
      <c r="X105" s="446" t="n">
        <f t="shared" si="41"/>
        <v>18587</v>
      </c>
      <c r="Y105" s="987" t="n">
        <f t="shared" si="41"/>
        <v>18861</v>
      </c>
      <c r="Z105" s="987" t="n">
        <f t="shared" si="41"/>
        <v>19328.199999999997</v>
      </c>
      <c r="AA105" s="987" t="n">
        <f t="shared" si="41"/>
        <v>19684.3</v>
      </c>
      <c r="AB105" s="987" t="n">
        <f t="shared" si="41"/>
        <v>19956.400000000001</v>
      </c>
      <c r="AC105" s="987" t="n">
        <f t="shared" si="41"/>
        <v>20210.8</v>
      </c>
      <c r="AD105" s="987" t="n">
        <f t="shared" ref="AD105:AH105" si="42">AD106+AD107</f>
        <v>20461.5</v>
      </c>
      <c r="AE105" s="987" t="n">
        <f t="shared" si="42"/>
        <v>20706.900000000001</v>
      </c>
      <c r="AF105" s="987" t="n">
        <f t="shared" si="42"/>
        <v>20958.7</v>
      </c>
      <c r="AG105" s="986" t="n">
        <f t="shared" si="42"/>
        <v>21195.9</v>
      </c>
      <c r="AH105" s="986" t="n">
        <f t="shared" si="42"/>
        <v>21422</v>
      </c>
    </row>
    <row r="106">
      <c r="D106" s="787" t="s">
        <v>501</v>
      </c>
      <c r="E106" s="712"/>
      <c r="F106" s="513"/>
      <c r="G106" s="513"/>
      <c r="H106" s="513"/>
      <c r="I106" s="280" t="n">
        <v>9624.7000000000007</v>
      </c>
      <c r="J106" s="530" t="n">
        <v>8995.7000000000007</v>
      </c>
      <c r="K106" s="530" t="n">
        <v>9425.4</v>
      </c>
      <c r="L106" s="530" t="n">
        <v>9783.7000000000007</v>
      </c>
      <c r="M106" s="530" t="n">
        <v>9878.7000000000007</v>
      </c>
      <c r="N106" s="530" t="n">
        <v>10170</v>
      </c>
      <c r="O106" s="530" t="n">
        <v>10447.700000000001</v>
      </c>
      <c r="P106" s="530" t="n">
        <v>10754.1</v>
      </c>
      <c r="Q106" s="530" t="n">
        <v>10886.7</v>
      </c>
      <c r="R106" s="530" t="n">
        <v>10988.9</v>
      </c>
      <c r="S106" s="530" t="n">
        <v>11271.4</v>
      </c>
      <c r="T106" s="530" t="n">
        <v>11317</v>
      </c>
      <c r="U106" s="530" t="n">
        <v>11565.4</v>
      </c>
      <c r="V106" s="530" t="n">
        <v>11733.3</v>
      </c>
      <c r="W106" s="530" t="n">
        <v>11917.5</v>
      </c>
      <c r="X106" s="530" t="n">
        <v>12049</v>
      </c>
      <c r="Y106" s="777" t="n">
        <v>12238.2</v>
      </c>
      <c r="Z106" s="777" t="n">
        <v>12410.3</v>
      </c>
      <c r="AA106" s="777" t="n">
        <v>12561.1</v>
      </c>
      <c r="AB106" s="777" t="n">
        <v>12703.8</v>
      </c>
      <c r="AC106" s="777" t="n">
        <v>12842</v>
      </c>
      <c r="AD106" s="777" t="n">
        <v>12980.8</v>
      </c>
      <c r="AE106" s="777" t="n">
        <v>13118</v>
      </c>
      <c r="AF106" s="777" t="n">
        <v>13255.1</v>
      </c>
      <c r="AG106" s="992" t="n">
        <v>13389.6</v>
      </c>
      <c r="AH106" t="n">
        <v>13523.9</v>
      </c>
      <c r="AI106" t="n">
        <v>13657.4</v>
      </c>
      <c r="AJ106" t="n">
        <v>13786.3</v>
      </c>
      <c r="AK106" t="n">
        <v>13919.5</v>
      </c>
      <c r="AL106" t="n">
        <v>14052.5</v>
      </c>
      <c r="AM106" t="n">
        <v>14186.3</v>
      </c>
      <c r="AN106" t="n">
        <v>14318</v>
      </c>
      <c r="AO106" t="n">
        <v>14454.9</v>
      </c>
      <c r="AP106" t="n">
        <v>14594.1</v>
      </c>
      <c r="AQ106" t="n">
        <v>14734.9</v>
      </c>
      <c r="AR106" t="n">
        <v>14873.8</v>
      </c>
      <c r="AS106" t="n">
        <v>15016.8</v>
      </c>
      <c r="AT106" t="n">
        <v>15161.1</v>
      </c>
      <c r="AU106" t="n">
        <v>15306.5</v>
      </c>
      <c r="AV106" t="n">
        <v>15449.3</v>
      </c>
      <c r="AW106" t="n">
        <v>15596</v>
      </c>
      <c r="AX106" t="n">
        <v>15743.5</v>
      </c>
      <c r="AY106" t="n">
        <v>15892</v>
      </c>
      <c r="AZ106" t="n">
        <v>16036.9</v>
      </c>
      <c r="BA106" t="n">
        <v>16187.6</v>
      </c>
      <c r="BB106" t="n">
        <v>16339.5</v>
      </c>
      <c r="BC106" t="n">
        <v>16492.599999999999</v>
      </c>
      <c r="BD106" t="n">
        <v>16640.900000000001</v>
      </c>
      <c r="BE106" t="n">
        <v>16794.7</v>
      </c>
      <c r="BF106" t="n">
        <v>16949.900000000001</v>
      </c>
      <c r="BG106" t="n">
        <v>17106</v>
      </c>
      <c r="BH106" t="n">
        <v>17257.8</v>
      </c>
      <c r="BI106" t="n">
        <v>17415.7</v>
      </c>
      <c r="BJ106" t="n">
        <v>17574.7</v>
      </c>
      <c r="BK106" t="n">
        <v>17734.5</v>
      </c>
      <c r="BL106" t="n">
        <v>17895.5</v>
      </c>
      <c r="BM106" t="n">
        <v>18057.8</v>
      </c>
      <c r="BN106" t="n">
        <v>18221.7</v>
      </c>
      <c r="BO106" t="n">
        <v>18387.8</v>
      </c>
      <c r="BP106" t="n">
        <v>18556.3</v>
      </c>
    </row>
    <row r="107">
      <c r="D107" s="329" t="s">
        <v>895</v>
      </c>
      <c r="E107" s="665"/>
      <c r="F107" s="513"/>
      <c r="G107" s="513"/>
      <c r="H107" s="513"/>
      <c r="I107" s="530" t="n">
        <v>5510.1</v>
      </c>
      <c r="J107" s="530" t="n">
        <v>5269.8</v>
      </c>
      <c r="K107" s="530" t="n">
        <v>5518.1</v>
      </c>
      <c r="L107" s="530" t="n">
        <v>5535.6</v>
      </c>
      <c r="M107" s="530" t="n">
        <v>5521.1</v>
      </c>
      <c r="N107" s="530" t="n">
        <v>5789.6</v>
      </c>
      <c r="O107" s="530" t="n">
        <v>5877.9</v>
      </c>
      <c r="P107" s="530" t="n">
        <v>5923.2</v>
      </c>
      <c r="Q107" s="530" t="n">
        <v>5935.8</v>
      </c>
      <c r="R107" s="530" t="n">
        <v>6056.8</v>
      </c>
      <c r="S107" s="530" t="n">
        <v>6153.9</v>
      </c>
      <c r="T107" s="530" t="n">
        <v>6258.3</v>
      </c>
      <c r="U107" s="530" t="n">
        <v>6350.2</v>
      </c>
      <c r="V107" s="530" t="n">
        <v>6387.8</v>
      </c>
      <c r="W107" s="530" t="n">
        <v>6440.5</v>
      </c>
      <c r="X107" s="530" t="n">
        <v>6538</v>
      </c>
      <c r="Y107" s="777" t="n">
        <v>6622.8</v>
      </c>
      <c r="Z107" s="777" t="n">
        <v>6917.9</v>
      </c>
      <c r="AA107" s="777" t="n">
        <v>7123.2</v>
      </c>
      <c r="AB107" s="777" t="n">
        <v>7252.6</v>
      </c>
      <c r="AC107" s="777" t="n">
        <v>7368.8</v>
      </c>
      <c r="AD107" s="777" t="n">
        <v>7480.7</v>
      </c>
      <c r="AE107" s="777" t="n">
        <v>7588.9</v>
      </c>
      <c r="AF107" s="777" t="n">
        <v>7703.6</v>
      </c>
      <c r="AG107" s="992" t="n">
        <v>7806.3</v>
      </c>
      <c r="AH107" t="n">
        <v>7898.1</v>
      </c>
      <c r="AI107" t="n">
        <v>7980.1</v>
      </c>
      <c r="AJ107" t="n">
        <v>8046.4</v>
      </c>
      <c r="AK107" t="n">
        <v>8109.6</v>
      </c>
      <c r="AL107" t="n">
        <v>8174.2</v>
      </c>
      <c r="AM107" t="n">
        <v>8244.5</v>
      </c>
      <c r="AN107" t="n">
        <v>8320.6</v>
      </c>
      <c r="AO107" t="n">
        <v>8405.2000000000007</v>
      </c>
      <c r="AP107" t="n">
        <v>8493.1</v>
      </c>
      <c r="AQ107" t="n">
        <v>8577.5</v>
      </c>
      <c r="AR107" t="n">
        <v>8661.2000000000007</v>
      </c>
      <c r="AS107" t="n">
        <v>8744.5</v>
      </c>
      <c r="AT107" t="n">
        <v>8829.2999999999993</v>
      </c>
      <c r="AU107" t="n">
        <v>8916.2999999999993</v>
      </c>
      <c r="AV107" t="n">
        <v>9007.5</v>
      </c>
      <c r="AW107" t="n">
        <v>9103.1</v>
      </c>
      <c r="AX107" t="n">
        <v>9198.1</v>
      </c>
      <c r="AY107" t="n">
        <v>9293.2000000000007</v>
      </c>
      <c r="AZ107" t="n">
        <v>9389.7999999999993</v>
      </c>
      <c r="BA107" t="n">
        <v>9488</v>
      </c>
      <c r="BB107" t="n">
        <v>9588.2000000000007</v>
      </c>
      <c r="BC107" t="n">
        <v>9688.9</v>
      </c>
      <c r="BD107" t="n">
        <v>9791.6</v>
      </c>
      <c r="BE107" t="n">
        <v>9896.2999999999993</v>
      </c>
      <c r="BF107" t="n">
        <v>10000.6</v>
      </c>
      <c r="BG107" t="n">
        <v>10103.6</v>
      </c>
      <c r="BH107" t="n">
        <v>10206.200000000001</v>
      </c>
      <c r="BI107" t="n">
        <v>10307.5</v>
      </c>
      <c r="BJ107" t="n">
        <v>10409.1</v>
      </c>
      <c r="BK107" t="n">
        <v>10513.6</v>
      </c>
      <c r="BL107" t="n">
        <v>10627.5</v>
      </c>
      <c r="BM107" t="n">
        <v>10741.4</v>
      </c>
      <c r="BN107" t="n">
        <v>10856.5</v>
      </c>
      <c r="BO107" t="n">
        <v>10971.8</v>
      </c>
      <c r="BP107" t="n">
        <v>11088.6</v>
      </c>
    </row>
    <row r="108">
      <c r="D108" s="329" t="s">
        <v>502</v>
      </c>
      <c r="E108" s="665"/>
      <c r="F108" s="513"/>
      <c r="G108" s="513"/>
      <c r="H108" s="513"/>
      <c r="I108" s="530" t="n">
        <v>14440.2</v>
      </c>
      <c r="J108" s="530" t="n">
        <v>13049.8</v>
      </c>
      <c r="K108" s="530" t="n">
        <v>14388.7</v>
      </c>
      <c r="L108" s="530" t="n">
        <v>14586</v>
      </c>
      <c r="M108" s="530" t="n">
        <v>15217.7</v>
      </c>
      <c r="N108" s="530" t="n">
        <v>15950.9</v>
      </c>
      <c r="O108" s="530" t="n">
        <v>16285.1</v>
      </c>
      <c r="P108" s="530" t="n">
        <v>16718.2</v>
      </c>
      <c r="Q108" s="530" t="n">
        <v>17030.599999999999</v>
      </c>
      <c r="R108" s="530" t="n">
        <v>17415.099999999999</v>
      </c>
      <c r="S108" s="530" t="n">
        <v>17684.2</v>
      </c>
      <c r="T108" s="530" t="n">
        <v>17917</v>
      </c>
      <c r="U108" s="530" t="n">
        <v>18269.599999999999</v>
      </c>
      <c r="V108" s="530" t="n">
        <v>18419</v>
      </c>
      <c r="W108" s="530" t="n">
        <v>18679.5</v>
      </c>
      <c r="X108" s="530" t="n">
        <v>18914.5</v>
      </c>
      <c r="Y108" s="777" t="n">
        <v>19191.599999999999</v>
      </c>
      <c r="Z108" s="777" t="n">
        <v>19506.599999999999</v>
      </c>
      <c r="AA108" s="777" t="n">
        <v>19739.8</v>
      </c>
      <c r="AB108" s="777" t="n">
        <v>19911.8</v>
      </c>
      <c r="AC108" s="777" t="n">
        <v>20098.5</v>
      </c>
      <c r="AD108" s="777" t="n">
        <v>20285.8</v>
      </c>
      <c r="AE108" s="777" t="n">
        <v>20464.099999999999</v>
      </c>
      <c r="AF108" s="777" t="n">
        <v>20636.599999999999</v>
      </c>
      <c r="AG108" s="992" t="n">
        <v>20786.400000000001</v>
      </c>
      <c r="AH108" t="n">
        <v>20949.8</v>
      </c>
      <c r="AI108" t="n">
        <v>21122.799999999999</v>
      </c>
      <c r="AJ108" t="n">
        <v>21304.1</v>
      </c>
      <c r="AK108" t="n">
        <v>21479.7</v>
      </c>
      <c r="AL108" t="n">
        <v>21659.5</v>
      </c>
      <c r="AM108" t="n">
        <v>21842.799999999999</v>
      </c>
      <c r="AN108" t="n">
        <v>22030.5</v>
      </c>
      <c r="AO108" t="n">
        <v>22229.7</v>
      </c>
      <c r="AP108" t="n">
        <v>22441.1</v>
      </c>
      <c r="AQ108" t="n">
        <v>22659.200000000001</v>
      </c>
      <c r="AR108" t="n">
        <v>22881.599999999999</v>
      </c>
      <c r="AS108" t="n">
        <v>23107.1</v>
      </c>
      <c r="AT108" t="n">
        <v>23342.5</v>
      </c>
      <c r="AU108" t="n">
        <v>23580.400000000001</v>
      </c>
      <c r="AV108" t="n">
        <v>23821.599999999999</v>
      </c>
      <c r="AW108" t="n">
        <v>24060.6</v>
      </c>
      <c r="AX108" t="n">
        <v>24308.3</v>
      </c>
      <c r="AY108" t="n">
        <v>24560.1</v>
      </c>
      <c r="AZ108" t="n">
        <v>24811.200000000001</v>
      </c>
      <c r="BA108" t="n">
        <v>25066.3</v>
      </c>
      <c r="BB108" t="n">
        <v>25325.5</v>
      </c>
      <c r="BC108" t="n">
        <v>25589.4</v>
      </c>
      <c r="BD108" t="n">
        <v>25868.400000000001</v>
      </c>
      <c r="BE108" t="n">
        <v>26142.400000000001</v>
      </c>
      <c r="BF108" t="n">
        <v>26418</v>
      </c>
      <c r="BG108" t="n">
        <v>26693</v>
      </c>
      <c r="BH108" t="n">
        <v>26968</v>
      </c>
      <c r="BI108" t="n">
        <v>27246.7</v>
      </c>
      <c r="BJ108" t="n">
        <v>27528.2</v>
      </c>
      <c r="BK108" t="n">
        <v>27813.200000000001</v>
      </c>
      <c r="BL108" t="n">
        <v>28100.799999999999</v>
      </c>
      <c r="BM108" t="n">
        <v>28391.5</v>
      </c>
      <c r="BN108" t="n">
        <v>28683.8</v>
      </c>
      <c r="BO108" t="n">
        <v>28978.400000000001</v>
      </c>
      <c r="BP108" t="n">
        <v>29274.3</v>
      </c>
    </row>
    <row r="109">
      <c r="D109" s="833" t="s">
        <v>1935</v>
      </c>
      <c r="E109" s="687"/>
      <c r="F109" s="687"/>
      <c r="G109" s="687"/>
      <c r="H109" s="1011"/>
      <c r="I109" s="990" t="n">
        <v>1736.3</v>
      </c>
      <c r="J109" s="990" t="n">
        <v>1597.1</v>
      </c>
      <c r="K109" s="990" t="n">
        <v>2041.1</v>
      </c>
      <c r="L109" s="990" t="n">
        <v>1947.4</v>
      </c>
      <c r="M109" s="990" t="n">
        <v>2280.4</v>
      </c>
      <c r="N109" s="990" t="n">
        <v>2580</v>
      </c>
      <c r="O109" s="990" t="n">
        <v>2541.1</v>
      </c>
      <c r="P109" s="990" t="n">
        <v>2555</v>
      </c>
      <c r="Q109" s="990" t="n">
        <v>2604.4</v>
      </c>
      <c r="R109" s="990" t="n">
        <v>2781.5</v>
      </c>
      <c r="S109" s="990" t="n">
        <v>2809</v>
      </c>
      <c r="T109" s="990" t="n">
        <v>2748.4</v>
      </c>
      <c r="U109" s="990" t="n">
        <v>2673.1</v>
      </c>
      <c r="V109" s="990" t="n">
        <v>2658</v>
      </c>
      <c r="W109" s="990" t="n">
        <v>2757.8</v>
      </c>
      <c r="X109" s="990" t="n">
        <v>2900.3</v>
      </c>
      <c r="Y109" s="991" t="n">
        <v>2860.5</v>
      </c>
      <c r="Z109" s="991" t="n">
        <v>2913</v>
      </c>
      <c r="AA109" s="991" t="n">
        <v>2958.5</v>
      </c>
      <c r="AB109" s="991" t="n">
        <v>2980.8</v>
      </c>
      <c r="AC109" s="991" t="n">
        <v>3008.1</v>
      </c>
      <c r="AD109" s="991" t="n">
        <v>3035.3</v>
      </c>
      <c r="AE109" s="991" t="n">
        <v>3052.6</v>
      </c>
      <c r="AF109" s="991" t="n">
        <v>3054.1</v>
      </c>
      <c r="AG109" s="993" t="n">
        <v>3040.7</v>
      </c>
      <c r="AH109" t="n">
        <v>3038.5</v>
      </c>
      <c r="AI109" t="n">
        <v>3046.6</v>
      </c>
      <c r="AJ109" t="n">
        <v>3065.6</v>
      </c>
      <c r="AK109" t="n">
        <v>3073.9</v>
      </c>
      <c r="AL109" t="n">
        <v>3078.4</v>
      </c>
      <c r="AM109" t="n">
        <v>3078.6</v>
      </c>
      <c r="AN109" t="n">
        <v>3087.1</v>
      </c>
      <c r="AO109" t="n">
        <v>3087.3</v>
      </c>
      <c r="AP109" t="n">
        <v>3092.4</v>
      </c>
      <c r="AQ109" t="n">
        <v>3097</v>
      </c>
      <c r="AR109" t="n">
        <v>3111</v>
      </c>
      <c r="AS109" t="n">
        <v>3123.3</v>
      </c>
      <c r="AT109" t="n">
        <v>3140.7</v>
      </c>
      <c r="AU109" t="n">
        <v>3157.2</v>
      </c>
      <c r="AV109" t="n">
        <v>3188.9</v>
      </c>
      <c r="AW109" t="n">
        <v>3210.6</v>
      </c>
      <c r="AX109" t="n">
        <v>3237</v>
      </c>
      <c r="AY109" t="n">
        <v>3261.4</v>
      </c>
      <c r="AZ109" t="n">
        <v>3297</v>
      </c>
      <c r="BA109" t="n">
        <v>3322.8</v>
      </c>
      <c r="BB109" t="n">
        <v>3352.1</v>
      </c>
      <c r="BC109" t="n">
        <v>3378.8</v>
      </c>
      <c r="BD109" t="n">
        <v>3422.6</v>
      </c>
      <c r="BE109" t="n">
        <v>3449.9</v>
      </c>
      <c r="BF109" t="n">
        <v>3480.4</v>
      </c>
      <c r="BG109" t="n">
        <v>3508.6</v>
      </c>
      <c r="BH109" t="n">
        <v>3548.1</v>
      </c>
      <c r="BI109" t="n">
        <v>3576.2</v>
      </c>
      <c r="BJ109" t="n">
        <v>3607.8</v>
      </c>
      <c r="BK109" t="n">
        <v>3635.6</v>
      </c>
      <c r="BL109" t="n">
        <v>3674.3</v>
      </c>
      <c r="BM109" t="n">
        <v>3704.5</v>
      </c>
      <c r="BN109" t="n">
        <v>3737.4</v>
      </c>
      <c r="BO109" t="n">
        <v>3768.1</v>
      </c>
      <c r="BP109" t="n">
        <v>3807.3</v>
      </c>
    </row>
    <row r="110" ht="18.75" customHeight="1"/>
    <row r="111">
      <c r="D111" s="946"/>
      <c r="E111" s="712"/>
      <c r="F111" s="712"/>
      <c r="G111" s="712"/>
      <c r="H111" s="513"/>
      <c r="I111" s="513"/>
      <c r="J111" s="513"/>
      <c r="K111" s="513"/>
      <c r="L111" s="513"/>
      <c r="M111" s="513"/>
      <c r="N111" s="513"/>
      <c r="O111" s="513"/>
      <c r="P111" s="513"/>
      <c r="Q111" s="513"/>
      <c r="R111" s="513"/>
      <c r="S111" s="513"/>
      <c r="T111" s="513"/>
      <c r="U111" s="513"/>
      <c r="V111" s="513"/>
      <c r="W111" s="513"/>
      <c r="X111" s="513"/>
      <c r="Y111" s="513"/>
      <c r="Z111" s="914"/>
      <c r="AA111" s="513"/>
      <c r="AB111" s="513"/>
      <c r="AC111" s="513"/>
    </row>
    <row r="112">
      <c r="D112" s="611"/>
      <c r="AC112" s="85"/>
    </row>
    <row r="113">
      <c r="D113" s="770" t="s">
        <v>508</v>
      </c>
      <c r="E113" s="890"/>
      <c r="F113" s="269" t="n">
        <v>2019</v>
      </c>
      <c r="G113" s="270"/>
      <c r="H113" s="271"/>
      <c r="I113" s="270" t="n">
        <v>2020</v>
      </c>
      <c r="J113" s="270"/>
      <c r="K113" s="270"/>
      <c r="L113" s="271"/>
      <c r="M113" s="269" t="n">
        <v>2021</v>
      </c>
      <c r="N113" s="270"/>
      <c r="O113" s="270"/>
      <c r="P113" s="270"/>
      <c r="Q113" s="269" t="n">
        <v>2022</v>
      </c>
      <c r="R113" s="358"/>
      <c r="S113" s="358"/>
      <c r="T113" s="271"/>
      <c r="U113" s="343"/>
      <c r="V113" s="343" t="n">
        <v>2023</v>
      </c>
      <c r="W113" s="662"/>
      <c r="X113" s="316"/>
      <c r="Y113" s="255" t="n">
        <v>2024</v>
      </c>
      <c r="Z113" s="347"/>
      <c r="AA113" s="347"/>
      <c r="AB113" s="256"/>
      <c r="AC113" s="255" t="n">
        <v>2025</v>
      </c>
      <c r="AD113" s="347"/>
      <c r="AE113" s="347"/>
      <c r="AF113" s="256"/>
      <c r="AG113" s="255" t="n">
        <v>2026</v>
      </c>
      <c r="AH113" s="256"/>
    </row>
    <row r="114">
      <c r="D114" s="891"/>
      <c r="E114" s="892"/>
      <c r="F114" s="259" t="s">
        <v>284</v>
      </c>
      <c r="G114" s="260" t="s">
        <v>238</v>
      </c>
      <c r="H114" s="261" t="s">
        <v>282</v>
      </c>
      <c r="I114" s="260" t="s">
        <v>283</v>
      </c>
      <c r="J114" s="260" t="s">
        <v>284</v>
      </c>
      <c r="K114" s="260" t="s">
        <v>238</v>
      </c>
      <c r="L114" s="261" t="s">
        <v>282</v>
      </c>
      <c r="M114" s="259" t="s">
        <v>283</v>
      </c>
      <c r="N114" s="260" t="s">
        <v>284</v>
      </c>
      <c r="O114" s="260" t="s">
        <v>238</v>
      </c>
      <c r="P114" s="260" t="s">
        <v>282</v>
      </c>
      <c r="Q114" s="259" t="s">
        <v>283</v>
      </c>
      <c r="R114" s="260" t="s">
        <v>284</v>
      </c>
      <c r="S114" s="260" t="s">
        <v>238</v>
      </c>
      <c r="T114" s="261" t="s">
        <v>282</v>
      </c>
      <c r="U114" s="259" t="s">
        <v>283</v>
      </c>
      <c r="V114" s="341" t="s">
        <v>284</v>
      </c>
      <c r="W114" s="326" t="s">
        <v>238</v>
      </c>
      <c r="X114" s="327" t="s">
        <v>282</v>
      </c>
      <c r="Y114" s="325" t="s">
        <v>283</v>
      </c>
      <c r="Z114" s="323" t="s">
        <v>284</v>
      </c>
      <c r="AA114" s="326" t="s">
        <v>238</v>
      </c>
      <c r="AB114" s="326" t="s">
        <v>282</v>
      </c>
      <c r="AC114" s="325" t="s">
        <v>283</v>
      </c>
      <c r="AD114" s="323" t="s">
        <v>284</v>
      </c>
      <c r="AE114" s="326" t="s">
        <v>238</v>
      </c>
      <c r="AF114" s="326" t="s">
        <v>282</v>
      </c>
      <c r="AG114" s="325" t="s">
        <v>283</v>
      </c>
      <c r="AH114" s="327" t="s">
        <v>284</v>
      </c>
    </row>
    <row r="115">
      <c r="D115" s="888" t="s">
        <v>509</v>
      </c>
      <c r="E115" s="889"/>
      <c r="F115" s="309"/>
      <c r="G115" s="373"/>
      <c r="H115" s="373"/>
      <c r="I115" s="373"/>
      <c r="J115" s="373"/>
      <c r="K115" s="373"/>
      <c r="L115" s="373"/>
      <c r="M115" s="373"/>
      <c r="N115" s="373"/>
      <c r="O115" s="373"/>
      <c r="P115" s="373"/>
      <c r="Q115" s="373"/>
      <c r="R115" s="373"/>
      <c r="S115" s="373"/>
      <c r="T115" s="342"/>
      <c r="U115" s="373"/>
      <c r="V115" s="373"/>
      <c r="W115" s="342"/>
      <c r="X115" s="342"/>
      <c r="Y115" s="342"/>
      <c r="Z115" s="342"/>
      <c r="AA115" s="342"/>
      <c r="AB115" s="342"/>
      <c r="AC115" s="373"/>
    </row>
    <row r="116">
      <c r="D116" s="618" t="s">
        <v>482</v>
      </c>
      <c r="F116" s="1012"/>
      <c r="G116" s="1039"/>
      <c r="H116" s="1039" t="n">
        <f t="shared" ref="H116:Z116" si="43">H10/H123</f>
        <v>0.11759515065945329</v>
      </c>
      <c r="I116" s="1039" t="n">
        <f t="shared" si="43"/>
        <v>0.11879897315968442</v>
      </c>
      <c r="J116" s="1039" t="n">
        <f t="shared" si="43"/>
        <v>0.11632832053393799</v>
      </c>
      <c r="K116" s="1039" t="n">
        <f t="shared" si="43"/>
        <v>0.11840135478408127</v>
      </c>
      <c r="L116" s="1039" t="n">
        <f t="shared" si="43"/>
        <v>0.12252813966462116</v>
      </c>
      <c r="M116" s="1039" t="n">
        <f t="shared" si="43"/>
        <v>0.1306605059249549</v>
      </c>
      <c r="N116" s="1039" t="n">
        <f t="shared" si="43"/>
        <v>0.13265203887386032</v>
      </c>
      <c r="O116" s="1039" t="n">
        <f t="shared" si="43"/>
        <v>0.1346644712277115</v>
      </c>
      <c r="P116" s="1039" t="n">
        <f t="shared" si="43"/>
        <v>0.13573367367115458</v>
      </c>
      <c r="Q116" s="1039" t="n">
        <f t="shared" si="43"/>
        <v>0.1488843620641529</v>
      </c>
      <c r="R116" s="1039" t="n">
        <f t="shared" si="43"/>
        <v>0.14668284362856288</v>
      </c>
      <c r="S116" s="1037" t="n">
        <f t="shared" si="43"/>
        <v>0.14459192156637904</v>
      </c>
      <c r="T116" s="1037" t="n">
        <f t="shared" si="43"/>
        <v>0.14154488043064295</v>
      </c>
      <c r="U116" s="1037" t="n">
        <f t="shared" si="43"/>
        <v>0.12162546494833289</v>
      </c>
      <c r="V116" s="1037" t="n">
        <f t="shared" si="43"/>
        <v>0.1199155392367658</v>
      </c>
      <c r="W116" s="1037" t="n">
        <f t="shared" si="43"/>
        <v>0.11910968409022883</v>
      </c>
      <c r="X116" s="1037" t="n">
        <f t="shared" si="43"/>
        <v>0.11870086281789094</v>
      </c>
      <c r="Y116" s="1037" t="n">
        <f t="shared" si="43"/>
        <v>0.12597758220214375</v>
      </c>
      <c r="Z116" s="1037" t="n">
        <f t="shared" si="43"/>
        <v>0.12688116379925099</v>
      </c>
      <c r="AA116" s="1038" t="n">
        <f t="shared" ref="AA116:AC116" si="44">Z116+AA117</f>
        <v>0.12688116379925099</v>
      </c>
      <c r="AB116" s="1038" t="n">
        <f t="shared" si="44"/>
        <v>0.12688116379925099</v>
      </c>
      <c r="AC116" s="1038" t="n">
        <f t="shared" si="44"/>
        <v>0.12688116379925099</v>
      </c>
      <c r="AD116" s="1038" t="n">
        <f t="shared" ref="AD116" si="45">AC116+AD117</f>
        <v>0.12688116379925099</v>
      </c>
      <c r="AE116" s="1038" t="n">
        <f t="shared" ref="AE116" si="46">AD116+AE117</f>
        <v>0.12688116379925099</v>
      </c>
      <c r="AF116" s="1038" t="n">
        <f t="shared" ref="AF116" si="47">AE116+AF117</f>
        <v>0.12688116379925099</v>
      </c>
      <c r="AG116" s="1038" t="n">
        <f>AF116+AG117</f>
        <v>0.12688116379925099</v>
      </c>
      <c r="AH116" s="1038"/>
    </row>
    <row r="117">
      <c r="D117" s="618" t="s">
        <v>892</v>
      </c>
      <c r="F117" s="1012"/>
      <c r="G117" s="1039"/>
      <c r="H117" s="1039"/>
      <c r="I117" s="1039"/>
      <c r="J117" s="1039"/>
      <c r="K117" s="1039"/>
      <c r="L117" s="1039"/>
      <c r="M117" s="1039"/>
      <c r="N117" s="1039"/>
      <c r="O117" s="1039"/>
      <c r="P117" s="1039"/>
      <c r="Q117" s="1039"/>
      <c r="R117" s="1039"/>
      <c r="S117" s="1037"/>
      <c r="T117" s="1037"/>
      <c r="U117" s="1037"/>
      <c r="V117" s="1037"/>
      <c r="W117" s="1039"/>
      <c r="X117" s="1039"/>
      <c r="Y117" s="1038"/>
      <c r="Z117" s="1038"/>
      <c r="AA117" s="1038"/>
      <c r="AB117" s="1038"/>
      <c r="AC117" s="1038"/>
      <c r="AD117" s="1038"/>
      <c r="AE117" s="1038"/>
      <c r="AF117" s="1038"/>
      <c r="AG117" s="1038"/>
      <c r="AH117" s="1038"/>
    </row>
    <row r="118">
      <c r="D118" s="618" t="s">
        <v>483</v>
      </c>
      <c r="F118" s="1012"/>
      <c r="G118" s="1039"/>
      <c r="H118" s="1039" t="n">
        <f t="shared" ref="H118:Z118" si="48">H12/H128</f>
        <v>0.15049219029952995</v>
      </c>
      <c r="I118" s="1039" t="n">
        <f t="shared" si="48"/>
        <v>0.15082140744507519</v>
      </c>
      <c r="J118" s="1039" t="n">
        <f t="shared" si="48"/>
        <v>0.15364369322346355</v>
      </c>
      <c r="K118" s="1039" t="n">
        <f t="shared" si="48"/>
        <v>0.15173662969906893</v>
      </c>
      <c r="L118" s="1039" t="n">
        <f t="shared" si="48"/>
        <v>0.14977874752747813</v>
      </c>
      <c r="M118" s="1039" t="n">
        <f t="shared" si="48"/>
        <v>0.15013551231746289</v>
      </c>
      <c r="N118" s="1039" t="n">
        <f t="shared" si="48"/>
        <v>0.14928290766208252</v>
      </c>
      <c r="O118" s="1039" t="n">
        <f t="shared" si="48"/>
        <v>0.14884645906435542</v>
      </c>
      <c r="P118" s="1039" t="n">
        <f t="shared" si="48"/>
        <v>0.14893182240386402</v>
      </c>
      <c r="Q118" s="1039" t="n">
        <f t="shared" si="48"/>
        <v>0.15097091386063236</v>
      </c>
      <c r="R118" s="1039" t="n">
        <f t="shared" si="48"/>
        <v>0.15155480435454263</v>
      </c>
      <c r="S118" s="1037" t="n">
        <f t="shared" si="48"/>
        <v>0.15145823735780856</v>
      </c>
      <c r="T118" s="1037" t="n">
        <f t="shared" si="48"/>
        <v>0.15146328336612525</v>
      </c>
      <c r="U118" s="1037" t="n">
        <f t="shared" si="48"/>
        <v>0.15183173745240419</v>
      </c>
      <c r="V118" s="1037" t="n">
        <f t="shared" si="48"/>
        <v>0.1513684174694489</v>
      </c>
      <c r="W118" s="1037" t="n">
        <f t="shared" si="48"/>
        <v>0.15093422706325932</v>
      </c>
      <c r="X118" s="1037" t="n">
        <f t="shared" si="48"/>
        <v>0.15081330298558485</v>
      </c>
      <c r="Y118" s="1037" t="n">
        <f t="shared" si="48"/>
        <v>0.15178909270379204</v>
      </c>
      <c r="Z118" s="1037" t="n">
        <f t="shared" si="48"/>
        <v>0.15150924233191143</v>
      </c>
      <c r="AA118" s="1038" t="n">
        <f t="shared" ref="AA118:AC118" si="49">Z118</f>
        <v>0.15150924233191143</v>
      </c>
      <c r="AB118" s="1038" t="n">
        <f t="shared" si="49"/>
        <v>0.15150924233191143</v>
      </c>
      <c r="AC118" s="1038" t="n">
        <f t="shared" si="49"/>
        <v>0.15150924233191143</v>
      </c>
      <c r="AD118" s="1038" t="n">
        <f t="shared" ref="AD118:AD119" si="50">AC118</f>
        <v>0.15150924233191143</v>
      </c>
      <c r="AE118" s="1038" t="n">
        <f t="shared" ref="AE118:AE119" si="51">AD118</f>
        <v>0.15150924233191143</v>
      </c>
      <c r="AF118" s="1038" t="n">
        <f t="shared" ref="AF118:AF119" si="52">AE118</f>
        <v>0.15150924233191143</v>
      </c>
      <c r="AG118" s="1038" t="n">
        <f t="shared" ref="AG118:AG119" si="53">AF118</f>
        <v>0.15150924233191143</v>
      </c>
      <c r="AH118" s="1038"/>
    </row>
    <row r="119">
      <c r="D119" s="618" t="s">
        <v>484</v>
      </c>
      <c r="F119" s="1012"/>
      <c r="G119" s="1039"/>
      <c r="H119" s="1039" t="n">
        <f t="shared" ref="H119:Z119" si="54">H14/H129</f>
        <v>1.2114807744750477E-2</v>
      </c>
      <c r="I119" s="1039" t="n">
        <f t="shared" si="54"/>
        <v>1.2657965466969756E-2</v>
      </c>
      <c r="J119" s="1039" t="n">
        <f t="shared" si="54"/>
        <v>9.9021178686146908E-3</v>
      </c>
      <c r="K119" s="1039" t="n">
        <f t="shared" si="54"/>
        <v>1.0383088225121401E-2</v>
      </c>
      <c r="L119" s="1039" t="n">
        <f t="shared" si="54"/>
        <v>1.0715231518262747E-2</v>
      </c>
      <c r="M119" s="1039" t="n">
        <f t="shared" si="54"/>
        <v>1.0573214086228536E-2</v>
      </c>
      <c r="N119" s="1039" t="n">
        <f t="shared" si="54"/>
        <v>1.1315975901046335E-2</v>
      </c>
      <c r="O119" s="1039" t="n">
        <f t="shared" si="54"/>
        <v>1.1182000724588734E-2</v>
      </c>
      <c r="P119" s="1039" t="n">
        <f t="shared" si="54"/>
        <v>1.1424674905193142E-2</v>
      </c>
      <c r="Q119" s="1039" t="n">
        <f t="shared" si="54"/>
        <v>1.1796413514497435E-2</v>
      </c>
      <c r="R119" s="1039" t="n">
        <f t="shared" si="54"/>
        <v>1.1645066637573143E-2</v>
      </c>
      <c r="S119" s="1037" t="n">
        <f t="shared" si="54"/>
        <v>1.0868458850273124E-2</v>
      </c>
      <c r="T119" s="1037" t="n">
        <f t="shared" si="54"/>
        <v>1.0096556343137802E-2</v>
      </c>
      <c r="U119" s="1037" t="n">
        <f t="shared" si="54"/>
        <v>9.6882252485002412E-3</v>
      </c>
      <c r="V119" s="1037" t="n">
        <f t="shared" si="54"/>
        <v>9.5227753949725831E-3</v>
      </c>
      <c r="W119" s="1037" t="n">
        <f t="shared" si="54"/>
        <v>9.1865413956476356E-3</v>
      </c>
      <c r="X119" s="1037" t="n">
        <f t="shared" si="54"/>
        <v>8.9666657855084729E-3</v>
      </c>
      <c r="Y119" s="1037" t="n">
        <f t="shared" si="54"/>
        <v>8.9591223716860395E-3</v>
      </c>
      <c r="Z119" s="1037" t="n">
        <f t="shared" si="54"/>
        <v>8.5928277980814316E-3</v>
      </c>
      <c r="AA119" s="1038" t="n">
        <f t="shared" ref="AA119:AC119" si="55">Z119</f>
        <v>8.5928277980814316E-3</v>
      </c>
      <c r="AB119" s="1038" t="n">
        <f t="shared" si="55"/>
        <v>8.5928277980814316E-3</v>
      </c>
      <c r="AC119" s="1038" t="n">
        <f t="shared" si="55"/>
        <v>8.5928277980814316E-3</v>
      </c>
      <c r="AD119" s="1038" t="n">
        <f t="shared" si="50"/>
        <v>8.5928277980814316E-3</v>
      </c>
      <c r="AE119" s="1038" t="n">
        <f t="shared" si="51"/>
        <v>8.5928277980814316E-3</v>
      </c>
      <c r="AF119" s="1038" t="n">
        <f t="shared" si="52"/>
        <v>8.5928277980814316E-3</v>
      </c>
      <c r="AG119" s="1038" t="n">
        <f t="shared" si="53"/>
        <v>8.5928277980814316E-3</v>
      </c>
      <c r="AH119" s="1038"/>
    </row>
    <row r="120">
      <c r="D120" s="501" t="s">
        <v>485</v>
      </c>
      <c r="F120" s="1012"/>
      <c r="G120" s="1039"/>
      <c r="H120" s="1039" t="n">
        <f t="shared" ref="H120:Z120" si="56">H16/H130</f>
        <v>0.1161666500548191</v>
      </c>
      <c r="I120" s="1039" t="n">
        <f t="shared" si="56"/>
        <v>0.10825625214114422</v>
      </c>
      <c r="J120" s="1039" t="n">
        <f t="shared" si="56"/>
        <v>0.12146635053802662</v>
      </c>
      <c r="K120" s="1039" t="n">
        <f t="shared" si="56"/>
        <v>0.10805604203152365</v>
      </c>
      <c r="L120" s="1039" t="n">
        <f t="shared" si="56"/>
        <v>0.12181977082928724</v>
      </c>
      <c r="M120" s="1039" t="n">
        <f t="shared" si="56"/>
        <v>0.11063848447640764</v>
      </c>
      <c r="N120" s="1039" t="n">
        <f t="shared" si="56"/>
        <v>0.10992248062015504</v>
      </c>
      <c r="O120" s="1039" t="n">
        <f t="shared" si="56"/>
        <v>0.11010979497068199</v>
      </c>
      <c r="P120" s="1039" t="n">
        <f t="shared" si="56"/>
        <v>0.11894324853228962</v>
      </c>
      <c r="Q120" s="1039" t="n">
        <f t="shared" si="56"/>
        <v>0.12663185378590078</v>
      </c>
      <c r="R120" s="1037" t="n">
        <f t="shared" si="56"/>
        <v>0.13978069387021391</v>
      </c>
      <c r="S120" s="1037" t="n">
        <f t="shared" si="56"/>
        <v>0.13656105375578498</v>
      </c>
      <c r="T120" s="1037" t="n">
        <f t="shared" si="56"/>
        <v>0.13593363411439383</v>
      </c>
      <c r="U120" s="1037" t="n">
        <f t="shared" si="56"/>
        <v>0.14537428453855075</v>
      </c>
      <c r="V120" s="1037" t="n">
        <f t="shared" si="56"/>
        <v>0.15173062452972161</v>
      </c>
      <c r="W120" s="1037" t="n">
        <f t="shared" si="56"/>
        <v>0.15157009210240047</v>
      </c>
      <c r="X120" s="1037" t="n">
        <f t="shared" si="56"/>
        <v>0.14805364962245282</v>
      </c>
      <c r="Y120" s="1037" t="n">
        <f t="shared" si="56"/>
        <v>0.15918338711940508</v>
      </c>
      <c r="Z120" s="1037" t="n">
        <f t="shared" si="56"/>
        <v>0.16063557150179397</v>
      </c>
      <c r="AA120" s="1038" t="n">
        <f t="shared" ref="AA120:AC120" si="57">Z120+AA121</f>
        <v>0.16063557150179397</v>
      </c>
      <c r="AB120" s="1038" t="n">
        <f t="shared" si="57"/>
        <v>0.16063557150179397</v>
      </c>
      <c r="AC120" s="1038" t="n">
        <f t="shared" si="57"/>
        <v>0.16063557150179397</v>
      </c>
      <c r="AD120" s="1038" t="n">
        <f t="shared" ref="AD120" si="58">AC120+AD121</f>
        <v>0.16063557150179397</v>
      </c>
      <c r="AE120" s="1038" t="n">
        <f t="shared" ref="AE120" si="59">AD120+AE121</f>
        <v>0.16063557150179397</v>
      </c>
      <c r="AF120" s="1038" t="n">
        <f t="shared" ref="AF120" si="60">AE120+AF121</f>
        <v>0.16063557150179397</v>
      </c>
      <c r="AG120" s="1038" t="n">
        <f t="shared" ref="AG120" si="61">AF120+AG121</f>
        <v>0.16063557150179397</v>
      </c>
      <c r="AH120" s="1038"/>
    </row>
    <row r="121">
      <c r="D121" s="501" t="s">
        <v>1751</v>
      </c>
      <c r="F121" s="1012"/>
      <c r="G121" s="1039"/>
      <c r="H121" s="1039"/>
      <c r="I121" s="1039"/>
      <c r="J121" s="1039"/>
      <c r="K121" s="1039"/>
      <c r="L121" s="1039"/>
      <c r="M121" s="1039"/>
      <c r="N121" s="1039"/>
      <c r="O121" s="1039"/>
      <c r="P121" s="1039"/>
      <c r="Q121" s="1039"/>
      <c r="R121" s="1039"/>
      <c r="S121" s="1039"/>
      <c r="T121" s="1039"/>
      <c r="U121" s="1039" t="n">
        <v>-1.2E-2</v>
      </c>
      <c r="V121" s="1039"/>
      <c r="W121" s="1039"/>
      <c r="X121" s="1039"/>
      <c r="Y121" s="1038"/>
      <c r="Z121" s="1038"/>
      <c r="AA121" s="1038"/>
      <c r="AB121" s="1038"/>
      <c r="AC121" s="1038"/>
      <c r="AD121" s="1038"/>
      <c r="AE121" s="1038"/>
      <c r="AF121" s="1038"/>
      <c r="AG121" s="1038"/>
      <c r="AH121" s="1038"/>
    </row>
    <row r="122">
      <c r="D122" s="345" t="s">
        <v>510</v>
      </c>
      <c r="F122" s="330"/>
      <c r="G122" s="291"/>
      <c r="H122" s="291"/>
      <c r="I122" s="291"/>
      <c r="J122" s="291"/>
      <c r="K122" s="291"/>
      <c r="L122" s="291"/>
      <c r="M122" s="291"/>
      <c r="N122" s="291"/>
      <c r="O122" s="291"/>
      <c r="P122" s="291"/>
      <c r="Q122" s="291"/>
      <c r="R122" s="291"/>
      <c r="S122" s="291"/>
      <c r="T122" s="291"/>
      <c r="U122" s="291"/>
      <c r="V122" s="291"/>
      <c r="W122" s="291"/>
      <c r="X122" s="291"/>
      <c r="Y122" s="291"/>
      <c r="Z122" s="291"/>
      <c r="AA122" s="291"/>
      <c r="AB122" s="291"/>
      <c r="AC122" s="291"/>
    </row>
    <row r="123" ht="14.9" customHeight="1">
      <c r="D123" s="787" t="s">
        <v>511</v>
      </c>
      <c r="F123" s="1007" t="n">
        <f>SUM(F124:F127)</f>
        <v>14456.2</v>
      </c>
      <c r="G123" s="513" t="n">
        <f t="shared" ref="G123:O123" si="62">SUM(G124:G127)</f>
        <v>14559</v>
      </c>
      <c r="H123" s="513" t="n">
        <f t="shared" si="62"/>
        <v>14731.900000000001</v>
      </c>
      <c r="I123" s="513" t="n">
        <f t="shared" si="62"/>
        <v>14880.6</v>
      </c>
      <c r="J123" s="513" t="n">
        <f t="shared" si="62"/>
        <v>14024.100000000002</v>
      </c>
      <c r="K123" s="513" t="n">
        <f t="shared" si="62"/>
        <v>14762.500000000002</v>
      </c>
      <c r="L123" s="513" t="n">
        <f t="shared" si="62"/>
        <v>15236.499999999998</v>
      </c>
      <c r="M123" s="513" t="n">
        <f t="shared" si="62"/>
        <v>15409.400000000001</v>
      </c>
      <c r="N123" s="513" t="n">
        <f t="shared" si="62"/>
        <v>15969.600000000002</v>
      </c>
      <c r="O123" s="513" t="n">
        <f t="shared" si="62"/>
        <v>16336.9</v>
      </c>
      <c r="P123" s="513" t="n">
        <f t="shared" ref="P123:T123" si="63">SUM(P124:P127)</f>
        <v>16689.3</v>
      </c>
      <c r="Q123" s="513" t="n">
        <f t="shared" si="63"/>
        <v>16837.900000000001</v>
      </c>
      <c r="R123" s="513" t="n">
        <f t="shared" si="63"/>
        <v>17061.3</v>
      </c>
      <c r="S123" s="411" t="n">
        <f t="shared" si="63"/>
        <v>17441.5</v>
      </c>
      <c r="T123" s="411" t="n">
        <f t="shared" si="63"/>
        <v>17592.3</v>
      </c>
      <c r="U123" s="411" t="n">
        <f t="shared" ref="U123:W123" si="64">SUM(U124:U127)</f>
        <v>17932.099999999999</v>
      </c>
      <c r="V123" s="411" t="n">
        <f t="shared" si="64"/>
        <v>18138.599999999999</v>
      </c>
      <c r="W123" s="411" t="n">
        <f t="shared" si="64"/>
        <v>18375.5</v>
      </c>
      <c r="X123" s="411" t="n">
        <f t="shared" ref="X123:Y123" si="65">SUM(X124:X127)</f>
        <v>18532.3</v>
      </c>
      <c r="Y123" s="411" t="n">
        <f t="shared" si="65"/>
        <v>18770.8</v>
      </c>
      <c r="Z123" s="411" t="n">
        <f t="shared" ref="Z123" si="66">SUM(Z124:Z127)</f>
        <v>18931.099999999999</v>
      </c>
      <c r="AA123" s="406"/>
      <c r="AB123" s="406"/>
      <c r="AC123" s="406"/>
      <c r="AD123" s="406"/>
      <c r="AE123" s="406"/>
      <c r="AF123" s="406"/>
      <c r="AG123" s="406"/>
      <c r="AH123" s="406"/>
    </row>
    <row r="124">
      <c r="D124" s="940" t="s">
        <v>785</v>
      </c>
      <c r="E124" s="297" t="s">
        <v>781</v>
      </c>
      <c r="F124" s="1007" t="n">
        <f>'Haver Pivoted'!GQ81</f>
        <v>9284.9</v>
      </c>
      <c r="G124" s="513" t="n">
        <f>'Haver Pivoted'!GR81</f>
        <v>9340.9</v>
      </c>
      <c r="H124" s="513" t="n">
        <f>'Haver Pivoted'!GS81</f>
        <v>9488.2000000000007</v>
      </c>
      <c r="I124" s="513" t="n">
        <f>'Haver Pivoted'!GT81</f>
        <v>9635.9</v>
      </c>
      <c r="J124" s="513" t="n">
        <f>'Haver Pivoted'!GU81</f>
        <v>9004.6</v>
      </c>
      <c r="K124" s="513" t="n">
        <f>'Haver Pivoted'!GV81</f>
        <v>9440.7000000000007</v>
      </c>
      <c r="L124" s="513" t="n">
        <f>'Haver Pivoted'!GW81</f>
        <v>9807.7999999999993</v>
      </c>
      <c r="M124" s="513" t="n">
        <f>'Haver Pivoted'!GX81</f>
        <v>9888.4</v>
      </c>
      <c r="N124" s="513" t="n">
        <f>'Haver Pivoted'!GY81</f>
        <v>10180</v>
      </c>
      <c r="O124" s="513" t="n">
        <f>'Haver Pivoted'!GZ81</f>
        <v>10459.1</v>
      </c>
      <c r="P124" s="513" t="n">
        <f>'Haver Pivoted'!HA81</f>
        <v>10766</v>
      </c>
      <c r="Q124" s="513" t="n">
        <f>'Haver Pivoted'!HB81</f>
        <v>10902.1</v>
      </c>
      <c r="R124" s="513" t="n">
        <f>'Haver Pivoted'!HC81</f>
        <v>11004.6</v>
      </c>
      <c r="S124" s="411" t="n">
        <f>'Haver Pivoted'!HD81</f>
        <v>11287.6</v>
      </c>
      <c r="T124" s="411" t="n">
        <f>'Haver Pivoted'!HE81</f>
        <v>11334.1</v>
      </c>
      <c r="U124" s="411" t="n">
        <f>'Haver Pivoted'!HF81</f>
        <v>11581.9</v>
      </c>
      <c r="V124" s="411" t="n">
        <f>'Haver Pivoted'!HG81</f>
        <v>11750.8</v>
      </c>
      <c r="W124" s="411" t="n">
        <f>'Haver Pivoted'!HH81</f>
        <v>11935</v>
      </c>
      <c r="X124" s="411" t="n">
        <f>'Haver Pivoted'!HI81</f>
        <v>11994.3</v>
      </c>
      <c r="Y124" s="411" t="n">
        <f>'Haver Pivoted'!HJ81</f>
        <v>12157</v>
      </c>
      <c r="Z124" s="411" t="n">
        <f>'Haver Pivoted'!HK81</f>
        <v>12307.5</v>
      </c>
      <c r="AA124" s="406"/>
      <c r="AB124" s="406"/>
      <c r="AC124" s="406"/>
      <c r="AD124" s="406"/>
      <c r="AE124" s="406"/>
      <c r="AF124" s="406"/>
      <c r="AG124" s="406"/>
      <c r="AH124" s="406"/>
    </row>
    <row r="125">
      <c r="D125" s="940" t="s">
        <v>512</v>
      </c>
      <c r="E125" s="297" t="s">
        <v>782</v>
      </c>
      <c r="F125" s="1007" t="n">
        <f>'Haver Pivoted'!GQ82</f>
        <v>1533.5</v>
      </c>
      <c r="G125" s="513" t="n">
        <f>'Haver Pivoted'!GR82</f>
        <v>1570.1</v>
      </c>
      <c r="H125" s="513" t="n">
        <f>'Haver Pivoted'!GS82</f>
        <v>1581.1</v>
      </c>
      <c r="I125" s="513" t="n">
        <f>'Haver Pivoted'!GT82</f>
        <v>1577.7</v>
      </c>
      <c r="J125" s="513" t="n">
        <f>'Haver Pivoted'!GU82</f>
        <v>1411.5</v>
      </c>
      <c r="K125" s="513" t="n">
        <f>'Haver Pivoted'!GV82</f>
        <v>1691.6</v>
      </c>
      <c r="L125" s="513" t="n">
        <f>'Haver Pivoted'!GW82</f>
        <v>1654.4</v>
      </c>
      <c r="M125" s="513" t="n">
        <f>'Haver Pivoted'!GX82</f>
        <v>1650.2</v>
      </c>
      <c r="N125" s="513" t="n">
        <f>'Haver Pivoted'!GY82</f>
        <v>1784.1</v>
      </c>
      <c r="O125" s="513" t="n">
        <f>'Haver Pivoted'!GZ82</f>
        <v>1792.8</v>
      </c>
      <c r="P125" s="513" t="n">
        <f>'Haver Pivoted'!HA82</f>
        <v>1769.2</v>
      </c>
      <c r="Q125" s="513" t="n">
        <f>'Haver Pivoted'!HB82</f>
        <v>1756.4</v>
      </c>
      <c r="R125" s="513" t="n">
        <f>'Haver Pivoted'!HC82</f>
        <v>1774.4</v>
      </c>
      <c r="S125" s="411" t="n">
        <f>'Haver Pivoted'!HD82</f>
        <v>1807.4</v>
      </c>
      <c r="T125" s="411" t="n">
        <f>'Haver Pivoted'!HE82</f>
        <v>1825.3</v>
      </c>
      <c r="U125" s="411" t="n">
        <f>'Haver Pivoted'!HF82</f>
        <v>1827.4</v>
      </c>
      <c r="V125" s="411" t="n">
        <f>'Haver Pivoted'!HG82</f>
        <v>1824.1</v>
      </c>
      <c r="W125" s="411" t="n">
        <f>'Haver Pivoted'!HH82</f>
        <v>1859.6</v>
      </c>
      <c r="X125" s="411" t="n">
        <f>'Haver Pivoted'!HI82</f>
        <v>1882.6</v>
      </c>
      <c r="Y125" s="411" t="n">
        <f>'Haver Pivoted'!HJ82</f>
        <v>1890.4</v>
      </c>
      <c r="Z125" s="411" t="n">
        <f>'Haver Pivoted'!HK82</f>
        <v>1900.4</v>
      </c>
      <c r="AA125" s="406"/>
      <c r="AB125" s="406"/>
      <c r="AC125" s="406"/>
      <c r="AD125" s="406"/>
      <c r="AE125" s="406"/>
      <c r="AF125" s="406"/>
      <c r="AG125" s="406"/>
      <c r="AH125" s="406"/>
    </row>
    <row r="126">
      <c r="D126" s="940" t="s">
        <v>513</v>
      </c>
      <c r="E126" s="297" t="s">
        <v>788</v>
      </c>
      <c r="F126" s="1007" t="n">
        <f>'Haver Pivoted'!GQ83</f>
        <v>674.7</v>
      </c>
      <c r="G126" s="513" t="n">
        <f>'Haver Pivoted'!GR83</f>
        <v>685.7</v>
      </c>
      <c r="H126" s="513" t="n">
        <f>'Haver Pivoted'!GS83</f>
        <v>709.8</v>
      </c>
      <c r="I126" s="513" t="n">
        <f>'Haver Pivoted'!GT83</f>
        <v>740.9</v>
      </c>
      <c r="J126" s="513" t="n">
        <f>'Haver Pivoted'!GU83</f>
        <v>738.2</v>
      </c>
      <c r="K126" s="513" t="n">
        <f>'Haver Pivoted'!GV83</f>
        <v>765.2</v>
      </c>
      <c r="L126" s="513" t="n">
        <f>'Haver Pivoted'!GW83</f>
        <v>780.3</v>
      </c>
      <c r="M126" s="513" t="n">
        <f>'Haver Pivoted'!GX83</f>
        <v>791.6</v>
      </c>
      <c r="N126" s="513" t="n">
        <f>'Haver Pivoted'!GY83</f>
        <v>807.2</v>
      </c>
      <c r="O126" s="513" t="n">
        <f>'Haver Pivoted'!GZ83</f>
        <v>822.4</v>
      </c>
      <c r="P126" s="513" t="n">
        <f>'Haver Pivoted'!HA83</f>
        <v>835.5</v>
      </c>
      <c r="Q126" s="513" t="n">
        <f>'Haver Pivoted'!HB83</f>
        <v>837.2</v>
      </c>
      <c r="R126" s="513" t="n">
        <f>'Haver Pivoted'!HC83</f>
        <v>875.3</v>
      </c>
      <c r="S126" s="411" t="n">
        <f>'Haver Pivoted'!HD83</f>
        <v>893.1</v>
      </c>
      <c r="T126" s="411" t="n">
        <f>'Haver Pivoted'!HE83</f>
        <v>907.5</v>
      </c>
      <c r="U126" s="411" t="n">
        <f>'Haver Pivoted'!HF83</f>
        <v>945.8</v>
      </c>
      <c r="V126" s="411" t="n">
        <f>'Haver Pivoted'!HG83</f>
        <v>961.1</v>
      </c>
      <c r="W126" s="411" t="n">
        <f>'Haver Pivoted'!HH83</f>
        <v>974.4</v>
      </c>
      <c r="X126" s="411" t="n">
        <f>'Haver Pivoted'!HI83</f>
        <v>988.1</v>
      </c>
      <c r="Y126" s="411" t="n">
        <f>'Haver Pivoted'!HJ83</f>
        <v>1023.9</v>
      </c>
      <c r="Z126" s="411" t="n">
        <f>'Haver Pivoted'!HK83</f>
        <v>1026.2</v>
      </c>
      <c r="AA126" s="406"/>
      <c r="AB126" s="406"/>
      <c r="AC126" s="406"/>
      <c r="AD126" s="406"/>
      <c r="AE126" s="406"/>
      <c r="AF126" s="406"/>
      <c r="AG126" s="406"/>
      <c r="AH126" s="406"/>
    </row>
    <row r="127">
      <c r="D127" s="940" t="s">
        <v>514</v>
      </c>
      <c r="E127" s="297" t="s">
        <v>784</v>
      </c>
      <c r="F127" s="1007" t="n">
        <f>'Haver Pivoted'!GQ84</f>
        <v>2963.1</v>
      </c>
      <c r="G127" s="513" t="n">
        <f>'Haver Pivoted'!GR84</f>
        <v>2962.3</v>
      </c>
      <c r="H127" s="513" t="n">
        <f>'Haver Pivoted'!GS84</f>
        <v>2952.8</v>
      </c>
      <c r="I127" s="513" t="n">
        <f>'Haver Pivoted'!GT84</f>
        <v>2926.1</v>
      </c>
      <c r="J127" s="513" t="n">
        <f>'Haver Pivoted'!GU84</f>
        <v>2869.8</v>
      </c>
      <c r="K127" s="513" t="n">
        <f>'Haver Pivoted'!GV84</f>
        <v>2865</v>
      </c>
      <c r="L127" s="513" t="n">
        <f>'Haver Pivoted'!GW84</f>
        <v>2994</v>
      </c>
      <c r="M127" s="513" t="n">
        <f>'Haver Pivoted'!GX84</f>
        <v>3079.2</v>
      </c>
      <c r="N127" s="513" t="n">
        <f>'Haver Pivoted'!GY84</f>
        <v>3198.3</v>
      </c>
      <c r="O127" s="513" t="n">
        <f>'Haver Pivoted'!GZ84</f>
        <v>3262.6</v>
      </c>
      <c r="P127" s="513" t="n">
        <f>'Haver Pivoted'!HA84</f>
        <v>3318.6</v>
      </c>
      <c r="Q127" s="513" t="n">
        <f>'Haver Pivoted'!HB84</f>
        <v>3342.2</v>
      </c>
      <c r="R127" s="513" t="n">
        <f>'Haver Pivoted'!HC84</f>
        <v>3407</v>
      </c>
      <c r="S127" s="411" t="n">
        <f>'Haver Pivoted'!HD84</f>
        <v>3453.4</v>
      </c>
      <c r="T127" s="411" t="n">
        <f>'Haver Pivoted'!HE84</f>
        <v>3525.4</v>
      </c>
      <c r="U127" s="411" t="n">
        <f>'Haver Pivoted'!HF84</f>
        <v>3577</v>
      </c>
      <c r="V127" s="411" t="n">
        <f>'Haver Pivoted'!HG84</f>
        <v>3602.6</v>
      </c>
      <c r="W127" s="411" t="n">
        <f>'Haver Pivoted'!HH84</f>
        <v>3606.5</v>
      </c>
      <c r="X127" s="411" t="n">
        <f>'Haver Pivoted'!HI84</f>
        <v>3667.3</v>
      </c>
      <c r="Y127" s="411" t="n">
        <f>'Haver Pivoted'!HJ84</f>
        <v>3699.5</v>
      </c>
      <c r="Z127" s="411" t="n">
        <f>'Haver Pivoted'!HK84</f>
        <v>3697</v>
      </c>
      <c r="AA127" s="406"/>
      <c r="AB127" s="406"/>
      <c r="AC127" s="406"/>
      <c r="AD127" s="406"/>
      <c r="AE127" s="406"/>
      <c r="AF127" s="406"/>
      <c r="AG127" s="406"/>
      <c r="AH127" s="406"/>
    </row>
    <row r="128">
      <c r="D128" s="787" t="s">
        <v>501</v>
      </c>
      <c r="F128" s="1007" t="n">
        <f>F124</f>
        <v>9284.9</v>
      </c>
      <c r="G128" s="513" t="n">
        <f t="shared" ref="G128:O128" si="67">G124</f>
        <v>9340.9</v>
      </c>
      <c r="H128" s="513" t="n">
        <f t="shared" si="67"/>
        <v>9488.2000000000007</v>
      </c>
      <c r="I128" s="513" t="n">
        <f t="shared" si="67"/>
        <v>9635.9</v>
      </c>
      <c r="J128" s="513" t="n">
        <f t="shared" si="67"/>
        <v>9004.6</v>
      </c>
      <c r="K128" s="513" t="n">
        <f t="shared" si="67"/>
        <v>9440.7000000000007</v>
      </c>
      <c r="L128" s="513" t="n">
        <f t="shared" si="67"/>
        <v>9807.7999999999993</v>
      </c>
      <c r="M128" s="513" t="n">
        <f t="shared" si="67"/>
        <v>9888.4</v>
      </c>
      <c r="N128" s="513" t="n">
        <f t="shared" si="67"/>
        <v>10180</v>
      </c>
      <c r="O128" s="513" t="n">
        <f t="shared" si="67"/>
        <v>10459.1</v>
      </c>
      <c r="P128" s="513" t="n">
        <f t="shared" ref="P128:T128" si="68">P124</f>
        <v>10766</v>
      </c>
      <c r="Q128" s="513" t="n">
        <f t="shared" si="68"/>
        <v>10902.1</v>
      </c>
      <c r="R128" s="513" t="n">
        <f t="shared" si="68"/>
        <v>11004.6</v>
      </c>
      <c r="S128" s="411" t="n">
        <f t="shared" si="68"/>
        <v>11287.6</v>
      </c>
      <c r="T128" s="411" t="n">
        <f t="shared" si="68"/>
        <v>11334.1</v>
      </c>
      <c r="U128" s="411" t="n">
        <f t="shared" ref="U128:W128" si="69">U124</f>
        <v>11581.9</v>
      </c>
      <c r="V128" s="411" t="n">
        <f t="shared" si="69"/>
        <v>11750.8</v>
      </c>
      <c r="W128" s="411" t="n">
        <f t="shared" si="69"/>
        <v>11935</v>
      </c>
      <c r="X128" s="411" t="n">
        <f t="shared" ref="X128:Y128" si="70">X124</f>
        <v>11994.3</v>
      </c>
      <c r="Y128" s="411" t="n">
        <f t="shared" si="70"/>
        <v>12157</v>
      </c>
      <c r="Z128" s="411" t="n">
        <f t="shared" ref="Z128" si="71">Z124</f>
        <v>12307.5</v>
      </c>
      <c r="AA128" s="406"/>
      <c r="AB128" s="406"/>
      <c r="AC128" s="406"/>
      <c r="AD128" s="406"/>
      <c r="AE128" s="406"/>
      <c r="AF128" s="406"/>
      <c r="AG128" s="406"/>
      <c r="AH128" s="406"/>
    </row>
    <row r="129">
      <c r="D129" s="787" t="s">
        <v>502</v>
      </c>
      <c r="E129" s="297" t="s">
        <v>518</v>
      </c>
      <c r="F129" s="1007" t="n">
        <f>'Haver Pivoted'!GQ5</f>
        <v>14336.8</v>
      </c>
      <c r="G129" s="513" t="n">
        <f>'Haver Pivoted'!GR5</f>
        <v>14517.7</v>
      </c>
      <c r="H129" s="513" t="n">
        <f>'Haver Pivoted'!GS5</f>
        <v>14668</v>
      </c>
      <c r="I129" s="513" t="n">
        <f>'Haver Pivoted'!GT5</f>
        <v>14473.1</v>
      </c>
      <c r="J129" s="513" t="n">
        <f>'Haver Pivoted'!GU5</f>
        <v>13168.9</v>
      </c>
      <c r="K129" s="513" t="n">
        <f>'Haver Pivoted'!GV5</f>
        <v>14456.2</v>
      </c>
      <c r="L129" s="513" t="n">
        <f>'Haver Pivoted'!GW5</f>
        <v>14726.7</v>
      </c>
      <c r="M129" s="513" t="n">
        <f>'Haver Pivoted'!GX5</f>
        <v>15217.7</v>
      </c>
      <c r="N129" s="513" t="n">
        <f>'Haver Pivoted'!GY5</f>
        <v>15950.9</v>
      </c>
      <c r="O129" s="513" t="n">
        <f>'Haver Pivoted'!GZ5</f>
        <v>16285.1</v>
      </c>
      <c r="P129" s="513" t="n">
        <f>'Haver Pivoted'!HA5</f>
        <v>16718.2</v>
      </c>
      <c r="Q129" s="513" t="n">
        <f>'Haver Pivoted'!HB5</f>
        <v>17030.599999999999</v>
      </c>
      <c r="R129" s="513" t="n">
        <f>'Haver Pivoted'!HC5</f>
        <v>17415.099999999999</v>
      </c>
      <c r="S129" s="411" t="n">
        <f>'Haver Pivoted'!HD5</f>
        <v>17684.2</v>
      </c>
      <c r="T129" s="411" t="n">
        <f>'Haver Pivoted'!HE5</f>
        <v>17917</v>
      </c>
      <c r="U129" s="411" t="n">
        <f>'Haver Pivoted'!HF5</f>
        <v>18269.599999999999</v>
      </c>
      <c r="V129" s="411" t="n">
        <f>'Haver Pivoted'!HG5</f>
        <v>18419</v>
      </c>
      <c r="W129" s="411" t="n">
        <f>'Haver Pivoted'!HH5</f>
        <v>18679.5</v>
      </c>
      <c r="X129" s="411" t="n">
        <f>'Haver Pivoted'!HI5</f>
        <v>18914.5</v>
      </c>
      <c r="Y129" s="411" t="n">
        <f>'Haver Pivoted'!HJ5</f>
        <v>19142.5</v>
      </c>
      <c r="Z129" s="411" t="n">
        <f>'Haver Pivoted'!HK5</f>
        <v>19399.900000000001</v>
      </c>
      <c r="AA129" s="406"/>
      <c r="AB129" s="406"/>
      <c r="AC129" s="406"/>
      <c r="AD129" s="406"/>
      <c r="AE129" s="406"/>
      <c r="AF129" s="406"/>
      <c r="AG129" s="406"/>
      <c r="AH129" s="406"/>
    </row>
    <row r="130">
      <c r="D130" s="787" t="s">
        <v>515</v>
      </c>
      <c r="E130" s="297" t="s">
        <v>783</v>
      </c>
      <c r="F130" s="1007" t="n">
        <f>'Haver Pivoted'!GQ85</f>
        <v>1896.6</v>
      </c>
      <c r="G130" s="513" t="n">
        <f>'Haver Pivoted'!GR85</f>
        <v>1975</v>
      </c>
      <c r="H130" s="513" t="n">
        <f>'Haver Pivoted'!GS85</f>
        <v>2006.6</v>
      </c>
      <c r="I130" s="513" t="n">
        <f>'Haver Pivoted'!GT85</f>
        <v>1751.4</v>
      </c>
      <c r="J130" s="513" t="n">
        <f>'Haver Pivoted'!GU85</f>
        <v>1644.9</v>
      </c>
      <c r="K130" s="513" t="n">
        <f>'Haver Pivoted'!GV85</f>
        <v>2284</v>
      </c>
      <c r="L130" s="513" t="n">
        <f>'Haver Pivoted'!GW85</f>
        <v>2059.6</v>
      </c>
      <c r="M130" s="513" t="n">
        <f>'Haver Pivoted'!GX85</f>
        <v>2280.4</v>
      </c>
      <c r="N130" s="513" t="n">
        <f>'Haver Pivoted'!GY85</f>
        <v>2580</v>
      </c>
      <c r="O130" s="513" t="n">
        <f>'Haver Pivoted'!GZ85</f>
        <v>2541.1</v>
      </c>
      <c r="P130" s="513" t="n">
        <f>'Haver Pivoted'!HA85</f>
        <v>2555</v>
      </c>
      <c r="Q130" s="513" t="n">
        <f>'Haver Pivoted'!HB85</f>
        <v>2604.4</v>
      </c>
      <c r="R130" s="411" t="n">
        <f>'Haver Pivoted'!HC85</f>
        <v>2781.5</v>
      </c>
      <c r="S130" s="411" t="n">
        <f>'Haver Pivoted'!HD85</f>
        <v>2809</v>
      </c>
      <c r="T130" s="411" t="n">
        <f>'Haver Pivoted'!HE85</f>
        <v>2748.4</v>
      </c>
      <c r="U130" s="411" t="n">
        <f>'Haver Pivoted'!HF85</f>
        <v>2673.1</v>
      </c>
      <c r="V130" s="411" t="n">
        <f>'Haver Pivoted'!HG85</f>
        <v>2658</v>
      </c>
      <c r="W130" s="411" t="n">
        <f>'Haver Pivoted'!HH85</f>
        <v>2757.8</v>
      </c>
      <c r="X130" s="411" t="n">
        <f>'Haver Pivoted'!HI85</f>
        <v>2900.3</v>
      </c>
      <c r="Y130" s="411" t="n">
        <f>'Haver Pivoted'!HJ85</f>
        <v>2850.8</v>
      </c>
      <c r="Z130" s="411" t="n">
        <f>'Haver Pivoted'!HK85</f>
        <v>2926.5</v>
      </c>
      <c r="AA130" s="406"/>
      <c r="AB130" s="406"/>
      <c r="AC130" s="406"/>
      <c r="AD130" s="406"/>
      <c r="AE130" s="406"/>
      <c r="AF130" s="406"/>
      <c r="AG130" s="406"/>
      <c r="AH130" s="406"/>
    </row>
    <row r="131">
      <c r="D131" s="345" t="s">
        <v>516</v>
      </c>
      <c r="F131" s="330"/>
      <c r="G131" s="291"/>
      <c r="H131" s="291"/>
      <c r="I131" s="291"/>
      <c r="J131" s="291"/>
      <c r="K131" s="291"/>
      <c r="L131" s="291"/>
      <c r="M131" s="291"/>
      <c r="N131" s="291"/>
      <c r="O131" s="291"/>
      <c r="P131" s="291"/>
      <c r="Q131" s="291"/>
      <c r="R131" s="291"/>
      <c r="S131" s="291"/>
      <c r="T131" s="291"/>
      <c r="U131" s="291"/>
      <c r="V131" s="291"/>
      <c r="W131" s="291"/>
      <c r="X131" s="291"/>
      <c r="Y131" s="291"/>
      <c r="Z131" s="291"/>
      <c r="AA131" s="291"/>
      <c r="AB131" s="291"/>
      <c r="AC131" s="291"/>
      <c r="AD131" s="291"/>
      <c r="AE131" s="291"/>
      <c r="AF131" s="291"/>
      <c r="AG131" s="291"/>
      <c r="AH131" s="291"/>
    </row>
    <row r="132">
      <c r="D132" s="1043" t="s">
        <v>486</v>
      </c>
      <c r="F132" s="1012" t="n">
        <f t="shared" ref="F132:Z132" si="72">F21/F123</f>
        <v>3.6876910944784937E-2</v>
      </c>
      <c r="G132" s="1039" t="n">
        <f t="shared" si="72"/>
        <v>3.4178171577718248E-2</v>
      </c>
      <c r="H132" s="1039" t="n">
        <f t="shared" si="72"/>
        <v>3.3125394551958669E-2</v>
      </c>
      <c r="I132" s="1039" t="n">
        <f t="shared" si="72"/>
        <v>3.2807816889103933E-2</v>
      </c>
      <c r="J132" s="1039" t="n">
        <f t="shared" si="72"/>
        <v>3.4262448214145647E-2</v>
      </c>
      <c r="K132" s="1039" t="n">
        <f t="shared" si="72"/>
        <v>3.4919559695173574E-2</v>
      </c>
      <c r="L132" s="1039" t="n">
        <f t="shared" si="72"/>
        <v>3.4647064614576839E-2</v>
      </c>
      <c r="M132" s="1039" t="n">
        <f t="shared" si="72"/>
        <v>3.6614014822121559E-2</v>
      </c>
      <c r="N132" s="1039" t="n">
        <f t="shared" si="72"/>
        <v>3.6669672377517282E-2</v>
      </c>
      <c r="O132" s="1039" t="n">
        <f t="shared" si="72"/>
        <v>3.6102320513683742E-2</v>
      </c>
      <c r="P132" s="1039" t="n">
        <f t="shared" si="72"/>
        <v>3.8126224587010836E-2</v>
      </c>
      <c r="Q132" s="1039" t="n">
        <f t="shared" si="72"/>
        <v>3.8953788774134537E-2</v>
      </c>
      <c r="R132" s="1039" t="n">
        <f t="shared" si="72"/>
        <v>3.8396839631212161E-2</v>
      </c>
      <c r="S132" s="1037" t="n">
        <f t="shared" si="72"/>
        <v>3.5272195625376257E-2</v>
      </c>
      <c r="T132" s="1037" t="n">
        <f t="shared" si="72"/>
        <v>3.4424151475361382E-2</v>
      </c>
      <c r="U132" s="1009" t="n">
        <f t="shared" si="72"/>
        <v>3.2494799828240981E-2</v>
      </c>
      <c r="V132" s="1009" t="n">
        <f t="shared" si="72"/>
        <v>2.9153297387891016E-2</v>
      </c>
      <c r="W132" s="1009" t="n">
        <f t="shared" si="72"/>
        <v>3.1378737993523989E-2</v>
      </c>
      <c r="X132" s="1009" t="n">
        <f t="shared" si="72"/>
        <v>3.1976603012038446E-2</v>
      </c>
      <c r="Y132" s="1009" t="n">
        <f t="shared" si="72"/>
        <v>3.1133462612142265E-2</v>
      </c>
      <c r="Z132" s="1009" t="n">
        <f t="shared" si="72"/>
        <v>3.157238617935567E-2</v>
      </c>
      <c r="AA132" s="1038" t="n">
        <f t="shared" ref="AA132:AC134" si="73">Z132</f>
        <v>3.157238617935567E-2</v>
      </c>
      <c r="AB132" s="1038" t="n">
        <f t="shared" si="73"/>
        <v>3.157238617935567E-2</v>
      </c>
      <c r="AC132" s="1038" t="n">
        <f t="shared" si="73"/>
        <v>3.157238617935567E-2</v>
      </c>
      <c r="AD132" s="1038" t="n">
        <f t="shared" ref="AD132:AD135" si="74">AC132</f>
        <v>3.157238617935567E-2</v>
      </c>
      <c r="AE132" s="1038" t="n">
        <f t="shared" ref="AE132:AE135" si="75">AD132</f>
        <v>3.157238617935567E-2</v>
      </c>
      <c r="AF132" s="1038" t="n">
        <f t="shared" ref="AF132:AF134" si="76">AE132</f>
        <v>3.157238617935567E-2</v>
      </c>
      <c r="AG132" s="1038" t="n">
        <f>AF132</f>
        <v>3.157238617935567E-2</v>
      </c>
      <c r="AH132" s="1038" t="n">
        <f>AG132</f>
        <v>3.157238617935567E-2</v>
      </c>
    </row>
    <row r="133">
      <c r="D133" s="1043" t="s">
        <v>483</v>
      </c>
      <c r="F133" s="1012" t="n">
        <f t="shared" ref="F133:Z133" si="77">F23/F128</f>
        <v>2.240196447996209E-3</v>
      </c>
      <c r="G133" s="1039" t="n">
        <f t="shared" si="77"/>
        <v>2.2053549443843742E-3</v>
      </c>
      <c r="H133" s="1039" t="n">
        <f t="shared" si="77"/>
        <v>2.1500389958053158E-3</v>
      </c>
      <c r="I133" s="1039" t="n">
        <f t="shared" si="77"/>
        <v>2.106705133926255E-3</v>
      </c>
      <c r="J133" s="1039" t="n">
        <f t="shared" si="77"/>
        <v>2.1433489549785665E-3</v>
      </c>
      <c r="K133" s="1039" t="n">
        <f t="shared" si="77"/>
        <v>2.1078945417183047E-3</v>
      </c>
      <c r="L133" s="1039" t="n">
        <f t="shared" si="77"/>
        <v>2.1105650604620811E-3</v>
      </c>
      <c r="M133" s="1039" t="n">
        <f t="shared" si="77"/>
        <v>2.1540390760891553E-3</v>
      </c>
      <c r="N133" s="1039" t="n">
        <f t="shared" si="77"/>
        <v>2.1611001964636544E-3</v>
      </c>
      <c r="O133" s="1039" t="n">
        <f t="shared" si="77"/>
        <v>2.1607977741870715E-3</v>
      </c>
      <c r="P133" s="1039" t="n">
        <f t="shared" si="77"/>
        <v>2.1270666914360021E-3</v>
      </c>
      <c r="Q133" s="1039" t="n">
        <f t="shared" si="77"/>
        <v>2.1005127452509149E-3</v>
      </c>
      <c r="R133" s="1039" t="n">
        <f t="shared" si="77"/>
        <v>2.0536866401323086E-3</v>
      </c>
      <c r="S133" s="1037" t="n">
        <f t="shared" si="77"/>
        <v>1.9844785428257557E-3</v>
      </c>
      <c r="T133" s="1037" t="n">
        <f t="shared" si="77"/>
        <v>1.9410451645918069E-3</v>
      </c>
      <c r="U133" s="1009" t="n">
        <f t="shared" si="77"/>
        <v>1.8563448138906398E-3</v>
      </c>
      <c r="V133" s="1009" t="n">
        <f t="shared" si="77"/>
        <v>1.8211526023760084E-3</v>
      </c>
      <c r="W133" s="1009" t="n">
        <f t="shared" si="77"/>
        <v>1.8349392542940928E-3</v>
      </c>
      <c r="X133" s="1009" t="n">
        <f t="shared" si="77"/>
        <v>1.9009029288912236E-3</v>
      </c>
      <c r="Y133" s="1009" t="n">
        <f t="shared" si="77"/>
        <v>1.9988484000987086E-3</v>
      </c>
      <c r="Z133" s="1009" t="n">
        <f t="shared" si="77"/>
        <v>2.088157627462929E-3</v>
      </c>
      <c r="AA133" s="1038" t="n">
        <f t="shared" si="73"/>
        <v>2.088157627462929E-3</v>
      </c>
      <c r="AB133" s="1038" t="n">
        <f t="shared" si="73"/>
        <v>2.088157627462929E-3</v>
      </c>
      <c r="AC133" s="1038" t="n">
        <f t="shared" si="73"/>
        <v>2.088157627462929E-3</v>
      </c>
      <c r="AD133" s="1038" t="n">
        <f t="shared" si="74"/>
        <v>2.088157627462929E-3</v>
      </c>
      <c r="AE133" s="1038" t="n">
        <f t="shared" si="75"/>
        <v>2.088157627462929E-3</v>
      </c>
      <c r="AF133" s="1038" t="n">
        <f t="shared" si="76"/>
        <v>2.088157627462929E-3</v>
      </c>
      <c r="AG133" s="1038" t="n">
        <f>AF133</f>
        <v>2.088157627462929E-3</v>
      </c>
      <c r="AH133" s="1038" t="n">
        <f t="shared" ref="AG133:AH135" si="78">AG133</f>
        <v>2.088157627462929E-3</v>
      </c>
    </row>
    <row r="134">
      <c r="D134" s="1043" t="s">
        <v>484</v>
      </c>
      <c r="F134" s="1012" t="n">
        <f t="shared" ref="F134:Z134" si="79">F24/F129</f>
        <v>9.4079571452485911E-2</v>
      </c>
      <c r="G134" s="1039" t="n">
        <f t="shared" si="79"/>
        <v>9.4656867134601211E-2</v>
      </c>
      <c r="H134" s="1039" t="n">
        <f t="shared" si="79"/>
        <v>9.381647122988819E-2</v>
      </c>
      <c r="I134" s="1039" t="n">
        <f t="shared" si="79"/>
        <v>9.5307846971277754E-2</v>
      </c>
      <c r="J134" s="1039" t="n">
        <f t="shared" si="79"/>
        <v>9.7996036115393093E-2</v>
      </c>
      <c r="K134" s="1039" t="n">
        <f t="shared" si="79"/>
        <v>9.5855065646573784E-2</v>
      </c>
      <c r="L134" s="1039" t="n">
        <f t="shared" si="79"/>
        <v>9.5404944760197466E-2</v>
      </c>
      <c r="M134" s="1039" t="n">
        <f t="shared" si="79"/>
        <v>9.3364963167890017E-2</v>
      </c>
      <c r="N134" s="1039" t="n">
        <f t="shared" si="79"/>
        <v>9.3700042003899461E-2</v>
      </c>
      <c r="O134" s="1039" t="n">
        <f t="shared" si="79"/>
        <v>9.2311376657189692E-2</v>
      </c>
      <c r="P134" s="1039" t="n">
        <f t="shared" si="79"/>
        <v>9.298249811582586E-2</v>
      </c>
      <c r="Q134" s="1039" t="n">
        <f t="shared" si="79"/>
        <v>9.2956208236938218E-2</v>
      </c>
      <c r="R134" s="1039" t="n">
        <f t="shared" si="79"/>
        <v>9.2425538756596287E-2</v>
      </c>
      <c r="S134" s="1037" t="n">
        <f t="shared" si="79"/>
        <v>9.2274459687178373E-2</v>
      </c>
      <c r="T134" s="1037" t="n">
        <f t="shared" si="79"/>
        <v>9.1510855611988615E-2</v>
      </c>
      <c r="U134" s="1009" t="n">
        <f t="shared" si="79"/>
        <v>9.0538380697990112E-2</v>
      </c>
      <c r="V134" s="1009" t="n">
        <f t="shared" si="79"/>
        <v>8.9375101797057391E-2</v>
      </c>
      <c r="W134" s="1009" t="n">
        <f t="shared" si="79"/>
        <v>8.8824647340667584E-2</v>
      </c>
      <c r="X134" s="1009" t="n">
        <f t="shared" si="79"/>
        <v>8.869385920854371E-2</v>
      </c>
      <c r="Y134" s="1009" t="n">
        <f t="shared" si="79"/>
        <v>8.8180749640851513E-2</v>
      </c>
      <c r="Z134" s="1009" t="n">
        <f t="shared" si="79"/>
        <v>8.8216949571905012E-2</v>
      </c>
      <c r="AA134" s="1038" t="n">
        <f t="shared" si="73"/>
        <v>8.8216949571905012E-2</v>
      </c>
      <c r="AB134" s="1038" t="n">
        <f t="shared" si="73"/>
        <v>8.8216949571905012E-2</v>
      </c>
      <c r="AC134" s="1038" t="n">
        <f t="shared" si="73"/>
        <v>8.8216949571905012E-2</v>
      </c>
      <c r="AD134" s="1038" t="n">
        <f t="shared" si="74"/>
        <v>8.8216949571905012E-2</v>
      </c>
      <c r="AE134" s="1038" t="n">
        <f t="shared" si="75"/>
        <v>8.8216949571905012E-2</v>
      </c>
      <c r="AF134" s="1038" t="n">
        <f t="shared" si="76"/>
        <v>8.8216949571905012E-2</v>
      </c>
      <c r="AG134" s="1038" t="n">
        <f t="shared" si="78"/>
        <v>8.8216949571905012E-2</v>
      </c>
      <c r="AH134" s="1038" t="n">
        <f t="shared" si="78"/>
        <v>8.8216949571905012E-2</v>
      </c>
    </row>
    <row r="135">
      <c r="D135" s="1002" t="s">
        <v>517</v>
      </c>
      <c r="E135" s="437"/>
      <c r="F135" s="1005" t="n">
        <f t="shared" ref="F135:Z135" si="80">F25/F130</f>
        <v>3.9386270167668463E-2</v>
      </c>
      <c r="G135" s="1006" t="n">
        <f t="shared" si="80"/>
        <v>3.7569620253164557E-2</v>
      </c>
      <c r="H135" s="1006" t="n">
        <f t="shared" si="80"/>
        <v>3.5732084122396097E-2</v>
      </c>
      <c r="I135" s="1006" t="n">
        <f t="shared" si="80"/>
        <v>3.7569944044764186E-2</v>
      </c>
      <c r="J135" s="1006" t="n">
        <f t="shared" si="80"/>
        <v>3.8725758404766247E-2</v>
      </c>
      <c r="K135" s="1006" t="n">
        <f t="shared" si="80"/>
        <v>3.4851138353765319E-2</v>
      </c>
      <c r="L135" s="1006" t="n">
        <f t="shared" si="80"/>
        <v>3.99592153816275E-2</v>
      </c>
      <c r="M135" s="1006" t="n">
        <f t="shared" si="80"/>
        <v>3.7931941764602697E-2</v>
      </c>
      <c r="N135" s="1006" t="n">
        <f t="shared" si="80"/>
        <v>3.6937984496124031E-2</v>
      </c>
      <c r="O135" s="1006" t="n">
        <f t="shared" si="80"/>
        <v>4.3957341308881979E-2</v>
      </c>
      <c r="P135" s="1006" t="n">
        <f t="shared" si="80"/>
        <v>5.8747553816046967E-2</v>
      </c>
      <c r="Q135" s="1006" t="n">
        <f t="shared" si="80"/>
        <v>7.0726462908923357E-2</v>
      </c>
      <c r="R135" s="1010" t="n">
        <f t="shared" si="80"/>
        <v>5.1590868236563003E-2</v>
      </c>
      <c r="S135" s="1010" t="n">
        <f t="shared" si="80"/>
        <v>5.2046991812032747E-2</v>
      </c>
      <c r="T135" s="962" t="n">
        <f t="shared" si="80"/>
        <v>5.8397613156745742E-2</v>
      </c>
      <c r="U135" s="1040" t="n">
        <f t="shared" si="80"/>
        <v>6.4531816991507993E-2</v>
      </c>
      <c r="V135" s="1040" t="n">
        <f t="shared" si="80"/>
        <v>5.6696764484574863E-2</v>
      </c>
      <c r="W135" s="1040" t="n">
        <f t="shared" si="80"/>
        <v>5.3919791137863507E-2</v>
      </c>
      <c r="X135" s="1040" t="n">
        <f t="shared" si="80"/>
        <v>5.7132020825431847E-2</v>
      </c>
      <c r="Y135" s="1040" t="n">
        <f t="shared" si="80"/>
        <v>5.9316683036340669E-2</v>
      </c>
      <c r="Z135" s="1040" t="n">
        <f t="shared" si="80"/>
        <v>5.5595421151546212E-2</v>
      </c>
      <c r="AA135" s="1008" t="n">
        <f t="shared" ref="AA135:AC135" si="81">Z135</f>
        <v>5.5595421151546212E-2</v>
      </c>
      <c r="AB135" s="1008" t="n">
        <f t="shared" si="81"/>
        <v>5.5595421151546212E-2</v>
      </c>
      <c r="AC135" s="1038" t="n">
        <f t="shared" si="81"/>
        <v>5.5595421151546212E-2</v>
      </c>
      <c r="AD135" s="1038" t="n">
        <f t="shared" si="74"/>
        <v>5.5595421151546212E-2</v>
      </c>
      <c r="AE135" s="1038" t="n">
        <f t="shared" si="75"/>
        <v>5.5595421151546212E-2</v>
      </c>
      <c r="AF135" s="1038" t="n">
        <f>AE135</f>
        <v>5.5595421151546212E-2</v>
      </c>
      <c r="AG135" s="1038" t="n">
        <f>AF135</f>
        <v>5.5595421151546212E-2</v>
      </c>
      <c r="AH135" s="1038" t="n">
        <f t="shared" si="78"/>
        <v>5.5595421151546212E-2</v>
      </c>
    </row>
    <row r="139">
      <c r="D139" s="887" t="s">
        <v>1705</v>
      </c>
      <c r="E139" s="887"/>
      <c r="F139" s="887"/>
      <c r="G139" s="887"/>
      <c r="H139" s="887"/>
      <c r="I139" s="887"/>
      <c r="J139" s="887"/>
      <c r="K139" s="887"/>
      <c r="L139" s="887"/>
      <c r="M139" s="887"/>
      <c r="N139" s="887"/>
      <c r="O139" s="887"/>
      <c r="P139" s="887"/>
      <c r="Q139" s="887"/>
      <c r="R139" s="887"/>
      <c r="S139" s="887"/>
      <c r="T139" s="887"/>
      <c r="U139" s="887"/>
      <c r="V139" s="887"/>
      <c r="W139" s="887"/>
      <c r="X139" s="887"/>
      <c r="Y139" s="887"/>
      <c r="Z139" s="887"/>
      <c r="AA139" s="887"/>
      <c r="AB139" s="887"/>
      <c r="AC139" s="887"/>
    </row>
    <row r="140">
      <c r="D140" s="973" t="s">
        <v>1698</v>
      </c>
      <c r="E140" s="542"/>
      <c r="F140" s="342"/>
      <c r="G140" s="342"/>
      <c r="H140" s="342"/>
      <c r="I140" s="342"/>
      <c r="J140" s="342"/>
      <c r="K140" s="342"/>
      <c r="L140" s="342"/>
      <c r="M140" s="342"/>
      <c r="N140" s="342"/>
      <c r="O140" s="342"/>
      <c r="P140" s="342"/>
      <c r="Q140" s="342"/>
      <c r="R140" s="342"/>
      <c r="S140" s="1044"/>
      <c r="T140" s="342"/>
      <c r="U140" s="347"/>
      <c r="V140" s="347"/>
      <c r="W140" s="347"/>
      <c r="X140" s="347"/>
      <c r="Y140" s="347"/>
      <c r="Z140" s="347"/>
      <c r="AA140" s="347"/>
      <c r="AB140" s="347"/>
      <c r="AC140" s="256"/>
    </row>
    <row r="141">
      <c r="D141" s="963" t="s">
        <v>511</v>
      </c>
      <c r="E141" s="964"/>
      <c r="F141" s="965"/>
      <c r="G141" s="965" t="n">
        <f>(G123/F123)^4-1</f>
        <v>2.8749393280061097E-2</v>
      </c>
      <c r="H141" s="965" t="n">
        <f t="shared" ref="H141:S141" si="82">(H123/G123)^4-1</f>
        <v>4.835619208374009E-2</v>
      </c>
      <c r="I141" s="965" t="n">
        <f t="shared" si="82"/>
        <v>4.0990394317915957E-2</v>
      </c>
      <c r="J141" s="965" t="n">
        <f t="shared" si="82"/>
        <v>-0.21110677102287756</v>
      </c>
      <c r="K141" s="965" t="n">
        <f t="shared" si="82"/>
        <v>0.22783396531706446</v>
      </c>
      <c r="L141" s="965" t="n">
        <f t="shared" si="82"/>
        <v>0.13475269153096958</v>
      </c>
      <c r="M141" s="965" t="n">
        <f t="shared" si="82"/>
        <v>4.6169492161351133E-2</v>
      </c>
      <c r="N141" s="965" t="n">
        <f t="shared" si="82"/>
        <v>0.15354153816413141</v>
      </c>
      <c r="O141" s="965" t="n">
        <f t="shared" si="82"/>
        <v>9.5222733313579777E-2</v>
      </c>
      <c r="P141" s="965" t="n">
        <f t="shared" si="82"/>
        <v>8.911535984386032E-2</v>
      </c>
      <c r="Q141" s="965" t="n">
        <f t="shared" si="82"/>
        <v>3.6094141365687449E-2</v>
      </c>
      <c r="R141" s="965" t="n">
        <f t="shared" si="82"/>
        <v>5.413631344975145E-2</v>
      </c>
      <c r="S141" s="965" t="n">
        <f t="shared" si="82"/>
        <v>9.2161469921289818E-2</v>
      </c>
      <c r="T141" s="966"/>
      <c r="U141" s="406"/>
      <c r="V141" s="406"/>
      <c r="W141" s="406"/>
      <c r="X141" s="406"/>
      <c r="Y141" s="406"/>
      <c r="Z141" s="406"/>
      <c r="AA141" s="406"/>
      <c r="AB141" s="406"/>
      <c r="AC141" s="509"/>
    </row>
    <row r="142">
      <c r="D142" s="967" t="s">
        <v>785</v>
      </c>
      <c r="E142" s="968"/>
      <c r="F142" s="965"/>
      <c r="G142" s="965" t="n">
        <f t="shared" ref="G142:S142" si="83">(G124/F124)^4-1</f>
        <v>2.4344330774321188E-2</v>
      </c>
      <c r="H142" s="965" t="n">
        <f t="shared" si="83"/>
        <v>6.458521711215659E-2</v>
      </c>
      <c r="I142" s="965" t="n">
        <f t="shared" si="83"/>
        <v>6.3735896602801656E-2</v>
      </c>
      <c r="J142" s="965" t="n">
        <f t="shared" si="83"/>
        <v>-0.23741446237196107</v>
      </c>
      <c r="K142" s="965" t="n">
        <f t="shared" si="83"/>
        <v>0.20825635125685005</v>
      </c>
      <c r="L142" s="965" t="n">
        <f t="shared" si="83"/>
        <v>0.16484895945116618</v>
      </c>
      <c r="M142" s="965" t="n">
        <f t="shared" si="83"/>
        <v>3.3279228577432596E-2</v>
      </c>
      <c r="N142" s="965" t="n">
        <f t="shared" si="83"/>
        <v>0.12327736678651791</v>
      </c>
      <c r="O142" s="965" t="n">
        <f t="shared" si="83"/>
        <v>0.11425899665317862</v>
      </c>
      <c r="P142" s="965" t="n">
        <f t="shared" si="83"/>
        <v>0.12263929791752348</v>
      </c>
      <c r="Q142" s="965" t="n">
        <f t="shared" si="83"/>
        <v>5.1533573038161862E-2</v>
      </c>
      <c r="R142" s="965" t="n">
        <f t="shared" si="83"/>
        <v>3.8141135194219355E-2</v>
      </c>
      <c r="S142" s="965" t="n">
        <f t="shared" si="83"/>
        <v>0.10690257689405547</v>
      </c>
      <c r="T142" s="966"/>
      <c r="U142" s="406"/>
      <c r="V142" s="406"/>
      <c r="W142" s="406"/>
      <c r="X142" s="406"/>
      <c r="Y142" s="406"/>
      <c r="Z142" s="406"/>
      <c r="AA142" s="406"/>
      <c r="AB142" s="406"/>
      <c r="AC142" s="509"/>
    </row>
    <row r="143">
      <c r="D143" s="967" t="s">
        <v>512</v>
      </c>
      <c r="E143" s="968"/>
      <c r="F143" s="965"/>
      <c r="G143" s="965" t="n">
        <f t="shared" ref="G143:S143" si="84">(G125/F125)^4-1</f>
        <v>9.8940383820250055E-2</v>
      </c>
      <c r="H143" s="965" t="n">
        <f t="shared" si="84"/>
        <v>2.8319568411775409E-2</v>
      </c>
      <c r="I143" s="965" t="n">
        <f t="shared" si="84"/>
        <v>-8.5739008681605666E-3</v>
      </c>
      <c r="J143" s="965" t="n">
        <f t="shared" si="84"/>
        <v>-0.35934262816006057</v>
      </c>
      <c r="K143" s="965" t="n">
        <f t="shared" si="84"/>
        <v>1.0628477511227197</v>
      </c>
      <c r="L143" s="965" t="n">
        <f t="shared" si="84"/>
        <v>-8.510473536398655E-2</v>
      </c>
      <c r="M143" s="965" t="n">
        <f t="shared" si="84"/>
        <v>-1.0116134762455764E-2</v>
      </c>
      <c r="N143" s="965" t="n">
        <f t="shared" si="84"/>
        <v>0.36625083933278457</v>
      </c>
      <c r="O143" s="965" t="n">
        <f t="shared" si="84"/>
        <v>1.9648773635073002E-2</v>
      </c>
      <c r="P143" s="965" t="n">
        <f t="shared" si="84"/>
        <v>-5.1624450555260104E-2</v>
      </c>
      <c r="Q143" s="965" t="n">
        <f t="shared" si="84"/>
        <v>-2.8627082405951798E-2</v>
      </c>
      <c r="R143" s="965" t="n">
        <f t="shared" si="84"/>
        <v>4.1627414399892038E-2</v>
      </c>
      <c r="S143" s="965" t="n">
        <f t="shared" si="84"/>
        <v>7.6492470624414111E-2</v>
      </c>
      <c r="T143" s="966"/>
      <c r="U143" s="406"/>
      <c r="V143" s="406"/>
      <c r="W143" s="406"/>
      <c r="X143" s="406"/>
      <c r="Y143" s="406"/>
      <c r="Z143" s="406"/>
      <c r="AA143" s="406"/>
      <c r="AB143" s="406"/>
      <c r="AC143" s="509"/>
    </row>
    <row r="144">
      <c r="D144" s="967" t="s">
        <v>513</v>
      </c>
      <c r="E144" s="968"/>
      <c r="F144" s="965"/>
      <c r="G144" s="965" t="n">
        <f t="shared" ref="G144:S144" si="85">(G126/F126)^4-1</f>
        <v>6.6826407149440659E-2</v>
      </c>
      <c r="H144" s="965" t="n">
        <f t="shared" si="85"/>
        <v>0.14817313810277866</v>
      </c>
      <c r="I144" s="965" t="n">
        <f t="shared" si="85"/>
        <v>0.18711939115613641</v>
      </c>
      <c r="J144" s="965" t="n">
        <f t="shared" si="85"/>
        <v>-1.4497377499696595E-2</v>
      </c>
      <c r="K144" s="965" t="n">
        <f t="shared" si="85"/>
        <v>0.15452590504057984</v>
      </c>
      <c r="L144" s="965" t="n">
        <f t="shared" si="85"/>
        <v>8.1300944253331897E-2</v>
      </c>
      <c r="M144" s="965" t="n">
        <f t="shared" si="85"/>
        <v>5.9196932796567792E-2</v>
      </c>
      <c r="N144" s="965" t="n">
        <f t="shared" si="85"/>
        <v>8.1188632132453531E-2</v>
      </c>
      <c r="O144" s="965" t="n">
        <f t="shared" si="85"/>
        <v>7.7476467280115147E-2</v>
      </c>
      <c r="P144" s="965" t="n">
        <f t="shared" si="85"/>
        <v>6.5254580521259653E-2</v>
      </c>
      <c r="Q144" s="965" t="n">
        <f t="shared" si="85"/>
        <v>8.1637129935556718E-3</v>
      </c>
      <c r="R144" s="965" t="n">
        <f t="shared" si="85"/>
        <v>0.19484297690017338</v>
      </c>
      <c r="S144" s="965" t="n">
        <f t="shared" si="85"/>
        <v>8.3858639128562951E-2</v>
      </c>
      <c r="T144" s="966"/>
      <c r="U144" s="406"/>
      <c r="V144" s="406"/>
      <c r="W144" s="406"/>
      <c r="X144" s="406"/>
      <c r="Y144" s="406"/>
      <c r="Z144" s="406"/>
      <c r="AA144" s="406"/>
      <c r="AB144" s="406"/>
      <c r="AC144" s="509"/>
    </row>
    <row r="145">
      <c r="D145" s="967" t="s">
        <v>514</v>
      </c>
      <c r="E145" s="968"/>
      <c r="F145" s="965"/>
      <c r="G145" s="965" t="n">
        <f t="shared" ref="G145:S145" si="86">(G127/F127)^4-1</f>
        <v>-1.0795127714819941E-3</v>
      </c>
      <c r="H145" s="965" t="n">
        <f t="shared" si="86"/>
        <v>-1.2766294214684004E-2</v>
      </c>
      <c r="I145" s="965" t="n">
        <f t="shared" si="86"/>
        <v>-3.568143513043176E-2</v>
      </c>
      <c r="J145" s="965" t="n">
        <f t="shared" si="86"/>
        <v>-7.4769653961980542E-2</v>
      </c>
      <c r="K145" s="965" t="n">
        <f t="shared" si="86"/>
        <v>-6.6735950541658706E-3</v>
      </c>
      <c r="L145" s="965" t="n">
        <f t="shared" si="86"/>
        <v>0.19263809895026496</v>
      </c>
      <c r="M145" s="965" t="n">
        <f t="shared" si="86"/>
        <v>0.11877926392131299</v>
      </c>
      <c r="N145" s="965" t="n">
        <f t="shared" si="86"/>
        <v>0.16392554515507163</v>
      </c>
      <c r="O145" s="965" t="n">
        <f t="shared" si="86"/>
        <v>8.2875517920269814E-2</v>
      </c>
      <c r="P145" s="965" t="n">
        <f t="shared" si="86"/>
        <v>7.0444876940621848E-2</v>
      </c>
      <c r="Q145" s="965" t="n">
        <f t="shared" si="86"/>
        <v>2.8750606091571207E-2</v>
      </c>
      <c r="R145" s="965" t="n">
        <f t="shared" si="86"/>
        <v>7.9838468306118182E-2</v>
      </c>
      <c r="S145" s="965" t="n">
        <f t="shared" si="86"/>
        <v>5.559908334102559E-2</v>
      </c>
      <c r="T145" s="966"/>
      <c r="U145" s="406"/>
      <c r="V145" s="406"/>
      <c r="W145" s="406"/>
      <c r="X145" s="406"/>
      <c r="Y145" s="406"/>
      <c r="Z145" s="406"/>
      <c r="AA145" s="406"/>
      <c r="AB145" s="406"/>
      <c r="AC145" s="509"/>
    </row>
    <row r="146">
      <c r="D146" s="963" t="s">
        <v>501</v>
      </c>
      <c r="E146" s="964"/>
      <c r="F146" s="965"/>
      <c r="G146" s="965" t="n">
        <f t="shared" ref="G146:S146" si="87">(G128/F128)^4-1</f>
        <v>2.4344330774321188E-2</v>
      </c>
      <c r="H146" s="965" t="n">
        <f t="shared" si="87"/>
        <v>6.458521711215659E-2</v>
      </c>
      <c r="I146" s="965" t="n">
        <f t="shared" si="87"/>
        <v>6.3735896602801656E-2</v>
      </c>
      <c r="J146" s="965" t="n">
        <f t="shared" si="87"/>
        <v>-0.23741446237196107</v>
      </c>
      <c r="K146" s="965" t="n">
        <f t="shared" si="87"/>
        <v>0.20825635125685005</v>
      </c>
      <c r="L146" s="965" t="n">
        <f t="shared" si="87"/>
        <v>0.16484895945116618</v>
      </c>
      <c r="M146" s="965" t="n">
        <f t="shared" si="87"/>
        <v>3.3279228577432596E-2</v>
      </c>
      <c r="N146" s="965" t="n">
        <f t="shared" si="87"/>
        <v>0.12327736678651791</v>
      </c>
      <c r="O146" s="965" t="n">
        <f t="shared" si="87"/>
        <v>0.11425899665317862</v>
      </c>
      <c r="P146" s="965" t="n">
        <f t="shared" si="87"/>
        <v>0.12263929791752348</v>
      </c>
      <c r="Q146" s="965" t="n">
        <f t="shared" si="87"/>
        <v>5.1533573038161862E-2</v>
      </c>
      <c r="R146" s="965" t="n">
        <f t="shared" si="87"/>
        <v>3.8141135194219355E-2</v>
      </c>
      <c r="S146" s="965" t="n">
        <f t="shared" si="87"/>
        <v>0.10690257689405547</v>
      </c>
      <c r="T146" s="966"/>
      <c r="U146" s="406"/>
      <c r="V146" s="406"/>
      <c r="W146" s="406"/>
      <c r="X146" s="406"/>
      <c r="Y146" s="406"/>
      <c r="Z146" s="406"/>
      <c r="AA146" s="406"/>
      <c r="AB146" s="406"/>
      <c r="AC146" s="509"/>
    </row>
    <row r="147">
      <c r="D147" s="963" t="s">
        <v>502</v>
      </c>
      <c r="E147" s="968"/>
      <c r="F147" s="965"/>
      <c r="G147" s="965" t="n">
        <f t="shared" ref="G147:S147" si="88">(G129/F129)^4-1</f>
        <v>5.143483996947551E-2</v>
      </c>
      <c r="H147" s="965" t="n">
        <f t="shared" si="88"/>
        <v>4.2059061110245599E-2</v>
      </c>
      <c r="I147" s="965" t="n">
        <f t="shared" si="88"/>
        <v>-5.2099731854827525E-2</v>
      </c>
      <c r="J147" s="965" t="n">
        <f t="shared" si="88"/>
        <v>-0.31458793015184205</v>
      </c>
      <c r="K147" s="965" t="n">
        <f t="shared" si="88"/>
        <v>0.45217378617217441</v>
      </c>
      <c r="L147" s="965" t="n">
        <f t="shared" si="88"/>
        <v>7.697387214774043E-2</v>
      </c>
      <c r="M147" s="965" t="n">
        <f t="shared" si="88"/>
        <v>0.14018234924805895</v>
      </c>
      <c r="N147" s="965" t="n">
        <f t="shared" si="88"/>
        <v>0.2071040207465018</v>
      </c>
      <c r="O147" s="965" t="n">
        <f t="shared" si="88"/>
        <v>8.6478031973165059E-2</v>
      </c>
      <c r="P147" s="965" t="n">
        <f t="shared" si="88"/>
        <v>0.11069891254354447</v>
      </c>
      <c r="Q147" s="965" t="n">
        <f t="shared" si="88"/>
        <v>7.6866159166873782E-2</v>
      </c>
      <c r="R147" s="965" t="n">
        <f t="shared" si="88"/>
        <v>9.3412653381198307E-2</v>
      </c>
      <c r="S147" s="965" t="n">
        <f t="shared" si="88"/>
        <v>6.3255851262993046E-2</v>
      </c>
      <c r="T147" s="966"/>
      <c r="U147" s="406"/>
      <c r="V147" s="406"/>
      <c r="W147" s="406"/>
      <c r="X147" s="406"/>
      <c r="Y147" s="406"/>
      <c r="Z147" s="406"/>
      <c r="AA147" s="406"/>
      <c r="AB147" s="406"/>
      <c r="AC147" s="509"/>
    </row>
    <row r="148">
      <c r="D148" s="969" t="s">
        <v>515</v>
      </c>
      <c r="E148" s="970"/>
      <c r="F148" s="971"/>
      <c r="G148" s="971" t="n">
        <f t="shared" ref="G148:S148" si="89">(G130/F130)^4-1</f>
        <v>0.1758865286082909</v>
      </c>
      <c r="H148" s="971" t="n">
        <f t="shared" si="89"/>
        <v>6.5552449536000035E-2</v>
      </c>
      <c r="I148" s="971" t="n">
        <f t="shared" si="89"/>
        <v>-0.41963909421919576</v>
      </c>
      <c r="J148" s="971" t="n">
        <f t="shared" si="89"/>
        <v>-0.22193367207862924</v>
      </c>
      <c r="K148" s="971" t="n">
        <f t="shared" si="89"/>
        <v>2.7172895933690313</v>
      </c>
      <c r="L148" s="971" t="n">
        <f t="shared" si="89"/>
        <v>-0.33877824443000826</v>
      </c>
      <c r="M148" s="971" t="n">
        <f t="shared" si="89"/>
        <v>0.50283948391983824</v>
      </c>
      <c r="N148" s="971" t="n">
        <f t="shared" si="89"/>
        <v>0.63845566586397662</v>
      </c>
      <c r="O148" s="971" t="n">
        <f t="shared" si="89"/>
        <v>-5.8959746681685132E-2</v>
      </c>
      <c r="P148" s="971" t="n">
        <f t="shared" si="89"/>
        <v>2.206047378184639E-2</v>
      </c>
      <c r="Q148" s="971" t="n">
        <f t="shared" si="89"/>
        <v>7.9610572291598736E-2</v>
      </c>
      <c r="R148" s="971" t="n">
        <f t="shared" si="89"/>
        <v>0.30102460615002213</v>
      </c>
      <c r="S148" s="971" t="n">
        <f t="shared" si="89"/>
        <v>4.0137369361875175E-2</v>
      </c>
      <c r="T148" s="972"/>
      <c r="U148" s="326"/>
      <c r="V148" s="326"/>
      <c r="W148" s="326"/>
      <c r="X148" s="326"/>
      <c r="Y148" s="326"/>
      <c r="Z148" s="326"/>
      <c r="AA148" s="326"/>
      <c r="AB148" s="326"/>
      <c r="AC148" s="327"/>
    </row>
    <row r="151" ht="14.9" customHeight="1"/>
  </sheetData>
  <mergeCells count="41">
    <mergeCell ref="AC47:AF47"/>
    <mergeCell ref="D5:E7"/>
    <mergeCell ref="M6:P6"/>
    <mergeCell ref="D34:F34"/>
    <mergeCell ref="F5:V5"/>
    <mergeCell ref="F46:V46"/>
    <mergeCell ref="F47:H47"/>
    <mergeCell ref="M47:P47"/>
    <mergeCell ref="Q47:T47"/>
    <mergeCell ref="I47:L47"/>
    <mergeCell ref="D1:AC1"/>
    <mergeCell ref="D2:AC3"/>
    <mergeCell ref="AC6:AF6"/>
    <mergeCell ref="F6:H6"/>
    <mergeCell ref="I6:L6"/>
    <mergeCell ref="W5:AG5"/>
    <mergeCell ref="Q6:T6"/>
    <mergeCell ref="Y6:AB6"/>
    <mergeCell ref="AG6:AH6"/>
    <mergeCell ref="Y113:AB113"/>
    <mergeCell ref="O70:V70"/>
    <mergeCell ref="P71:S71"/>
    <mergeCell ref="Q103:T103"/>
    <mergeCell ref="M103:P103"/>
    <mergeCell ref="Y103:AB103"/>
    <mergeCell ref="AG47:AH47"/>
    <mergeCell ref="W46:AH46"/>
    <mergeCell ref="AG113:AH113"/>
    <mergeCell ref="D139:AC139"/>
    <mergeCell ref="D115:E115"/>
    <mergeCell ref="D113:E114"/>
    <mergeCell ref="Y47:AB47"/>
    <mergeCell ref="D103:E104"/>
    <mergeCell ref="F103:H103"/>
    <mergeCell ref="I103:L103"/>
    <mergeCell ref="M113:P113"/>
    <mergeCell ref="F113:H113"/>
    <mergeCell ref="I113:L113"/>
    <mergeCell ref="Q113:T113"/>
    <mergeCell ref="AC103:AF103"/>
    <mergeCell ref="AC113:AF113"/>
  </mergeCells>
  <pageMargins left="0.7" right="0.7" top="0.75" bottom="0.75" header="0.3" footer="0.3"/>
  <pageSetup orientation="portrait"/>
  <drawing r:id="rId1"/>
  <legacyDrawing r:id="rIdvml"/>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91" zoomScaleNormal="91" workbookViewId="0">
      <pane xSplit="3" topLeftCell="V1" activePane="topRight" state="frozen"/>
      <selection activeCell="A16" sqref="A16"/>
      <selection pane="topRight" activeCell="W80" sqref="W80"/>
    </sheetView>
  </sheetViews>
  <sheetFormatPr defaultRowHeight="15.0" baseColWidth="10"/>
  <cols>
    <col min="2" max="2" width="37" hidden="0" customWidth="1"/>
    <col min="3" max="3" width="13.17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 min="28" max="28" width="11.54296875" hidden="0" customWidth="1"/>
    <col min="29" max="29" width="11.54296875" hidden="0" customWidth="1"/>
    <col min="30" max="30" width="12.1796875" hidden="0" customWidth="1"/>
    <col min="31" max="31" width="12.1796875" hidden="0" customWidth="1"/>
    <col min="32" max="32" width="12.1796875" hidden="0" customWidth="1"/>
  </cols>
  <sheetData>
    <row r="1">
      <c r="B1" s="257" t="s">
        <v>1706</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c r="B2" s="304" t="s">
        <v>1707</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c r="B6" s="85"/>
      <c r="C6" s="1092"/>
      <c r="D6" s="1066"/>
      <c r="E6" s="1066"/>
      <c r="F6" s="1066"/>
      <c r="G6" s="1066"/>
      <c r="H6" s="1066"/>
      <c r="I6" s="1066"/>
      <c r="J6" s="1066"/>
      <c r="K6" s="1066"/>
      <c r="L6" s="1066"/>
      <c r="M6" s="1066"/>
      <c r="N6" s="1066"/>
      <c r="O6" s="1066"/>
      <c r="P6" s="1066"/>
      <c r="Q6" s="1066"/>
      <c r="R6" s="1066"/>
      <c r="S6" s="1066"/>
      <c r="T6" s="1066"/>
      <c r="U6" s="1066"/>
      <c r="V6" s="1066"/>
      <c r="W6" s="1066"/>
      <c r="X6" s="1066"/>
      <c r="Y6" s="1066"/>
      <c r="Z6" s="1066"/>
      <c r="AA6" s="1066"/>
      <c r="AB6" s="1066"/>
      <c r="AC6" s="1066"/>
      <c r="AD6" s="1066"/>
      <c r="AE6" s="1066"/>
      <c r="AF6" s="1066"/>
    </row>
    <row r="7" ht="14.5" customHeight="1">
      <c r="B7" s="1060" t="s">
        <v>1732</v>
      </c>
      <c r="C7" s="1060"/>
      <c r="D7" s="1060"/>
      <c r="E7" s="1060"/>
      <c r="F7" s="1060"/>
      <c r="G7" s="304"/>
      <c r="H7" s="304"/>
      <c r="I7" s="304"/>
      <c r="J7" s="304"/>
      <c r="K7" s="304"/>
      <c r="L7" s="304"/>
      <c r="M7" s="304"/>
      <c r="N7" s="304"/>
      <c r="O7" s="304"/>
      <c r="P7" s="304"/>
      <c r="Q7" s="304"/>
      <c r="R7" s="304"/>
      <c r="S7" s="304"/>
      <c r="T7" s="772"/>
      <c r="U7" s="772"/>
      <c r="V7" s="304"/>
      <c r="W7" s="304"/>
      <c r="X7" s="304"/>
      <c r="Y7" s="304"/>
      <c r="Z7" s="304"/>
      <c r="AA7" s="304"/>
      <c r="AB7" s="304"/>
      <c r="AC7" s="304"/>
    </row>
    <row r="8">
      <c r="B8" s="262" t="s">
        <v>1721</v>
      </c>
      <c r="C8" s="263"/>
      <c r="D8" s="266" t="s">
        <v>280</v>
      </c>
      <c r="E8" s="277"/>
      <c r="F8" s="277"/>
      <c r="G8" s="277"/>
      <c r="H8" s="277"/>
      <c r="I8" s="277"/>
      <c r="J8" s="277"/>
      <c r="K8" s="277"/>
      <c r="L8" s="277"/>
      <c r="M8" s="277"/>
      <c r="N8" s="277"/>
      <c r="O8" s="277"/>
      <c r="P8" s="277"/>
      <c r="Q8" s="277"/>
      <c r="R8" s="277"/>
      <c r="S8" s="277"/>
      <c r="T8" s="277"/>
      <c r="U8" s="277"/>
      <c r="V8" s="277"/>
      <c r="W8" s="275" t="s">
        <v>1747</v>
      </c>
      <c r="X8" s="275"/>
      <c r="Y8" s="275"/>
      <c r="Z8" s="275"/>
      <c r="AA8" s="275"/>
      <c r="AB8" s="275"/>
      <c r="AC8" s="275"/>
      <c r="AD8" s="275"/>
      <c r="AE8" s="275"/>
      <c r="AF8" s="853"/>
    </row>
    <row r="9">
      <c r="B9" s="264"/>
      <c r="C9" s="265"/>
      <c r="D9" s="259" t="n">
        <v>2018</v>
      </c>
      <c r="E9" s="259" t="n">
        <v>2019</v>
      </c>
      <c r="F9" s="260"/>
      <c r="G9" s="260"/>
      <c r="H9" s="261"/>
      <c r="I9" s="259" t="n">
        <v>2020</v>
      </c>
      <c r="J9" s="260"/>
      <c r="K9" s="260"/>
      <c r="L9" s="260"/>
      <c r="M9" s="259" t="n">
        <v>2021</v>
      </c>
      <c r="N9" s="260"/>
      <c r="O9" s="260"/>
      <c r="P9" s="260"/>
      <c r="Q9" s="354" t="n">
        <v>2022</v>
      </c>
      <c r="R9" s="740"/>
      <c r="S9" s="666"/>
      <c r="T9" s="362"/>
      <c r="U9" s="296"/>
      <c r="V9" s="666" t="n">
        <v>2023</v>
      </c>
      <c r="W9" s="344"/>
      <c r="X9" s="344"/>
      <c r="Y9" s="255" t="n">
        <v>2024</v>
      </c>
      <c r="Z9" s="268"/>
      <c r="AA9" s="268"/>
      <c r="AB9" s="256"/>
      <c r="AC9" s="255" t="n">
        <v>2025</v>
      </c>
      <c r="AD9" s="268"/>
      <c r="AE9" s="268"/>
      <c r="AF9" s="256"/>
      <c r="AG9" s="255" t="n">
        <v>2026</v>
      </c>
      <c r="AH9" s="268"/>
      <c r="AI9" s="268"/>
      <c r="AJ9" s="256"/>
    </row>
    <row r="10">
      <c r="B10" s="266"/>
      <c r="C10" s="267"/>
      <c r="D10" s="259" t="s">
        <v>282</v>
      </c>
      <c r="E10" s="259" t="s">
        <v>283</v>
      </c>
      <c r="F10" s="260" t="s">
        <v>284</v>
      </c>
      <c r="G10" s="260" t="s">
        <v>238</v>
      </c>
      <c r="H10" s="261" t="s">
        <v>282</v>
      </c>
      <c r="I10" s="260" t="s">
        <v>283</v>
      </c>
      <c r="J10" s="260" t="s">
        <v>284</v>
      </c>
      <c r="K10" s="260" t="s">
        <v>238</v>
      </c>
      <c r="L10" s="260" t="s">
        <v>282</v>
      </c>
      <c r="M10" s="259" t="s">
        <v>283</v>
      </c>
      <c r="N10" s="260" t="s">
        <v>284</v>
      </c>
      <c r="O10" s="260" t="s">
        <v>238</v>
      </c>
      <c r="P10" s="260" t="s">
        <v>282</v>
      </c>
      <c r="Q10" s="259" t="s">
        <v>283</v>
      </c>
      <c r="R10" s="260" t="s">
        <v>284</v>
      </c>
      <c r="S10" s="260" t="s">
        <v>238</v>
      </c>
      <c r="T10" s="261" t="s">
        <v>282</v>
      </c>
      <c r="U10" s="259" t="s">
        <v>283</v>
      </c>
      <c r="V10" s="260" t="s">
        <v>284</v>
      </c>
      <c r="W10" s="406" t="s">
        <v>238</v>
      </c>
      <c r="X10" s="406" t="s">
        <v>282</v>
      </c>
      <c r="Y10" s="510" t="s">
        <v>283</v>
      </c>
      <c r="Z10" s="413" t="s">
        <v>284</v>
      </c>
      <c r="AA10" s="406" t="s">
        <v>238</v>
      </c>
      <c r="AB10" s="509" t="s">
        <v>282</v>
      </c>
      <c r="AC10" s="1069" t="s">
        <v>283</v>
      </c>
      <c r="AD10" s="406" t="s">
        <v>284</v>
      </c>
      <c r="AE10" s="406" t="s">
        <v>238</v>
      </c>
      <c r="AF10" s="509" t="s">
        <v>282</v>
      </c>
      <c r="AG10" s="510" t="s">
        <v>283</v>
      </c>
      <c r="AH10" s="413" t="s">
        <v>284</v>
      </c>
      <c r="AI10" s="406" t="s">
        <v>238</v>
      </c>
      <c r="AJ10" s="509" t="s">
        <v>282</v>
      </c>
    </row>
    <row r="11">
      <c r="B11" s="1061" t="s">
        <v>1731</v>
      </c>
      <c r="C11" s="763"/>
      <c r="D11" s="763"/>
      <c r="E11" s="763"/>
      <c r="F11" s="763"/>
      <c r="G11" s="763"/>
      <c r="H11" s="763"/>
      <c r="I11" s="763"/>
      <c r="J11" s="763"/>
      <c r="K11" s="763"/>
      <c r="L11" s="763"/>
      <c r="M11" s="763"/>
      <c r="N11" s="763"/>
      <c r="O11" s="763"/>
      <c r="P11" s="763"/>
      <c r="Q11" s="763"/>
      <c r="R11" s="763"/>
      <c r="S11" s="763"/>
      <c r="T11" s="763"/>
      <c r="U11" s="763"/>
      <c r="V11" s="763"/>
      <c r="W11" s="763"/>
      <c r="X11" s="763"/>
      <c r="Y11" s="763"/>
      <c r="Z11" s="763"/>
      <c r="AA11" s="763"/>
      <c r="AB11" s="763"/>
      <c r="AC11" s="763"/>
      <c r="AD11" s="763"/>
      <c r="AE11" s="763"/>
      <c r="AF11" s="1062"/>
    </row>
    <row r="12">
      <c r="B12" s="1102" t="s">
        <v>1710</v>
      </c>
      <c r="C12" s="1103"/>
      <c r="D12" s="1097" t="n">
        <f t="shared" ref="D12:T12" si="0">D45</f>
        <v>1.5264497223703488E-2</v>
      </c>
      <c r="E12" s="1097" t="n">
        <f t="shared" si="0"/>
        <v>9.1895436648135043E-3</v>
      </c>
      <c r="F12" s="1097" t="n">
        <f t="shared" si="0"/>
        <v>2.1359335668051704E-2</v>
      </c>
      <c r="G12" s="1097" t="n">
        <f t="shared" si="0"/>
        <v>9.7821561759856568E-3</v>
      </c>
      <c r="H12" s="1097" t="n">
        <f t="shared" si="0"/>
        <v>1.5756743276972518E-2</v>
      </c>
      <c r="I12" s="1097" t="n">
        <f t="shared" si="0"/>
        <v>1.2975809403218186E-2</v>
      </c>
      <c r="J12" s="1097" t="n">
        <f t="shared" si="0"/>
        <v>-1.727886877748519E-2</v>
      </c>
      <c r="K12" s="1097" t="n">
        <f t="shared" si="0"/>
        <v>3.3383553321530757E-2</v>
      </c>
      <c r="L12" s="1097" t="n">
        <f t="shared" si="0"/>
        <v>2.0146820681233191E-2</v>
      </c>
      <c r="M12" s="1097" t="n">
        <f t="shared" si="0"/>
        <v>4.7725552632172041E-2</v>
      </c>
      <c r="N12" s="1097" t="n">
        <f t="shared" si="0"/>
        <v>6.2593648340676156E-2</v>
      </c>
      <c r="O12" s="1097" t="n">
        <f t="shared" si="0"/>
        <v>5.6496850547917088E-2</v>
      </c>
      <c r="P12" s="1097" t="n">
        <f t="shared" si="0"/>
        <v>6.7608172830647684E-2</v>
      </c>
      <c r="Q12" s="1097" t="n">
        <f t="shared" si="0"/>
        <v>7.6571358087944352E-2</v>
      </c>
      <c r="R12" s="1097" t="n">
        <f t="shared" si="0"/>
        <v>7.1828427694202057E-2</v>
      </c>
      <c r="S12" s="1097" t="n">
        <f t="shared" si="0"/>
        <v>4.6758931657381764E-2</v>
      </c>
      <c r="T12" s="1120" t="n">
        <f t="shared" si="0"/>
        <v>4.1448566443352153E-2</v>
      </c>
      <c r="U12" s="1097" t="n">
        <f t="shared" ref="U12:AF12" si="1">U45+U13</f>
        <v>4.1651997755371317E-2</v>
      </c>
      <c r="V12" s="1097" t="n">
        <f t="shared" si="1"/>
        <v>2.4870541532459711E-2</v>
      </c>
      <c r="W12" s="1097" t="n">
        <f t="shared" si="1"/>
        <v>2.5905176927918383E-2</v>
      </c>
      <c r="X12" s="1097" t="n">
        <f t="shared" si="1"/>
        <v>1.7898288181300792E-2</v>
      </c>
      <c r="Y12" s="1097" t="n">
        <f t="shared" si="1"/>
        <v>3.4047759971643332E-2</v>
      </c>
      <c r="Z12" s="1097" t="n">
        <f t="shared" si="1"/>
        <v>2.5174782394791206E-2</v>
      </c>
      <c r="AA12" s="1097" t="n">
        <f t="shared" si="1"/>
        <v>2.2474645472145172E-2</v>
      </c>
      <c r="AB12" s="1097" t="n">
        <f t="shared" si="1"/>
        <v>2.0485836297992499E-2</v>
      </c>
      <c r="AC12" s="1097" t="n">
        <f t="shared" si="1"/>
        <v>2.1796033645922641E-2</v>
      </c>
      <c r="AD12" s="1097" t="n">
        <f t="shared" si="1"/>
        <v>2.1576747995004641E-2</v>
      </c>
      <c r="AE12" s="1097" t="n">
        <f t="shared" si="1"/>
        <v>2.0708760783051394E-2</v>
      </c>
      <c r="AF12" s="1095" t="n">
        <f t="shared" si="1"/>
        <v>2.0110814282412459E-2</v>
      </c>
      <c r="AG12" s="1095" t="n">
        <f>AG45+AG13</f>
        <v>1.9760549063349009E-2</v>
      </c>
      <c r="AH12" s="1095" t="n">
        <f>AH45+AH13</f>
        <v>1.9516602813602013E-2</v>
      </c>
      <c r="AI12" s="1095"/>
      <c r="AJ12" s="1095"/>
    </row>
    <row r="13">
      <c r="B13" s="1108" t="s">
        <v>1742</v>
      </c>
      <c r="C13" s="1104"/>
      <c r="D13" s="1105"/>
      <c r="E13" s="1106"/>
      <c r="F13" s="1106"/>
      <c r="G13" s="1106"/>
      <c r="H13" s="1106"/>
      <c r="I13" s="1106"/>
      <c r="J13" s="1106"/>
      <c r="K13" s="1106"/>
      <c r="L13" s="1106"/>
      <c r="M13" s="1106"/>
      <c r="N13" s="1106"/>
      <c r="O13" s="1106"/>
      <c r="P13" s="1106"/>
      <c r="Q13" s="1106"/>
      <c r="R13" s="1106"/>
      <c r="S13" s="1106"/>
      <c r="T13" s="1106"/>
      <c r="U13" s="1106"/>
      <c r="V13" s="1106"/>
      <c r="W13" s="1106"/>
      <c r="X13" s="1106"/>
      <c r="Y13" s="1106"/>
      <c r="Z13" s="1106"/>
      <c r="AA13" s="1106"/>
      <c r="AB13" s="1106"/>
      <c r="AC13" s="1106"/>
      <c r="AD13" s="1106"/>
      <c r="AE13" s="1106"/>
      <c r="AF13" s="1107"/>
      <c r="AG13" s="1107"/>
      <c r="AH13" s="1107"/>
      <c r="AI13" s="1107"/>
      <c r="AJ13" s="1107"/>
    </row>
    <row r="14">
      <c r="B14" s="864" t="s">
        <v>1711</v>
      </c>
      <c r="C14" s="1103"/>
      <c r="D14" s="1066" t="n">
        <f t="shared" ref="D14:S14" si="2">D48</f>
        <v>2.9477765289275926E-2</v>
      </c>
      <c r="E14" s="1066" t="n">
        <f t="shared" si="2"/>
        <v>4.2202135370129845E-2</v>
      </c>
      <c r="F14" s="1066" t="n">
        <f t="shared" si="2"/>
        <v>-2.3704834981612466E-2</v>
      </c>
      <c r="G14" s="1066" t="n">
        <f t="shared" si="2"/>
        <v>6.4629467492742787E-3</v>
      </c>
      <c r="H14" s="1066" t="n">
        <f t="shared" si="2"/>
        <v>1.3942439977386201E-2</v>
      </c>
      <c r="I14" s="1066" t="n">
        <f t="shared" si="2"/>
        <v>1.2621468504538935E-2</v>
      </c>
      <c r="J14" s="1066" t="n">
        <f t="shared" si="2"/>
        <v>9.5192305533120525E-4</v>
      </c>
      <c r="K14" s="1066" t="n">
        <f t="shared" si="2"/>
        <v>2.3028813031033213E-2</v>
      </c>
      <c r="L14" s="1066" t="n">
        <f t="shared" si="2"/>
        <v>2.9378026710950689E-2</v>
      </c>
      <c r="M14" s="1066" t="n">
        <f t="shared" si="2"/>
        <v>3.4124335135575334E-2</v>
      </c>
      <c r="N14" s="1066" t="n">
        <f t="shared" si="2"/>
        <v>3.9538213787325915E-2</v>
      </c>
      <c r="O14" s="1066" t="n">
        <f t="shared" si="2"/>
        <v>4.1165152093425528E-2</v>
      </c>
      <c r="P14" s="1066" t="n">
        <f t="shared" si="2"/>
        <v>4.6364460300687638E-2</v>
      </c>
      <c r="Q14" s="1066" t="n">
        <f t="shared" si="2"/>
        <v>7.2410998904413937E-2</v>
      </c>
      <c r="R14" s="1066" t="n">
        <f t="shared" si="2"/>
        <v>6.8511037124212137E-2</v>
      </c>
      <c r="S14" s="1066" t="n">
        <f t="shared" si="2"/>
        <v>4.8282007704063767E-2</v>
      </c>
      <c r="T14" s="1066" t="n">
        <f>T48</f>
        <v>4.093597497107293E-2</v>
      </c>
      <c r="U14" s="1066" t="n">
        <f>U48+U15</f>
        <v>4.1330736826713066E-2</v>
      </c>
      <c r="V14" s="1066" t="n">
        <f t="shared" ref="V14:AF14" si="3">V48+V15</f>
        <v>2.0643513935327373E-2</v>
      </c>
      <c r="W14" s="1066" t="n">
        <f t="shared" si="3"/>
        <v>3.9726565698527727E-2</v>
      </c>
      <c r="X14" s="1066" t="n">
        <f t="shared" si="3"/>
        <v>3.9575951716406488E-2</v>
      </c>
      <c r="Y14" s="1066" t="n">
        <f t="shared" si="3"/>
        <v>4.1294742159051934E-2</v>
      </c>
      <c r="Z14" s="1066" t="n">
        <f t="shared" si="3"/>
        <v>2.9112295464471361E-2</v>
      </c>
      <c r="AA14" s="1066" t="n">
        <f t="shared" si="3"/>
        <v>2.5505871693797699E-2</v>
      </c>
      <c r="AB14" s="1066" t="n">
        <f t="shared" si="3"/>
        <v>2.3438723088733626E-2</v>
      </c>
      <c r="AC14" s="1066" t="n">
        <f t="shared" si="3"/>
        <v>2.2377163912874476E-2</v>
      </c>
      <c r="AD14" s="1066" t="n">
        <f t="shared" si="3"/>
        <v>2.1708971853545922E-2</v>
      </c>
      <c r="AE14" s="1066" t="n">
        <f t="shared" si="3"/>
        <v>2.1471980846518912E-2</v>
      </c>
      <c r="AF14" s="1122" t="n">
        <f t="shared" si="3"/>
        <v>2.1530345294352937E-2</v>
      </c>
      <c r="AG14" s="1122" t="n">
        <f t="shared" ref="AG14:AH14" si="4">AG48+AG15</f>
        <v>1.5936865457563565E-2</v>
      </c>
      <c r="AH14" s="1122" t="n">
        <f t="shared" si="4"/>
        <v>1.6813069627471089E-2</v>
      </c>
      <c r="AI14" s="1122"/>
      <c r="AJ14" s="1122"/>
    </row>
    <row r="15">
      <c r="B15" s="399" t="s">
        <v>1743</v>
      </c>
      <c r="C15" s="1104"/>
      <c r="D15" s="1105"/>
      <c r="E15" s="1106"/>
      <c r="F15" s="1106"/>
      <c r="G15" s="1106"/>
      <c r="H15" s="1106"/>
      <c r="I15" s="1106"/>
      <c r="J15" s="1106"/>
      <c r="K15" s="1106"/>
      <c r="L15" s="1106"/>
      <c r="M15" s="1106"/>
      <c r="N15" s="1106"/>
      <c r="O15" s="1106"/>
      <c r="P15" s="1106"/>
      <c r="Q15" s="1106"/>
      <c r="R15" s="1106"/>
      <c r="S15" s="1106"/>
      <c r="T15" s="1106"/>
      <c r="U15" s="1106"/>
      <c r="V15" s="1106"/>
      <c r="W15" s="1106"/>
      <c r="X15" s="1106"/>
      <c r="Y15" s="1106"/>
      <c r="Z15" s="1106"/>
      <c r="AA15" s="1106"/>
      <c r="AB15" s="1106"/>
      <c r="AC15" s="1106"/>
      <c r="AD15" s="1106"/>
      <c r="AE15" s="1106"/>
      <c r="AF15" s="1107"/>
      <c r="AG15" s="1107"/>
      <c r="AH15" s="1107"/>
      <c r="AI15" s="1107"/>
      <c r="AJ15" s="1107"/>
    </row>
    <row r="16">
      <c r="B16" s="864" t="s">
        <v>1712</v>
      </c>
      <c r="C16" s="1103"/>
      <c r="D16" s="1066" t="n">
        <f t="shared" ref="D16:T16" si="5">D49</f>
        <v>1.7606158659444704E-2</v>
      </c>
      <c r="E16" s="1066" t="n">
        <f t="shared" si="5"/>
        <v>-1.7151418638734928E-2</v>
      </c>
      <c r="F16" s="1066" t="n">
        <f t="shared" si="5"/>
        <v>2.7663740902592604E-2</v>
      </c>
      <c r="G16" s="1066" t="n">
        <f t="shared" si="5"/>
        <v>1.5104723907904294E-2</v>
      </c>
      <c r="H16" s="1066" t="n">
        <f t="shared" si="5"/>
        <v>2.4480958799653285E-2</v>
      </c>
      <c r="I16" s="1066" t="n">
        <f t="shared" si="5"/>
        <v>5.2574904831641067E-2</v>
      </c>
      <c r="J16" s="1066" t="n">
        <f t="shared" si="5"/>
        <v>-8.4277759405785302E-3</v>
      </c>
      <c r="K16" s="1066" t="n">
        <f t="shared" si="5"/>
        <v>4.907445416510936E-2</v>
      </c>
      <c r="L16" s="1066" t="n">
        <f t="shared" si="5"/>
        <v>5.0954864858178572E-2</v>
      </c>
      <c r="M16" s="1066" t="n">
        <f t="shared" si="5"/>
        <v>9.2354867824980369E-2</v>
      </c>
      <c r="N16" s="1066" t="n">
        <f t="shared" si="5"/>
        <v>7.5885854631137173E-2</v>
      </c>
      <c r="O16" s="1066" t="n">
        <f t="shared" si="5"/>
        <v>6.4839018796936099E-2</v>
      </c>
      <c r="P16" s="1066" t="n">
        <f t="shared" si="5"/>
        <v>7.8606616627874493E-2</v>
      </c>
      <c r="Q16" s="1066" t="n">
        <f t="shared" si="5"/>
        <v>9.0996244334734522E-2</v>
      </c>
      <c r="R16" s="1066" t="n">
        <f t="shared" si="5"/>
        <v>0.13763433325959551</v>
      </c>
      <c r="S16" s="1066" t="n">
        <f t="shared" si="5"/>
        <v>1.6839709416048398E-2</v>
      </c>
      <c r="T16" s="1066" t="n">
        <f t="shared" si="5"/>
        <v>2.7352303497218955E-2</v>
      </c>
      <c r="U16" s="1091" t="n">
        <f>U49+U17</f>
        <v>-6.3056175150344451E-5</v>
      </c>
      <c r="V16" s="1066" t="n">
        <f t="shared" ref="V16:AF16" si="6">V49+V17</f>
        <v>-2.8662130748749126E-2</v>
      </c>
      <c r="W16" s="1066" t="n">
        <f t="shared" si="6"/>
        <v>5.7410273514926002E-2</v>
      </c>
      <c r="X16" s="1066" t="n">
        <f t="shared" si="6"/>
        <v>6.4988621204677965E-3</v>
      </c>
      <c r="Y16" s="1066" t="n">
        <f t="shared" si="6"/>
        <v>3.8310837184705404E-2</v>
      </c>
      <c r="Z16" s="1066" t="n">
        <f t="shared" si="6"/>
        <v>1.680091994223365E-2</v>
      </c>
      <c r="AA16" s="1066" t="n">
        <f t="shared" si="6"/>
        <v>2.2724337980433162E-2</v>
      </c>
      <c r="AB16" s="1066" t="n">
        <f t="shared" si="6"/>
        <v>2.1533565330379201E-2</v>
      </c>
      <c r="AC16" s="1066" t="n">
        <f t="shared" si="6"/>
        <v>2.3821649071183115E-2</v>
      </c>
      <c r="AD16" s="1066" t="n">
        <f t="shared" si="6"/>
        <v>2.3493967451795994E-2</v>
      </c>
      <c r="AE16" s="1066" t="n">
        <f t="shared" si="6"/>
        <v>2.3095343044312822E-2</v>
      </c>
      <c r="AF16" s="1122" t="n">
        <f t="shared" si="6"/>
        <v>2.2877364391311605E-2</v>
      </c>
      <c r="AG16" s="1122" t="n">
        <f t="shared" ref="AG16:AH16" si="7">AG49+AG17</f>
        <v>2.2926764441147718E-2</v>
      </c>
      <c r="AH16" s="1122" t="n">
        <f t="shared" si="7"/>
        <v>2.3049272742582838E-2</v>
      </c>
      <c r="AI16" s="1122"/>
      <c r="AJ16" s="1122"/>
    </row>
    <row r="17">
      <c r="B17" s="399" t="s">
        <v>1744</v>
      </c>
      <c r="C17" s="1104"/>
      <c r="D17" s="1105"/>
      <c r="E17" s="1106"/>
      <c r="F17" s="1106"/>
      <c r="G17" s="1106"/>
      <c r="H17" s="1106"/>
      <c r="I17" s="1106"/>
      <c r="J17" s="1106"/>
      <c r="K17" s="1106"/>
      <c r="L17" s="1106"/>
      <c r="M17" s="1106"/>
      <c r="N17" s="1106"/>
      <c r="O17" s="1106"/>
      <c r="P17" s="1106"/>
      <c r="Q17" s="1106"/>
      <c r="R17" s="1106"/>
      <c r="S17" s="1106"/>
      <c r="T17" s="1106"/>
      <c r="U17" s="1106"/>
      <c r="V17" s="1106"/>
      <c r="W17" s="1106"/>
      <c r="X17" s="1106"/>
      <c r="Y17" s="1106"/>
      <c r="Z17" s="1106"/>
      <c r="AA17" s="1106"/>
      <c r="AB17" s="1106"/>
      <c r="AC17" s="1106"/>
      <c r="AD17" s="1106"/>
      <c r="AE17" s="1106"/>
      <c r="AF17" s="1107"/>
      <c r="AG17" s="1107"/>
      <c r="AH17" s="1107"/>
      <c r="AI17" s="1107"/>
      <c r="AJ17" s="1107"/>
    </row>
    <row r="18">
      <c r="B18" s="864" t="s">
        <v>1713</v>
      </c>
      <c r="C18" s="1103"/>
      <c r="D18" s="1066" t="n">
        <f t="shared" ref="D18:T18" si="8">D51</f>
        <v>1.2331231439726587E-2</v>
      </c>
      <c r="E18" s="1066" t="n">
        <f t="shared" si="8"/>
        <v>-2.4548871147293649E-2</v>
      </c>
      <c r="F18" s="1066" t="n">
        <f t="shared" si="8"/>
        <v>2.4115177005201271E-2</v>
      </c>
      <c r="G18" s="1066" t="n">
        <f t="shared" si="8"/>
        <v>1.4753974603383124E-2</v>
      </c>
      <c r="H18" s="1066" t="n">
        <f t="shared" si="8"/>
        <v>2.894174832740215E-2</v>
      </c>
      <c r="I18" s="1066" t="n">
        <f t="shared" si="8"/>
        <v>6.2522667611889737E-2</v>
      </c>
      <c r="J18" s="1066" t="n">
        <f t="shared" si="8"/>
        <v>-7.4240991087901609E-3</v>
      </c>
      <c r="K18" s="1066" t="n">
        <f t="shared" si="8"/>
        <v>5.0929448665746779E-2</v>
      </c>
      <c r="L18" s="1066" t="n">
        <f t="shared" si="8"/>
        <v>5.7456046457014187E-2</v>
      </c>
      <c r="M18" s="1066" t="n">
        <f t="shared" si="8"/>
        <v>9.8185028225247883E-2</v>
      </c>
      <c r="N18" s="1066" t="n">
        <f t="shared" si="8"/>
        <v>7.1275335420445396E-2</v>
      </c>
      <c r="O18" s="1066" t="n">
        <f t="shared" si="8"/>
        <v>6.0639425152128945E-2</v>
      </c>
      <c r="P18" s="1066" t="n">
        <f t="shared" si="8"/>
        <v>7.3083340350689641E-2</v>
      </c>
      <c r="Q18" s="1066" t="n">
        <f t="shared" si="8"/>
        <v>8.7536929602414215E-2</v>
      </c>
      <c r="R18" s="1066" t="n">
        <f t="shared" si="8"/>
        <v>0.14059958977185572</v>
      </c>
      <c r="S18" s="1066" t="n">
        <f t="shared" si="8"/>
        <v>5.1674533625485353E-3</v>
      </c>
      <c r="T18" s="1066" t="n">
        <f t="shared" si="8"/>
        <v>2.4708021569921135E-2</v>
      </c>
      <c r="U18" s="1091" t="n">
        <f>U51+U19</f>
        <v>-1.0701402735953436E-2</v>
      </c>
      <c r="V18" s="1066" t="n">
        <f t="shared" ref="V18:AF18" si="9">V51+V19</f>
        <v>-3.5605877057299118E-2</v>
      </c>
      <c r="W18" s="1066" t="n">
        <f t="shared" si="9"/>
        <v>6.8186173678186135E-2</v>
      </c>
      <c r="X18" s="1066" t="n">
        <f t="shared" si="9"/>
        <v>5.6734763882242412E-3</v>
      </c>
      <c r="Y18" s="1066" t="n">
        <f t="shared" si="9"/>
        <v>4.1686540954535056E-2</v>
      </c>
      <c r="Z18" s="1066" t="n">
        <f t="shared" si="9"/>
        <v>2.0014336228912244E-2</v>
      </c>
      <c r="AA18" s="1066" t="n">
        <f t="shared" si="9"/>
        <v>2.2724337980433162E-2</v>
      </c>
      <c r="AB18" s="1066" t="n">
        <f t="shared" si="9"/>
        <v>2.1533565330379201E-2</v>
      </c>
      <c r="AC18" s="1066" t="n">
        <f t="shared" si="9"/>
        <v>2.3821649071183115E-2</v>
      </c>
      <c r="AD18" s="1066" t="n">
        <f t="shared" si="9"/>
        <v>2.3493967451795994E-2</v>
      </c>
      <c r="AE18" s="1066" t="n">
        <f t="shared" si="9"/>
        <v>2.3095343044312822E-2</v>
      </c>
      <c r="AF18" s="1122" t="n">
        <f t="shared" si="9"/>
        <v>2.2877364391311605E-2</v>
      </c>
      <c r="AG18" s="1122" t="n">
        <f t="shared" ref="AG18:AH18" si="10">AG51+AG19</f>
        <v>2.2926764441147718E-2</v>
      </c>
      <c r="AH18" s="1122" t="n">
        <f t="shared" si="10"/>
        <v>2.3049272742582838E-2</v>
      </c>
      <c r="AI18" s="1122"/>
      <c r="AJ18" s="1122"/>
    </row>
    <row r="19">
      <c r="B19" s="399" t="s">
        <v>1745</v>
      </c>
      <c r="C19" s="1104"/>
      <c r="D19" s="1105"/>
      <c r="E19" s="1106"/>
      <c r="F19" s="1106"/>
      <c r="G19" s="1106"/>
      <c r="H19" s="1106"/>
      <c r="I19" s="1106"/>
      <c r="J19" s="1106"/>
      <c r="K19" s="1106"/>
      <c r="L19" s="1106"/>
      <c r="M19" s="1106"/>
      <c r="N19" s="1106"/>
      <c r="O19" s="1106"/>
      <c r="P19" s="1106"/>
      <c r="Q19" s="1106"/>
      <c r="R19" s="1106"/>
      <c r="S19" s="1106"/>
      <c r="T19" s="1106"/>
      <c r="U19" s="1106"/>
      <c r="V19" s="1106"/>
      <c r="W19" s="1106"/>
      <c r="X19" s="1106"/>
      <c r="Y19" s="1106"/>
      <c r="Z19" s="1106"/>
      <c r="AA19" s="1106"/>
      <c r="AB19" s="1106"/>
      <c r="AC19" s="1106"/>
      <c r="AD19" s="1106"/>
      <c r="AE19" s="1106"/>
      <c r="AF19" s="1107"/>
      <c r="AG19" s="1107"/>
      <c r="AH19" s="1107"/>
      <c r="AI19" s="1107"/>
      <c r="AJ19" s="1107"/>
    </row>
    <row r="20">
      <c r="B20" s="864" t="s">
        <v>1714</v>
      </c>
      <c r="C20" s="1103"/>
      <c r="D20" s="1066" t="n">
        <f t="shared" ref="D20:T20" si="11">D52</f>
        <v>4.0962242441666019E-2</v>
      </c>
      <c r="E20" s="1066" t="n">
        <f t="shared" si="11"/>
        <v>1.5719050974356552E-2</v>
      </c>
      <c r="F20" s="1066" t="n">
        <f t="shared" si="11"/>
        <v>4.3088224053848823E-2</v>
      </c>
      <c r="G20" s="1066" t="n">
        <f t="shared" si="11"/>
        <v>1.6823112159823461E-2</v>
      </c>
      <c r="H20" s="1066" t="n">
        <f t="shared" si="11"/>
        <v>5.3982501773912617E-3</v>
      </c>
      <c r="I20" s="1066" t="n">
        <f t="shared" si="11"/>
        <v>9.7871671399678561E-3</v>
      </c>
      <c r="J20" s="1066" t="n">
        <f t="shared" si="11"/>
        <v>-1.264897125361697E-2</v>
      </c>
      <c r="K20" s="1066" t="n">
        <f t="shared" si="11"/>
        <v>4.0611329344794056E-2</v>
      </c>
      <c r="L20" s="1066" t="n">
        <f t="shared" si="11"/>
        <v>2.1607225299700827E-2</v>
      </c>
      <c r="M20" s="1066" t="n">
        <f t="shared" si="11"/>
        <v>6.5587978667649205E-2</v>
      </c>
      <c r="N20" s="1066" t="n">
        <f t="shared" si="11"/>
        <v>9.6562691223789132E-2</v>
      </c>
      <c r="O20" s="1066" t="n">
        <f t="shared" si="11"/>
        <v>8.4807929469169041E-2</v>
      </c>
      <c r="P20" s="1066" t="n">
        <f t="shared" si="11"/>
        <v>0.1057724485451752</v>
      </c>
      <c r="Q20" s="1066" t="n">
        <f t="shared" si="11"/>
        <v>0.10808480173082224</v>
      </c>
      <c r="R20" s="1066" t="n">
        <f t="shared" si="11"/>
        <v>0.12258858608776269</v>
      </c>
      <c r="S20" s="1066" t="n">
        <f t="shared" si="11"/>
        <v>7.7728691252704651E-2</v>
      </c>
      <c r="T20" s="1066" t="n">
        <f t="shared" si="11"/>
        <v>4.0349668009795225E-2</v>
      </c>
      <c r="U20" s="1066" t="n">
        <f>U52+U21</f>
        <v>5.1960248713186719E-2</v>
      </c>
      <c r="V20" s="1066" t="n">
        <f t="shared" ref="V20:AF20" si="12">V52+V21</f>
        <v>3.571644947314212E-3</v>
      </c>
      <c r="W20" s="1066" t="n">
        <f t="shared" si="12"/>
        <v>1.126058576943012E-2</v>
      </c>
      <c r="X20" s="1066" t="n">
        <f t="shared" si="12"/>
        <v>1.0024676064772642E-2</v>
      </c>
      <c r="Y20" s="1066" t="n">
        <f t="shared" si="12"/>
        <v>2.4361298023588995E-2</v>
      </c>
      <c r="Z20" s="1066" t="n">
        <f t="shared" si="12"/>
        <v>3.6501030492672726E-3</v>
      </c>
      <c r="AA20" s="1066" t="n">
        <f t="shared" si="12"/>
        <v>2.2724337980433162E-2</v>
      </c>
      <c r="AB20" s="1066" t="n">
        <f t="shared" si="12"/>
        <v>2.1533565330379201E-2</v>
      </c>
      <c r="AC20" s="1066" t="n">
        <f t="shared" si="12"/>
        <v>2.3821649071183115E-2</v>
      </c>
      <c r="AD20" s="1066" t="n">
        <f t="shared" si="12"/>
        <v>2.3493967451795994E-2</v>
      </c>
      <c r="AE20" s="1066" t="n">
        <f t="shared" si="12"/>
        <v>2.3095343044312822E-2</v>
      </c>
      <c r="AF20" s="1122" t="n">
        <f t="shared" si="12"/>
        <v>2.2877364391311605E-2</v>
      </c>
      <c r="AG20" s="1122" t="n">
        <f t="shared" ref="AG20:AH20" si="13">AG52+AG21</f>
        <v>2.2926764441147718E-2</v>
      </c>
      <c r="AH20" s="1122" t="n">
        <f t="shared" si="13"/>
        <v>2.3049272742582838E-2</v>
      </c>
      <c r="AI20" s="1122"/>
      <c r="AJ20" s="1122"/>
    </row>
    <row r="21">
      <c r="B21" s="399" t="s">
        <v>1746</v>
      </c>
      <c r="C21" s="1104"/>
      <c r="D21" s="1071"/>
      <c r="E21" s="1071"/>
      <c r="F21" s="1071"/>
      <c r="G21" s="1071"/>
      <c r="H21" s="1071"/>
      <c r="I21" s="1071"/>
      <c r="J21" s="1071"/>
      <c r="K21" s="1071"/>
      <c r="L21" s="1071"/>
      <c r="M21" s="1071"/>
      <c r="N21" s="1071"/>
      <c r="O21" s="1071"/>
      <c r="P21" s="1071"/>
      <c r="Q21" s="1071"/>
      <c r="R21" s="1071"/>
      <c r="S21" s="1071"/>
      <c r="T21" s="1071"/>
      <c r="U21" s="1071"/>
      <c r="V21" s="1071"/>
      <c r="W21" s="1071"/>
      <c r="X21" s="1071"/>
      <c r="Y21" s="1071"/>
      <c r="Z21" s="1071"/>
      <c r="AA21" s="1071"/>
      <c r="AB21" s="1071"/>
      <c r="AC21" s="1071"/>
      <c r="AD21" s="1071"/>
      <c r="AE21" s="1071"/>
      <c r="AF21" s="1072"/>
    </row>
    <row r="22">
      <c r="B22" s="1063" t="s">
        <v>1735</v>
      </c>
      <c r="C22" s="1064"/>
      <c r="D22" s="1064"/>
      <c r="E22" s="1064"/>
      <c r="F22" s="1064"/>
      <c r="G22" s="1064"/>
      <c r="H22" s="1064"/>
      <c r="I22" s="1064"/>
      <c r="J22" s="1064"/>
      <c r="K22" s="1064"/>
      <c r="L22" s="1064"/>
      <c r="M22" s="1064"/>
      <c r="N22" s="1064"/>
      <c r="O22" s="1064"/>
      <c r="P22" s="1064"/>
      <c r="Q22" s="1064"/>
      <c r="R22" s="1064"/>
      <c r="S22" s="1064"/>
      <c r="T22" s="1064"/>
      <c r="U22" s="1064"/>
      <c r="V22" s="1064"/>
      <c r="W22" s="1064"/>
      <c r="X22" s="1064"/>
      <c r="Y22" s="1064"/>
      <c r="Z22" s="1064"/>
      <c r="AA22" s="1064"/>
      <c r="AB22" s="1064"/>
      <c r="AC22" s="1064"/>
      <c r="AD22" s="1064"/>
      <c r="AE22" s="1064"/>
      <c r="AF22" s="1064"/>
      <c r="AG22" s="1064"/>
      <c r="AH22" s="1064"/>
      <c r="AI22" s="1064"/>
      <c r="AJ22" s="1064"/>
    </row>
    <row r="23">
      <c r="B23" s="1090" t="s">
        <v>1710</v>
      </c>
      <c r="C23" s="1098"/>
      <c r="D23" s="1088" t="n">
        <f t="shared" ref="D23:AF23" si="14">(D12+1)^0.25-1</f>
        <v>3.7944725878693575E-3</v>
      </c>
      <c r="E23" s="1088" t="n">
        <f t="shared" si="14"/>
        <v>2.2895111163072634E-3</v>
      </c>
      <c r="F23" s="1088" t="n">
        <f t="shared" si="14"/>
        <v>5.2975883822428127E-3</v>
      </c>
      <c r="G23" s="1088" t="n">
        <f t="shared" si="14"/>
        <v>2.4366189012010597E-3</v>
      </c>
      <c r="H23" s="1088" t="n">
        <f t="shared" si="14"/>
        <v>3.9161216891407946E-3</v>
      </c>
      <c r="I23" s="1088" t="n">
        <f t="shared" si="14"/>
        <v>3.2282859338970127E-3</v>
      </c>
      <c r="J23" s="1088" t="n">
        <f t="shared" si="14"/>
        <v>-4.347992644805343E-3</v>
      </c>
      <c r="K23" s="1088" t="n">
        <f t="shared" si="14"/>
        <v>8.2433966256900693E-3</v>
      </c>
      <c r="L23" s="1088" t="n">
        <f t="shared" si="14"/>
        <v>4.9990936757648985E-3</v>
      </c>
      <c r="M23" s="1088" t="n">
        <f t="shared" si="14"/>
        <v>1.1723607643602252E-2</v>
      </c>
      <c r="N23" s="1088" t="n">
        <f t="shared" si="14"/>
        <v>1.5293963106832509E-2</v>
      </c>
      <c r="O23" s="1088" t="n">
        <f t="shared" si="14"/>
        <v>1.3834466952535873E-2</v>
      </c>
      <c r="P23" s="1088" t="n">
        <f t="shared" si="14"/>
        <v>1.6489676860671709E-2</v>
      </c>
      <c r="Q23" s="1088" t="n">
        <f t="shared" si="14"/>
        <v>1.8616496583388598E-2</v>
      </c>
      <c r="R23" s="1088" t="n">
        <f t="shared" si="14"/>
        <v>1.7492737036710837E-2</v>
      </c>
      <c r="S23" s="1089" t="n">
        <f t="shared" si="14"/>
        <v>1.1490175380914902E-2</v>
      </c>
      <c r="T23" s="1088" t="n">
        <f t="shared" si="14"/>
        <v>1.0204867199863132E-2</v>
      </c>
      <c r="U23" s="1088" t="n">
        <f t="shared" si="14"/>
        <v>1.0254195668004451E-2</v>
      </c>
      <c r="V23" s="1088" t="n">
        <f t="shared" si="14"/>
        <v>6.1604740631469035E-3</v>
      </c>
      <c r="W23" s="1088" t="n">
        <f t="shared" si="14"/>
        <v>6.4143147512578658E-3</v>
      </c>
      <c r="X23" s="1088" t="n">
        <f t="shared" si="14"/>
        <v>4.4448491068915796E-3</v>
      </c>
      <c r="Y23" s="1088" t="n">
        <f t="shared" si="14"/>
        <v>8.4053695478405466E-3</v>
      </c>
      <c r="Z23" s="1088" t="n">
        <f t="shared" si="14"/>
        <v>6.2351374100073631E-3</v>
      </c>
      <c r="AA23" s="1088" t="n">
        <f t="shared" si="14"/>
        <v>5.571918722356628E-3</v>
      </c>
      <c r="AB23" s="1088" t="n">
        <f t="shared" si="14"/>
        <v>5.0825787020194468E-3</v>
      </c>
      <c r="AC23" s="1088" t="n">
        <f t="shared" si="14"/>
        <v>5.4050287894606974E-3</v>
      </c>
      <c r="AD23" s="1088" t="n">
        <f t="shared" si="14"/>
        <v>5.3510824454261474E-3</v>
      </c>
      <c r="AE23" s="1088" t="n">
        <f t="shared" si="14"/>
        <v>5.1374641193888682E-3</v>
      </c>
      <c r="AF23" s="1089" t="n">
        <f t="shared" si="14"/>
        <v>4.9902256196157069E-3</v>
      </c>
      <c r="AG23" s="1089" t="n">
        <f t="shared" ref="AG23:AH23" si="15">(AG12+1)^0.25-1</f>
        <v>4.9039461559314823E-3</v>
      </c>
      <c r="AH23" s="1089" t="n">
        <f t="shared" si="15"/>
        <v>4.8438426974866111E-3</v>
      </c>
    </row>
    <row r="24">
      <c r="B24" s="1067" t="s">
        <v>1711</v>
      </c>
      <c r="C24" s="1098"/>
      <c r="D24" s="1088" t="n">
        <f t="shared" ref="D24:AF24" si="16">(D14+1)^0.25-1</f>
        <v>7.2893513350869021E-3</v>
      </c>
      <c r="E24" s="1088" t="n">
        <f t="shared" si="16"/>
        <v>1.0387558056620838E-2</v>
      </c>
      <c r="F24" s="1088" t="n">
        <f t="shared" si="16"/>
        <v>-5.979629205767889E-3</v>
      </c>
      <c r="G24" s="1088" t="n">
        <f t="shared" si="16"/>
        <v>1.6118354776502031E-3</v>
      </c>
      <c r="H24" s="1088" t="n">
        <f t="shared" si="16"/>
        <v>3.4675325919326649E-3</v>
      </c>
      <c r="I24" s="1088" t="n">
        <f t="shared" si="16"/>
        <v>3.1405416241085948E-3</v>
      </c>
      <c r="J24" s="1088" t="n">
        <f t="shared" si="16"/>
        <v>2.3789585870903629E-4</v>
      </c>
      <c r="K24" s="1088" t="n">
        <f t="shared" si="16"/>
        <v>5.7081426655123391E-3</v>
      </c>
      <c r="L24" s="1088" t="n">
        <f t="shared" si="16"/>
        <v>7.2649532224040581E-3</v>
      </c>
      <c r="M24" s="1088" t="n">
        <f t="shared" si="16"/>
        <v>8.4240380913027657E-3</v>
      </c>
      <c r="N24" s="1088" t="n">
        <f t="shared" si="16"/>
        <v>9.7412877870699521E-3</v>
      </c>
      <c r="O24" s="1088" t="n">
        <f t="shared" si="16"/>
        <v>1.013613222164822E-2</v>
      </c>
      <c r="P24" s="1088" t="n">
        <f t="shared" si="16"/>
        <v>1.1394866831624384E-2</v>
      </c>
      <c r="Q24" s="1088" t="n">
        <f t="shared" si="16"/>
        <v>1.763096839425482E-2</v>
      </c>
      <c r="R24" s="1088" t="n">
        <f t="shared" si="16"/>
        <v>1.6704517227919435E-2</v>
      </c>
      <c r="S24" s="1089" t="n">
        <f t="shared" si="16"/>
        <v>1.1857914438035966E-2</v>
      </c>
      <c r="T24" s="1088" t="n">
        <f t="shared" si="16"/>
        <v>1.0080540848179664E-2</v>
      </c>
      <c r="U24" s="1088" t="n">
        <f t="shared" si="16"/>
        <v>1.0176292312289226E-2</v>
      </c>
      <c r="V24" s="1088" t="n">
        <f t="shared" si="16"/>
        <v>5.1214008637083808E-3</v>
      </c>
      <c r="W24" s="1088" t="n">
        <f t="shared" si="16"/>
        <v>9.7870229456920033E-3</v>
      </c>
      <c r="X24" s="1088" t="n">
        <f t="shared" si="16"/>
        <v>9.7504517181945527E-3</v>
      </c>
      <c r="Y24" s="1088" t="n">
        <f t="shared" si="16"/>
        <v>1.0167562753570669E-2</v>
      </c>
      <c r="Z24" s="1088" t="n">
        <f t="shared" si="16"/>
        <v>7.199941224969475E-3</v>
      </c>
      <c r="AA24" s="1088" t="n">
        <f t="shared" si="16"/>
        <v>6.3163707156588256E-3</v>
      </c>
      <c r="AB24" s="1088" t="n">
        <f t="shared" si="16"/>
        <v>5.8088700225948919E-3</v>
      </c>
      <c r="AC24" s="1088" t="n">
        <f t="shared" si="16"/>
        <v>5.5479503472453118E-3</v>
      </c>
      <c r="AD24" s="1088" t="n">
        <f t="shared" si="16"/>
        <v>5.3836118045782477E-3</v>
      </c>
      <c r="AE24" s="1088" t="n">
        <f t="shared" si="16"/>
        <v>5.3253056701454415E-3</v>
      </c>
      <c r="AF24" s="1089" t="n">
        <f t="shared" si="16"/>
        <v>5.3396658288893395E-3</v>
      </c>
      <c r="AG24" s="1089" t="n">
        <f t="shared" ref="AG24:AH24" si="17">(AG14+1)^0.25-1</f>
        <v>3.9606243564216381E-3</v>
      </c>
      <c r="AH24" s="1089" t="n">
        <f t="shared" si="17"/>
        <v>4.1770231682358716E-3</v>
      </c>
    </row>
    <row r="25">
      <c r="B25" s="1067" t="s">
        <v>1712</v>
      </c>
      <c r="C25" s="1098"/>
      <c r="D25" s="1088" t="n">
        <f t="shared" ref="D25:AF25" si="18">(D16+1)^0.25-1</f>
        <v>4.372774229274734E-3</v>
      </c>
      <c r="E25" s="1088" t="n">
        <f t="shared" si="18"/>
        <v>-4.3157124252592993E-3</v>
      </c>
      <c r="F25" s="1088" t="n">
        <f t="shared" si="18"/>
        <v>6.8453261793151032E-3</v>
      </c>
      <c r="G25" s="1088" t="n">
        <f t="shared" si="18"/>
        <v>3.754978190783298E-3</v>
      </c>
      <c r="H25" s="1088" t="n">
        <f t="shared" si="18"/>
        <v>6.0648428053204917E-3</v>
      </c>
      <c r="I25" s="1088" t="n">
        <f t="shared" si="18"/>
        <v>1.2892260887528373E-2</v>
      </c>
      <c r="J25" s="1088" t="n">
        <f t="shared" si="18"/>
        <v>-2.1136357315681975E-3</v>
      </c>
      <c r="K25" s="1088" t="n">
        <f t="shared" si="18"/>
        <v>1.2049088189663992E-2</v>
      </c>
      <c r="L25" s="1088" t="n">
        <f t="shared" si="18"/>
        <v>1.2502294841197026E-2</v>
      </c>
      <c r="M25" s="1088" t="n">
        <f t="shared" si="18"/>
        <v>2.2329604177621309E-2</v>
      </c>
      <c r="N25" s="1088" t="n">
        <f t="shared" si="18"/>
        <v>1.8454307630913824E-2</v>
      </c>
      <c r="O25" s="1088" t="n">
        <f t="shared" si="18"/>
        <v>1.5829893944934836E-2</v>
      </c>
      <c r="P25" s="1088" t="n">
        <f t="shared" si="18"/>
        <v>1.9097579373242857E-2</v>
      </c>
      <c r="Q25" s="1088" t="n">
        <f t="shared" si="18"/>
        <v>2.2011573528917028E-2</v>
      </c>
      <c r="R25" s="1088" t="n">
        <f t="shared" si="18"/>
        <v>3.2763005209490714E-2</v>
      </c>
      <c r="S25" s="1089" t="n">
        <f t="shared" si="18"/>
        <v>4.1836002868755884E-3</v>
      </c>
      <c r="T25" s="1088" t="n">
        <f t="shared" si="18"/>
        <v>6.7690354322897939E-3</v>
      </c>
      <c r="U25" s="1088" t="n">
        <f t="shared" si="18"/>
        <v>-1.5764416558927685E-5</v>
      </c>
      <c r="V25" s="1088" t="n">
        <f t="shared" si="18"/>
        <v>-7.2438636041176618E-3</v>
      </c>
      <c r="W25" s="1088" t="n">
        <f t="shared" si="18"/>
        <v>1.4053530453285834E-2</v>
      </c>
      <c r="X25" s="1088" t="n">
        <f t="shared" si="18"/>
        <v>1.6207709232129996E-3</v>
      </c>
      <c r="Y25" s="1088" t="n">
        <f t="shared" si="18"/>
        <v>9.4431068446889643E-3</v>
      </c>
      <c r="Z25" s="1088" t="n">
        <f t="shared" si="18"/>
        <v>4.1740234798499642E-3</v>
      </c>
      <c r="AA25" s="1088" t="n">
        <f t="shared" si="18"/>
        <v>5.6333042994105575E-3</v>
      </c>
      <c r="AB25" s="1088" t="n">
        <f t="shared" si="18"/>
        <v>5.3404580780209709E-3</v>
      </c>
      <c r="AC25" s="1088" t="n">
        <f t="shared" si="18"/>
        <v>5.9029392406417802E-3</v>
      </c>
      <c r="AD25" s="1088" t="n">
        <f t="shared" si="18"/>
        <v>5.8224429274513767E-3</v>
      </c>
      <c r="AE25" s="1088" t="n">
        <f t="shared" si="18"/>
        <v>5.7244931689288681E-3</v>
      </c>
      <c r="AF25" s="1089" t="n">
        <f t="shared" si="18"/>
        <v>5.6709194747803782E-3</v>
      </c>
      <c r="AG25" s="1089" t="n">
        <f t="shared" ref="AG25:AH25" si="19">(AG16+1)^0.25-1</f>
        <v>5.6830615202378976E-3</v>
      </c>
      <c r="AH25" s="1089" t="n">
        <f t="shared" si="19"/>
        <v>5.7131709559976596E-3</v>
      </c>
    </row>
    <row r="26">
      <c r="B26" s="1067" t="s">
        <v>1713</v>
      </c>
      <c r="C26" s="1098"/>
      <c r="D26" s="1088" t="n">
        <f t="shared" ref="D26:AF26" si="20">(D18+1)^0.25-1</f>
        <v>3.0686539854383188E-3</v>
      </c>
      <c r="E26" s="1088" t="n">
        <f t="shared" si="20"/>
        <v>-6.1945389248865279E-3</v>
      </c>
      <c r="F26" s="1088" t="n">
        <f t="shared" si="20"/>
        <v>5.9750291581421866E-3</v>
      </c>
      <c r="G26" s="1088" t="n">
        <f t="shared" si="20"/>
        <v>3.6682600473261218E-3</v>
      </c>
      <c r="H26" s="1088" t="n">
        <f t="shared" si="20"/>
        <v>7.1582096900950631E-3</v>
      </c>
      <c r="I26" s="1088" t="n">
        <f t="shared" si="20"/>
        <v>1.5277007398772247E-2</v>
      </c>
      <c r="J26" s="1088" t="n">
        <f t="shared" si="20"/>
        <v>-1.8612145119172308E-3</v>
      </c>
      <c r="K26" s="1088" t="n">
        <f t="shared" si="20"/>
        <v>1.2496173220895468E-2</v>
      </c>
      <c r="L26" s="1088" t="n">
        <f t="shared" si="20"/>
        <v>1.4064504306395387E-2</v>
      </c>
      <c r="M26" s="1088" t="n">
        <f t="shared" si="20"/>
        <v>2.3690987124463492E-2</v>
      </c>
      <c r="N26" s="1088" t="n">
        <f t="shared" si="20"/>
        <v>1.7361448228990994E-2</v>
      </c>
      <c r="O26" s="1088" t="n">
        <f t="shared" si="20"/>
        <v>1.48268323153804E-2</v>
      </c>
      <c r="P26" s="1088" t="n">
        <f t="shared" si="20"/>
        <v>1.7790430270233415E-2</v>
      </c>
      <c r="Q26" s="1088" t="n">
        <f t="shared" si="20"/>
        <v>2.1200463655148161E-2</v>
      </c>
      <c r="R26" s="1088" t="n">
        <f t="shared" si="20"/>
        <v>3.3435325470068555E-2</v>
      </c>
      <c r="S26" s="1089" t="n">
        <f t="shared" si="20"/>
        <v>1.2893674936129695E-3</v>
      </c>
      <c r="T26" s="1088" t="n">
        <f t="shared" si="20"/>
        <v>6.1205834426294459E-3</v>
      </c>
      <c r="U26" s="1088" t="n">
        <f t="shared" si="20"/>
        <v>-2.6861544538810955E-3</v>
      </c>
      <c r="V26" s="1088" t="n">
        <f t="shared" si="20"/>
        <v>-9.0228542004990864E-3</v>
      </c>
      <c r="W26" s="1088" t="n">
        <f t="shared" si="20"/>
        <v>1.6627230287139527E-2</v>
      </c>
      <c r="X26" s="1088" t="n">
        <f t="shared" si="20"/>
        <v>1.4153613889411609E-3</v>
      </c>
      <c r="Y26" s="1088" t="n">
        <f t="shared" si="20"/>
        <v>1.0262571060648984E-2</v>
      </c>
      <c r="Z26" s="1088" t="n">
        <f t="shared" si="20"/>
        <v>4.9664627748458035E-3</v>
      </c>
      <c r="AA26" s="1088" t="n">
        <f t="shared" si="20"/>
        <v>5.6333042994105575E-3</v>
      </c>
      <c r="AB26" s="1088" t="n">
        <f t="shared" si="20"/>
        <v>5.3404580780209709E-3</v>
      </c>
      <c r="AC26" s="1088" t="n">
        <f t="shared" si="20"/>
        <v>5.9029392406417802E-3</v>
      </c>
      <c r="AD26" s="1088" t="n">
        <f t="shared" si="20"/>
        <v>5.8224429274513767E-3</v>
      </c>
      <c r="AE26" s="1088" t="n">
        <f t="shared" si="20"/>
        <v>5.7244931689288681E-3</v>
      </c>
      <c r="AF26" s="1089" t="n">
        <f t="shared" si="20"/>
        <v>5.6709194747803782E-3</v>
      </c>
      <c r="AG26" s="1089" t="n">
        <f t="shared" ref="AG26:AH26" si="21">(AG18+1)^0.25-1</f>
        <v>5.6830615202378976E-3</v>
      </c>
      <c r="AH26" s="1089" t="n">
        <f t="shared" si="21"/>
        <v>5.7131709559976596E-3</v>
      </c>
    </row>
    <row r="27">
      <c r="B27" s="1068" t="s">
        <v>1714</v>
      </c>
      <c r="C27" s="1099"/>
      <c r="D27" s="1100" t="n">
        <f t="shared" ref="D27:AF27" si="22">(D20+1)^0.25-1</f>
        <v>1.0086913000375342E-2</v>
      </c>
      <c r="E27" s="1100" t="n">
        <f t="shared" si="22"/>
        <v>3.9068083281719179E-3</v>
      </c>
      <c r="F27" s="1100" t="n">
        <f t="shared" si="22"/>
        <v>1.0602249537278619E-2</v>
      </c>
      <c r="G27" s="1100" t="n">
        <f t="shared" si="22"/>
        <v>4.1795025922308771E-3</v>
      </c>
      <c r="H27" s="1100" t="n">
        <f t="shared" si="22"/>
        <v>1.3468391369007016E-3</v>
      </c>
      <c r="I27" s="1100" t="n">
        <f t="shared" si="22"/>
        <v>2.4378625269705356E-3</v>
      </c>
      <c r="J27" s="1100" t="n">
        <f t="shared" si="22"/>
        <v>-3.1773541305604169E-3</v>
      </c>
      <c r="K27" s="1100" t="n">
        <f t="shared" si="22"/>
        <v>1.0001776016302033E-2</v>
      </c>
      <c r="L27" s="1100" t="n">
        <f t="shared" si="22"/>
        <v>5.3585806702389771E-3</v>
      </c>
      <c r="M27" s="1100" t="n">
        <f t="shared" si="22"/>
        <v>1.6008469115345703E-2</v>
      </c>
      <c r="N27" s="1100" t="n">
        <f t="shared" si="22"/>
        <v>2.3312705560438074E-2</v>
      </c>
      <c r="O27" s="1100" t="n">
        <f t="shared" si="22"/>
        <v>2.0559225088983668E-2</v>
      </c>
      <c r="P27" s="1100" t="n">
        <f t="shared" si="22"/>
        <v>2.5454608550805169E-2</v>
      </c>
      <c r="Q27" s="1100" t="n">
        <f t="shared" si="22"/>
        <v>2.5990287483713903E-2</v>
      </c>
      <c r="R27" s="1100" t="n">
        <f t="shared" si="22"/>
        <v>2.9331244330832007E-2</v>
      </c>
      <c r="S27" s="1101" t="n">
        <f t="shared" si="22"/>
        <v>1.8890143959239714E-2</v>
      </c>
      <c r="T27" s="1100" t="n">
        <f t="shared" si="22"/>
        <v>9.9382788850888026E-3</v>
      </c>
      <c r="U27" s="1100" t="n">
        <f t="shared" si="22"/>
        <v>1.2744357682815677E-2</v>
      </c>
      <c r="V27" s="1100" t="n">
        <f t="shared" si="22"/>
        <v>8.917177866949455E-4</v>
      </c>
      <c r="W27" s="1100" t="n">
        <f t="shared" si="22"/>
        <v>2.8033363542803169E-3</v>
      </c>
      <c r="X27" s="1100" t="n">
        <f t="shared" si="22"/>
        <v>2.4968024079590201E-3</v>
      </c>
      <c r="Y27" s="1100" t="n">
        <f t="shared" si="22"/>
        <v>6.035464081348918E-3</v>
      </c>
      <c r="Z27" s="1100" t="n">
        <f t="shared" si="22"/>
        <v>9.1127936028190248E-4</v>
      </c>
      <c r="AA27" s="1100" t="n">
        <f t="shared" si="22"/>
        <v>5.6333042994105575E-3</v>
      </c>
      <c r="AB27" s="1100" t="n">
        <f t="shared" si="22"/>
        <v>5.3404580780209709E-3</v>
      </c>
      <c r="AC27" s="1100" t="n">
        <f t="shared" si="22"/>
        <v>5.9029392406417802E-3</v>
      </c>
      <c r="AD27" s="1100" t="n">
        <f t="shared" si="22"/>
        <v>5.8224429274513767E-3</v>
      </c>
      <c r="AE27" s="1100" t="n">
        <f t="shared" si="22"/>
        <v>5.7244931689288681E-3</v>
      </c>
      <c r="AF27" s="1101" t="n">
        <f t="shared" si="22"/>
        <v>5.6709194747803782E-3</v>
      </c>
      <c r="AG27" s="1101" t="n">
        <f t="shared" ref="AG27:AH27" si="23">(AG20+1)^0.25-1</f>
        <v>5.6830615202378976E-3</v>
      </c>
      <c r="AH27" s="1101" t="n">
        <f t="shared" si="23"/>
        <v>5.7131709559976596E-3</v>
      </c>
    </row>
    <row r="28">
      <c r="B28" s="85"/>
      <c r="C28" s="1092"/>
      <c r="D28" s="1066"/>
      <c r="E28" s="1066"/>
      <c r="F28" s="1066"/>
      <c r="G28" s="1066"/>
      <c r="H28" s="1066"/>
      <c r="I28" s="1066"/>
      <c r="J28" s="1066"/>
      <c r="K28" s="1066"/>
      <c r="L28" s="1066"/>
      <c r="M28" s="1066"/>
      <c r="N28" s="1066"/>
      <c r="O28" s="1066"/>
      <c r="P28" s="1066"/>
      <c r="Q28" s="1066"/>
      <c r="R28" s="1066"/>
      <c r="S28" s="1066"/>
      <c r="T28" s="1066"/>
      <c r="U28" s="1066"/>
      <c r="V28" s="1066"/>
      <c r="W28" s="1066"/>
      <c r="X28" s="1066"/>
      <c r="Y28" s="1066"/>
      <c r="Z28" s="1066"/>
      <c r="AA28" s="1066"/>
      <c r="AB28" s="1066"/>
      <c r="AC28" s="1066"/>
      <c r="AD28" s="1066"/>
      <c r="AE28" s="1066"/>
      <c r="AF28" s="1066"/>
    </row>
    <row r="29">
      <c r="B29" s="85"/>
      <c r="C29" s="1092"/>
      <c r="D29" s="1066"/>
      <c r="E29" s="1066"/>
      <c r="F29" s="1066"/>
      <c r="G29" s="1066"/>
      <c r="H29" s="1066"/>
      <c r="I29" s="1066"/>
      <c r="J29" s="1066"/>
      <c r="K29" s="1066"/>
      <c r="L29" s="1066"/>
      <c r="M29" s="1066"/>
      <c r="N29" s="1066"/>
      <c r="O29" s="1066"/>
      <c r="P29" s="1066"/>
      <c r="Q29" s="586"/>
      <c r="R29" s="1066"/>
      <c r="S29" s="1066"/>
      <c r="T29" s="1066"/>
      <c r="U29" s="1066"/>
      <c r="V29" s="1066"/>
      <c r="W29" s="1066"/>
      <c r="X29" s="1066"/>
      <c r="Y29" s="1066"/>
      <c r="Z29" s="1066"/>
      <c r="AA29" s="1066"/>
      <c r="AB29" s="1066"/>
      <c r="AC29" s="1066"/>
      <c r="AD29" s="1066"/>
      <c r="AE29" s="1066"/>
      <c r="AF29" s="1066"/>
    </row>
    <row r="30">
      <c r="B30" s="85"/>
      <c r="C30" s="1092"/>
      <c r="D30" s="1066"/>
      <c r="E30" s="1066"/>
      <c r="F30" s="1066"/>
      <c r="G30" s="1066"/>
      <c r="H30" s="1066"/>
      <c r="I30" s="1066"/>
      <c r="J30" s="1066"/>
      <c r="K30" s="1066"/>
      <c r="L30" s="1066"/>
      <c r="M30" s="1066"/>
      <c r="N30" s="1066"/>
      <c r="O30" s="1066"/>
      <c r="P30" s="1066"/>
      <c r="Q30" s="586"/>
      <c r="R30" s="1066"/>
      <c r="S30" s="1066"/>
      <c r="T30" s="1066"/>
      <c r="U30" s="1066"/>
      <c r="V30" s="1066"/>
      <c r="W30" s="1066"/>
      <c r="X30" s="1066"/>
      <c r="Y30" s="1066"/>
      <c r="Z30" s="1066"/>
      <c r="AA30" s="1066"/>
      <c r="AB30" s="1066"/>
      <c r="AC30" s="1066"/>
      <c r="AD30" s="1066"/>
      <c r="AE30" s="1066"/>
      <c r="AF30" s="1066"/>
    </row>
    <row r="31">
      <c r="B31" s="85"/>
      <c r="C31" s="1092"/>
      <c r="D31" s="1066"/>
      <c r="E31" s="1066"/>
      <c r="F31" s="1066"/>
      <c r="G31" s="1066"/>
      <c r="H31" s="1066"/>
      <c r="I31" s="1066"/>
      <c r="J31" s="1066"/>
      <c r="K31" s="1066"/>
      <c r="L31" s="1066"/>
      <c r="M31" s="1066"/>
      <c r="N31" s="1066"/>
      <c r="O31" s="1066"/>
      <c r="P31" s="1066"/>
      <c r="Q31" s="85"/>
      <c r="R31" s="1066"/>
      <c r="S31" s="1066"/>
      <c r="T31" s="1066"/>
      <c r="U31" s="1066"/>
      <c r="V31" s="1066"/>
      <c r="W31" s="1066"/>
      <c r="X31" s="1066"/>
      <c r="Y31" s="1066"/>
      <c r="Z31" s="1066"/>
      <c r="AA31" s="1066"/>
      <c r="AB31" s="1066"/>
      <c r="AC31" s="1066"/>
      <c r="AD31" s="1066"/>
      <c r="AE31" s="1066"/>
      <c r="AF31" s="1066"/>
    </row>
    <row r="32">
      <c r="B32" s="85"/>
      <c r="C32" s="1092"/>
      <c r="D32" s="1066"/>
      <c r="E32" s="1066"/>
      <c r="F32" s="1066"/>
      <c r="G32" s="1066"/>
      <c r="H32" s="1066"/>
      <c r="I32" s="1066"/>
      <c r="J32" s="1066"/>
      <c r="K32" s="1066"/>
      <c r="L32" s="1066"/>
      <c r="M32" s="1066"/>
      <c r="N32" s="1066"/>
      <c r="O32" s="1066"/>
      <c r="P32" s="1066"/>
      <c r="Q32" s="85"/>
      <c r="R32" s="1066"/>
      <c r="S32" s="1066"/>
      <c r="T32" s="1066"/>
      <c r="U32" s="1066"/>
      <c r="V32" s="1066"/>
      <c r="W32" s="1066"/>
      <c r="X32" s="1066"/>
      <c r="Y32" s="1066"/>
      <c r="Z32" s="1066"/>
      <c r="AA32" s="1066"/>
      <c r="AB32" s="1066"/>
      <c r="AC32" s="1066"/>
      <c r="AD32" s="1066"/>
      <c r="AE32" s="1066"/>
      <c r="AF32" s="1066"/>
    </row>
    <row r="33">
      <c r="B33" s="85"/>
      <c r="C33" s="1092"/>
      <c r="D33" s="1066"/>
      <c r="E33" s="1066"/>
      <c r="F33" s="1066"/>
      <c r="G33" s="1066"/>
      <c r="H33" s="1066"/>
      <c r="I33" s="1066"/>
      <c r="J33" s="1066"/>
      <c r="K33" s="1066"/>
      <c r="L33" s="1066"/>
      <c r="M33" s="1066"/>
      <c r="N33" s="1066"/>
      <c r="O33" s="1066"/>
      <c r="P33" s="1066"/>
      <c r="Q33" s="85"/>
      <c r="R33" s="1066"/>
      <c r="S33" s="1066"/>
      <c r="T33" s="1066"/>
      <c r="U33" s="1066"/>
      <c r="V33" s="1066"/>
      <c r="W33" s="1066"/>
      <c r="X33" s="1066"/>
      <c r="Y33" s="1066"/>
      <c r="Z33" s="1066"/>
      <c r="AA33" s="1066"/>
      <c r="AB33" s="1066"/>
      <c r="AC33" s="1066"/>
      <c r="AD33" s="1066"/>
      <c r="AE33" s="1066"/>
      <c r="AF33" s="1066"/>
    </row>
    <row r="34">
      <c r="B34" s="85"/>
      <c r="C34" s="1092"/>
      <c r="D34" s="1066"/>
      <c r="E34" s="1066"/>
      <c r="F34" s="1066"/>
      <c r="G34" s="1066"/>
      <c r="H34" s="1066"/>
      <c r="I34" s="1066"/>
      <c r="J34" s="1066"/>
      <c r="K34" s="1066"/>
      <c r="L34" s="1066"/>
      <c r="M34" s="1066"/>
      <c r="N34" s="1066"/>
      <c r="O34" s="1066"/>
      <c r="P34" s="1066"/>
      <c r="Q34" s="85"/>
      <c r="R34" s="1066"/>
      <c r="S34" s="1066"/>
      <c r="T34" s="1066"/>
      <c r="U34" s="1066"/>
      <c r="V34" s="1066"/>
      <c r="W34" s="1066"/>
      <c r="X34" s="1066"/>
      <c r="Y34" s="1066"/>
      <c r="Z34" s="1066"/>
      <c r="AA34" s="1066"/>
      <c r="AB34" s="1066"/>
      <c r="AC34" s="1066"/>
      <c r="AD34" s="1066"/>
      <c r="AE34" s="1066"/>
      <c r="AF34" s="1066"/>
    </row>
    <row r="35">
      <c r="B35" s="85"/>
      <c r="C35" s="1092"/>
      <c r="D35" s="1066"/>
      <c r="E35" s="1066"/>
      <c r="F35" s="1066"/>
      <c r="G35" s="1066"/>
      <c r="H35" s="1066"/>
      <c r="I35" s="1066"/>
      <c r="J35" s="1066"/>
      <c r="K35" s="1066"/>
      <c r="L35" s="1066"/>
      <c r="M35" s="1066"/>
      <c r="N35" s="1066"/>
      <c r="O35" s="1066"/>
      <c r="P35" s="1066"/>
      <c r="Q35" s="85"/>
      <c r="R35" s="1066"/>
      <c r="S35" s="1066"/>
      <c r="T35" s="1066"/>
      <c r="U35" s="1066"/>
      <c r="V35" s="1066"/>
      <c r="W35" s="1066"/>
      <c r="X35" s="1066"/>
      <c r="Y35" s="1066"/>
      <c r="Z35" s="1066"/>
      <c r="AA35" s="1066"/>
      <c r="AB35" s="1066"/>
      <c r="AC35" s="1066"/>
      <c r="AD35" s="1066"/>
      <c r="AE35" s="1066"/>
      <c r="AF35" s="1066"/>
    </row>
    <row r="36">
      <c r="B36" s="85"/>
      <c r="C36" s="1092"/>
      <c r="D36" s="1066"/>
      <c r="E36" s="1066"/>
      <c r="F36" s="1066"/>
      <c r="G36" s="1066"/>
      <c r="H36" s="1066"/>
      <c r="I36" s="1066"/>
      <c r="J36" s="1066"/>
      <c r="K36" s="1066"/>
      <c r="L36" s="1066"/>
      <c r="M36" s="1066"/>
      <c r="N36" s="1066"/>
      <c r="O36" s="1066"/>
      <c r="P36" s="1066"/>
      <c r="Q36" s="85"/>
      <c r="R36" s="1066"/>
      <c r="S36" s="1066"/>
      <c r="T36" s="1066"/>
      <c r="U36" s="1066"/>
      <c r="V36" s="1066"/>
      <c r="W36" s="1066"/>
      <c r="X36" s="1066"/>
      <c r="Y36" s="1066"/>
      <c r="Z36" s="1066"/>
      <c r="AA36" s="1066"/>
      <c r="AB36" s="1066"/>
      <c r="AC36" s="1066"/>
      <c r="AD36" s="1066"/>
      <c r="AE36" s="1066"/>
      <c r="AF36" s="1066"/>
    </row>
    <row r="37">
      <c r="B37" s="85"/>
      <c r="C37" s="1092"/>
      <c r="D37" s="1066"/>
      <c r="E37" s="1066"/>
      <c r="F37" s="1066"/>
      <c r="G37" s="1066"/>
      <c r="H37" s="1066"/>
      <c r="I37" s="1066"/>
      <c r="J37" s="1066"/>
      <c r="K37" s="1066"/>
      <c r="L37" s="1066"/>
      <c r="M37" s="1066"/>
      <c r="N37" s="1066"/>
      <c r="O37" s="1066"/>
      <c r="P37" s="1066"/>
      <c r="Q37" s="85"/>
      <c r="R37" s="1066"/>
      <c r="S37" s="1066"/>
      <c r="T37" s="1066"/>
      <c r="U37" s="1066"/>
      <c r="V37" s="1066"/>
      <c r="W37" s="1066"/>
      <c r="X37" s="1066"/>
      <c r="Y37" s="1066"/>
      <c r="Z37" s="1066"/>
      <c r="AA37" s="1066"/>
      <c r="AB37" s="1066"/>
      <c r="AC37" s="1066"/>
      <c r="AD37" s="1066"/>
      <c r="AE37" s="1066"/>
      <c r="AF37" s="1066"/>
    </row>
    <row r="38">
      <c r="B38" s="85"/>
      <c r="C38" s="1092"/>
      <c r="D38" s="1066"/>
      <c r="E38" s="1066"/>
      <c r="F38" s="1066"/>
      <c r="G38" s="1066"/>
      <c r="H38" s="1066"/>
      <c r="I38" s="1066"/>
      <c r="J38" s="1066"/>
      <c r="K38" s="1066"/>
      <c r="L38" s="1066"/>
      <c r="M38" s="1066"/>
      <c r="N38" s="1066"/>
      <c r="O38" s="1066"/>
      <c r="P38" s="1066"/>
      <c r="Q38" s="85"/>
      <c r="R38" s="1066"/>
      <c r="S38" s="1066"/>
      <c r="T38" s="1066"/>
      <c r="U38" s="1066"/>
      <c r="V38" s="1066"/>
      <c r="W38" s="1066"/>
      <c r="X38" s="1066"/>
      <c r="Y38" s="1066"/>
      <c r="Z38" s="1066"/>
      <c r="AA38" s="1066"/>
      <c r="AB38" s="1066"/>
      <c r="AC38" s="1066"/>
      <c r="AD38" s="1066"/>
      <c r="AE38" s="1066"/>
      <c r="AF38" s="1066"/>
    </row>
    <row r="39">
      <c r="B39" s="85"/>
      <c r="C39" s="1092"/>
      <c r="D39" s="1066"/>
      <c r="E39" s="1066"/>
      <c r="F39" s="1066"/>
      <c r="G39" s="1066"/>
      <c r="H39" s="1066"/>
      <c r="I39" s="1066"/>
      <c r="J39" s="1066"/>
      <c r="K39" s="1066"/>
      <c r="L39" s="1066"/>
      <c r="M39" s="1066"/>
      <c r="N39" s="1066"/>
      <c r="O39" s="1066"/>
      <c r="P39" s="1066"/>
      <c r="Q39" s="1066"/>
      <c r="R39" s="1066"/>
      <c r="S39" s="1066"/>
      <c r="T39" s="1066"/>
      <c r="U39" s="1066"/>
      <c r="V39" s="1066"/>
      <c r="W39" s="1066"/>
      <c r="X39" s="1066"/>
      <c r="Y39" s="1066"/>
      <c r="Z39" s="1066"/>
      <c r="AA39" s="1066"/>
      <c r="AB39" s="1066"/>
      <c r="AC39" s="1066"/>
      <c r="AD39" s="1066"/>
      <c r="AE39" s="1066"/>
      <c r="AF39" s="1066"/>
    </row>
    <row r="40">
      <c r="B40" s="85"/>
      <c r="C40" s="1092"/>
      <c r="D40" s="1066"/>
      <c r="E40" s="1066"/>
      <c r="F40" s="1066"/>
      <c r="G40" s="1066"/>
      <c r="H40" s="1066"/>
      <c r="I40" s="1066"/>
      <c r="J40" s="1066"/>
      <c r="K40" s="1066"/>
      <c r="L40" s="1066"/>
      <c r="M40" s="1066"/>
      <c r="N40" s="1066"/>
      <c r="O40" s="1066"/>
      <c r="P40" s="1066"/>
      <c r="Q40" s="1066"/>
      <c r="R40" s="1066"/>
      <c r="S40" s="1066"/>
      <c r="T40" s="1066"/>
      <c r="U40" s="1066"/>
      <c r="V40" s="1066"/>
      <c r="W40" s="1066"/>
      <c r="X40" s="1066"/>
      <c r="Y40" s="1066"/>
      <c r="Z40" s="1066"/>
      <c r="AA40" s="1066"/>
      <c r="AB40" s="1066"/>
      <c r="AC40" s="1066"/>
      <c r="AD40" s="1066"/>
      <c r="AE40" s="1066"/>
      <c r="AF40" s="1066"/>
    </row>
    <row r="41">
      <c r="B41" s="1094" t="s">
        <v>1828</v>
      </c>
      <c r="C41" s="1094"/>
      <c r="D41" s="304"/>
      <c r="E41" s="304"/>
      <c r="F41" s="304"/>
      <c r="G41" s="304"/>
      <c r="H41" s="304"/>
      <c r="I41" s="304"/>
      <c r="J41" s="304"/>
      <c r="K41" s="304"/>
      <c r="L41" s="304"/>
      <c r="M41" s="304"/>
      <c r="N41" s="304"/>
      <c r="O41" s="304"/>
      <c r="P41" s="304"/>
      <c r="Q41" s="304"/>
      <c r="R41" s="304"/>
      <c r="S41" s="304"/>
      <c r="T41" s="304"/>
      <c r="U41" s="304"/>
      <c r="V41" s="304"/>
      <c r="W41" s="304"/>
      <c r="X41" s="304"/>
      <c r="Y41" s="304"/>
      <c r="Z41" s="304"/>
      <c r="AA41" s="304"/>
      <c r="AB41" s="304"/>
      <c r="AC41" s="304"/>
    </row>
    <row r="42">
      <c r="B42" s="262" t="s">
        <v>1709</v>
      </c>
      <c r="C42" s="263"/>
      <c r="D42" s="591" t="s">
        <v>1733</v>
      </c>
      <c r="E42" s="592"/>
      <c r="F42" s="592"/>
      <c r="G42" s="592"/>
      <c r="H42" s="592"/>
      <c r="I42" s="592"/>
      <c r="J42" s="592"/>
      <c r="K42" s="592"/>
      <c r="L42" s="592"/>
      <c r="M42" s="592"/>
      <c r="N42" s="592"/>
      <c r="O42" s="592"/>
      <c r="P42" s="592"/>
      <c r="Q42" s="592"/>
      <c r="R42" s="592"/>
      <c r="S42" s="592"/>
      <c r="T42" s="592"/>
      <c r="U42" s="592"/>
      <c r="V42" s="592"/>
      <c r="W42" s="295" t="s">
        <v>1741</v>
      </c>
      <c r="X42" s="295"/>
      <c r="Y42" s="295"/>
      <c r="Z42" s="295"/>
      <c r="AA42" s="295"/>
      <c r="AB42" s="295"/>
      <c r="AC42" s="295"/>
      <c r="AD42" s="295"/>
      <c r="AE42" s="295"/>
      <c r="AF42" s="295"/>
      <c r="AG42" s="295"/>
    </row>
    <row r="43">
      <c r="B43" s="264"/>
      <c r="C43" s="265"/>
      <c r="D43" s="259" t="n">
        <v>2018</v>
      </c>
      <c r="E43" s="259" t="n">
        <v>2019</v>
      </c>
      <c r="F43" s="260"/>
      <c r="G43" s="260"/>
      <c r="H43" s="261"/>
      <c r="I43" s="259" t="n">
        <v>2020</v>
      </c>
      <c r="J43" s="260"/>
      <c r="K43" s="260"/>
      <c r="L43" s="260"/>
      <c r="M43" s="259" t="n">
        <v>2021</v>
      </c>
      <c r="N43" s="260"/>
      <c r="O43" s="260"/>
      <c r="P43" s="260"/>
      <c r="Q43" s="269" t="n">
        <v>2022</v>
      </c>
      <c r="R43" s="358"/>
      <c r="S43" s="358"/>
      <c r="T43" s="271"/>
      <c r="U43" s="296"/>
      <c r="V43" s="666" t="n">
        <v>2023</v>
      </c>
      <c r="W43" s="344"/>
      <c r="X43" s="344"/>
      <c r="Y43" s="255" t="n">
        <v>2024</v>
      </c>
      <c r="Z43" s="268"/>
      <c r="AA43" s="268"/>
      <c r="AB43" s="256"/>
      <c r="AC43" s="255" t="n">
        <v>2025</v>
      </c>
      <c r="AD43" s="268"/>
      <c r="AE43" s="268"/>
      <c r="AF43" s="268"/>
      <c r="AG43" s="255" t="n">
        <v>2026</v>
      </c>
      <c r="AH43" s="268"/>
      <c r="AI43" s="268"/>
      <c r="AJ43" s="256"/>
    </row>
    <row r="44">
      <c r="B44" s="266"/>
      <c r="C44" s="267"/>
      <c r="D44" s="259" t="s">
        <v>282</v>
      </c>
      <c r="E44" s="259" t="s">
        <v>283</v>
      </c>
      <c r="F44" s="260" t="s">
        <v>284</v>
      </c>
      <c r="G44" s="260" t="s">
        <v>238</v>
      </c>
      <c r="H44" s="261" t="s">
        <v>282</v>
      </c>
      <c r="I44" s="260" t="s">
        <v>283</v>
      </c>
      <c r="J44" s="260" t="s">
        <v>284</v>
      </c>
      <c r="K44" s="260" t="s">
        <v>238</v>
      </c>
      <c r="L44" s="260" t="s">
        <v>282</v>
      </c>
      <c r="M44" s="259" t="s">
        <v>283</v>
      </c>
      <c r="N44" s="260" t="s">
        <v>284</v>
      </c>
      <c r="O44" s="260" t="s">
        <v>238</v>
      </c>
      <c r="P44" s="260" t="s">
        <v>282</v>
      </c>
      <c r="Q44" s="259" t="s">
        <v>283</v>
      </c>
      <c r="R44" s="260" t="s">
        <v>284</v>
      </c>
      <c r="S44" s="260" t="s">
        <v>238</v>
      </c>
      <c r="T44" s="261" t="s">
        <v>282</v>
      </c>
      <c r="U44" s="259" t="s">
        <v>283</v>
      </c>
      <c r="V44" s="260" t="s">
        <v>284</v>
      </c>
      <c r="W44" s="406" t="s">
        <v>238</v>
      </c>
      <c r="X44" s="406" t="s">
        <v>282</v>
      </c>
      <c r="Y44" s="510" t="s">
        <v>283</v>
      </c>
      <c r="Z44" s="413" t="s">
        <v>284</v>
      </c>
      <c r="AA44" s="406" t="s">
        <v>238</v>
      </c>
      <c r="AB44" s="509" t="s">
        <v>282</v>
      </c>
      <c r="AC44" s="325" t="s">
        <v>283</v>
      </c>
      <c r="AD44" s="406" t="s">
        <v>284</v>
      </c>
      <c r="AE44" s="406" t="s">
        <v>238</v>
      </c>
      <c r="AF44" s="406" t="s">
        <v>282</v>
      </c>
      <c r="AG44" s="357" t="s">
        <v>283</v>
      </c>
      <c r="AH44" s="326" t="s">
        <v>284</v>
      </c>
      <c r="AI44" s="326" t="s">
        <v>238</v>
      </c>
      <c r="AJ44" s="327" t="s">
        <v>282</v>
      </c>
    </row>
    <row r="45">
      <c r="B45" s="1102" t="s">
        <v>1904</v>
      </c>
      <c r="C45" s="1117"/>
      <c r="D45" s="1111" t="n">
        <f>('Haver Pivoted'!GO76+1)^4-1</f>
        <v>1.5264497223703488E-2</v>
      </c>
      <c r="E45" s="1097" t="n">
        <f>('Haver Pivoted'!GP76+1)^4-1</f>
        <v>9.1895436648135043E-3</v>
      </c>
      <c r="F45" s="1097" t="n">
        <f>('Haver Pivoted'!GQ76+1)^4-1</f>
        <v>2.1359335668051704E-2</v>
      </c>
      <c r="G45" s="1097" t="n">
        <f>('Haver Pivoted'!GR76+1)^4-1</f>
        <v>9.7821561759856568E-3</v>
      </c>
      <c r="H45" s="1097" t="n">
        <f>('Haver Pivoted'!GS76+1)^4-1</f>
        <v>1.5756743276972518E-2</v>
      </c>
      <c r="I45" s="1097" t="n">
        <f>('Haver Pivoted'!GT76+1)^4-1</f>
        <v>1.2975809403218186E-2</v>
      </c>
      <c r="J45" s="1097" t="n">
        <f>('Haver Pivoted'!GU76+1)^4-1</f>
        <v>-1.727886877748519E-2</v>
      </c>
      <c r="K45" s="1097" t="n">
        <f>('Haver Pivoted'!GV76+1)^4-1</f>
        <v>3.3383553321530757E-2</v>
      </c>
      <c r="L45" s="1097" t="n">
        <f>('Haver Pivoted'!GW76+1)^4-1</f>
        <v>2.0146820681233191E-2</v>
      </c>
      <c r="M45" s="1097" t="n">
        <f>('Haver Pivoted'!GX76+1)^4-1</f>
        <v>4.7725552632172041E-2</v>
      </c>
      <c r="N45" s="1097" t="n">
        <f>('Haver Pivoted'!GY76+1)^4-1</f>
        <v>6.2593648340676156E-2</v>
      </c>
      <c r="O45" s="1097" t="n">
        <f>('Haver Pivoted'!GZ76+1)^4-1</f>
        <v>5.6496850547917088E-2</v>
      </c>
      <c r="P45" s="1097" t="n">
        <f>('Haver Pivoted'!HA76+1)^4-1</f>
        <v>6.7608172830647684E-2</v>
      </c>
      <c r="Q45" s="1097" t="n">
        <f>('Haver Pivoted'!HB76+1)^4-1</f>
        <v>7.6571358087944352E-2</v>
      </c>
      <c r="R45" s="1097" t="n">
        <f>('Haver Pivoted'!HC76+1)^4-1</f>
        <v>7.1828427694202057E-2</v>
      </c>
      <c r="S45" s="1112" t="n">
        <f>('Haver Pivoted'!HD76+1)^4-1</f>
        <v>4.6758931657381764E-2</v>
      </c>
      <c r="T45" s="1096" t="n">
        <f>('Haver Pivoted'!HE76+1)^4-1</f>
        <v>4.1448566443352153E-2</v>
      </c>
      <c r="U45" s="1112" t="n">
        <f>('Haver Pivoted'!HF76+1)^4-1</f>
        <v>4.1651997755371317E-2</v>
      </c>
      <c r="V45" s="1112" t="n">
        <f>('Haver Pivoted'!HG76+1)^4-1</f>
        <v>2.4870541532459711E-2</v>
      </c>
      <c r="W45" s="1112" t="n">
        <f>('Haver Pivoted'!HH76+1)^4-1</f>
        <v>2.5905176927918383E-2</v>
      </c>
      <c r="X45" s="1112" t="n">
        <f>('Haver Pivoted'!HI76+1)^4-1</f>
        <v>1.7898288181300792E-2</v>
      </c>
      <c r="Y45" s="1112" t="n">
        <f>('Haver Pivoted'!HJ76+1)^4-1</f>
        <v>3.4047759971643332E-2</v>
      </c>
      <c r="Z45" s="1112" t="n">
        <f>('Haver Pivoted'!HK76+1)^4-1</f>
        <v>2.5174782394791206E-2</v>
      </c>
      <c r="AA45" s="1120" t="n">
        <f t="shared" ref="AA45:AF45" si="24">AA46+AA47</f>
        <v>2.2474645472145172E-2</v>
      </c>
      <c r="AB45" s="1120" t="n">
        <f t="shared" si="24"/>
        <v>2.0485836297992499E-2</v>
      </c>
      <c r="AC45" s="1120" t="n">
        <f t="shared" si="24"/>
        <v>2.1796033645922641E-2</v>
      </c>
      <c r="AD45" s="1120" t="n">
        <f t="shared" si="24"/>
        <v>2.1576747995004641E-2</v>
      </c>
      <c r="AE45" s="1120" t="n">
        <f t="shared" si="24"/>
        <v>2.0708760783051394E-2</v>
      </c>
      <c r="AF45" s="1120" t="n">
        <f t="shared" si="24"/>
        <v>2.0110814282412459E-2</v>
      </c>
      <c r="AG45" s="1066" t="n">
        <f t="shared" ref="AG45" si="25">AG46+AG47</f>
        <v>1.9760549063349009E-2</v>
      </c>
      <c r="AH45" s="1066" t="n">
        <f t="shared" ref="AH45" si="26">AH46+AH47</f>
        <v>1.9516602813602013E-2</v>
      </c>
    </row>
    <row r="46">
      <c r="B46" s="107" t="s">
        <v>1903</v>
      </c>
      <c r="C46" s="1092" t="s">
        <v>1699</v>
      </c>
      <c r="D46" s="1121" t="n">
        <f>('Haver Pivoted'!GO76+1)^4-1</f>
        <v>1.5264497223703488E-2</v>
      </c>
      <c r="E46" s="1121" t="n">
        <f>('Haver Pivoted'!GP76+1)^4-1</f>
        <v>9.1895436648135043E-3</v>
      </c>
      <c r="F46" s="1121" t="n">
        <f>('Haver Pivoted'!GQ76+1)^4-1</f>
        <v>2.1359335668051704E-2</v>
      </c>
      <c r="G46" s="1121" t="n">
        <f>('Haver Pivoted'!GR76+1)^4-1</f>
        <v>9.7821561759856568E-3</v>
      </c>
      <c r="H46" s="1121" t="n">
        <f>('Haver Pivoted'!GS76+1)^4-1</f>
        <v>1.5756743276972518E-2</v>
      </c>
      <c r="I46" s="1121" t="n">
        <f>('Haver Pivoted'!GT76+1)^4-1</f>
        <v>1.2975809403218186E-2</v>
      </c>
      <c r="J46" s="1121" t="n">
        <f>('Haver Pivoted'!GU76+1)^4-1</f>
        <v>-1.727886877748519E-2</v>
      </c>
      <c r="K46" s="1121" t="n">
        <f>('Haver Pivoted'!GV76+1)^4-1</f>
        <v>3.3383553321530757E-2</v>
      </c>
      <c r="L46" s="1121" t="n">
        <f>('Haver Pivoted'!GW76+1)^4-1</f>
        <v>2.0146820681233191E-2</v>
      </c>
      <c r="M46" s="1121" t="n">
        <f>('Haver Pivoted'!GX76+1)^4-1</f>
        <v>4.7725552632172041E-2</v>
      </c>
      <c r="N46" s="1066" t="n">
        <f>('Haver Pivoted'!GY76+1)^4-1</f>
        <v>6.2593648340676156E-2</v>
      </c>
      <c r="O46" s="1066" t="n">
        <f>('Haver Pivoted'!GZ76+1)^4-1</f>
        <v>5.6496850547917088E-2</v>
      </c>
      <c r="P46" s="1066" t="n">
        <f>('Haver Pivoted'!HA76+1)^4-1</f>
        <v>6.7608172830647684E-2</v>
      </c>
      <c r="Q46" s="1066" t="n">
        <f>('Haver Pivoted'!HB76+1)^4-1</f>
        <v>7.6571358087944352E-2</v>
      </c>
      <c r="R46" s="1066" t="n">
        <f>('Haver Pivoted'!HC76+1)^4-1</f>
        <v>7.1828427694202057E-2</v>
      </c>
      <c r="S46" s="1066" t="n">
        <f>('Haver Pivoted'!HD76+1)^4-1</f>
        <v>4.6758931657381764E-2</v>
      </c>
      <c r="T46" s="1066" t="n">
        <f>('Haver Pivoted'!HE76+1)^4-1</f>
        <v>4.1448566443352153E-2</v>
      </c>
      <c r="U46" s="1066" t="n">
        <f>('Haver Pivoted'!HF76+1)^4-1</f>
        <v>4.1651997755371317E-2</v>
      </c>
      <c r="V46" s="1066" t="n">
        <f>('Haver Pivoted'!HG76+1)^4-1</f>
        <v>2.4870541532459711E-2</v>
      </c>
      <c r="W46" s="1066" t="n">
        <f>('Haver Pivoted'!HH76+1)^4-1</f>
        <v>2.5905176927918383E-2</v>
      </c>
      <c r="X46" s="1066" t="n">
        <f>('Haver Pivoted'!HI76+1)^4-1</f>
        <v>1.7898288181300792E-2</v>
      </c>
      <c r="Y46" s="1066" t="n">
        <f>(Y71/X71)^4-1</f>
        <v>3.3974968431316865E-2</v>
      </c>
      <c r="Z46" s="1066" t="n">
        <f t="shared" ref="Z46:AH46" si="27">(Z71/Y71)^4-1</f>
        <v>3.173474992777825E-2</v>
      </c>
      <c r="AA46" s="1066" t="n">
        <f>(AA71/Z71)^4-1</f>
        <v>2.2474645472145172E-2</v>
      </c>
      <c r="AB46" s="1066" t="n">
        <f t="shared" si="27"/>
        <v>2.0485836297992499E-2</v>
      </c>
      <c r="AC46" s="1066" t="n">
        <f t="shared" si="27"/>
        <v>2.1796033645922641E-2</v>
      </c>
      <c r="AD46" s="1066" t="n">
        <f t="shared" si="27"/>
        <v>2.1576747995004641E-2</v>
      </c>
      <c r="AE46" s="1066" t="n">
        <f t="shared" si="27"/>
        <v>2.0708760783051394E-2</v>
      </c>
      <c r="AF46" s="1066" t="n">
        <f t="shared" si="27"/>
        <v>2.0110814282412459E-2</v>
      </c>
      <c r="AG46" s="1066" t="n">
        <f t="shared" si="27"/>
        <v>1.9760549063349009E-2</v>
      </c>
      <c r="AH46" s="1066" t="n">
        <f t="shared" si="27"/>
        <v>1.9516602813602013E-2</v>
      </c>
    </row>
    <row r="47">
      <c r="B47" s="107" t="s">
        <v>1905</v>
      </c>
      <c r="C47" s="1092"/>
      <c r="D47" s="1121"/>
      <c r="E47" s="1066"/>
      <c r="F47" s="1066"/>
      <c r="G47" s="1066"/>
      <c r="H47" s="1066"/>
      <c r="I47" s="1066"/>
      <c r="J47" s="1066"/>
      <c r="K47" s="1066"/>
      <c r="L47" s="1066"/>
      <c r="M47" s="1066"/>
      <c r="N47" s="1066"/>
      <c r="O47" s="1066"/>
      <c r="P47" s="1066"/>
      <c r="Q47" s="1066"/>
      <c r="R47" s="1066"/>
      <c r="S47" s="1066"/>
      <c r="T47" s="1066"/>
      <c r="U47" s="1066"/>
      <c r="V47" s="1066"/>
      <c r="W47" s="1066"/>
      <c r="X47" s="1066"/>
      <c r="Y47" s="1066"/>
      <c r="Z47" s="1066"/>
      <c r="AA47" s="1066"/>
      <c r="AB47" s="1066"/>
      <c r="AC47" s="1066"/>
      <c r="AD47" s="1066"/>
      <c r="AE47" s="1066"/>
      <c r="AF47" s="1066"/>
      <c r="AG47" s="1066"/>
    </row>
    <row r="48">
      <c r="B48" s="97" t="s">
        <v>1711</v>
      </c>
      <c r="C48" s="1092" t="s">
        <v>1700</v>
      </c>
      <c r="D48" s="1121" t="n">
        <f>('Haver Pivoted'!GO77+1)^4-1</f>
        <v>2.9477765289275926E-2</v>
      </c>
      <c r="E48" s="1066" t="n">
        <f>('Haver Pivoted'!GP77+1)^4-1</f>
        <v>4.2202135370129845E-2</v>
      </c>
      <c r="F48" s="1066" t="n">
        <f>('Haver Pivoted'!GQ77+1)^4-1</f>
        <v>-2.3704834981612466E-2</v>
      </c>
      <c r="G48" s="1066" t="n">
        <f>('Haver Pivoted'!GR77+1)^4-1</f>
        <v>6.4629467492742787E-3</v>
      </c>
      <c r="H48" s="1066" t="n">
        <f>('Haver Pivoted'!GS77+1)^4-1</f>
        <v>1.3942439977386201E-2</v>
      </c>
      <c r="I48" s="1066" t="n">
        <f>('Haver Pivoted'!GT77+1)^4-1</f>
        <v>1.2621468504538935E-2</v>
      </c>
      <c r="J48" s="1066" t="n">
        <f>('Haver Pivoted'!GU77+1)^4-1</f>
        <v>9.5192305533120525E-4</v>
      </c>
      <c r="K48" s="1066" t="n">
        <f>('Haver Pivoted'!GV77+1)^4-1</f>
        <v>2.3028813031033213E-2</v>
      </c>
      <c r="L48" s="1066" t="n">
        <f>('Haver Pivoted'!GW77+1)^4-1</f>
        <v>2.9378026710950689E-2</v>
      </c>
      <c r="M48" s="1066" t="n">
        <f>('Haver Pivoted'!GX77+1)^4-1</f>
        <v>3.4124335135575334E-2</v>
      </c>
      <c r="N48" s="1066" t="n">
        <f>('Haver Pivoted'!GY77+1)^4-1</f>
        <v>3.9538213787325915E-2</v>
      </c>
      <c r="O48" s="1066" t="n">
        <f>('Haver Pivoted'!GZ77+1)^4-1</f>
        <v>4.1165152093425528E-2</v>
      </c>
      <c r="P48" s="1066" t="n">
        <f>('Haver Pivoted'!HA77+1)^4-1</f>
        <v>4.6364460300687638E-2</v>
      </c>
      <c r="Q48" s="1066" t="n">
        <f>('Haver Pivoted'!HB77+1)^4-1</f>
        <v>7.2410998904413937E-2</v>
      </c>
      <c r="R48" s="1066" t="n">
        <f>('Haver Pivoted'!HC77+1)^4-1</f>
        <v>6.8511037124212137E-2</v>
      </c>
      <c r="S48" s="1093" t="n">
        <f>('Haver Pivoted'!HD77+1)^4-1</f>
        <v>4.8282007704063767E-2</v>
      </c>
      <c r="T48" s="1093" t="n">
        <f>('Haver Pivoted'!HE77+1)^4-1</f>
        <v>4.093597497107293E-2</v>
      </c>
      <c r="U48" s="1093" t="n">
        <f>('Haver Pivoted'!HF77+1)^4-1</f>
        <v>4.1330736826713066E-2</v>
      </c>
      <c r="V48" s="1093" t="n">
        <f>('Haver Pivoted'!HG77+1)^4-1</f>
        <v>2.0643513935327373E-2</v>
      </c>
      <c r="W48" s="1093" t="n">
        <f>('Haver Pivoted'!HH77+1)^4-1</f>
        <v>3.9726565698527727E-2</v>
      </c>
      <c r="X48" s="1093" t="n">
        <f>('Haver Pivoted'!HI77+1)^4-1</f>
        <v>3.9575951716406488E-2</v>
      </c>
      <c r="Y48" s="1093" t="n">
        <f>('Haver Pivoted'!HJ77+1)^4-1</f>
        <v>4.1294742159051934E-2</v>
      </c>
      <c r="Z48" s="1093" t="n">
        <f>('Haver Pivoted'!HK77+1)^4-1</f>
        <v>2.9112295464471361E-2</v>
      </c>
      <c r="AA48" s="1066" t="n">
        <f>(AA72/Z72)^4-1+AA50</f>
        <v>2.5505871693797699E-2</v>
      </c>
      <c r="AB48" s="1066" t="n">
        <f t="shared" ref="AB48:AF48" si="28">(AB72/AA72)^4-1+AB50</f>
        <v>2.3438723088733626E-2</v>
      </c>
      <c r="AC48" s="1066" t="n">
        <f t="shared" si="28"/>
        <v>2.2377163912874476E-2</v>
      </c>
      <c r="AD48" s="1066" t="n">
        <f t="shared" si="28"/>
        <v>2.1708971853545922E-2</v>
      </c>
      <c r="AE48" s="1066" t="n">
        <f t="shared" si="28"/>
        <v>2.1471980846518912E-2</v>
      </c>
      <c r="AF48" s="1066" t="n">
        <f t="shared" si="28"/>
        <v>2.1530345294352937E-2</v>
      </c>
      <c r="AG48" s="1066" t="n">
        <f>(AG72/AF72)^4-1+AG50</f>
        <v>1.5936865457563565E-2</v>
      </c>
      <c r="AH48" s="1066" t="n">
        <f>(AH72/AG72)^4-1+AH50</f>
        <v>1.6813069627471089E-2</v>
      </c>
    </row>
    <row r="49">
      <c r="B49" s="97" t="s">
        <v>1712</v>
      </c>
      <c r="C49" s="1092" t="s">
        <v>1701</v>
      </c>
      <c r="D49" s="1121" t="n">
        <f>('Haver Pivoted'!GO78+1)^4-1</f>
        <v>1.7606158659444704E-2</v>
      </c>
      <c r="E49" s="1066" t="n">
        <f>('Haver Pivoted'!GP78+1)^4-1</f>
        <v>-1.7151418638734928E-2</v>
      </c>
      <c r="F49" s="1066" t="n">
        <f>('Haver Pivoted'!GQ78+1)^4-1</f>
        <v>2.7663740902592604E-2</v>
      </c>
      <c r="G49" s="1066" t="n">
        <f>('Haver Pivoted'!GR78+1)^4-1</f>
        <v>1.5104723907904294E-2</v>
      </c>
      <c r="H49" s="1066" t="n">
        <f>('Haver Pivoted'!GS78+1)^4-1</f>
        <v>2.4480958799653285E-2</v>
      </c>
      <c r="I49" s="1066" t="n">
        <f>('Haver Pivoted'!GT78+1)^4-1</f>
        <v>5.2574904831641067E-2</v>
      </c>
      <c r="J49" s="1066" t="n">
        <f>('Haver Pivoted'!GU78+1)^4-1</f>
        <v>-8.4277759405785302E-3</v>
      </c>
      <c r="K49" s="1066" t="n">
        <f>('Haver Pivoted'!GV78+1)^4-1</f>
        <v>4.907445416510936E-2</v>
      </c>
      <c r="L49" s="1066" t="n">
        <f>('Haver Pivoted'!GW78+1)^4-1</f>
        <v>5.0954864858178572E-2</v>
      </c>
      <c r="M49" s="1066" t="n">
        <f>('Haver Pivoted'!GX78+1)^4-1</f>
        <v>9.2354867824980369E-2</v>
      </c>
      <c r="N49" s="1066" t="n">
        <f>('Haver Pivoted'!GY78+1)^4-1</f>
        <v>7.5885854631137173E-2</v>
      </c>
      <c r="O49" s="1066" t="n">
        <f>('Haver Pivoted'!GZ78+1)^4-1</f>
        <v>6.4839018796936099E-2</v>
      </c>
      <c r="P49" s="1066" t="n">
        <f>('Haver Pivoted'!HA78+1)^4-1</f>
        <v>7.8606616627874493E-2</v>
      </c>
      <c r="Q49" s="1066" t="n">
        <f>('Haver Pivoted'!HB78+1)^4-1</f>
        <v>9.0996244334734522E-2</v>
      </c>
      <c r="R49" s="1066" t="n">
        <f>('Haver Pivoted'!HC78+1)^4-1</f>
        <v>0.13763433325959551</v>
      </c>
      <c r="S49" s="1093" t="n">
        <f>('Haver Pivoted'!HD78+1)^4-1</f>
        <v>1.6839709416048398E-2</v>
      </c>
      <c r="T49" s="1093" t="n">
        <f>('Haver Pivoted'!HE78+1)^4-1</f>
        <v>2.7352303497218955E-2</v>
      </c>
      <c r="U49" s="1093" t="n">
        <f>('Haver Pivoted'!HF78+1)^4-1</f>
        <v>-6.3056175150344451E-5</v>
      </c>
      <c r="V49" s="1093" t="n">
        <f>('Haver Pivoted'!HG78+1)^4-1</f>
        <v>-2.8662130748749126E-2</v>
      </c>
      <c r="W49" s="1093" t="n">
        <f>('Haver Pivoted'!HH78+1)^4-1</f>
        <v>5.7410273514926002E-2</v>
      </c>
      <c r="X49" s="1093" t="n">
        <f>('Haver Pivoted'!HI78+1)^4-1</f>
        <v>6.4988621204677965E-3</v>
      </c>
      <c r="Y49" s="1093" t="n">
        <f>('Haver Pivoted'!HJ78+1)^4-1</f>
        <v>3.8310837184705404E-2</v>
      </c>
      <c r="Z49" s="1093" t="n">
        <f>('Haver Pivoted'!HK78+1)^4-1</f>
        <v>1.680091994223365E-2</v>
      </c>
      <c r="AA49" s="1066" t="n">
        <f t="shared" ref="AA49:AH49" si="29">(AA73/Z73)^4-1+AA50</f>
        <v>2.2724337980433162E-2</v>
      </c>
      <c r="AB49" s="1066" t="n">
        <f t="shared" si="29"/>
        <v>2.1533565330379201E-2</v>
      </c>
      <c r="AC49" s="1066" t="n">
        <f t="shared" si="29"/>
        <v>2.3821649071183115E-2</v>
      </c>
      <c r="AD49" s="1066" t="n">
        <f t="shared" si="29"/>
        <v>2.3493967451795994E-2</v>
      </c>
      <c r="AE49" s="1066" t="n">
        <f t="shared" si="29"/>
        <v>2.3095343044312822E-2</v>
      </c>
      <c r="AF49" s="1066" t="n">
        <f t="shared" si="29"/>
        <v>2.2877364391311605E-2</v>
      </c>
      <c r="AG49" s="1066" t="n">
        <f t="shared" si="29"/>
        <v>2.2926764441147718E-2</v>
      </c>
      <c r="AH49" s="1066" t="n">
        <f t="shared" si="29"/>
        <v>2.3049272742582838E-2</v>
      </c>
    </row>
    <row r="50">
      <c r="B50" s="97" t="s">
        <v>1909</v>
      </c>
      <c r="C50" s="1092"/>
      <c r="D50" s="1121"/>
      <c r="E50" s="1066"/>
      <c r="F50" s="1066"/>
      <c r="G50" s="1066"/>
      <c r="H50" s="1066"/>
      <c r="I50" s="1066"/>
      <c r="J50" s="1066"/>
      <c r="K50" s="1066"/>
      <c r="L50" s="1066"/>
      <c r="M50" s="1066"/>
      <c r="N50" s="1066"/>
      <c r="O50" s="1066"/>
      <c r="P50" s="1066"/>
      <c r="Q50" s="1066"/>
      <c r="R50" s="1066"/>
      <c r="S50" s="1093"/>
      <c r="T50" s="1093"/>
      <c r="U50" s="1093"/>
      <c r="V50" s="1093"/>
      <c r="W50" s="1093"/>
      <c r="X50" s="1093"/>
      <c r="Y50" s="1093"/>
      <c r="Z50" s="1093"/>
      <c r="AA50" s="1066" t="n">
        <v>-2E-3</v>
      </c>
      <c r="AB50" s="1066" t="n">
        <v>-2E-3</v>
      </c>
      <c r="AC50" s="1066" t="n">
        <v>-2E-3</v>
      </c>
      <c r="AD50" s="1066" t="n">
        <v>-2E-3</v>
      </c>
      <c r="AE50" s="1066" t="n">
        <v>-2E-3</v>
      </c>
      <c r="AF50" s="1066" t="n">
        <v>-2E-3</v>
      </c>
      <c r="AG50" s="1066" t="n">
        <v>-2E-3</v>
      </c>
      <c r="AH50" s="1066" t="n">
        <v>-2E-3</v>
      </c>
    </row>
    <row r="51">
      <c r="B51" s="97" t="s">
        <v>1713</v>
      </c>
      <c r="C51" s="1092" t="s">
        <v>1702</v>
      </c>
      <c r="D51" s="1121" t="n">
        <f>('Haver Pivoted'!GO79+1)^4-1</f>
        <v>1.2331231439726587E-2</v>
      </c>
      <c r="E51" s="1066" t="n">
        <f>('Haver Pivoted'!GP79+1)^4-1</f>
        <v>-2.4548871147293649E-2</v>
      </c>
      <c r="F51" s="1066" t="n">
        <f>('Haver Pivoted'!GQ79+1)^4-1</f>
        <v>2.4115177005201271E-2</v>
      </c>
      <c r="G51" s="1066" t="n">
        <f>('Haver Pivoted'!GR79+1)^4-1</f>
        <v>1.4753974603383124E-2</v>
      </c>
      <c r="H51" s="1066" t="n">
        <f>('Haver Pivoted'!GS79+1)^4-1</f>
        <v>2.894174832740215E-2</v>
      </c>
      <c r="I51" s="1066" t="n">
        <f>('Haver Pivoted'!GT79+1)^4-1</f>
        <v>6.2522667611889737E-2</v>
      </c>
      <c r="J51" s="1066" t="n">
        <f>('Haver Pivoted'!GU79+1)^4-1</f>
        <v>-7.4240991087901609E-3</v>
      </c>
      <c r="K51" s="1066" t="n">
        <f>('Haver Pivoted'!GV79+1)^4-1</f>
        <v>5.0929448665746779E-2</v>
      </c>
      <c r="L51" s="1066" t="n">
        <f>('Haver Pivoted'!GW79+1)^4-1</f>
        <v>5.7456046457014187E-2</v>
      </c>
      <c r="M51" s="1066" t="n">
        <f>('Haver Pivoted'!GX79+1)^4-1</f>
        <v>9.8185028225247883E-2</v>
      </c>
      <c r="N51" s="1066" t="n">
        <f>('Haver Pivoted'!GY79+1)^4-1</f>
        <v>7.1275335420445396E-2</v>
      </c>
      <c r="O51" s="1066" t="n">
        <f>('Haver Pivoted'!GZ79+1)^4-1</f>
        <v>6.0639425152128945E-2</v>
      </c>
      <c r="P51" s="1066" t="n">
        <f>('Haver Pivoted'!HA79+1)^4-1</f>
        <v>7.3083340350689641E-2</v>
      </c>
      <c r="Q51" s="1066" t="n">
        <f>('Haver Pivoted'!HB79+1)^4-1</f>
        <v>8.7536929602414215E-2</v>
      </c>
      <c r="R51" s="1066" t="n">
        <f>('Haver Pivoted'!HC79+1)^4-1</f>
        <v>0.14059958977185572</v>
      </c>
      <c r="S51" s="1093" t="n">
        <f>('Haver Pivoted'!HD79+1)^4-1</f>
        <v>5.1674533625485353E-3</v>
      </c>
      <c r="T51" s="1093" t="n">
        <f>('Haver Pivoted'!HE79+1)^4-1</f>
        <v>2.4708021569921135E-2</v>
      </c>
      <c r="U51" s="1093" t="n">
        <f>('Haver Pivoted'!HF79+1)^4-1</f>
        <v>-1.0701402735953436E-2</v>
      </c>
      <c r="V51" s="1093" t="n">
        <f>('Haver Pivoted'!HG79+1)^4-1</f>
        <v>-3.5605877057299118E-2</v>
      </c>
      <c r="W51" s="1093" t="n">
        <f>('Haver Pivoted'!HH79+1)^4-1</f>
        <v>6.8186173678186135E-2</v>
      </c>
      <c r="X51" s="1093" t="n">
        <f>('Haver Pivoted'!HI79+1)^4-1</f>
        <v>5.6734763882242412E-3</v>
      </c>
      <c r="Y51" s="1093" t="n">
        <f>('Haver Pivoted'!HJ79+1)^4-1</f>
        <v>4.1686540954535056E-2</v>
      </c>
      <c r="Z51" s="1093" t="n">
        <f>('Haver Pivoted'!HK79+1)^4-1</f>
        <v>2.0014336228912244E-2</v>
      </c>
      <c r="AA51" s="1066" t="n">
        <f t="shared" ref="AA51:AF51" si="30">AA49</f>
        <v>2.2724337980433162E-2</v>
      </c>
      <c r="AB51" s="1066" t="n">
        <f t="shared" si="30"/>
        <v>2.1533565330379201E-2</v>
      </c>
      <c r="AC51" s="1066" t="n">
        <f t="shared" si="30"/>
        <v>2.3821649071183115E-2</v>
      </c>
      <c r="AD51" s="1066" t="n">
        <f t="shared" si="30"/>
        <v>2.3493967451795994E-2</v>
      </c>
      <c r="AE51" s="1066" t="n">
        <f t="shared" si="30"/>
        <v>2.3095343044312822E-2</v>
      </c>
      <c r="AF51" s="1066" t="n">
        <f t="shared" si="30"/>
        <v>2.2877364391311605E-2</v>
      </c>
      <c r="AG51" s="1066" t="n">
        <f t="shared" ref="AG51:AH51" si="31">AG49</f>
        <v>2.2926764441147718E-2</v>
      </c>
      <c r="AH51" s="1066" t="n">
        <f t="shared" si="31"/>
        <v>2.3049272742582838E-2</v>
      </c>
    </row>
    <row r="52">
      <c r="B52" s="399" t="s">
        <v>1714</v>
      </c>
      <c r="C52" s="1118" t="s">
        <v>1703</v>
      </c>
      <c r="D52" s="1070" t="n">
        <f>('Haver Pivoted'!GO80+1)^4-1</f>
        <v>4.0962242441666019E-2</v>
      </c>
      <c r="E52" s="1071" t="n">
        <f>('Haver Pivoted'!GP80+1)^4-1</f>
        <v>1.5719050974356552E-2</v>
      </c>
      <c r="F52" s="1071" t="n">
        <f>('Haver Pivoted'!GQ80+1)^4-1</f>
        <v>4.3088224053848823E-2</v>
      </c>
      <c r="G52" s="1071" t="n">
        <f>('Haver Pivoted'!GR80+1)^4-1</f>
        <v>1.6823112159823461E-2</v>
      </c>
      <c r="H52" s="1071" t="n">
        <f>('Haver Pivoted'!GS80+1)^4-1</f>
        <v>5.3982501773912617E-3</v>
      </c>
      <c r="I52" s="1071" t="n">
        <f>('Haver Pivoted'!GT80+1)^4-1</f>
        <v>9.7871671399678561E-3</v>
      </c>
      <c r="J52" s="1071" t="n">
        <f>('Haver Pivoted'!GU80+1)^4-1</f>
        <v>-1.264897125361697E-2</v>
      </c>
      <c r="K52" s="1071" t="n">
        <f>('Haver Pivoted'!GV80+1)^4-1</f>
        <v>4.0611329344794056E-2</v>
      </c>
      <c r="L52" s="1071" t="n">
        <f>('Haver Pivoted'!GW80+1)^4-1</f>
        <v>2.1607225299700827E-2</v>
      </c>
      <c r="M52" s="1071" t="n">
        <f>('Haver Pivoted'!GX80+1)^4-1</f>
        <v>6.5587978667649205E-2</v>
      </c>
      <c r="N52" s="1071" t="n">
        <f>('Haver Pivoted'!GY80+1)^4-1</f>
        <v>9.6562691223789132E-2</v>
      </c>
      <c r="O52" s="1071" t="n">
        <f>('Haver Pivoted'!GZ80+1)^4-1</f>
        <v>8.4807929469169041E-2</v>
      </c>
      <c r="P52" s="1071" t="n">
        <f>('Haver Pivoted'!HA80+1)^4-1</f>
        <v>0.1057724485451752</v>
      </c>
      <c r="Q52" s="1071" t="n">
        <f>('Haver Pivoted'!HB80+1)^4-1</f>
        <v>0.10808480173082224</v>
      </c>
      <c r="R52" s="1071" t="n">
        <f>('Haver Pivoted'!HC80+1)^4-1</f>
        <v>0.12258858608776269</v>
      </c>
      <c r="S52" s="1110" t="n">
        <f>('Haver Pivoted'!HD80+1)^4-1</f>
        <v>7.7728691252704651E-2</v>
      </c>
      <c r="T52" s="1110" t="n">
        <f>('Haver Pivoted'!HE80+1)^4-1</f>
        <v>4.0349668009795225E-2</v>
      </c>
      <c r="U52" s="1110" t="n">
        <f>('Haver Pivoted'!HF80+1)^4-1</f>
        <v>5.1960248713186719E-2</v>
      </c>
      <c r="V52" s="1110" t="n">
        <f>('Haver Pivoted'!HG80+1)^4-1</f>
        <v>3.571644947314212E-3</v>
      </c>
      <c r="W52" s="1110" t="n">
        <f>('Haver Pivoted'!HH80+1)^4-1</f>
        <v>1.126058576943012E-2</v>
      </c>
      <c r="X52" s="1110" t="n">
        <f>('Haver Pivoted'!HI80+1)^4-1</f>
        <v>1.0024676064772642E-2</v>
      </c>
      <c r="Y52" s="1110" t="n">
        <f>('Haver Pivoted'!HJ80+1)^4-1</f>
        <v>2.4361298023588995E-2</v>
      </c>
      <c r="Z52" s="1110" t="n">
        <f>('Haver Pivoted'!HK80+1)^4-1</f>
        <v>3.6501030492672726E-3</v>
      </c>
      <c r="AA52" s="1071" t="n">
        <f t="shared" ref="AA52:AF52" si="32">AA51</f>
        <v>2.2724337980433162E-2</v>
      </c>
      <c r="AB52" s="1071" t="n">
        <f t="shared" si="32"/>
        <v>2.1533565330379201E-2</v>
      </c>
      <c r="AC52" s="1071" t="n">
        <f t="shared" si="32"/>
        <v>2.3821649071183115E-2</v>
      </c>
      <c r="AD52" s="1071" t="n">
        <f t="shared" si="32"/>
        <v>2.3493967451795994E-2</v>
      </c>
      <c r="AE52" s="1071" t="n">
        <f t="shared" si="32"/>
        <v>2.3095343044312822E-2</v>
      </c>
      <c r="AF52" s="1071" t="n">
        <f t="shared" si="32"/>
        <v>2.2877364391311605E-2</v>
      </c>
      <c r="AG52" s="1071" t="n">
        <f t="shared" ref="AG52:AH52" si="33">AG51</f>
        <v>2.2926764441147718E-2</v>
      </c>
      <c r="AH52" s="1071" t="n">
        <f t="shared" si="33"/>
        <v>2.3049272742582838E-2</v>
      </c>
    </row>
    <row r="53">
      <c r="B53" s="85"/>
      <c r="C53" s="1092"/>
      <c r="D53" s="1066"/>
      <c r="E53" s="1066"/>
      <c r="F53" s="1066"/>
      <c r="G53" s="1066"/>
      <c r="H53" s="1066"/>
      <c r="I53" s="1066"/>
      <c r="J53" s="1066"/>
      <c r="K53" s="1066"/>
      <c r="L53" s="1066"/>
      <c r="M53" s="1066"/>
      <c r="N53" s="1066"/>
      <c r="O53" s="1066"/>
      <c r="P53" s="1066"/>
      <c r="Q53" s="1066"/>
      <c r="R53" s="1066"/>
      <c r="X53" s="1066"/>
      <c r="AB53" s="1066"/>
      <c r="AC53" s="1066"/>
      <c r="AD53" s="1066"/>
      <c r="AE53" s="1066"/>
      <c r="AF53" s="1066"/>
    </row>
    <row r="54">
      <c r="B54" s="85"/>
      <c r="C54" s="1092"/>
      <c r="D54" s="1066"/>
      <c r="E54" s="1066"/>
      <c r="F54" s="1066"/>
      <c r="G54" s="1066"/>
      <c r="H54" s="1066"/>
      <c r="I54" s="1066"/>
      <c r="J54" s="1066"/>
      <c r="K54" s="1066"/>
      <c r="L54" s="1066"/>
      <c r="M54" s="1066"/>
      <c r="N54" s="1066"/>
      <c r="O54" s="1066"/>
      <c r="P54" s="1066"/>
      <c r="Q54" s="1066"/>
      <c r="R54" s="1066"/>
      <c r="X54" s="1066"/>
      <c r="AB54" s="1066"/>
      <c r="AC54" s="1066"/>
      <c r="AD54" s="1066"/>
      <c r="AE54" s="1066"/>
      <c r="AF54" s="1066"/>
    </row>
    <row r="55">
      <c r="B55" s="85"/>
      <c r="C55" s="1092"/>
      <c r="D55" s="1066"/>
      <c r="E55" s="1066"/>
      <c r="F55" s="1066"/>
      <c r="G55" s="1066"/>
      <c r="H55" s="1066"/>
      <c r="I55" s="1066"/>
      <c r="J55" s="1066"/>
      <c r="K55" s="1066"/>
      <c r="L55" s="1066"/>
      <c r="M55" s="1066"/>
      <c r="N55" s="1066"/>
      <c r="O55" s="1066"/>
      <c r="P55" s="1066"/>
      <c r="Q55" s="1066"/>
      <c r="R55" s="1066"/>
      <c r="X55" s="1066"/>
      <c r="AB55" s="1066"/>
      <c r="AC55" s="1066"/>
      <c r="AD55" s="1066"/>
      <c r="AE55" s="1066"/>
      <c r="AF55" s="1066"/>
    </row>
    <row r="56">
      <c r="B56" s="85"/>
      <c r="C56" s="1092"/>
      <c r="D56" s="1066"/>
      <c r="E56" s="1066"/>
      <c r="F56" s="1066"/>
      <c r="G56" s="1066"/>
      <c r="H56" s="1066"/>
      <c r="I56" s="1066"/>
      <c r="J56" s="1066"/>
      <c r="K56" s="1066"/>
      <c r="L56" s="1066"/>
      <c r="M56" s="1066"/>
      <c r="N56" s="1066"/>
      <c r="O56" s="1066"/>
      <c r="P56" s="1066"/>
      <c r="Q56" s="1066"/>
      <c r="R56" s="1066"/>
      <c r="X56" s="1066"/>
      <c r="AB56" s="1066"/>
      <c r="AC56" s="1066"/>
      <c r="AD56" s="1066"/>
      <c r="AE56" s="1066"/>
      <c r="AF56" s="1066"/>
    </row>
    <row r="57">
      <c r="B57" s="85"/>
      <c r="C57" s="1092"/>
      <c r="D57" s="1066"/>
      <c r="E57" s="1066"/>
      <c r="F57" s="1066"/>
      <c r="G57" s="1066"/>
      <c r="H57" s="1066"/>
      <c r="I57" s="1066"/>
      <c r="J57" s="1066"/>
      <c r="K57" s="1066"/>
      <c r="L57" s="1066"/>
      <c r="M57" s="1066"/>
      <c r="N57" s="1066"/>
      <c r="O57" s="1066"/>
      <c r="P57" s="1066"/>
      <c r="Q57" s="1066"/>
      <c r="R57" s="1066"/>
      <c r="X57" s="1066"/>
      <c r="AB57" s="1066"/>
      <c r="AC57" s="1066"/>
      <c r="AD57" s="1066"/>
      <c r="AE57" s="1066"/>
      <c r="AF57" s="1066"/>
    </row>
    <row r="58">
      <c r="B58" s="85"/>
      <c r="C58" s="1092"/>
      <c r="D58" s="1066"/>
      <c r="E58" s="1066"/>
      <c r="F58" s="1066"/>
      <c r="G58" s="1066"/>
      <c r="H58" s="1066"/>
      <c r="I58" s="1066"/>
      <c r="J58" s="1066"/>
      <c r="K58" s="1066"/>
      <c r="L58" s="1066"/>
      <c r="M58" s="1066"/>
      <c r="N58" s="1066"/>
      <c r="O58" s="1066"/>
      <c r="P58" s="1066"/>
      <c r="Q58" s="1066"/>
      <c r="R58" s="1066"/>
      <c r="X58" s="1066"/>
      <c r="AB58" s="1066"/>
      <c r="AC58" s="1066"/>
      <c r="AD58" s="1066"/>
      <c r="AE58" s="1066"/>
      <c r="AF58" s="1066"/>
    </row>
    <row r="59">
      <c r="B59" s="85"/>
      <c r="C59" s="1092"/>
      <c r="D59" s="1066"/>
      <c r="E59" s="1066"/>
      <c r="F59" s="1066"/>
      <c r="G59" s="1066"/>
      <c r="H59" s="1066"/>
      <c r="I59" s="1066"/>
      <c r="J59" s="1066"/>
      <c r="K59" s="1066"/>
      <c r="L59" s="1066"/>
      <c r="M59" s="1066"/>
      <c r="N59" s="1066"/>
      <c r="O59" s="1066"/>
      <c r="P59" s="1066"/>
      <c r="Q59" s="1066"/>
      <c r="R59" s="1066"/>
      <c r="X59" s="1066"/>
      <c r="AB59" s="1066"/>
      <c r="AC59" s="1066"/>
      <c r="AD59" s="1066"/>
      <c r="AE59" s="1066"/>
      <c r="AF59" s="1066"/>
    </row>
    <row r="60">
      <c r="B60" s="85"/>
      <c r="C60" s="1092"/>
      <c r="D60" s="1066"/>
      <c r="E60" s="1066"/>
      <c r="F60" s="1066"/>
      <c r="G60" s="1066"/>
      <c r="H60" s="1066"/>
      <c r="I60" s="1066"/>
      <c r="J60" s="1066"/>
      <c r="K60" s="1066"/>
      <c r="L60" s="1066"/>
      <c r="M60" s="1066"/>
      <c r="N60" s="1066"/>
      <c r="O60" s="1066"/>
      <c r="P60" s="1066"/>
      <c r="Q60" s="1066"/>
      <c r="R60" s="1066"/>
      <c r="X60" s="1066"/>
      <c r="Y60" s="1066"/>
      <c r="Z60" s="1066"/>
      <c r="AA60" s="1066"/>
      <c r="AB60" s="1066"/>
      <c r="AC60" s="1066"/>
      <c r="AD60" s="1066"/>
      <c r="AE60" s="1066"/>
      <c r="AF60" s="1066"/>
    </row>
    <row r="61" ht="14.5" customHeight="1">
      <c r="B61" s="772" t="s">
        <v>1734</v>
      </c>
      <c r="C61" s="772"/>
      <c r="D61" s="772"/>
      <c r="E61" s="772"/>
      <c r="F61" s="304"/>
      <c r="G61" s="304"/>
      <c r="H61" s="304"/>
      <c r="I61" s="304"/>
      <c r="J61" s="304"/>
      <c r="K61" s="304"/>
      <c r="L61" s="304"/>
      <c r="M61" s="304"/>
      <c r="N61" s="304"/>
      <c r="O61" s="304"/>
      <c r="P61" s="304"/>
      <c r="Q61" s="304"/>
      <c r="R61" s="304"/>
      <c r="S61" s="304"/>
      <c r="T61" s="304"/>
      <c r="U61" s="304"/>
      <c r="V61" s="304"/>
      <c r="W61" s="304"/>
      <c r="X61" s="304"/>
      <c r="Y61" s="304"/>
      <c r="Z61" s="304"/>
      <c r="AA61" s="304"/>
      <c r="AB61" s="304"/>
      <c r="AC61" s="304"/>
    </row>
    <row r="62" ht="30" customHeight="1">
      <c r="B62" s="1083" t="s">
        <v>1937</v>
      </c>
      <c r="C62" s="1109"/>
      <c r="D62" s="269" t="n">
        <v>2018</v>
      </c>
      <c r="E62" s="269" t="n">
        <v>2019</v>
      </c>
      <c r="F62" s="358"/>
      <c r="G62" s="358"/>
      <c r="H62" s="271"/>
      <c r="I62" s="269" t="n">
        <v>2020</v>
      </c>
      <c r="J62" s="358"/>
      <c r="K62" s="358"/>
      <c r="L62" s="358"/>
      <c r="M62" s="269" t="n">
        <v>2021</v>
      </c>
      <c r="N62" s="358"/>
      <c r="O62" s="358"/>
      <c r="P62" s="358"/>
      <c r="Q62" s="354" t="n">
        <v>2022</v>
      </c>
      <c r="R62" s="355"/>
      <c r="S62" s="343"/>
      <c r="T62" s="362"/>
      <c r="U62" s="296"/>
      <c r="V62" s="666" t="n">
        <v>2023</v>
      </c>
      <c r="W62" s="344"/>
      <c r="X62" s="344"/>
      <c r="Y62" s="255" t="n">
        <v>2024</v>
      </c>
      <c r="Z62" s="268"/>
      <c r="AA62" s="268"/>
      <c r="AB62" s="256"/>
      <c r="AC62" s="255" t="n">
        <v>2025</v>
      </c>
      <c r="AD62" s="268"/>
      <c r="AE62" s="268"/>
      <c r="AF62" s="256"/>
      <c r="AG62" s="255" t="n">
        <v>2026</v>
      </c>
      <c r="AH62" s="256"/>
    </row>
    <row r="63">
      <c r="B63" s="1073"/>
      <c r="C63" s="297"/>
      <c r="D63" s="259" t="s">
        <v>282</v>
      </c>
      <c r="E63" s="259" t="s">
        <v>283</v>
      </c>
      <c r="F63" s="260" t="s">
        <v>284</v>
      </c>
      <c r="G63" s="260" t="s">
        <v>238</v>
      </c>
      <c r="H63" s="261" t="s">
        <v>282</v>
      </c>
      <c r="I63" s="260" t="s">
        <v>283</v>
      </c>
      <c r="J63" s="260" t="s">
        <v>284</v>
      </c>
      <c r="K63" s="260" t="s">
        <v>238</v>
      </c>
      <c r="L63" s="260" t="s">
        <v>282</v>
      </c>
      <c r="M63" s="259" t="s">
        <v>283</v>
      </c>
      <c r="N63" s="260" t="s">
        <v>284</v>
      </c>
      <c r="O63" s="260" t="s">
        <v>238</v>
      </c>
      <c r="P63" s="260" t="s">
        <v>282</v>
      </c>
      <c r="Q63" s="259" t="s">
        <v>283</v>
      </c>
      <c r="R63" s="260" t="s">
        <v>284</v>
      </c>
      <c r="S63" s="260" t="s">
        <v>238</v>
      </c>
      <c r="T63" s="261" t="s">
        <v>282</v>
      </c>
      <c r="U63" s="259" t="s">
        <v>283</v>
      </c>
      <c r="V63" s="260" t="s">
        <v>284</v>
      </c>
      <c r="W63" s="406" t="s">
        <v>238</v>
      </c>
      <c r="X63" s="406" t="s">
        <v>282</v>
      </c>
      <c r="Y63" s="510" t="s">
        <v>283</v>
      </c>
      <c r="Z63" s="413" t="s">
        <v>284</v>
      </c>
      <c r="AA63" s="406" t="s">
        <v>238</v>
      </c>
      <c r="AB63" s="509" t="s">
        <v>282</v>
      </c>
      <c r="AC63" s="510" t="s">
        <v>283</v>
      </c>
      <c r="AD63" s="406" t="s">
        <v>284</v>
      </c>
      <c r="AE63" s="406" t="s">
        <v>238</v>
      </c>
      <c r="AF63" s="509" t="s">
        <v>282</v>
      </c>
      <c r="AG63" s="357" t="s">
        <v>283</v>
      </c>
      <c r="AH63" s="1065" t="s">
        <v>284</v>
      </c>
    </row>
    <row r="64" ht="28.5" customHeight="1">
      <c r="B64" s="573" t="s">
        <v>1936</v>
      </c>
      <c r="C64" s="85" t="s">
        <v>1716</v>
      </c>
      <c r="D64" s="291"/>
      <c r="E64" s="291"/>
      <c r="F64" s="291"/>
      <c r="G64" s="291"/>
      <c r="H64" s="291"/>
      <c r="I64" s="291"/>
      <c r="J64" s="291"/>
      <c r="K64" s="291"/>
      <c r="L64" s="291"/>
      <c r="M64" s="291" t="n">
        <v>15217.7</v>
      </c>
      <c r="N64" s="291" t="n">
        <v>15950.9</v>
      </c>
      <c r="O64" s="291" t="n">
        <v>16285.1</v>
      </c>
      <c r="P64" s="291" t="n">
        <v>16718.2</v>
      </c>
      <c r="Q64" s="291" t="n">
        <v>17030.599999999999</v>
      </c>
      <c r="R64" s="291" t="n">
        <v>17415.099999999999</v>
      </c>
      <c r="S64" s="530" t="n">
        <v>17684.2</v>
      </c>
      <c r="T64" s="530" t="n">
        <v>17917</v>
      </c>
      <c r="U64" s="530" t="n">
        <v>18269.599999999999</v>
      </c>
      <c r="V64" s="530" t="n">
        <v>18419</v>
      </c>
      <c r="W64" s="530" t="n">
        <v>18679.5</v>
      </c>
      <c r="X64" s="530" t="n">
        <v>18914.5</v>
      </c>
      <c r="Y64" s="530" t="n">
        <v>19191.599999999999</v>
      </c>
      <c r="Z64" s="530" t="n">
        <v>19506.599999999999</v>
      </c>
      <c r="AA64" s="530" t="n">
        <v>19739.8</v>
      </c>
      <c r="AB64" s="530" t="n">
        <v>19911.8</v>
      </c>
      <c r="AC64" s="530" t="n">
        <v>20098.5</v>
      </c>
      <c r="AD64" s="530" t="n">
        <v>20285.8</v>
      </c>
      <c r="AE64" s="530" t="n">
        <v>20464.099999999999</v>
      </c>
      <c r="AF64" s="530" t="n">
        <v>20636.599999999999</v>
      </c>
      <c r="AG64" s="530" t="n">
        <v>20786.400000000001</v>
      </c>
      <c r="AH64" s="85" t="n">
        <v>20949.8</v>
      </c>
      <c r="AI64" s="85" t="n">
        <v>21122.799999999999</v>
      </c>
      <c r="AJ64" s="85" t="n">
        <v>21304.1</v>
      </c>
      <c r="AK64" t="n">
        <v>21479.7</v>
      </c>
      <c r="AL64" t="n">
        <v>21659.5</v>
      </c>
      <c r="AM64" t="n">
        <v>21842.799999999999</v>
      </c>
      <c r="AN64" t="n">
        <v>22030.5</v>
      </c>
      <c r="AO64" t="n">
        <v>22229.7</v>
      </c>
      <c r="AP64" t="n">
        <v>22441.1</v>
      </c>
      <c r="AQ64" t="n">
        <v>22659.200000000001</v>
      </c>
      <c r="AR64" t="n">
        <v>22881.599999999999</v>
      </c>
      <c r="AS64" t="n">
        <v>23107.1</v>
      </c>
      <c r="AT64" t="n">
        <v>23342.5</v>
      </c>
      <c r="AU64" t="n">
        <v>23580.400000000001</v>
      </c>
      <c r="AV64" t="n">
        <v>23821.599999999999</v>
      </c>
      <c r="AW64" t="n">
        <v>24060.6</v>
      </c>
      <c r="AX64" t="n">
        <v>24308.3</v>
      </c>
      <c r="AY64" t="n">
        <v>24560.1</v>
      </c>
      <c r="AZ64" t="n">
        <v>24811.200000000001</v>
      </c>
      <c r="BA64" t="n">
        <v>25066.3</v>
      </c>
      <c r="BB64" t="n">
        <v>25325.5</v>
      </c>
      <c r="BC64" t="n">
        <v>25589.4</v>
      </c>
      <c r="BD64" t="n">
        <v>25868.400000000001</v>
      </c>
      <c r="BE64" t="n">
        <v>26142.400000000001</v>
      </c>
      <c r="BF64" t="n">
        <v>26418</v>
      </c>
      <c r="BG64" t="n">
        <v>26693</v>
      </c>
      <c r="BH64" t="n">
        <v>26968</v>
      </c>
      <c r="BI64" t="n">
        <v>27246.7</v>
      </c>
      <c r="BJ64" t="n">
        <v>27528.2</v>
      </c>
      <c r="BK64" t="n">
        <v>27813.200000000001</v>
      </c>
      <c r="BL64" t="n">
        <v>28100.799999999999</v>
      </c>
      <c r="BM64" t="n">
        <v>28391.5</v>
      </c>
      <c r="BN64" t="n">
        <v>28683.8</v>
      </c>
      <c r="BO64" t="n">
        <v>28978.400000000001</v>
      </c>
      <c r="BP64" t="n">
        <v>29274.3</v>
      </c>
    </row>
    <row r="65" ht="26.25" customHeight="1">
      <c r="B65" s="1074" t="s">
        <v>1938</v>
      </c>
      <c r="C65" s="85" t="s">
        <v>1717</v>
      </c>
      <c r="D65" s="97"/>
      <c r="E65" s="85"/>
      <c r="F65" s="85"/>
      <c r="G65" s="85"/>
      <c r="H65" s="85"/>
      <c r="I65" s="85"/>
      <c r="J65" s="85"/>
      <c r="K65" s="85"/>
      <c r="L65" s="85"/>
      <c r="M65" s="85" t="n">
        <v>1609.9</v>
      </c>
      <c r="N65" s="85" t="n">
        <v>1588.5</v>
      </c>
      <c r="O65" s="85" t="n">
        <v>1576.4</v>
      </c>
      <c r="P65" s="85" t="n">
        <v>1602.5</v>
      </c>
      <c r="Q65" s="85" t="n">
        <v>1601.7</v>
      </c>
      <c r="R65" s="85" t="n">
        <v>1612.3</v>
      </c>
      <c r="S65" s="530" t="n">
        <v>1636.3</v>
      </c>
      <c r="T65" s="530" t="n">
        <v>1691.8</v>
      </c>
      <c r="U65" s="530" t="n">
        <v>1730.6</v>
      </c>
      <c r="V65" s="530" t="n">
        <v>1744.3</v>
      </c>
      <c r="W65" s="530" t="n">
        <v>1791.9</v>
      </c>
      <c r="X65" s="530" t="n">
        <v>1820</v>
      </c>
      <c r="Y65" s="530" t="n">
        <v>1837.3</v>
      </c>
      <c r="Z65" s="530" t="n">
        <v>1825.6</v>
      </c>
      <c r="AA65" s="530" t="n">
        <v>1824.6</v>
      </c>
      <c r="AB65" s="530" t="n">
        <v>1842.6</v>
      </c>
      <c r="AC65" s="530" t="n">
        <v>1864.3</v>
      </c>
      <c r="AD65" s="530" t="n">
        <v>1886.9</v>
      </c>
      <c r="AE65" s="530" t="n">
        <v>1910.1</v>
      </c>
      <c r="AF65" s="530" t="n">
        <v>1923.8</v>
      </c>
      <c r="AG65" s="1077" t="n">
        <v>1936.1</v>
      </c>
      <c r="AH65" s="1077" t="n">
        <v>1950.7</v>
      </c>
      <c r="AI65" s="1077" t="n">
        <v>1964.1</v>
      </c>
      <c r="AJ65" s="1077" t="n">
        <v>1978.7</v>
      </c>
      <c r="AK65" s="1077" t="n">
        <v>1993.5</v>
      </c>
      <c r="AL65" s="1077" t="n">
        <v>2007</v>
      </c>
      <c r="AM65" s="1077" t="n">
        <v>2019.8</v>
      </c>
      <c r="AN65" s="1077" t="n">
        <v>2031.9</v>
      </c>
      <c r="AO65" s="1077" t="n">
        <v>2043.4</v>
      </c>
      <c r="AP65" t="n">
        <v>2054.6</v>
      </c>
      <c r="AQ65" t="n">
        <v>2065.9</v>
      </c>
      <c r="AR65" t="n">
        <v>2077.3000000000002</v>
      </c>
      <c r="AS65" t="n">
        <v>2089.9</v>
      </c>
      <c r="AT65" t="n">
        <v>2102</v>
      </c>
      <c r="AU65" t="n">
        <v>2114.3000000000002</v>
      </c>
      <c r="AV65" t="n">
        <v>2125.1</v>
      </c>
      <c r="AW65" t="n">
        <v>2137.1999999999998</v>
      </c>
      <c r="AX65" t="n">
        <v>2149.5</v>
      </c>
      <c r="AY65" t="n">
        <v>2161.8000000000002</v>
      </c>
      <c r="AZ65" t="n">
        <v>2174.1999999999998</v>
      </c>
      <c r="BA65" t="n">
        <v>2187.3000000000002</v>
      </c>
      <c r="BB65" t="n">
        <v>2200.6</v>
      </c>
      <c r="BC65" t="n">
        <v>2213.9</v>
      </c>
      <c r="BD65" t="n">
        <v>2217.1999999999998</v>
      </c>
      <c r="BE65" t="n">
        <v>2226.4</v>
      </c>
      <c r="BF65" t="n">
        <v>2236.9</v>
      </c>
      <c r="BG65" t="n">
        <v>2250.1999999999998</v>
      </c>
      <c r="BH65" t="n">
        <v>2265.5</v>
      </c>
      <c r="BI65" t="n">
        <v>2280.5</v>
      </c>
      <c r="BJ65" t="n">
        <v>2294.6</v>
      </c>
      <c r="BK65" t="n">
        <v>2308.5</v>
      </c>
      <c r="BL65" t="n">
        <v>2322.1999999999998</v>
      </c>
      <c r="BM65" t="n">
        <v>2336</v>
      </c>
      <c r="BN65" t="n">
        <v>2350</v>
      </c>
      <c r="BO65" t="n">
        <v>2364</v>
      </c>
      <c r="BP65" t="n">
        <v>2378.5</v>
      </c>
    </row>
    <row r="66" ht="26.25" customHeight="1">
      <c r="B66" s="1074" t="s">
        <v>1939</v>
      </c>
      <c r="C66" s="85" t="s">
        <v>1717</v>
      </c>
      <c r="D66" s="97"/>
      <c r="E66" s="85"/>
      <c r="F66" s="85"/>
      <c r="G66" s="85"/>
      <c r="H66" s="85"/>
      <c r="I66" s="85"/>
      <c r="J66" s="85"/>
      <c r="K66" s="85"/>
      <c r="L66" s="85"/>
      <c r="M66" s="85" t="n">
        <v>2533.9</v>
      </c>
      <c r="N66" s="85" t="n">
        <v>2571.6999999999998</v>
      </c>
      <c r="O66" s="85" t="n">
        <v>2625.1</v>
      </c>
      <c r="P66" s="85" t="n">
        <v>2664.2</v>
      </c>
      <c r="Q66" s="85" t="n">
        <v>2719.7</v>
      </c>
      <c r="R66" s="85" t="n">
        <v>2803.4</v>
      </c>
      <c r="S66" s="530" t="n">
        <v>2841.5</v>
      </c>
      <c r="T66" s="530" t="n">
        <v>2880.6</v>
      </c>
      <c r="U66" s="530" t="n">
        <v>2913.2</v>
      </c>
      <c r="V66" s="530" t="n">
        <v>2925.5</v>
      </c>
      <c r="W66" s="530" t="n">
        <v>3002.9</v>
      </c>
      <c r="X66" s="530" t="n">
        <v>3051.8</v>
      </c>
      <c r="Y66" s="530" t="n">
        <v>3094.7</v>
      </c>
      <c r="Z66" s="530" t="n">
        <v>3131</v>
      </c>
      <c r="AA66" s="530" t="n">
        <v>3158.7</v>
      </c>
      <c r="AB66" s="530" t="n">
        <v>3185.3</v>
      </c>
      <c r="AC66" s="530" t="n">
        <v>3213.1</v>
      </c>
      <c r="AD66" s="530" t="n">
        <v>3241</v>
      </c>
      <c r="AE66" s="530" t="n">
        <v>3268</v>
      </c>
      <c r="AF66" s="530" t="n">
        <v>3294.9</v>
      </c>
      <c r="AG66" s="1078" t="n">
        <v>3323</v>
      </c>
      <c r="AH66" s="1078" t="n">
        <v>3350.6</v>
      </c>
      <c r="AI66" s="1078" t="n">
        <v>3378.6</v>
      </c>
      <c r="AJ66" s="1078" t="n">
        <v>3406.2</v>
      </c>
      <c r="AK66" s="1078" t="n">
        <v>3432.7</v>
      </c>
      <c r="AL66" s="1078" t="n">
        <v>3459.9</v>
      </c>
      <c r="AM66" s="1078" t="n">
        <v>3486.6</v>
      </c>
      <c r="AN66" s="1078" t="n">
        <v>3513.5</v>
      </c>
      <c r="AO66" s="1078" t="n">
        <v>3540.6</v>
      </c>
      <c r="AP66" t="n">
        <v>3567.5</v>
      </c>
      <c r="AQ66" t="n">
        <v>3594.6</v>
      </c>
      <c r="AR66" t="n">
        <v>3622.1</v>
      </c>
      <c r="AS66" t="n">
        <v>3649.4</v>
      </c>
      <c r="AT66" t="n">
        <v>3677.5</v>
      </c>
      <c r="AU66" t="n">
        <v>3705.3</v>
      </c>
      <c r="AV66" t="n">
        <v>3733.6</v>
      </c>
      <c r="AW66" t="n">
        <v>3762.8</v>
      </c>
      <c r="AX66" t="n">
        <v>3792.4</v>
      </c>
      <c r="AY66" t="n">
        <v>3822.3</v>
      </c>
      <c r="AZ66" t="n">
        <v>3852.7</v>
      </c>
      <c r="BA66" t="n">
        <v>3883.6</v>
      </c>
      <c r="BB66" t="n">
        <v>3915</v>
      </c>
      <c r="BC66" t="n">
        <v>3946.7</v>
      </c>
      <c r="BD66" t="n">
        <v>3978.2</v>
      </c>
      <c r="BE66" t="n">
        <v>4010.4</v>
      </c>
      <c r="BF66" t="n">
        <v>4043.1</v>
      </c>
      <c r="BG66" t="n">
        <v>4076.2</v>
      </c>
      <c r="BH66" t="n">
        <v>4109.7</v>
      </c>
      <c r="BI66" t="n">
        <v>4143.3999999999996</v>
      </c>
      <c r="BJ66" t="n">
        <v>4177.3999999999996</v>
      </c>
      <c r="BK66" t="n">
        <v>4211.7</v>
      </c>
      <c r="BL66" t="n">
        <v>4246.3</v>
      </c>
      <c r="BM66" t="n">
        <v>4281.3</v>
      </c>
      <c r="BN66" t="n">
        <v>4316.6000000000004</v>
      </c>
      <c r="BO66" t="n">
        <v>4352.2</v>
      </c>
      <c r="BP66" t="n">
        <v>4388.3</v>
      </c>
    </row>
    <row r="67" ht="26.25" customHeight="1">
      <c r="B67" s="1074" t="s">
        <v>1940</v>
      </c>
      <c r="C67" s="85" t="s">
        <v>1718</v>
      </c>
      <c r="D67" s="97"/>
      <c r="E67" s="85"/>
      <c r="F67" s="85"/>
      <c r="G67" s="85"/>
      <c r="H67" s="85"/>
      <c r="I67" s="85"/>
      <c r="J67" s="85"/>
      <c r="K67" s="85"/>
      <c r="L67" s="85"/>
      <c r="M67" s="85" t="n">
        <v>14282.6</v>
      </c>
      <c r="N67" s="85" t="n">
        <v>14745.6</v>
      </c>
      <c r="O67" s="85" t="n">
        <v>14848.8</v>
      </c>
      <c r="P67" s="85" t="n">
        <v>14995.6</v>
      </c>
      <c r="Q67" s="85" t="n">
        <v>14995.2</v>
      </c>
      <c r="R67" s="85" t="n">
        <v>15069.2</v>
      </c>
      <c r="S67" s="530" t="n">
        <v>15127.4</v>
      </c>
      <c r="T67" s="530" t="n">
        <v>15171.4</v>
      </c>
      <c r="U67" s="530" t="n">
        <v>15312.9</v>
      </c>
      <c r="V67" s="530" t="n">
        <v>15343.6</v>
      </c>
      <c r="W67" s="530" t="n">
        <v>15461.4</v>
      </c>
      <c r="X67" s="530" t="n">
        <v>15586.7</v>
      </c>
      <c r="Y67" s="530" t="n">
        <v>15683.5</v>
      </c>
      <c r="Z67" s="530" t="n">
        <v>15816.9</v>
      </c>
      <c r="AA67" s="530" t="n">
        <v>15917.3</v>
      </c>
      <c r="AB67" s="530" t="n">
        <v>15974.8</v>
      </c>
      <c r="AC67" s="530" t="n">
        <v>16037.9</v>
      </c>
      <c r="AD67" s="530" t="n">
        <v>16101.2</v>
      </c>
      <c r="AE67" s="530" t="n">
        <v>16159.7</v>
      </c>
      <c r="AF67" s="530" t="n">
        <v>16215</v>
      </c>
      <c r="AG67" s="1078" t="n">
        <v>16253</v>
      </c>
      <c r="AH67" s="1078" t="n">
        <v>16301.8</v>
      </c>
      <c r="AI67" s="1078" t="n">
        <v>16358</v>
      </c>
      <c r="AJ67" s="1078" t="n">
        <v>16420.5</v>
      </c>
      <c r="AK67" s="1078" t="n">
        <v>16477.900000000001</v>
      </c>
      <c r="AL67" s="1078" t="n">
        <v>16537.599999999999</v>
      </c>
      <c r="AM67" s="1078" t="n">
        <v>16599.099999999999</v>
      </c>
      <c r="AN67" s="1078" t="n">
        <v>16662.8</v>
      </c>
      <c r="AO67" s="1078" t="n">
        <v>16733.8</v>
      </c>
      <c r="AP67" t="n">
        <v>16812.400000000001</v>
      </c>
      <c r="AQ67" t="n">
        <v>16894.599999999999</v>
      </c>
      <c r="AR67" t="n">
        <v>16978.599999999999</v>
      </c>
      <c r="AS67" t="n">
        <v>17063.400000000001</v>
      </c>
      <c r="AT67" t="n">
        <v>17154.2</v>
      </c>
      <c r="AU67" t="n">
        <v>17245.5</v>
      </c>
      <c r="AV67" t="n">
        <v>17337.8</v>
      </c>
      <c r="AW67" t="n">
        <v>17427.2</v>
      </c>
      <c r="AX67" t="n">
        <v>17521.400000000001</v>
      </c>
      <c r="AY67" t="n">
        <v>17617.400000000001</v>
      </c>
      <c r="AZ67" t="n">
        <v>17711.400000000001</v>
      </c>
      <c r="BA67" t="n">
        <v>17807</v>
      </c>
      <c r="BB67" t="n">
        <v>17904.099999999999</v>
      </c>
      <c r="BC67" t="n">
        <v>18003.099999999999</v>
      </c>
      <c r="BD67" t="n">
        <v>18111.400000000001</v>
      </c>
      <c r="BE67" t="n">
        <v>18214.599999999999</v>
      </c>
      <c r="BF67" t="n">
        <v>18317.5</v>
      </c>
      <c r="BG67" t="n">
        <v>18418.599999999999</v>
      </c>
      <c r="BH67" t="n">
        <v>18518.3</v>
      </c>
      <c r="BI67" t="n">
        <v>18619.099999999999</v>
      </c>
      <c r="BJ67" t="n">
        <v>18720.3</v>
      </c>
      <c r="BK67" t="n">
        <v>18822.599999999999</v>
      </c>
      <c r="BL67" t="n">
        <v>18925.099999999999</v>
      </c>
      <c r="BM67" t="n">
        <v>19028.3</v>
      </c>
      <c r="BN67" t="n">
        <v>19131.099999999999</v>
      </c>
      <c r="BO67" t="n">
        <v>19234</v>
      </c>
      <c r="BP67" t="n">
        <v>19336.3</v>
      </c>
    </row>
    <row r="68" ht="26.25" customHeight="1">
      <c r="B68" s="1074" t="s">
        <v>1941</v>
      </c>
      <c r="C68" s="85" t="s">
        <v>1719</v>
      </c>
      <c r="D68" s="97"/>
      <c r="E68" s="85"/>
      <c r="F68" s="85"/>
      <c r="G68" s="85"/>
      <c r="H68" s="85"/>
      <c r="I68" s="85"/>
      <c r="J68" s="85"/>
      <c r="K68" s="85"/>
      <c r="L68" s="85"/>
      <c r="M68" s="85" t="n">
        <v>1499.1</v>
      </c>
      <c r="N68" s="85" t="n">
        <v>1464.8</v>
      </c>
      <c r="O68" s="85" t="n">
        <v>1439.1</v>
      </c>
      <c r="P68" s="85" t="n">
        <v>1446.5</v>
      </c>
      <c r="Q68" s="85" t="n">
        <v>1420.9</v>
      </c>
      <c r="R68" s="85" t="n">
        <v>1406.9</v>
      </c>
      <c r="S68" s="530" t="n">
        <v>1411.2</v>
      </c>
      <c r="T68" s="530" t="n">
        <v>1444.5</v>
      </c>
      <c r="U68" s="530" t="n">
        <v>1462.8</v>
      </c>
      <c r="V68" s="530" t="n">
        <v>1466.9</v>
      </c>
      <c r="W68" s="530" t="n">
        <v>1492.3</v>
      </c>
      <c r="X68" s="530" t="n">
        <v>1501</v>
      </c>
      <c r="Y68" s="530" t="n">
        <v>1500.1</v>
      </c>
      <c r="Z68" s="530" t="n">
        <v>1478.5</v>
      </c>
      <c r="AA68" s="530" t="n">
        <v>1467.7</v>
      </c>
      <c r="AB68" s="530" t="n">
        <v>1472.9</v>
      </c>
      <c r="AC68" s="530" t="n">
        <v>1481.3</v>
      </c>
      <c r="AD68" s="530" t="n">
        <v>1490.5</v>
      </c>
      <c r="AE68" s="530" t="n">
        <v>1500.1</v>
      </c>
      <c r="AF68" s="530" t="n">
        <v>1502.1</v>
      </c>
      <c r="AG68" s="1078" t="n">
        <v>1505</v>
      </c>
      <c r="AH68" s="1078" t="n">
        <v>1509.3</v>
      </c>
      <c r="AI68" s="1078" t="n">
        <v>1512.2</v>
      </c>
      <c r="AJ68" s="1078" t="n">
        <v>1515.8</v>
      </c>
      <c r="AK68" s="1078" t="n">
        <v>1519.3</v>
      </c>
      <c r="AL68" s="1078" t="n">
        <v>1521.8</v>
      </c>
      <c r="AM68" s="1078" t="n">
        <v>1523.6</v>
      </c>
      <c r="AN68" s="1078" t="n">
        <v>1524.3</v>
      </c>
      <c r="AO68" s="1078" t="n">
        <v>1524.7</v>
      </c>
      <c r="AP68" t="n">
        <v>1524.6</v>
      </c>
      <c r="AQ68" t="n">
        <v>1524.6</v>
      </c>
      <c r="AR68" t="n">
        <v>1524.6</v>
      </c>
      <c r="AS68" t="n">
        <v>1525.5</v>
      </c>
      <c r="AT68" t="n">
        <v>1526.2</v>
      </c>
      <c r="AU68" t="n">
        <v>1526.9</v>
      </c>
      <c r="AV68" t="n">
        <v>1526.5</v>
      </c>
      <c r="AW68" t="n">
        <v>1527.3</v>
      </c>
      <c r="AX68" t="n">
        <v>1528</v>
      </c>
      <c r="AY68" t="n">
        <v>1528.7</v>
      </c>
      <c r="AZ68" t="n">
        <v>1529.4</v>
      </c>
      <c r="BA68" t="n">
        <v>1530.5</v>
      </c>
      <c r="BB68" t="n">
        <v>1531.7</v>
      </c>
      <c r="BC68" t="n">
        <v>1532.9</v>
      </c>
      <c r="BD68" t="n">
        <v>1527.2</v>
      </c>
      <c r="BE68" t="n">
        <v>1526</v>
      </c>
      <c r="BF68" t="n">
        <v>1525.5</v>
      </c>
      <c r="BG68" t="n">
        <v>1526.8</v>
      </c>
      <c r="BH68" t="n">
        <v>1529.1</v>
      </c>
      <c r="BI68" t="n">
        <v>1531.1</v>
      </c>
      <c r="BJ68" t="n">
        <v>1532.5</v>
      </c>
      <c r="BK68" t="n">
        <v>1533.6</v>
      </c>
      <c r="BL68" t="n">
        <v>1534.6</v>
      </c>
      <c r="BM68" t="n">
        <v>1535.6</v>
      </c>
      <c r="BN68" t="n">
        <v>1536.6</v>
      </c>
      <c r="BO68" t="n">
        <v>1537.6</v>
      </c>
      <c r="BP68" t="n">
        <v>1538.9</v>
      </c>
    </row>
    <row r="69" ht="26.15" customHeight="1">
      <c r="B69" s="1074" t="s">
        <v>1942</v>
      </c>
      <c r="C69" s="86" t="s">
        <v>1720</v>
      </c>
      <c r="D69" s="97"/>
      <c r="E69" s="85"/>
      <c r="F69" s="85"/>
      <c r="G69" s="85"/>
      <c r="H69" s="85"/>
      <c r="I69" s="85"/>
      <c r="J69" s="85"/>
      <c r="K69" s="85"/>
      <c r="L69" s="85"/>
      <c r="M69" s="85" t="n">
        <v>2247</v>
      </c>
      <c r="N69" s="85" t="n">
        <v>2239.1999999999998</v>
      </c>
      <c r="O69" s="85" t="n">
        <v>2250.1</v>
      </c>
      <c r="P69" s="85" t="n">
        <v>2240.9</v>
      </c>
      <c r="Q69" s="85" t="n">
        <v>2238.4</v>
      </c>
      <c r="R69" s="85" t="n">
        <v>2234.1</v>
      </c>
      <c r="S69" s="530" t="n">
        <v>2255.1</v>
      </c>
      <c r="T69" s="530" t="n">
        <v>2270.8000000000002</v>
      </c>
      <c r="U69" s="530" t="n">
        <v>2296.5</v>
      </c>
      <c r="V69" s="530" t="n">
        <v>2323</v>
      </c>
      <c r="W69" s="530" t="n">
        <v>2351.4</v>
      </c>
      <c r="X69" s="530" t="n">
        <v>2385.9</v>
      </c>
      <c r="Y69" s="530" t="n">
        <v>2397.9</v>
      </c>
      <c r="Z69" s="530" t="n">
        <v>2402.1999999999998</v>
      </c>
      <c r="AA69" s="530" t="n">
        <v>2408.6999999999998</v>
      </c>
      <c r="AB69" s="530" t="n">
        <v>2414.9</v>
      </c>
      <c r="AC69" s="530" t="n">
        <v>2420.5</v>
      </c>
      <c r="AD69" s="530" t="n">
        <v>2426.1999999999998</v>
      </c>
      <c r="AE69" s="530" t="n">
        <v>2431.3000000000002</v>
      </c>
      <c r="AF69" s="530" t="n">
        <v>2436.3000000000002</v>
      </c>
      <c r="AG69" s="85" t="n">
        <v>2442</v>
      </c>
      <c r="AH69" s="85" t="n">
        <v>2447.1</v>
      </c>
      <c r="AI69" s="85" t="n">
        <v>2452.1</v>
      </c>
      <c r="AJ69" s="85" t="n">
        <v>2456.6999999999998</v>
      </c>
      <c r="AK69" s="1078" t="n">
        <v>2460.3000000000002</v>
      </c>
      <c r="AL69" s="1078" t="n">
        <v>2464.1</v>
      </c>
      <c r="AM69" s="1078" t="n">
        <v>2467.3000000000002</v>
      </c>
      <c r="AN69" s="1078" t="n">
        <v>2470.4</v>
      </c>
      <c r="AO69" s="1078" t="n">
        <v>2473.3000000000002</v>
      </c>
      <c r="AP69" t="n">
        <v>2475.6</v>
      </c>
      <c r="AQ69" t="n">
        <v>2477.6999999999998</v>
      </c>
      <c r="AR69" t="n">
        <v>2479.6999999999998</v>
      </c>
      <c r="AS69" t="n">
        <v>2481.3000000000002</v>
      </c>
      <c r="AT69" t="n">
        <v>2483.3000000000002</v>
      </c>
      <c r="AU69" t="n">
        <v>2484.8000000000002</v>
      </c>
      <c r="AV69" t="n">
        <v>2486.4</v>
      </c>
      <c r="AW69" t="n">
        <v>2488.4</v>
      </c>
      <c r="AX69" t="n">
        <v>2490.4</v>
      </c>
      <c r="AY69" t="n">
        <v>2492.5</v>
      </c>
      <c r="AZ69" t="n">
        <v>2494.6999999999998</v>
      </c>
      <c r="BA69" t="n">
        <v>2497.1</v>
      </c>
      <c r="BB69" t="n">
        <v>2499.5</v>
      </c>
      <c r="BC69" t="n">
        <v>2502</v>
      </c>
      <c r="BD69" t="n">
        <v>2504.1</v>
      </c>
      <c r="BE69" t="n">
        <v>2506.4</v>
      </c>
      <c r="BF69" t="n">
        <v>2508.8000000000002</v>
      </c>
      <c r="BG69" t="n">
        <v>2511.3000000000002</v>
      </c>
      <c r="BH69" t="n">
        <v>2513.9</v>
      </c>
      <c r="BI69" t="n">
        <v>2516.3000000000002</v>
      </c>
      <c r="BJ69" t="n">
        <v>2518.8000000000002</v>
      </c>
      <c r="BK69" t="n">
        <v>2521.1999999999998</v>
      </c>
      <c r="BL69" t="n">
        <v>2523.5</v>
      </c>
      <c r="BM69" t="n">
        <v>2525.8000000000002</v>
      </c>
      <c r="BN69" t="n">
        <v>2528</v>
      </c>
      <c r="BO69" t="n">
        <v>2530.1</v>
      </c>
      <c r="BP69" t="n">
        <v>2532.3000000000002</v>
      </c>
    </row>
    <row r="70">
      <c r="B70" s="1084"/>
      <c r="C70" s="1085"/>
      <c r="D70" s="1113"/>
      <c r="E70" s="1113"/>
      <c r="F70" s="1113"/>
      <c r="G70" s="1113"/>
      <c r="H70" s="1113"/>
      <c r="I70" s="1113"/>
      <c r="J70" s="1113"/>
      <c r="K70" s="1113"/>
      <c r="L70" s="1113"/>
      <c r="M70" s="1113"/>
      <c r="N70" s="1113"/>
      <c r="O70" s="1113"/>
      <c r="P70" s="1113"/>
      <c r="Q70" s="1113"/>
      <c r="R70" s="1113"/>
      <c r="S70" s="1113"/>
      <c r="T70" s="1114" t="s">
        <v>1706</v>
      </c>
      <c r="U70" s="1086"/>
      <c r="V70" s="1086"/>
      <c r="W70" s="1086"/>
      <c r="X70" s="1086"/>
      <c r="Y70" s="1086"/>
      <c r="Z70" s="1086"/>
      <c r="AA70" s="1086"/>
      <c r="AB70" s="1086"/>
      <c r="AC70" s="1086"/>
      <c r="AD70" s="1086"/>
      <c r="AE70" s="1086"/>
      <c r="AF70" s="1087"/>
      <c r="AG70" s="297"/>
      <c r="AH70" s="297"/>
      <c r="AI70" s="297"/>
      <c r="AJ70" s="297"/>
      <c r="AK70" s="297"/>
      <c r="AL70" s="297"/>
      <c r="AM70" s="297"/>
      <c r="AN70" s="297"/>
      <c r="AO70" s="297"/>
      <c r="AP70" s="85"/>
      <c r="AQ70" s="85"/>
      <c r="AR70" s="85"/>
      <c r="AS70" s="85"/>
      <c r="AT70" s="85"/>
      <c r="AU70" s="85"/>
      <c r="AV70" s="85"/>
    </row>
    <row r="71">
      <c r="B71" s="1102" t="s">
        <v>1710</v>
      </c>
      <c r="C71" s="542"/>
      <c r="D71" s="543"/>
      <c r="E71" s="543"/>
      <c r="F71" s="543"/>
      <c r="G71" s="543"/>
      <c r="H71" s="543"/>
      <c r="I71" s="543"/>
      <c r="J71" s="543"/>
      <c r="K71" s="543"/>
      <c r="L71" s="543"/>
      <c r="M71" s="543"/>
      <c r="N71" s="543"/>
      <c r="O71" s="543"/>
      <c r="P71" s="543"/>
      <c r="Q71" s="543"/>
      <c r="R71" s="543"/>
      <c r="S71" s="1080" t="n">
        <f t="shared" ref="S71:AF71" si="34">S64/S67</f>
        <v>1.1690178087443976</v>
      </c>
      <c r="T71" s="1080" t="n">
        <f t="shared" si="34"/>
        <v>1.1809720922261624</v>
      </c>
      <c r="U71" s="1080" t="n">
        <f t="shared" si="34"/>
        <v>1.1930855683769892</v>
      </c>
      <c r="V71" s="1080" t="n">
        <f>V64/V67</f>
        <v>1.2004353606715503</v>
      </c>
      <c r="W71" s="1080" t="n">
        <f t="shared" si="34"/>
        <v>1.208137684815088</v>
      </c>
      <c r="X71" s="1080" t="n">
        <f t="shared" si="34"/>
        <v>1.2135025374197232</v>
      </c>
      <c r="Y71" s="1080" t="n">
        <f t="shared" si="34"/>
        <v>1.2236809385660088</v>
      </c>
      <c r="Z71" s="1080" t="n">
        <f t="shared" si="34"/>
        <v>1.233275799935512</v>
      </c>
      <c r="AA71" s="1080" t="n">
        <f t="shared" si="34"/>
        <v>1.2401475124550019</v>
      </c>
      <c r="AB71" s="1080" t="n">
        <f t="shared" si="34"/>
        <v>1.246450659789168</v>
      </c>
      <c r="AC71" s="1080" t="n">
        <f t="shared" si="34"/>
        <v>1.2531877614899707</v>
      </c>
      <c r="AD71" s="1080" t="n">
        <f t="shared" si="34"/>
        <v>1.2598936725213026</v>
      </c>
      <c r="AE71" s="1080" t="n">
        <f t="shared" si="34"/>
        <v>1.2663663310581259</v>
      </c>
      <c r="AF71" s="1115" t="n">
        <f t="shared" si="34"/>
        <v>1.2726857847671909</v>
      </c>
      <c r="AG71" s="1115" t="n">
        <f>AG64/AG67</f>
        <v>1.2789269673291086</v>
      </c>
      <c r="AH71" s="1115" t="n">
        <f t="shared" ref="AH71:AJ71" si="35">AH64/AH67</f>
        <v>1.2851218883804243</v>
      </c>
      <c r="AI71" s="1115" t="n">
        <f t="shared" si="35"/>
        <v>1.291282552879325</v>
      </c>
      <c r="AJ71" s="1115" t="n">
        <f t="shared" si="35"/>
        <v>1.2974087268962577</v>
      </c>
      <c r="AK71" s="1077"/>
      <c r="AL71" s="1077"/>
      <c r="AM71" s="1077"/>
      <c r="AN71" s="1077"/>
      <c r="AO71" s="1077"/>
    </row>
    <row r="72">
      <c r="B72" s="97" t="s">
        <v>1711</v>
      </c>
      <c r="C72" s="281"/>
      <c r="D72" s="85"/>
      <c r="E72" s="85"/>
      <c r="F72" s="85"/>
      <c r="G72" s="85"/>
      <c r="H72" s="85"/>
      <c r="I72" s="85"/>
      <c r="J72" s="85"/>
      <c r="K72" s="85"/>
      <c r="L72" s="85"/>
      <c r="M72" s="85"/>
      <c r="N72" s="85"/>
      <c r="O72" s="85"/>
      <c r="P72" s="85"/>
      <c r="Q72" s="85"/>
      <c r="R72" s="85"/>
      <c r="S72" s="1076" t="n">
        <f t="shared" ref="S72:AF72" si="36">S65/S68</f>
        <v>1.1595096371882085</v>
      </c>
      <c r="T72" s="1076" t="n">
        <f t="shared" si="36"/>
        <v>1.1712011076497058</v>
      </c>
      <c r="U72" s="1076" t="n">
        <f t="shared" si="36"/>
        <v>1.1830735575608422</v>
      </c>
      <c r="V72" s="1076" t="n">
        <f t="shared" si="36"/>
        <v>1.1891062785465947</v>
      </c>
      <c r="W72" s="1076" t="n">
        <f t="shared" si="36"/>
        <v>1.2007639214635129</v>
      </c>
      <c r="X72" s="1076" t="n">
        <f t="shared" si="36"/>
        <v>1.2125249833444371</v>
      </c>
      <c r="Y72" s="1076" t="n">
        <f t="shared" si="36"/>
        <v>1.224785014332378</v>
      </c>
      <c r="Z72" s="1076" t="n">
        <f t="shared" si="36"/>
        <v>1.2347649644910381</v>
      </c>
      <c r="AA72" s="1076" t="n">
        <f t="shared" si="36"/>
        <v>1.2431695850650677</v>
      </c>
      <c r="AB72" s="1076" t="n">
        <f t="shared" si="36"/>
        <v>1.2510014257587072</v>
      </c>
      <c r="AC72" s="1076" t="n">
        <f t="shared" si="36"/>
        <v>1.258556673192466</v>
      </c>
      <c r="AD72" s="1076" t="n">
        <f t="shared" si="36"/>
        <v>1.2659510231465951</v>
      </c>
      <c r="AE72" s="1076" t="n">
        <f t="shared" si="36"/>
        <v>1.273315112325845</v>
      </c>
      <c r="AF72" s="1081" t="n">
        <f t="shared" si="36"/>
        <v>1.2807402969176487</v>
      </c>
      <c r="AG72" s="1081" t="n">
        <f>AG65/AG68</f>
        <v>1.2864451827242525</v>
      </c>
      <c r="AH72" s="1081" t="n">
        <f t="shared" ref="AH72:AJ72" si="37">AH65/AH68</f>
        <v>1.2924534552441529</v>
      </c>
      <c r="AI72" s="1081" t="n">
        <f t="shared" si="37"/>
        <v>1.2988361327866684</v>
      </c>
      <c r="AJ72" s="1081" t="n">
        <f t="shared" si="37"/>
        <v>1.3053832959493337</v>
      </c>
      <c r="AK72" s="1078"/>
      <c r="AL72" s="1078"/>
      <c r="AM72" s="1078"/>
      <c r="AN72" s="1078"/>
      <c r="AO72" s="1078"/>
    </row>
    <row r="73">
      <c r="B73" s="399" t="s">
        <v>1712</v>
      </c>
      <c r="C73" s="282"/>
      <c r="D73" s="86"/>
      <c r="E73" s="86"/>
      <c r="F73" s="86"/>
      <c r="G73" s="86"/>
      <c r="H73" s="86"/>
      <c r="I73" s="86"/>
      <c r="J73" s="86"/>
      <c r="K73" s="86"/>
      <c r="L73" s="86"/>
      <c r="M73" s="86"/>
      <c r="N73" s="86"/>
      <c r="O73" s="86"/>
      <c r="P73" s="86"/>
      <c r="Q73" s="86"/>
      <c r="R73" s="86"/>
      <c r="S73" s="1079" t="n">
        <f t="shared" ref="S73:AF73" si="38">S66/S69</f>
        <v>1.2600328145093345</v>
      </c>
      <c r="T73" s="1079" t="n">
        <f t="shared" si="38"/>
        <v>1.268539721683988</v>
      </c>
      <c r="U73" s="1079" t="n">
        <f t="shared" si="38"/>
        <v>1.2685390812105377</v>
      </c>
      <c r="V73" s="1079" t="n">
        <f t="shared" si="38"/>
        <v>1.2593628928110203</v>
      </c>
      <c r="W73" s="1079" t="n">
        <f t="shared" si="38"/>
        <v>1.2770689801820192</v>
      </c>
      <c r="X73" s="1079" t="n">
        <f t="shared" si="38"/>
        <v>1.2790980342847562</v>
      </c>
      <c r="Y73" s="1079" t="n">
        <f t="shared" si="38"/>
        <v>1.2905875974811292</v>
      </c>
      <c r="Z73" s="1079" t="n">
        <f t="shared" si="38"/>
        <v>1.303388560486221</v>
      </c>
      <c r="AA73" s="1079" t="n">
        <f t="shared" si="38"/>
        <v>1.3113712791132146</v>
      </c>
      <c r="AB73" s="1079" t="n">
        <f t="shared" si="38"/>
        <v>1.3190194210940411</v>
      </c>
      <c r="AC73" s="1079" t="n">
        <f t="shared" si="38"/>
        <v>1.3274530055773599</v>
      </c>
      <c r="AD73" s="1079" t="n">
        <f t="shared" si="38"/>
        <v>1.3358338141950377</v>
      </c>
      <c r="AE73" s="1079" t="n">
        <f t="shared" si="38"/>
        <v>1.3441368815037222</v>
      </c>
      <c r="AF73" s="1082" t="n">
        <f t="shared" si="38"/>
        <v>1.3524196527521242</v>
      </c>
      <c r="AG73" s="1082" t="n">
        <f t="shared" ref="AG73:AJ73" si="39">AG66/AG69</f>
        <v>1.3607698607698608</v>
      </c>
      <c r="AH73" s="1082" t="n">
        <f t="shared" si="39"/>
        <v>1.369212537289036</v>
      </c>
      <c r="AI73" s="1082" t="n">
        <f t="shared" si="39"/>
        <v>1.3778394029607275</v>
      </c>
      <c r="AJ73" s="1082" t="n">
        <f t="shared" si="39"/>
        <v>1.3864940774209304</v>
      </c>
      <c r="AK73" s="1078"/>
      <c r="AL73" s="1078"/>
      <c r="AM73" s="1078"/>
      <c r="AN73" s="1078"/>
      <c r="AO73" s="1078"/>
    </row>
    <row r="74">
      <c r="B74" s="1102" t="s">
        <v>1708</v>
      </c>
      <c r="C74" s="1075"/>
      <c r="D74" s="297"/>
      <c r="E74" s="297"/>
      <c r="F74" s="297"/>
      <c r="G74" s="297"/>
      <c r="H74" s="297"/>
      <c r="I74" s="297"/>
      <c r="J74" s="297"/>
      <c r="K74" s="297"/>
      <c r="L74" s="297"/>
      <c r="M74" s="297"/>
      <c r="N74" s="297"/>
      <c r="O74" s="297"/>
      <c r="P74" s="297"/>
      <c r="Q74" s="297"/>
      <c r="R74" s="297"/>
      <c r="S74" s="297"/>
      <c r="T74" s="297"/>
      <c r="U74" s="297"/>
      <c r="V74" s="297"/>
      <c r="W74" s="1001" t="n">
        <f>(W71/V71)^4-1</f>
        <v>2.591317234659396E-2</v>
      </c>
      <c r="X74" s="1001" t="n">
        <f t="shared" ref="X74:AJ74" si="40">(X71/W71)^4-1</f>
        <v>1.7881052140676923E-2</v>
      </c>
      <c r="Y74" s="1001" t="n">
        <f t="shared" si="40"/>
        <v>3.3974968431316865E-2</v>
      </c>
      <c r="Z74" s="1001" t="n">
        <f t="shared" si="40"/>
        <v>3.173474992777825E-2</v>
      </c>
      <c r="AA74" s="1001" t="n">
        <f t="shared" si="40"/>
        <v>2.2474645472145172E-2</v>
      </c>
      <c r="AB74" s="1001" t="n">
        <f t="shared" si="40"/>
        <v>2.0485836297992499E-2</v>
      </c>
      <c r="AC74" s="1001" t="n">
        <f t="shared" si="40"/>
        <v>2.1796033645922641E-2</v>
      </c>
      <c r="AD74" s="1001" t="n">
        <f t="shared" si="40"/>
        <v>2.1576747995004641E-2</v>
      </c>
      <c r="AE74" s="1001" t="n">
        <f t="shared" si="40"/>
        <v>2.0708760783051394E-2</v>
      </c>
      <c r="AF74" s="1001" t="n">
        <f t="shared" si="40"/>
        <v>2.0110814282412459E-2</v>
      </c>
      <c r="AG74" s="1001" t="n">
        <f t="shared" si="40"/>
        <v>1.9760549063349009E-2</v>
      </c>
      <c r="AH74" s="1001" t="n">
        <f t="shared" si="40"/>
        <v>1.9516602813602013E-2</v>
      </c>
      <c r="AI74" s="1001" t="n">
        <f t="shared" si="40"/>
        <v>1.931367329950362E-2</v>
      </c>
      <c r="AJ74" s="1001" t="n">
        <f t="shared" si="40"/>
        <v>1.911249634450618E-2</v>
      </c>
    </row>
    <row r="75">
      <c r="B75" s="97" t="s">
        <v>1722</v>
      </c>
      <c r="C75" s="1075"/>
      <c r="D75" s="297"/>
      <c r="E75" s="297"/>
      <c r="F75" s="297"/>
      <c r="G75" s="297"/>
      <c r="H75" s="297"/>
      <c r="I75" s="297"/>
      <c r="J75" s="297"/>
      <c r="K75" s="297"/>
      <c r="L75" s="297"/>
      <c r="M75" s="297"/>
      <c r="N75" s="297"/>
      <c r="O75" s="297"/>
      <c r="P75" s="297"/>
      <c r="Q75" s="297"/>
      <c r="R75" s="297"/>
      <c r="S75" s="297"/>
      <c r="T75" s="1001"/>
      <c r="U75" s="1001"/>
      <c r="V75" s="1001"/>
      <c r="W75" s="1001" t="n">
        <f>(W72/V72)^4-1</f>
        <v>3.9795259340948075E-2</v>
      </c>
      <c r="X75" s="1001" t="n">
        <f t="shared" ref="X75:AJ75" si="41">(X72/W72)^4-1</f>
        <v>3.975797723469876E-2</v>
      </c>
      <c r="Y75" s="1001" t="n">
        <f t="shared" si="41"/>
        <v>4.106218805469708E-2</v>
      </c>
      <c r="Z75" s="1001" t="n">
        <f t="shared" si="41"/>
        <v>3.2993852387617872E-2</v>
      </c>
      <c r="AA75" s="1001" t="n">
        <f t="shared" si="41"/>
        <v>2.7505871693797701E-2</v>
      </c>
      <c r="AB75" s="1001" t="n">
        <f t="shared" si="41"/>
        <v>2.5438723088733628E-2</v>
      </c>
      <c r="AC75" s="1001" t="n">
        <f t="shared" si="41"/>
        <v>2.4377163912874478E-2</v>
      </c>
      <c r="AD75" s="1001" t="n">
        <f t="shared" si="41"/>
        <v>2.3708971853545924E-2</v>
      </c>
      <c r="AE75" s="1001" t="n">
        <f t="shared" si="41"/>
        <v>2.3471980846518914E-2</v>
      </c>
      <c r="AF75" s="1001" t="n">
        <f t="shared" si="41"/>
        <v>2.3530345294352939E-2</v>
      </c>
      <c r="AG75" s="1001" t="n">
        <f t="shared" si="41"/>
        <v>1.7936865457563567E-2</v>
      </c>
      <c r="AH75" s="1001" t="n">
        <f t="shared" si="41"/>
        <v>1.8813069627471091E-2</v>
      </c>
      <c r="AI75" s="1001" t="n">
        <f t="shared" si="41"/>
        <v>1.9900488886725354E-2</v>
      </c>
      <c r="AJ75" s="1001" t="n">
        <f t="shared" si="41"/>
        <v>2.0316139660349508E-2</v>
      </c>
    </row>
    <row r="76">
      <c r="B76" s="399" t="s">
        <v>1723</v>
      </c>
      <c r="W76" s="1001" t="n">
        <f>(W73/V73)^4-1</f>
        <v>5.7435420529331704E-2</v>
      </c>
      <c r="X76" s="1001" t="n">
        <f t="shared" ref="X76:AJ76" si="42">(X73/W73)^4-1</f>
        <v>6.3705093836337046E-3</v>
      </c>
      <c r="Y76" s="1001" t="n">
        <f t="shared" si="42"/>
        <v>3.6417226498020927E-2</v>
      </c>
      <c r="Z76" s="1001" t="n">
        <f t="shared" si="42"/>
        <v>4.0269034245715041E-2</v>
      </c>
      <c r="AA76" s="1001" t="n">
        <f t="shared" si="42"/>
        <v>2.4724337980433164E-2</v>
      </c>
      <c r="AB76" s="1001" t="n">
        <f t="shared" si="42"/>
        <v>2.3533565330379203E-2</v>
      </c>
      <c r="AC76" s="1001" t="n">
        <f t="shared" si="42"/>
        <v>2.5821649071183117E-2</v>
      </c>
      <c r="AD76" s="1001" t="n">
        <f t="shared" si="42"/>
        <v>2.5493967451795996E-2</v>
      </c>
      <c r="AE76" s="1001" t="n">
        <f t="shared" si="42"/>
        <v>2.5095343044312823E-2</v>
      </c>
      <c r="AF76" s="1001" t="n">
        <f t="shared" si="42"/>
        <v>2.4877364391311607E-2</v>
      </c>
      <c r="AG76" s="1001" t="n">
        <f t="shared" si="42"/>
        <v>2.492676444114772E-2</v>
      </c>
      <c r="AH76" s="1001" t="n">
        <f t="shared" si="42"/>
        <v>2.504927274258284E-2</v>
      </c>
      <c r="AI76" s="1001" t="n">
        <f t="shared" si="42"/>
        <v>2.5441602770702954E-2</v>
      </c>
      <c r="AJ76" s="1001" t="n">
        <f t="shared" si="42"/>
        <v>2.5363074529146656E-2</v>
      </c>
    </row>
    <row r="77">
      <c r="C77" s="58"/>
      <c r="D77" s="1116"/>
      <c r="E77" s="1116"/>
      <c r="F77" s="1116"/>
      <c r="G77" s="1116"/>
    </row>
    <row r="80">
      <c r="W80" t="n">
        <f>(W69/V69)^4-1</f>
        <v>4.980640045785556E-2</v>
      </c>
      <c r="X80" t="n">
        <f t="shared" ref="X80:AJ80" si="43">(X69/W69)^4-1</f>
        <v>5.999274609105365E-2</v>
      </c>
      <c r="Y80" t="n">
        <f t="shared" si="43"/>
        <v>2.027048210362814E-2</v>
      </c>
      <c r="Z80" t="n">
        <f t="shared" si="43"/>
        <v>7.1922602348035714E-3</v>
      </c>
      <c r="AA80" t="n">
        <f t="shared" si="43"/>
        <v>1.0867421012894951E-2</v>
      </c>
      <c r="AB80" t="n">
        <f t="shared" si="43"/>
        <v>1.0335831491519176E-2</v>
      </c>
      <c r="AC80" t="n">
        <f t="shared" si="43"/>
        <v>9.3080611184379602E-3</v>
      </c>
      <c r="AD80" t="n">
        <f t="shared" si="43"/>
        <v>9.4528665939315193E-3</v>
      </c>
      <c r="AE80" t="n">
        <f t="shared" si="43"/>
        <v>8.4347592929912008E-3</v>
      </c>
      <c r="AF80" t="n">
        <f t="shared" si="43"/>
        <v>8.2514621880049877E-3</v>
      </c>
      <c r="AG80" t="n">
        <f t="shared" si="43"/>
        <v>9.3913473923272761E-3</v>
      </c>
      <c r="AH80" t="n">
        <f t="shared" si="43"/>
        <v>8.3800146018255806E-3</v>
      </c>
      <c r="AI80" t="n">
        <f t="shared" si="43"/>
        <v>8.1980223874402736E-3</v>
      </c>
      <c r="AJ80" t="n">
        <f t="shared" si="43"/>
        <v>7.5249136705946018E-3</v>
      </c>
    </row>
    <row r="81">
      <c r="C81" s="34"/>
      <c r="D81" s="104"/>
      <c r="E81" s="104"/>
      <c r="F81" s="104"/>
      <c r="G81" s="104"/>
      <c r="H81" s="104"/>
      <c r="I81" s="104"/>
      <c r="J81" s="104"/>
      <c r="K81" s="104"/>
      <c r="L81" s="104"/>
      <c r="M81" s="104"/>
    </row>
    <row r="82">
      <c r="C82" s="58"/>
      <c r="D82" s="1119"/>
      <c r="E82" s="1119"/>
      <c r="F82" s="1119"/>
      <c r="G82" s="1119"/>
      <c r="H82" s="1119"/>
      <c r="I82" s="1119"/>
      <c r="J82" s="1119"/>
      <c r="K82" s="1119"/>
      <c r="L82" s="1119"/>
      <c r="M82" s="1119"/>
    </row>
    <row r="83">
      <c r="C83" s="1116"/>
      <c r="D83" s="1119"/>
      <c r="E83" s="1119"/>
      <c r="F83" s="1119"/>
      <c r="G83" s="1119"/>
      <c r="H83" s="1119"/>
      <c r="I83" s="1119"/>
      <c r="J83" s="1119"/>
      <c r="K83" s="1119"/>
      <c r="L83" s="1119"/>
      <c r="M83" s="1119"/>
    </row>
    <row r="84">
      <c r="C84" s="1116"/>
      <c r="D84" s="1119"/>
      <c r="E84" s="1119"/>
      <c r="F84" s="1119"/>
      <c r="G84" s="1119"/>
      <c r="H84" s="1119"/>
      <c r="I84" s="1119"/>
      <c r="J84" s="1119"/>
      <c r="K84" s="1119"/>
      <c r="L84" s="1119"/>
      <c r="M84" s="1119"/>
    </row>
    <row r="85">
      <c r="C85" s="1116"/>
      <c r="D85" s="1119"/>
      <c r="E85" s="1119"/>
      <c r="F85" s="1119"/>
      <c r="G85" s="1119"/>
      <c r="H85" s="1119"/>
      <c r="I85" s="1119"/>
      <c r="J85" s="1119"/>
      <c r="K85" s="1119"/>
      <c r="L85" s="1119"/>
      <c r="M85" s="1119"/>
    </row>
    <row r="86">
      <c r="C86" s="1116"/>
      <c r="D86" s="1119"/>
      <c r="E86" s="1119"/>
      <c r="F86" s="1119"/>
      <c r="G86" s="1119"/>
      <c r="H86" s="1119"/>
      <c r="I86" s="1119"/>
      <c r="J86" s="1119"/>
      <c r="K86" s="1119"/>
      <c r="L86" s="1119"/>
      <c r="M86" s="1119"/>
    </row>
  </sheetData>
  <mergeCells count="33">
    <mergeCell ref="I9:L9"/>
    <mergeCell ref="AG43:AJ43"/>
    <mergeCell ref="Y62:AB62"/>
    <mergeCell ref="AC43:AF43"/>
    <mergeCell ref="Y9:AB9"/>
    <mergeCell ref="Y43:AB43"/>
    <mergeCell ref="AC62:AF62"/>
    <mergeCell ref="W42:AG42"/>
    <mergeCell ref="AG9:AJ9"/>
    <mergeCell ref="AG62:AH62"/>
    <mergeCell ref="B22:AJ22"/>
    <mergeCell ref="B61:E61"/>
    <mergeCell ref="Q62:R62"/>
    <mergeCell ref="D42:V42"/>
    <mergeCell ref="M9:P9"/>
    <mergeCell ref="M62:P62"/>
    <mergeCell ref="E9:H9"/>
    <mergeCell ref="D8:V8"/>
    <mergeCell ref="Q9:R9"/>
    <mergeCell ref="E62:H62"/>
    <mergeCell ref="I62:L62"/>
    <mergeCell ref="B1:AC1"/>
    <mergeCell ref="B2:AC4"/>
    <mergeCell ref="B42:C44"/>
    <mergeCell ref="E43:H43"/>
    <mergeCell ref="I43:L43"/>
    <mergeCell ref="M43:P43"/>
    <mergeCell ref="B8:C10"/>
    <mergeCell ref="AC9:AF9"/>
    <mergeCell ref="Q43:T43"/>
    <mergeCell ref="B7:F7"/>
    <mergeCell ref="B11:AF11"/>
    <mergeCell ref="W8:AF8"/>
  </mergeCells>
  <pageMargins left="0.7" right="0.7" top="0.75" bottom="0.75" header="0.3" footer="0.3"/>
  <pageSetup paperSize="9" orientation="portrait" horizontalDpi="300" verticalDpi="300"/>
  <drawing r:id="rId1"/>
  <legacyDrawing r:id="rIdvml"/>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5" zoomScale="61" zoomScaleNormal="143" workbookViewId="0">
      <selection activeCell="AB52" sqref="AB52"/>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53125" hidden="0" customWidth="1"/>
    <col min="9" max="9" width="11.453125" hidden="0" customWidth="1"/>
    <col min="10" max="10" width="13.1796875" hidden="0" customWidth="1"/>
    <col min="11" max="11" width="11.1796875" hidden="0" customWidth="1"/>
    <col min="12" max="12" width="10.1796875" hidden="0" customWidth="1"/>
    <col min="13" max="13" width="9.453125" hidden="0" customWidth="1"/>
    <col min="14" max="14" width="8.81640625" hidden="0" customWidth="1"/>
    <col min="15" max="15" width="8.81640625" hidden="0" customWidth="1"/>
    <col min="16" max="16" width="11.81640625" hidden="0" customWidth="1"/>
    <col min="17" max="17" width="8.81640625" hidden="0" customWidth="1"/>
    <col min="18" max="18" width="8.81640625" hidden="0" customWidth="1"/>
    <col min="19" max="19" width="9.453125" hidden="0" customWidth="1"/>
  </cols>
  <sheetData>
    <row r="1">
      <c r="H1" s="257" t="s">
        <v>316</v>
      </c>
      <c r="I1" s="257"/>
      <c r="J1" s="257"/>
      <c r="K1" s="257"/>
      <c r="L1" s="257"/>
      <c r="M1" s="257"/>
      <c r="N1" s="257"/>
      <c r="O1" s="257"/>
      <c r="P1" s="257"/>
      <c r="Q1" s="257"/>
      <c r="R1" s="257"/>
      <c r="S1" s="257"/>
    </row>
    <row r="2">
      <c r="H2" s="304" t="s">
        <v>317</v>
      </c>
      <c r="I2" s="304"/>
      <c r="J2" s="304"/>
      <c r="K2" s="304"/>
      <c r="L2" s="304"/>
      <c r="M2" s="304"/>
      <c r="N2" s="304"/>
      <c r="O2" s="304"/>
      <c r="P2" s="304"/>
      <c r="Q2" s="304"/>
      <c r="R2" s="304"/>
      <c r="S2" s="304"/>
    </row>
    <row r="3">
      <c r="H3" s="304"/>
      <c r="I3" s="304"/>
      <c r="J3" s="304"/>
      <c r="K3" s="304"/>
      <c r="L3" s="304"/>
      <c r="M3" s="304"/>
      <c r="N3" s="304"/>
      <c r="O3" s="304"/>
      <c r="P3" s="304"/>
      <c r="Q3" s="304"/>
      <c r="R3" s="304"/>
      <c r="S3" s="304"/>
    </row>
    <row r="4">
      <c r="H4" s="304"/>
      <c r="I4" s="304"/>
      <c r="J4" s="304"/>
      <c r="K4" s="304"/>
      <c r="L4" s="304"/>
      <c r="M4" s="304"/>
      <c r="N4" s="304"/>
      <c r="O4" s="304"/>
      <c r="P4" s="304"/>
      <c r="Q4" s="304"/>
      <c r="R4" s="304"/>
      <c r="S4" s="304"/>
    </row>
    <row r="5" ht="54.75" customHeight="1">
      <c r="H5" s="304"/>
      <c r="I5" s="304"/>
      <c r="J5" s="304"/>
      <c r="K5" s="304"/>
      <c r="L5" s="304"/>
      <c r="M5" s="304"/>
      <c r="N5" s="304"/>
      <c r="O5" s="304"/>
      <c r="P5" s="304"/>
      <c r="Q5" s="304"/>
      <c r="R5" s="304"/>
      <c r="S5" s="304"/>
    </row>
    <row r="6">
      <c r="H6" s="564"/>
      <c r="I6" s="564"/>
      <c r="J6" s="564"/>
      <c r="K6" s="564"/>
      <c r="L6" s="564"/>
      <c r="M6" s="564"/>
      <c r="N6" s="564"/>
      <c r="O6" s="564"/>
      <c r="P6" s="564"/>
      <c r="Q6" s="564"/>
      <c r="R6" s="564"/>
      <c r="S6" s="564"/>
    </row>
    <row r="7">
      <c r="H7" s="1131" t="s">
        <v>318</v>
      </c>
    </row>
    <row r="8" ht="16.399999999999999" customHeight="1"/>
    <row r="9" ht="15.75" customHeight="1">
      <c r="L9" s="269" t="n">
        <v>2020</v>
      </c>
      <c r="M9" s="270"/>
      <c r="N9" s="270"/>
      <c r="O9" s="666" t="n">
        <v>2021</v>
      </c>
      <c r="P9" s="666"/>
      <c r="Q9" s="666"/>
      <c r="R9" s="420"/>
    </row>
    <row r="10" ht="41.9" customHeight="1">
      <c r="H10" s="1126" t="s">
        <v>319</v>
      </c>
      <c r="I10" s="1126" t="s">
        <v>320</v>
      </c>
      <c r="J10" s="1127" t="s">
        <v>321</v>
      </c>
      <c r="K10" s="287"/>
      <c r="L10" s="1137" t="s">
        <v>284</v>
      </c>
      <c r="M10" s="1138" t="s">
        <v>238</v>
      </c>
      <c r="N10" s="1138" t="s">
        <v>282</v>
      </c>
      <c r="O10" s="1138" t="s">
        <v>283</v>
      </c>
      <c r="P10" s="1138" t="s">
        <v>284</v>
      </c>
      <c r="Q10" s="1138" t="s">
        <v>238</v>
      </c>
      <c r="R10" s="1125" t="s">
        <v>282</v>
      </c>
      <c r="S10" s="564" t="s">
        <v>322</v>
      </c>
      <c r="T10" s="287"/>
      <c r="U10" s="287"/>
      <c r="V10" s="287"/>
    </row>
    <row r="11">
      <c r="H11" s="1128" t="n">
        <v>43934</v>
      </c>
      <c r="I11" s="291" t="n">
        <v>248</v>
      </c>
      <c r="J11" s="677" t="n">
        <f>I11</f>
        <v>248</v>
      </c>
      <c r="K11" s="291"/>
      <c r="L11" s="1057" t="n">
        <f>S11/26*J11</f>
        <v>95.384615384615387</v>
      </c>
      <c r="M11" s="909" t="n">
        <f>13/26*J11</f>
        <v>124</v>
      </c>
      <c r="N11" s="909" t="n">
        <f>J11-SUM(L11:M11)</f>
        <v>28.615384615384613</v>
      </c>
      <c r="O11" s="909"/>
      <c r="P11" s="909"/>
      <c r="Q11" s="909"/>
      <c r="R11" s="1136"/>
      <c r="S11" s="291" t="n">
        <v>10</v>
      </c>
      <c r="T11" s="291"/>
      <c r="U11" s="1133"/>
      <c r="V11" s="291"/>
    </row>
    <row r="12">
      <c r="H12" s="1134" t="n">
        <v>43937</v>
      </c>
      <c r="I12" s="291" t="n">
        <v>342</v>
      </c>
      <c r="J12" s="677" t="n">
        <f>I12-I11</f>
        <v>94</v>
      </c>
      <c r="K12" s="291"/>
      <c r="L12" s="1057" t="n">
        <f t="shared" ref="L12:L20" si="0">S12/26*J12</f>
        <v>36.153846153846153</v>
      </c>
      <c r="M12" s="909" t="n">
        <f t="shared" ref="M12:M20" si="1">13/26*J12</f>
        <v>47</v>
      </c>
      <c r="N12" s="909" t="n">
        <f t="shared" ref="N12:N21" si="2">J12-SUM(L12:M12)</f>
        <v>10.84615384615384</v>
      </c>
      <c r="O12" s="909"/>
      <c r="P12" s="909"/>
      <c r="Q12" s="909"/>
      <c r="R12" s="1136"/>
      <c r="S12" s="291" t="n">
        <v>10</v>
      </c>
      <c r="T12" s="291"/>
      <c r="U12" s="291"/>
      <c r="V12" s="291"/>
    </row>
    <row r="13">
      <c r="H13" s="1134" t="n">
        <v>43952</v>
      </c>
      <c r="I13" s="291" t="n">
        <v>518</v>
      </c>
      <c r="J13" s="677" t="n">
        <f>I13-I12</f>
        <v>176</v>
      </c>
      <c r="K13" s="291"/>
      <c r="L13" s="1057" t="n">
        <f t="shared" si="0"/>
        <v>54.15384615384616</v>
      </c>
      <c r="M13" s="909" t="n">
        <f t="shared" si="1"/>
        <v>88</v>
      </c>
      <c r="N13" s="909" t="n">
        <f t="shared" si="2"/>
        <v>33.84615384615384</v>
      </c>
      <c r="O13" s="909"/>
      <c r="P13" s="909"/>
      <c r="Q13" s="909"/>
      <c r="R13" s="1136"/>
      <c r="S13" s="291" t="n">
        <v>8</v>
      </c>
      <c r="T13" s="291"/>
      <c r="U13" s="291"/>
      <c r="V13" s="291"/>
    </row>
    <row r="14">
      <c r="H14" s="1134" t="n">
        <v>43959</v>
      </c>
      <c r="I14" s="291" t="n">
        <v>531</v>
      </c>
      <c r="J14" s="677" t="n">
        <f t="shared" ref="J14:J45" si="3">I14-I13</f>
        <v>13</v>
      </c>
      <c r="K14" s="291"/>
      <c r="L14" s="1057" t="n">
        <f t="shared" si="0"/>
        <v>3.5</v>
      </c>
      <c r="M14" s="909" t="n">
        <f t="shared" si="1"/>
        <v>6.5</v>
      </c>
      <c r="N14" s="909" t="n">
        <f t="shared" si="2"/>
        <v>3</v>
      </c>
      <c r="O14" s="909"/>
      <c r="P14" s="909"/>
      <c r="Q14" s="909"/>
      <c r="R14" s="1136"/>
      <c r="S14" s="291" t="n">
        <f t="shared" ref="S14:S20" si="4">S13-1</f>
        <v>7</v>
      </c>
      <c r="T14" s="291"/>
      <c r="U14" s="291"/>
      <c r="V14" s="291"/>
    </row>
    <row r="15">
      <c r="H15" s="1134" t="n">
        <v>43967</v>
      </c>
      <c r="I15" s="291" t="n">
        <v>513</v>
      </c>
      <c r="J15" s="677" t="n">
        <f t="shared" si="3"/>
        <v>-18</v>
      </c>
      <c r="K15" s="291"/>
      <c r="L15" s="1057" t="n">
        <f t="shared" ref="L15:L17" si="5">S15/26*J15</f>
        <v>-4.1538461538461542</v>
      </c>
      <c r="M15" s="909" t="n">
        <f t="shared" ref="M15:M17" si="6">13/26*J15</f>
        <v>-9</v>
      </c>
      <c r="N15" s="909" t="n">
        <f t="shared" ref="N15:N17" si="7">J15-SUM(L15:M15)</f>
        <v>-4.8461538461538467</v>
      </c>
      <c r="O15" s="909"/>
      <c r="P15" s="909"/>
      <c r="Q15" s="909"/>
      <c r="R15" s="1136"/>
      <c r="S15" s="291" t="n">
        <f t="shared" si="4"/>
        <v>6</v>
      </c>
      <c r="T15" s="291"/>
      <c r="U15" s="291"/>
      <c r="V15" s="291"/>
    </row>
    <row r="16">
      <c r="H16" s="1134" t="n">
        <v>43974</v>
      </c>
      <c r="I16" s="291" t="n">
        <v>511</v>
      </c>
      <c r="J16" s="677" t="n">
        <f t="shared" si="3"/>
        <v>-2</v>
      </c>
      <c r="K16" s="291"/>
      <c r="L16" s="1057" t="n">
        <f t="shared" si="5"/>
        <v>-0.38461538461538464</v>
      </c>
      <c r="M16" s="909" t="n">
        <f t="shared" si="6"/>
        <v>-1</v>
      </c>
      <c r="N16" s="909" t="n">
        <f t="shared" si="7"/>
        <v>-0.61538461538461542</v>
      </c>
      <c r="O16" s="909"/>
      <c r="P16" s="909"/>
      <c r="Q16" s="909"/>
      <c r="R16" s="1136"/>
      <c r="S16" s="291" t="n">
        <f t="shared" si="4"/>
        <v>5</v>
      </c>
      <c r="T16" s="291"/>
      <c r="U16" s="291"/>
      <c r="V16" s="291"/>
    </row>
    <row r="17">
      <c r="H17" s="1134" t="n">
        <v>43981</v>
      </c>
      <c r="I17" s="291" t="n">
        <v>510</v>
      </c>
      <c r="J17" s="677" t="n">
        <f t="shared" si="3"/>
        <v>-1</v>
      </c>
      <c r="K17" s="291"/>
      <c r="L17" s="1057" t="n">
        <f t="shared" si="5"/>
        <v>-0.15384615384615385</v>
      </c>
      <c r="M17" s="909" t="n">
        <f t="shared" si="6"/>
        <v>-0.5</v>
      </c>
      <c r="N17" s="909" t="n">
        <f t="shared" si="7"/>
        <v>-0.34615384615384615</v>
      </c>
      <c r="O17" s="909"/>
      <c r="P17" s="909"/>
      <c r="Q17" s="909"/>
      <c r="R17" s="1136"/>
      <c r="S17" s="291" t="n">
        <f t="shared" si="4"/>
        <v>4</v>
      </c>
      <c r="T17" s="291"/>
      <c r="U17" s="291"/>
      <c r="V17" s="291"/>
    </row>
    <row r="18">
      <c r="H18" s="1134" t="n">
        <v>43988</v>
      </c>
      <c r="I18" s="291" t="n">
        <v>511</v>
      </c>
      <c r="J18" s="677" t="n">
        <f t="shared" si="3"/>
        <v>1</v>
      </c>
      <c r="K18" s="291"/>
      <c r="L18" s="1057" t="n">
        <f t="shared" si="0"/>
        <v>0.11538461538461539</v>
      </c>
      <c r="M18" s="909" t="n">
        <f t="shared" si="1"/>
        <v>0.5</v>
      </c>
      <c r="N18" s="909" t="n">
        <f t="shared" si="2"/>
        <v>0.38461538461538458</v>
      </c>
      <c r="O18" s="909"/>
      <c r="P18" s="909"/>
      <c r="Q18" s="909"/>
      <c r="R18" s="1136"/>
      <c r="S18" s="291" t="n">
        <f t="shared" si="4"/>
        <v>3</v>
      </c>
      <c r="T18" s="291"/>
      <c r="U18" s="291"/>
      <c r="V18" s="291"/>
    </row>
    <row r="19">
      <c r="H19" s="1134" t="n">
        <v>43994</v>
      </c>
      <c r="I19" s="291" t="n">
        <v>512</v>
      </c>
      <c r="J19" s="677" t="n">
        <f t="shared" si="3"/>
        <v>1</v>
      </c>
      <c r="K19" s="291"/>
      <c r="L19" s="1057" t="n">
        <f t="shared" si="0"/>
        <v>7.6923076923076927E-2</v>
      </c>
      <c r="M19" s="909" t="n">
        <f t="shared" si="1"/>
        <v>0.5</v>
      </c>
      <c r="N19" s="909" t="n">
        <f t="shared" si="2"/>
        <v>0.42307692307692313</v>
      </c>
      <c r="O19" s="909"/>
      <c r="P19" s="909"/>
      <c r="Q19" s="909"/>
      <c r="R19" s="1136"/>
      <c r="S19" s="291" t="n">
        <f t="shared" si="4"/>
        <v>2</v>
      </c>
      <c r="T19" s="291"/>
      <c r="U19" s="291"/>
      <c r="V19" s="291"/>
    </row>
    <row r="20">
      <c r="H20" s="1134" t="n">
        <v>44002</v>
      </c>
      <c r="I20" s="291" t="n">
        <v>515</v>
      </c>
      <c r="J20" s="677" t="n">
        <f t="shared" si="3"/>
        <v>3</v>
      </c>
      <c r="K20" s="291"/>
      <c r="L20" s="1057" t="n">
        <f t="shared" si="0"/>
        <v>0.11538461538461539</v>
      </c>
      <c r="M20" s="909" t="n">
        <f t="shared" si="1"/>
        <v>1.5</v>
      </c>
      <c r="N20" s="909" t="n">
        <f t="shared" si="2"/>
        <v>1.3846153846153846</v>
      </c>
      <c r="O20" s="909"/>
      <c r="P20" s="909"/>
      <c r="Q20" s="909"/>
      <c r="R20" s="1136"/>
      <c r="S20" s="291" t="n">
        <f t="shared" si="4"/>
        <v>1</v>
      </c>
      <c r="T20" s="291"/>
      <c r="U20" s="291"/>
      <c r="V20" s="291"/>
    </row>
    <row r="21">
      <c r="H21" s="1134" t="n">
        <v>44009</v>
      </c>
      <c r="I21" s="291" t="n">
        <v>519</v>
      </c>
      <c r="J21" s="677" t="n">
        <f t="shared" si="3"/>
        <v>4</v>
      </c>
      <c r="K21" s="291"/>
      <c r="L21" s="1057"/>
      <c r="M21" s="909" t="n">
        <f>S21/26*J21</f>
        <v>2</v>
      </c>
      <c r="N21" s="909" t="n">
        <f t="shared" si="2"/>
        <v>2</v>
      </c>
      <c r="O21" s="909"/>
      <c r="P21" s="909"/>
      <c r="Q21" s="909"/>
      <c r="R21" s="1136"/>
      <c r="S21" s="291" t="n">
        <v>13</v>
      </c>
      <c r="T21" s="291"/>
      <c r="U21" s="291"/>
      <c r="V21" s="291"/>
    </row>
    <row r="22">
      <c r="H22" s="1134" t="n">
        <v>44012</v>
      </c>
      <c r="I22" s="291" t="n">
        <v>521</v>
      </c>
      <c r="J22" s="677" t="n">
        <f t="shared" si="3"/>
        <v>2</v>
      </c>
      <c r="K22" s="291"/>
      <c r="L22" s="1057"/>
      <c r="M22" s="909" t="n">
        <f t="shared" ref="M22:M26" si="8">S22/26*J22</f>
        <v>1</v>
      </c>
      <c r="N22" s="909" t="n">
        <f>J22-SUM(L22:M22)</f>
        <v>1</v>
      </c>
      <c r="O22" s="909"/>
      <c r="P22" s="909"/>
      <c r="Q22" s="909"/>
      <c r="R22" s="1136"/>
      <c r="S22" s="291" t="n">
        <v>13</v>
      </c>
      <c r="T22" s="291"/>
      <c r="U22" s="291"/>
      <c r="V22" s="291"/>
    </row>
    <row r="23">
      <c r="H23" s="1134" t="n">
        <v>44029</v>
      </c>
      <c r="I23" s="291" t="n">
        <v>518</v>
      </c>
      <c r="J23" s="677" t="n">
        <f t="shared" si="3"/>
        <v>-3</v>
      </c>
      <c r="K23" s="291"/>
      <c r="L23" s="1057"/>
      <c r="M23" s="909" t="n">
        <f t="shared" ref="M23" si="9">S23/26*J23</f>
        <v>-1.153846153846154</v>
      </c>
      <c r="N23" s="909" t="n">
        <f t="shared" ref="N23" si="10">13/26*J23</f>
        <v>-1.5</v>
      </c>
      <c r="O23" s="909" t="n">
        <f t="shared" ref="O23" si="11">J23-N23-M23</f>
        <v>-0.34615384615384603</v>
      </c>
      <c r="P23" s="909"/>
      <c r="Q23" s="909"/>
      <c r="R23" s="1136"/>
      <c r="S23" s="291" t="n">
        <f>S22-3</f>
        <v>10</v>
      </c>
      <c r="T23" s="291"/>
      <c r="U23" s="291"/>
      <c r="V23" s="291"/>
    </row>
    <row r="24">
      <c r="H24" s="1134" t="n">
        <v>44036</v>
      </c>
      <c r="I24" s="291" t="n">
        <v>520</v>
      </c>
      <c r="J24" s="677" t="n">
        <f t="shared" si="3"/>
        <v>2</v>
      </c>
      <c r="K24" s="291"/>
      <c r="L24" s="1057"/>
      <c r="M24" s="909" t="n">
        <f t="shared" si="8"/>
        <v>0.69230769230769229</v>
      </c>
      <c r="N24" s="909" t="n">
        <f t="shared" ref="N24:N26" si="12">13/26*J24</f>
        <v>1</v>
      </c>
      <c r="O24" s="909" t="n">
        <f t="shared" ref="O24:O26" si="13">J24-N24-M24</f>
        <v>0.30769230769230771</v>
      </c>
      <c r="P24" s="909"/>
      <c r="Q24" s="909"/>
      <c r="R24" s="1136"/>
      <c r="S24" s="291" t="n">
        <f>S23-1</f>
        <v>9</v>
      </c>
      <c r="T24" s="291"/>
      <c r="U24" s="291"/>
      <c r="V24" s="291"/>
    </row>
    <row r="25">
      <c r="H25" s="1134" t="n">
        <v>44043</v>
      </c>
      <c r="I25" s="291" t="n">
        <v>521</v>
      </c>
      <c r="J25" s="677" t="n">
        <f t="shared" si="3"/>
        <v>1</v>
      </c>
      <c r="K25" s="291"/>
      <c r="L25" s="1057"/>
      <c r="M25" s="909" t="n">
        <f t="shared" si="8"/>
        <v>0.30769230769230771</v>
      </c>
      <c r="N25" s="909" t="n">
        <f t="shared" si="12"/>
        <v>0.5</v>
      </c>
      <c r="O25" s="909" t="n">
        <f t="shared" si="13"/>
        <v>0.19230769230769229</v>
      </c>
      <c r="P25" s="909"/>
      <c r="Q25" s="909"/>
      <c r="R25" s="1136"/>
      <c r="S25" s="291" t="n">
        <f>S24-1</f>
        <v>8</v>
      </c>
      <c r="T25" s="291"/>
      <c r="U25" s="291"/>
      <c r="V25" s="291"/>
    </row>
    <row r="26">
      <c r="H26" s="1134" t="n">
        <v>44051</v>
      </c>
      <c r="I26" s="291" t="n">
        <v>525</v>
      </c>
      <c r="J26" s="677" t="n">
        <f t="shared" si="3"/>
        <v>4</v>
      </c>
      <c r="K26" s="291"/>
      <c r="L26" s="1057"/>
      <c r="M26" s="909" t="n">
        <f t="shared" si="8"/>
        <v>1.0769230769230769</v>
      </c>
      <c r="N26" s="909" t="n">
        <f t="shared" si="12"/>
        <v>2</v>
      </c>
      <c r="O26" s="909" t="n">
        <f t="shared" si="13"/>
        <v>0.92307692307692313</v>
      </c>
      <c r="P26" s="909"/>
      <c r="Q26" s="909"/>
      <c r="R26" s="1136"/>
      <c r="S26" s="291" t="n">
        <f>S25-1</f>
        <v>7</v>
      </c>
      <c r="T26" s="291"/>
      <c r="U26" s="291"/>
      <c r="V26" s="291"/>
    </row>
    <row r="27">
      <c r="H27" s="1134" t="n">
        <v>44220</v>
      </c>
      <c r="I27" s="291" t="n">
        <v>558</v>
      </c>
      <c r="J27" s="677" t="n">
        <f t="shared" si="3"/>
        <v>33</v>
      </c>
      <c r="K27" s="291"/>
      <c r="L27" s="1057"/>
      <c r="M27" s="909"/>
      <c r="N27" s="909"/>
      <c r="O27" s="909" t="n">
        <f>S27/26*J27</f>
        <v>12.692307692307693</v>
      </c>
      <c r="P27" s="909" t="n">
        <f>J27/2</f>
        <v>16.5</v>
      </c>
      <c r="Q27" s="909" t="n">
        <f>J27-P27-O27</f>
        <v>3.8076923076923066</v>
      </c>
      <c r="R27" s="1136"/>
      <c r="S27" s="291" t="n">
        <v>10</v>
      </c>
      <c r="T27" s="291" t="n">
        <v>10</v>
      </c>
      <c r="U27" s="291"/>
      <c r="V27" s="291"/>
    </row>
    <row r="28">
      <c r="H28" s="1134" t="n">
        <v>44227</v>
      </c>
      <c r="I28" s="291" t="n">
        <v>596</v>
      </c>
      <c r="J28" s="677" t="n">
        <f t="shared" si="3"/>
        <v>38</v>
      </c>
      <c r="K28" s="291"/>
      <c r="L28" s="1057"/>
      <c r="M28" s="909"/>
      <c r="N28" s="909"/>
      <c r="O28" s="909" t="n">
        <f t="shared" ref="O28:O36" si="14">S28/26*J28</f>
        <v>13.153846153846153</v>
      </c>
      <c r="P28" s="909" t="n">
        <f t="shared" ref="P28:P36" si="15">J28/2</f>
        <v>19</v>
      </c>
      <c r="Q28" s="909" t="n">
        <f t="shared" ref="Q28:Q36" si="16">J28-P28-O28</f>
        <v>5.8461538461538467</v>
      </c>
      <c r="R28" s="1136"/>
      <c r="S28" s="291" t="n">
        <f>S27-1</f>
        <v>9</v>
      </c>
      <c r="T28" s="291" t="n">
        <f>T27-1</f>
        <v>9</v>
      </c>
      <c r="U28" s="291"/>
      <c r="V28" s="291"/>
    </row>
    <row r="29">
      <c r="H29" s="1134" t="n">
        <v>44234</v>
      </c>
      <c r="I29" s="291" t="n">
        <v>623</v>
      </c>
      <c r="J29" s="677" t="n">
        <f t="shared" si="3"/>
        <v>27</v>
      </c>
      <c r="K29" s="291"/>
      <c r="L29" s="1057"/>
      <c r="M29" s="909"/>
      <c r="N29" s="909"/>
      <c r="O29" s="909" t="n">
        <f t="shared" si="14"/>
        <v>8.3076923076923084</v>
      </c>
      <c r="P29" s="909" t="n">
        <f t="shared" si="15"/>
        <v>13.5</v>
      </c>
      <c r="Q29" s="909" t="n">
        <f t="shared" si="16"/>
        <v>5.1923076923076916</v>
      </c>
      <c r="R29" s="1136"/>
      <c r="S29" s="291" t="n">
        <f t="shared" ref="S29:S36" si="17">S28-1</f>
        <v>8</v>
      </c>
      <c r="T29" s="291" t="n">
        <f t="shared" ref="T29:T36" si="18">T28-1</f>
        <v>8</v>
      </c>
      <c r="U29" s="291"/>
      <c r="V29" s="291"/>
    </row>
    <row r="30">
      <c r="H30" s="1134" t="n">
        <v>44242</v>
      </c>
      <c r="I30" s="291" t="n">
        <v>648</v>
      </c>
      <c r="J30" s="677" t="n">
        <f t="shared" si="3"/>
        <v>25</v>
      </c>
      <c r="K30" s="291"/>
      <c r="L30" s="1057"/>
      <c r="M30" s="909"/>
      <c r="N30" s="909"/>
      <c r="O30" s="909" t="n">
        <f t="shared" si="14"/>
        <v>6.7307692307692308</v>
      </c>
      <c r="P30" s="909" t="n">
        <f t="shared" si="15"/>
        <v>12.5</v>
      </c>
      <c r="Q30" s="909" t="n">
        <f t="shared" si="16"/>
        <v>5.7692307692307692</v>
      </c>
      <c r="R30" s="1136"/>
      <c r="S30" s="291" t="n">
        <f t="shared" si="17"/>
        <v>7</v>
      </c>
      <c r="T30" s="291" t="n">
        <f t="shared" si="18"/>
        <v>7</v>
      </c>
      <c r="U30" s="291"/>
      <c r="V30" s="291"/>
    </row>
    <row r="31">
      <c r="H31" s="1134" t="n">
        <v>44248</v>
      </c>
      <c r="I31" s="291" t="n">
        <v>663</v>
      </c>
      <c r="J31" s="677" t="n">
        <f t="shared" si="3"/>
        <v>15</v>
      </c>
      <c r="K31" s="291"/>
      <c r="L31" s="1057"/>
      <c r="M31" s="909"/>
      <c r="N31" s="909"/>
      <c r="O31" s="909" t="n">
        <f t="shared" si="14"/>
        <v>3.4615384615384617</v>
      </c>
      <c r="P31" s="909" t="n">
        <f t="shared" si="15"/>
        <v>7.5</v>
      </c>
      <c r="Q31" s="909" t="n">
        <f t="shared" si="16"/>
        <v>4.0384615384615383</v>
      </c>
      <c r="R31" s="1136"/>
      <c r="S31" s="291" t="n">
        <f t="shared" si="17"/>
        <v>6</v>
      </c>
      <c r="T31" s="291" t="n">
        <f t="shared" si="18"/>
        <v>6</v>
      </c>
      <c r="U31" s="291"/>
      <c r="V31" s="291"/>
    </row>
    <row r="32">
      <c r="H32" s="1134" t="n">
        <v>44255</v>
      </c>
      <c r="I32" s="291" t="n">
        <v>679</v>
      </c>
      <c r="J32" s="677" t="n">
        <f t="shared" si="3"/>
        <v>16</v>
      </c>
      <c r="K32" s="291"/>
      <c r="L32" s="1057"/>
      <c r="M32" s="909"/>
      <c r="N32" s="909"/>
      <c r="O32" s="909" t="n">
        <f t="shared" si="14"/>
        <v>3.0769230769230771</v>
      </c>
      <c r="P32" s="909" t="n">
        <f t="shared" si="15"/>
        <v>8</v>
      </c>
      <c r="Q32" s="909" t="n">
        <f t="shared" si="16"/>
        <v>4.9230769230769234</v>
      </c>
      <c r="R32" s="1136"/>
      <c r="S32" s="291" t="n">
        <f t="shared" si="17"/>
        <v>5</v>
      </c>
      <c r="T32" s="291" t="n">
        <f t="shared" si="18"/>
        <v>5</v>
      </c>
      <c r="U32" s="291"/>
      <c r="V32" s="291"/>
    </row>
    <row r="33">
      <c r="H33" s="1134" t="n">
        <v>44262</v>
      </c>
      <c r="I33" s="291" t="n">
        <v>687</v>
      </c>
      <c r="J33" s="677" t="n">
        <f t="shared" si="3"/>
        <v>8</v>
      </c>
      <c r="K33" s="291"/>
      <c r="L33" s="1057"/>
      <c r="M33" s="909"/>
      <c r="N33" s="909"/>
      <c r="O33" s="909" t="n">
        <f t="shared" si="14"/>
        <v>1.2307692307692308</v>
      </c>
      <c r="P33" s="909" t="n">
        <f t="shared" si="15"/>
        <v>4</v>
      </c>
      <c r="Q33" s="909" t="n">
        <f t="shared" si="16"/>
        <v>2.7692307692307692</v>
      </c>
      <c r="R33" s="1136"/>
      <c r="S33" s="291" t="n">
        <f t="shared" si="17"/>
        <v>4</v>
      </c>
      <c r="T33" s="291" t="n">
        <f t="shared" si="18"/>
        <v>4</v>
      </c>
      <c r="U33" s="291"/>
      <c r="V33" s="291"/>
    </row>
    <row r="34">
      <c r="H34" s="1134" t="n">
        <v>44269</v>
      </c>
      <c r="I34" s="291" t="n">
        <v>704</v>
      </c>
      <c r="J34" s="677" t="n">
        <f t="shared" si="3"/>
        <v>17</v>
      </c>
      <c r="K34" s="291"/>
      <c r="L34" s="1057"/>
      <c r="M34" s="909"/>
      <c r="N34" s="909"/>
      <c r="O34" s="909" t="n">
        <f t="shared" si="14"/>
        <v>1.9615384615384617</v>
      </c>
      <c r="P34" s="909" t="n">
        <f t="shared" si="15"/>
        <v>8.5</v>
      </c>
      <c r="Q34" s="909" t="n">
        <f t="shared" si="16"/>
        <v>6.5384615384615383</v>
      </c>
      <c r="R34" s="1136"/>
      <c r="S34" s="291" t="n">
        <f t="shared" si="17"/>
        <v>3</v>
      </c>
      <c r="T34" s="291" t="n">
        <f t="shared" si="18"/>
        <v>3</v>
      </c>
      <c r="U34" s="291"/>
      <c r="V34" s="291"/>
    </row>
    <row r="35">
      <c r="H35" s="1134" t="n">
        <v>44276</v>
      </c>
      <c r="I35" s="291" t="n">
        <v>718</v>
      </c>
      <c r="J35" s="677" t="n">
        <f t="shared" si="3"/>
        <v>14</v>
      </c>
      <c r="K35" s="291"/>
      <c r="L35" s="1057"/>
      <c r="M35" s="909"/>
      <c r="N35" s="909"/>
      <c r="O35" s="909" t="n">
        <f t="shared" si="14"/>
        <v>1.0769230769230771</v>
      </c>
      <c r="P35" s="909" t="n">
        <f t="shared" si="15"/>
        <v>7</v>
      </c>
      <c r="Q35" s="909" t="n">
        <f t="shared" si="16"/>
        <v>5.9230769230769234</v>
      </c>
      <c r="R35" s="1136"/>
      <c r="S35" s="291" t="n">
        <f t="shared" si="17"/>
        <v>2</v>
      </c>
      <c r="T35" s="291" t="n">
        <f t="shared" si="18"/>
        <v>2</v>
      </c>
      <c r="U35" s="291"/>
      <c r="V35" s="291"/>
    </row>
    <row r="36">
      <c r="H36" s="1134" t="n">
        <v>44283</v>
      </c>
      <c r="I36" s="291" t="n">
        <v>734</v>
      </c>
      <c r="J36" s="677" t="n">
        <f t="shared" si="3"/>
        <v>16</v>
      </c>
      <c r="K36" s="291"/>
      <c r="L36" s="1057"/>
      <c r="M36" s="909"/>
      <c r="N36" s="909"/>
      <c r="O36" s="909" t="n">
        <f t="shared" si="14"/>
        <v>0.61538461538461542</v>
      </c>
      <c r="P36" s="909" t="n">
        <f t="shared" si="15"/>
        <v>8</v>
      </c>
      <c r="Q36" s="909" t="n">
        <f t="shared" si="16"/>
        <v>7.384615384615385</v>
      </c>
      <c r="R36" s="1136"/>
      <c r="S36" s="291" t="n">
        <f t="shared" si="17"/>
        <v>1</v>
      </c>
      <c r="T36" s="291" t="n">
        <f t="shared" si="18"/>
        <v>1</v>
      </c>
      <c r="U36" s="291"/>
      <c r="V36" s="291"/>
    </row>
    <row r="37">
      <c r="H37" s="1134" t="n">
        <v>44290</v>
      </c>
      <c r="I37" s="291" t="n">
        <v>746</v>
      </c>
      <c r="J37" s="677" t="n">
        <f t="shared" si="3"/>
        <v>12</v>
      </c>
      <c r="K37" s="291"/>
      <c r="L37" s="1057"/>
      <c r="M37" s="909"/>
      <c r="N37" s="909"/>
      <c r="O37" s="909"/>
      <c r="P37" s="909" t="n">
        <f>T37/26*J37</f>
        <v>6</v>
      </c>
      <c r="Q37" s="909" t="n">
        <f>J37/2</f>
        <v>6</v>
      </c>
      <c r="R37" s="1136" t="n">
        <f>J37-Q37-P37</f>
        <v>0</v>
      </c>
      <c r="S37" s="291" t="n">
        <v>13</v>
      </c>
      <c r="T37" s="291" t="n">
        <v>13</v>
      </c>
      <c r="U37" s="291"/>
      <c r="V37" s="291"/>
    </row>
    <row r="38">
      <c r="H38" s="1134" t="n">
        <v>44297</v>
      </c>
      <c r="I38" s="291" t="n">
        <v>755</v>
      </c>
      <c r="J38" s="677" t="n">
        <f t="shared" si="3"/>
        <v>9</v>
      </c>
      <c r="K38" s="291"/>
      <c r="L38" s="1057"/>
      <c r="M38" s="909"/>
      <c r="N38" s="909"/>
      <c r="O38" s="909"/>
      <c r="P38" s="909" t="n">
        <f t="shared" ref="P38:P45" si="19">T38/26*J38</f>
        <v>4.1538461538461542</v>
      </c>
      <c r="Q38" s="909" t="n">
        <f t="shared" ref="Q38:Q45" si="20">J38/2</f>
        <v>4.5</v>
      </c>
      <c r="R38" s="1136" t="n">
        <f t="shared" ref="R38:R45" si="21">J38-Q38-P38</f>
        <v>0.34615384615384581</v>
      </c>
      <c r="S38" s="291" t="n">
        <f>S37-1</f>
        <v>12</v>
      </c>
      <c r="T38" s="291" t="n">
        <f>T37-1</f>
        <v>12</v>
      </c>
      <c r="U38" s="291"/>
      <c r="V38" s="291"/>
    </row>
    <row r="39">
      <c r="H39" s="1134" t="n">
        <v>44304</v>
      </c>
      <c r="I39" s="291" t="n">
        <v>762</v>
      </c>
      <c r="J39" s="677" t="n">
        <f t="shared" si="3"/>
        <v>7</v>
      </c>
      <c r="K39" s="291"/>
      <c r="L39" s="1057"/>
      <c r="M39" s="909"/>
      <c r="N39" s="909"/>
      <c r="O39" s="909"/>
      <c r="P39" s="909" t="n">
        <f t="shared" si="19"/>
        <v>2.9615384615384617</v>
      </c>
      <c r="Q39" s="909" t="n">
        <f t="shared" si="20"/>
        <v>3.5</v>
      </c>
      <c r="R39" s="1136" t="n">
        <f t="shared" si="21"/>
        <v>0.53846153846153832</v>
      </c>
      <c r="S39" s="291" t="n">
        <f t="shared" ref="S39:S45" si="22">S38-1</f>
        <v>11</v>
      </c>
      <c r="T39" s="291" t="n">
        <f t="shared" ref="T39:T45" si="23">T38-1</f>
        <v>11</v>
      </c>
      <c r="U39" s="291"/>
      <c r="V39" s="291"/>
    </row>
    <row r="40">
      <c r="H40" s="1134" t="n">
        <v>44311</v>
      </c>
      <c r="I40" s="291" t="n">
        <v>771</v>
      </c>
      <c r="J40" s="677" t="n">
        <f t="shared" si="3"/>
        <v>9</v>
      </c>
      <c r="K40" s="291"/>
      <c r="L40" s="1057"/>
      <c r="M40" s="909"/>
      <c r="N40" s="909"/>
      <c r="O40" s="909"/>
      <c r="P40" s="909" t="n">
        <f t="shared" si="19"/>
        <v>3.4615384615384617</v>
      </c>
      <c r="Q40" s="909" t="n">
        <f t="shared" si="20"/>
        <v>4.5</v>
      </c>
      <c r="R40" s="1136" t="n">
        <f t="shared" si="21"/>
        <v>1.0384615384615383</v>
      </c>
      <c r="S40" s="291" t="n">
        <f t="shared" si="22"/>
        <v>10</v>
      </c>
      <c r="T40" s="291" t="n">
        <f t="shared" si="23"/>
        <v>10</v>
      </c>
      <c r="U40" s="291"/>
      <c r="V40" s="291"/>
    </row>
    <row r="41">
      <c r="H41" s="1134" t="n">
        <v>44318</v>
      </c>
      <c r="I41" s="291" t="n">
        <v>780</v>
      </c>
      <c r="J41" s="677" t="n">
        <f t="shared" si="3"/>
        <v>9</v>
      </c>
      <c r="K41" s="291"/>
      <c r="L41" s="1057"/>
      <c r="M41" s="909"/>
      <c r="N41" s="909"/>
      <c r="O41" s="909"/>
      <c r="P41" s="909" t="n">
        <f t="shared" si="19"/>
        <v>3.1153846153846154</v>
      </c>
      <c r="Q41" s="909" t="n">
        <f t="shared" si="20"/>
        <v>4.5</v>
      </c>
      <c r="R41" s="1136" t="n">
        <f t="shared" si="21"/>
        <v>1.3846153846153846</v>
      </c>
      <c r="S41" s="291" t="n">
        <f t="shared" si="22"/>
        <v>9</v>
      </c>
      <c r="T41" s="291" t="n">
        <f t="shared" si="23"/>
        <v>9</v>
      </c>
      <c r="U41" s="291"/>
      <c r="V41" s="291"/>
    </row>
    <row r="42">
      <c r="H42" s="1134" t="n">
        <v>44325</v>
      </c>
      <c r="I42" s="291" t="n">
        <v>782</v>
      </c>
      <c r="J42" s="677" t="n">
        <f t="shared" si="3"/>
        <v>2</v>
      </c>
      <c r="K42" s="291"/>
      <c r="L42" s="1057"/>
      <c r="M42" s="909"/>
      <c r="N42" s="909"/>
      <c r="O42" s="909"/>
      <c r="P42" s="909" t="n">
        <f t="shared" si="19"/>
        <v>0.61538461538461542</v>
      </c>
      <c r="Q42" s="909" t="n">
        <f t="shared" si="20"/>
        <v>1</v>
      </c>
      <c r="R42" s="1136" t="n">
        <f t="shared" si="21"/>
        <v>0.38461538461538458</v>
      </c>
      <c r="S42" s="291" t="n">
        <f t="shared" si="22"/>
        <v>8</v>
      </c>
      <c r="T42" s="291" t="n">
        <f t="shared" si="23"/>
        <v>8</v>
      </c>
      <c r="U42" s="291"/>
      <c r="V42" s="291"/>
    </row>
    <row r="43">
      <c r="H43" s="1134" t="n">
        <v>44332</v>
      </c>
      <c r="I43" s="291" t="n">
        <v>788</v>
      </c>
      <c r="J43" s="677" t="n">
        <f t="shared" si="3"/>
        <v>6</v>
      </c>
      <c r="K43" s="291"/>
      <c r="L43" s="1057"/>
      <c r="M43" s="909"/>
      <c r="N43" s="909"/>
      <c r="O43" s="909"/>
      <c r="P43" s="909" t="n">
        <f t="shared" si="19"/>
        <v>1.6153846153846154</v>
      </c>
      <c r="Q43" s="909" t="n">
        <f t="shared" si="20"/>
        <v>3</v>
      </c>
      <c r="R43" s="1136" t="n">
        <f t="shared" si="21"/>
        <v>1.3846153846153846</v>
      </c>
      <c r="S43" s="291" t="n">
        <f t="shared" si="22"/>
        <v>7</v>
      </c>
      <c r="T43" s="291" t="n">
        <f t="shared" si="23"/>
        <v>7</v>
      </c>
      <c r="U43" s="291"/>
      <c r="V43" s="291"/>
    </row>
    <row r="44">
      <c r="H44" s="1134" t="n">
        <v>44339</v>
      </c>
      <c r="I44" s="291" t="n">
        <v>796</v>
      </c>
      <c r="J44" s="677" t="n">
        <f t="shared" si="3"/>
        <v>8</v>
      </c>
      <c r="K44" s="291"/>
      <c r="L44" s="1057"/>
      <c r="M44" s="909"/>
      <c r="N44" s="909"/>
      <c r="O44" s="909"/>
      <c r="P44" s="909" t="n">
        <f t="shared" si="19"/>
        <v>1.8461538461538463</v>
      </c>
      <c r="Q44" s="909" t="n">
        <f t="shared" si="20"/>
        <v>4</v>
      </c>
      <c r="R44" s="1136" t="n">
        <f t="shared" si="21"/>
        <v>2.1538461538461537</v>
      </c>
      <c r="S44" s="291" t="n">
        <f t="shared" si="22"/>
        <v>6</v>
      </c>
      <c r="T44" s="291" t="n">
        <f t="shared" si="23"/>
        <v>6</v>
      </c>
      <c r="U44" s="291"/>
      <c r="V44" s="291"/>
    </row>
    <row r="45">
      <c r="H45" s="1135" t="n">
        <v>44347</v>
      </c>
      <c r="I45" s="671" t="n">
        <v>800</v>
      </c>
      <c r="J45" s="678" t="n">
        <f t="shared" si="3"/>
        <v>4</v>
      </c>
      <c r="K45" s="291"/>
      <c r="L45" s="1057"/>
      <c r="M45" s="909"/>
      <c r="N45" s="909"/>
      <c r="O45" s="909"/>
      <c r="P45" s="909" t="n">
        <f t="shared" si="19"/>
        <v>0.76923076923076927</v>
      </c>
      <c r="Q45" s="909" t="n">
        <f t="shared" si="20"/>
        <v>2</v>
      </c>
      <c r="R45" s="1136" t="n">
        <f t="shared" si="21"/>
        <v>1.2307692307692308</v>
      </c>
      <c r="S45" s="291" t="n">
        <f t="shared" si="22"/>
        <v>5</v>
      </c>
      <c r="T45" s="291" t="n">
        <f t="shared" si="23"/>
        <v>5</v>
      </c>
      <c r="U45" s="291"/>
      <c r="V45" s="291"/>
    </row>
    <row r="46">
      <c r="H46" s="291"/>
      <c r="I46" s="291"/>
      <c r="J46" s="291"/>
      <c r="K46" s="291"/>
      <c r="L46" s="1057" t="n">
        <f>SUM(L11:L45)</f>
        <v>184.80769230769229</v>
      </c>
      <c r="M46" s="909" t="n">
        <f t="shared" ref="M46:R46" si="24">SUM(M11:M45)</f>
        <v>261.42307692307696</v>
      </c>
      <c r="N46" s="909" t="n">
        <f t="shared" si="24"/>
        <v>77.692307692307693</v>
      </c>
      <c r="O46" s="909" t="n">
        <f t="shared" si="24"/>
        <v>53.384615384615394</v>
      </c>
      <c r="P46" s="909" t="n">
        <f t="shared" si="24"/>
        <v>129.03846153846155</v>
      </c>
      <c r="Q46" s="909" t="n">
        <f t="shared" si="24"/>
        <v>85.192307692307693</v>
      </c>
      <c r="R46" s="1136" t="n">
        <f t="shared" si="24"/>
        <v>8.4615384615384599</v>
      </c>
      <c r="S46" s="291"/>
      <c r="T46" s="291"/>
      <c r="U46" s="291"/>
      <c r="V46" s="291"/>
    </row>
    <row r="47">
      <c r="H47" s="291"/>
      <c r="I47" s="291"/>
      <c r="J47" s="291"/>
      <c r="K47" s="291"/>
      <c r="L47" s="1058" t="n">
        <f>L46*4</f>
        <v>739.23076923076917</v>
      </c>
      <c r="M47" s="1004" t="n">
        <f t="shared" ref="M47:R47" si="25">M46*4</f>
        <v>1045.6923076923078</v>
      </c>
      <c r="N47" s="1004" t="n">
        <f t="shared" si="25"/>
        <v>310.76923076923077</v>
      </c>
      <c r="O47" s="1004" t="n">
        <f t="shared" si="25"/>
        <v>213.53846153846158</v>
      </c>
      <c r="P47" s="1004" t="n">
        <f t="shared" si="25"/>
        <v>516.15384615384619</v>
      </c>
      <c r="Q47" s="1004" t="n">
        <f t="shared" si="25"/>
        <v>340.76923076923077</v>
      </c>
      <c r="R47" s="1059" t="n">
        <f t="shared" si="25"/>
        <v>33.84615384615384</v>
      </c>
      <c r="S47" s="291" t="s">
        <v>323</v>
      </c>
      <c r="T47" s="291"/>
      <c r="U47" s="291"/>
      <c r="V47" s="291"/>
    </row>
    <row r="48">
      <c r="J48" s="297" t="s">
        <v>324</v>
      </c>
      <c r="L48" s="297" t="n">
        <v>634</v>
      </c>
      <c r="M48" s="834" t="n">
        <f>K55</f>
        <v>900.7</v>
      </c>
      <c r="N48" s="834" t="n">
        <f t="shared" ref="N48:P48" si="26">L55</f>
        <v>270.7</v>
      </c>
      <c r="O48" s="834" t="n">
        <f t="shared" si="26"/>
        <v>208.7</v>
      </c>
      <c r="P48" s="834" t="n">
        <f t="shared" si="26"/>
        <v>469.7</v>
      </c>
      <c r="Q48" s="834" t="n">
        <v>279</v>
      </c>
      <c r="R48" s="834"/>
    </row>
    <row r="50">
      <c r="H50" s="773" t="s">
        <v>325</v>
      </c>
      <c r="I50" s="774"/>
      <c r="J50" s="591" t="s">
        <v>280</v>
      </c>
      <c r="K50" s="592"/>
      <c r="L50" s="592"/>
      <c r="M50" s="527"/>
      <c r="N50" s="527"/>
      <c r="O50" s="527"/>
      <c r="P50" s="263"/>
      <c r="Q50" s="611"/>
      <c r="R50" s="611"/>
      <c r="S50" s="611"/>
      <c r="T50" s="611"/>
      <c r="U50" s="611"/>
      <c r="V50" s="611"/>
      <c r="W50" s="611"/>
      <c r="X50" s="611"/>
      <c r="Y50" s="611"/>
    </row>
    <row r="51">
      <c r="H51" s="775"/>
      <c r="I51" s="776"/>
      <c r="J51" s="269" t="n">
        <v>2020</v>
      </c>
      <c r="K51" s="270"/>
      <c r="L51" s="270"/>
      <c r="M51" s="269" t="n">
        <v>2021</v>
      </c>
      <c r="N51" s="270"/>
      <c r="O51" s="270"/>
      <c r="P51" s="271"/>
      <c r="Q51" s="291"/>
      <c r="R51" s="291"/>
      <c r="S51" s="291"/>
      <c r="T51" s="291"/>
      <c r="U51" s="291"/>
      <c r="V51" s="291"/>
      <c r="W51" s="291"/>
      <c r="X51" s="291"/>
    </row>
    <row r="52">
      <c r="H52" s="896"/>
      <c r="I52" s="897"/>
      <c r="J52" s="259" t="s">
        <v>284</v>
      </c>
      <c r="K52" s="260" t="s">
        <v>238</v>
      </c>
      <c r="L52" s="260" t="s">
        <v>282</v>
      </c>
      <c r="M52" s="340" t="s">
        <v>283</v>
      </c>
      <c r="N52" s="341" t="s">
        <v>284</v>
      </c>
      <c r="O52" s="341" t="s">
        <v>238</v>
      </c>
      <c r="P52" s="339" t="s">
        <v>282</v>
      </c>
      <c r="Q52" s="291"/>
      <c r="S52" s="297"/>
      <c r="T52" s="297"/>
      <c r="U52" s="291"/>
      <c r="V52" s="297"/>
      <c r="W52" s="297"/>
      <c r="X52" s="297"/>
      <c r="Y52" s="297"/>
      <c r="Z52" s="297"/>
      <c r="AA52" s="297"/>
    </row>
    <row r="53" ht="32.9" customHeight="1">
      <c r="H53" s="573" t="s">
        <v>326</v>
      </c>
      <c r="I53" s="291" t="s">
        <v>327</v>
      </c>
      <c r="J53" s="1129" t="n">
        <f>'Haver Pivoted'!GU47</f>
        <v>57.2</v>
      </c>
      <c r="K53" s="544" t="n">
        <f>'Haver Pivoted'!GV47</f>
        <v>81.2</v>
      </c>
      <c r="L53" s="544" t="n">
        <f>'Haver Pivoted'!GW47</f>
        <v>24.4</v>
      </c>
      <c r="M53" s="288" t="n">
        <f>'Haver Pivoted'!GX47</f>
        <v>11.7</v>
      </c>
      <c r="N53" s="288" t="n">
        <f>'Haver Pivoted'!GY47</f>
        <v>28.5</v>
      </c>
      <c r="O53" s="443" t="n">
        <f>'Haver Pivoted'!GZ47</f>
        <v>18.8</v>
      </c>
      <c r="P53" s="443" t="n">
        <f>'Haver Pivoted'!HA47</f>
        <v>1.6</v>
      </c>
      <c r="Q53" s="288"/>
      <c r="S53" s="297"/>
      <c r="T53" s="297"/>
      <c r="U53" s="297"/>
      <c r="V53" s="297"/>
      <c r="W53" s="297"/>
      <c r="X53" s="297"/>
      <c r="Y53" s="297"/>
      <c r="Z53" s="297"/>
      <c r="AA53" s="297"/>
    </row>
    <row r="54" ht="33.75" customHeight="1">
      <c r="H54" s="573" t="s">
        <v>328</v>
      </c>
      <c r="I54" s="283" t="s">
        <v>329</v>
      </c>
      <c r="J54" s="1123" t="n">
        <f>'Haver Pivoted'!GU49</f>
        <v>576.9</v>
      </c>
      <c r="K54" s="288" t="n">
        <f>'Haver Pivoted'!GV49</f>
        <v>819.5</v>
      </c>
      <c r="L54" s="288" t="n">
        <f>'Haver Pivoted'!GW49</f>
        <v>246.3</v>
      </c>
      <c r="M54" s="288" t="n">
        <f>'Haver Pivoted'!GX49</f>
        <v>197</v>
      </c>
      <c r="N54" s="288" t="n">
        <f>'Haver Pivoted'!GY49</f>
        <v>441.2</v>
      </c>
      <c r="O54" s="443" t="n">
        <f>'Haver Pivoted'!GZ49</f>
        <v>276.7</v>
      </c>
      <c r="P54" s="443" t="n">
        <f>'Haver Pivoted'!HA49</f>
        <v>28.2</v>
      </c>
      <c r="Q54" s="288"/>
      <c r="R54" s="288"/>
    </row>
    <row r="55">
      <c r="H55" s="657" t="s">
        <v>312</v>
      </c>
      <c r="I55" s="291"/>
      <c r="J55" s="1123" t="n">
        <f>J54+J53</f>
        <v>634.1</v>
      </c>
      <c r="K55" s="288" t="n">
        <f t="shared" ref="K55:M55" si="27">K54+K53</f>
        <v>900.7</v>
      </c>
      <c r="L55" s="288" t="n">
        <f t="shared" si="27"/>
        <v>270.7</v>
      </c>
      <c r="M55" s="288" t="n">
        <f t="shared" si="27"/>
        <v>208.7</v>
      </c>
      <c r="N55" s="288" t="n">
        <f t="shared" ref="N55:P55" si="28">N54+N53</f>
        <v>469.7</v>
      </c>
      <c r="O55" s="443" t="n">
        <f t="shared" si="28"/>
        <v>295.5</v>
      </c>
      <c r="P55" s="443" t="n">
        <f t="shared" si="28"/>
        <v>29.8</v>
      </c>
      <c r="Q55" s="288"/>
      <c r="R55" s="288"/>
    </row>
    <row r="56">
      <c r="H56" s="436" t="s">
        <v>330</v>
      </c>
      <c r="I56" s="671"/>
      <c r="J56" s="1005" t="n">
        <f t="shared" ref="J56:P56" si="29">J53/J55</f>
        <v>9.0206592020186091E-2</v>
      </c>
      <c r="K56" s="1006" t="n">
        <f t="shared" si="29"/>
        <v>9.015210391917397E-2</v>
      </c>
      <c r="L56" s="1006" t="n">
        <f t="shared" si="29"/>
        <v>9.0136682674547469E-2</v>
      </c>
      <c r="M56" s="1006" t="n">
        <f t="shared" si="29"/>
        <v>5.6061332055582176E-2</v>
      </c>
      <c r="N56" s="1006" t="n">
        <f t="shared" si="29"/>
        <v>6.0677027890142649E-2</v>
      </c>
      <c r="O56" s="1124" t="n">
        <f t="shared" si="29"/>
        <v>6.3620981387478848E-2</v>
      </c>
      <c r="P56" s="1124" t="n">
        <f t="shared" si="29"/>
        <v>5.3691275167785234E-2</v>
      </c>
      <c r="Q56" s="1132"/>
      <c r="R56" s="1039"/>
    </row>
    <row r="58">
      <c r="H58" s="297" t="s">
        <v>817</v>
      </c>
    </row>
    <row r="59">
      <c r="H59" s="338"/>
      <c r="I59" s="291"/>
      <c r="J59" s="288"/>
      <c r="K59" s="288"/>
      <c r="L59" s="288"/>
      <c r="M59" s="288"/>
      <c r="N59" s="288"/>
      <c r="O59" s="288"/>
      <c r="P59" s="598"/>
      <c r="Q59" s="288"/>
      <c r="R59" s="288"/>
      <c r="S59" s="288"/>
      <c r="T59" s="297"/>
      <c r="U59" s="297"/>
      <c r="V59" s="297"/>
      <c r="W59" s="297"/>
      <c r="X59" s="297"/>
      <c r="Y59" s="297"/>
      <c r="Z59" s="297"/>
      <c r="AA59" s="297"/>
      <c r="AB59" s="297"/>
      <c r="AC59" s="297"/>
    </row>
    <row r="60">
      <c r="P60" s="288"/>
      <c r="Q60" s="297"/>
      <c r="R60" s="297"/>
      <c r="S60" s="297"/>
      <c r="T60" s="297"/>
      <c r="U60" s="297"/>
      <c r="V60" s="297"/>
      <c r="W60" s="297"/>
      <c r="X60" s="297"/>
      <c r="Y60" s="297"/>
      <c r="Z60" s="297"/>
      <c r="AA60" s="297"/>
      <c r="AB60" s="297"/>
      <c r="AC60" s="297"/>
    </row>
    <row r="61">
      <c r="P61" s="288"/>
      <c r="Q61" s="1130"/>
      <c r="R61" s="1130"/>
      <c r="S61" s="1130"/>
      <c r="T61" s="1130"/>
      <c r="U61" s="1130"/>
      <c r="V61" s="1130"/>
      <c r="W61" s="1130"/>
      <c r="X61" s="1130"/>
      <c r="Y61" s="1130"/>
      <c r="Z61" s="1130"/>
      <c r="AA61" s="1130"/>
      <c r="AB61" s="1130"/>
      <c r="AC61" s="297"/>
    </row>
    <row r="62">
      <c r="P62" s="288"/>
      <c r="Q62" s="1130"/>
      <c r="R62" s="1130"/>
      <c r="S62" s="1130"/>
      <c r="T62" s="1130"/>
      <c r="U62" s="1130"/>
      <c r="V62" s="1130"/>
      <c r="W62" s="1130"/>
      <c r="X62" s="1130"/>
      <c r="Y62" s="1130"/>
      <c r="Z62" s="1130"/>
      <c r="AA62" s="1130"/>
      <c r="AB62" s="1130"/>
      <c r="AC62" s="297"/>
    </row>
    <row r="63">
      <c r="I63" s="297" t="s">
        <v>283</v>
      </c>
      <c r="J63" s="297" t="s">
        <v>284</v>
      </c>
      <c r="K63" s="297" t="s">
        <v>238</v>
      </c>
      <c r="L63" s="297" t="s">
        <v>282</v>
      </c>
      <c r="P63" s="1039"/>
      <c r="Q63" s="1130"/>
      <c r="R63" s="1130"/>
      <c r="S63" s="1130"/>
      <c r="T63" s="1130"/>
      <c r="U63" s="1130"/>
      <c r="V63" s="1130"/>
      <c r="W63" s="1130"/>
      <c r="X63" s="1130"/>
      <c r="Y63" s="1130"/>
      <c r="Z63" s="1130"/>
      <c r="AA63" s="1130"/>
      <c r="AB63" s="1130"/>
      <c r="AC63" s="297"/>
    </row>
    <row r="64">
      <c r="H64" s="297" t="s">
        <v>818</v>
      </c>
      <c r="I64" s="297" t="n">
        <v>81.599999999999994</v>
      </c>
      <c r="J64" s="297" t="n">
        <v>188.9</v>
      </c>
      <c r="K64" s="297" t="n">
        <v>117.2</v>
      </c>
      <c r="L64" s="297" t="e">
        <f>#REF!+#REF!</f>
        <v>#REF!</v>
      </c>
      <c r="P64" s="297"/>
      <c r="Q64" s="297"/>
      <c r="R64" s="297"/>
      <c r="S64" s="297"/>
      <c r="T64" s="297"/>
      <c r="U64" s="297"/>
      <c r="V64" s="297"/>
      <c r="W64" s="297"/>
      <c r="X64" s="297"/>
      <c r="Y64" s="297"/>
      <c r="Z64" s="297"/>
      <c r="AA64" s="297"/>
      <c r="AB64" s="297"/>
      <c r="AC64" s="297"/>
    </row>
    <row r="65">
      <c r="H65" s="297" t="s">
        <v>470</v>
      </c>
      <c r="I65" s="834" t="n">
        <f>M53</f>
        <v>11.7</v>
      </c>
      <c r="J65" s="834" t="n">
        <f t="shared" ref="J65:K65" si="30">N53</f>
        <v>28.5</v>
      </c>
      <c r="K65" s="834" t="n">
        <f t="shared" si="30"/>
        <v>18.8</v>
      </c>
      <c r="L65" s="297" t="e">
        <f>#REF!</f>
        <v>#REF!</v>
      </c>
      <c r="P65" s="297"/>
      <c r="Q65" s="297"/>
      <c r="R65" s="297"/>
      <c r="S65" s="297"/>
      <c r="T65" s="297"/>
      <c r="U65" s="297"/>
      <c r="V65" s="297"/>
      <c r="W65" s="297"/>
      <c r="X65" s="297"/>
      <c r="Y65" s="297"/>
      <c r="Z65" s="297"/>
      <c r="AA65" s="297"/>
      <c r="AB65" s="297"/>
      <c r="AC65" s="297"/>
    </row>
    <row r="66">
      <c r="H66" s="297" t="s">
        <v>819</v>
      </c>
      <c r="I66" s="834" t="n">
        <f>I67-SUM(I64:I65)</f>
        <v>115.39999999999999</v>
      </c>
      <c r="J66" s="834" t="n">
        <f t="shared" ref="J66:K66" si="31">J67-SUM(J64:J65)</f>
        <v>252.29999999999998</v>
      </c>
      <c r="K66" s="834" t="n">
        <f t="shared" si="31"/>
        <v>159.5</v>
      </c>
      <c r="L66" s="834" t="e">
        <f>1.26*L64</f>
        <v>#REF!</v>
      </c>
      <c r="P66" s="297"/>
      <c r="Q66" s="297"/>
      <c r="R66" s="297"/>
      <c r="S66" s="297"/>
      <c r="T66" s="297"/>
      <c r="U66" s="297"/>
      <c r="V66" s="297"/>
      <c r="W66" s="297"/>
      <c r="X66" s="297"/>
      <c r="Y66" s="297"/>
      <c r="Z66" s="297"/>
      <c r="AA66" s="297"/>
      <c r="AB66" s="297"/>
      <c r="AC66" s="297"/>
    </row>
    <row r="67">
      <c r="H67" s="297" t="s">
        <v>312</v>
      </c>
      <c r="I67" s="834" t="n">
        <f>M55</f>
        <v>208.7</v>
      </c>
      <c r="J67" s="834" t="n">
        <f>N55</f>
        <v>469.7</v>
      </c>
      <c r="K67" s="834" t="n">
        <f>O55</f>
        <v>295.5</v>
      </c>
      <c r="L67" s="834" t="e">
        <f>SUM(L64:L66)</f>
        <v>#REF!</v>
      </c>
    </row>
    <row r="68">
      <c r="G68" s="297" t="s">
        <v>820</v>
      </c>
    </row>
    <row r="69">
      <c r="H69" s="297" t="s">
        <v>818</v>
      </c>
      <c r="I69" s="715" t="n">
        <f>I64/I$67</f>
        <v>0.39099185433636796</v>
      </c>
      <c r="J69" s="715" t="n">
        <f t="shared" ref="J69:L69" si="32">J64/J$67</f>
        <v>0.40217159889291038</v>
      </c>
      <c r="K69" s="715" t="n">
        <f t="shared" si="32"/>
        <v>0.3966159052453469</v>
      </c>
      <c r="L69" s="715" t="e">
        <f t="shared" si="32"/>
        <v>#REF!</v>
      </c>
    </row>
    <row r="70">
      <c r="H70" s="297" t="s">
        <v>470</v>
      </c>
      <c r="I70" s="715" t="n">
        <f t="shared" ref="I70:L71" si="33">I65/I$67</f>
        <v>5.6061332055582176E-2</v>
      </c>
      <c r="J70" s="715" t="n">
        <f t="shared" si="33"/>
        <v>6.0677027890142649E-2</v>
      </c>
      <c r="K70" s="715" t="n">
        <f t="shared" si="33"/>
        <v>6.3620981387478848E-2</v>
      </c>
      <c r="L70" s="715" t="e">
        <f t="shared" si="33"/>
        <v>#REF!</v>
      </c>
    </row>
    <row r="71">
      <c r="H71" s="297" t="s">
        <v>819</v>
      </c>
      <c r="I71" s="715" t="n">
        <f t="shared" si="33"/>
        <v>0.55294681360804987</v>
      </c>
      <c r="J71" s="715" t="n">
        <f t="shared" si="33"/>
        <v>0.53715137321694695</v>
      </c>
      <c r="K71" s="715" t="n">
        <f t="shared" si="33"/>
        <v>0.53976311336717431</v>
      </c>
      <c r="L71" s="715" t="e">
        <f t="shared" si="33"/>
        <v>#REF!</v>
      </c>
    </row>
    <row r="73">
      <c r="H73" s="297" t="s">
        <v>821</v>
      </c>
      <c r="I73" s="297" t="n">
        <f>I66/I64</f>
        <v>1.4142156862745099</v>
      </c>
      <c r="J73" s="297" t="n">
        <f t="shared" ref="J73:K73" si="34">J66/J64</f>
        <v>1.3356273160402328</v>
      </c>
      <c r="K73" s="297"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I26" sqref="I26"/>
    </sheetView>
  </sheetViews>
  <sheetFormatPr defaultRowHeight="15.0" baseColWidth="10"/>
  <cols>
    <col min="2" max="2" width="38.81640625" hidden="0" customWidth="1"/>
    <col min="3" max="3" width="10.453125" hidden="0" customWidth="1"/>
    <col min="4" max="4" width="10.453125" hidden="0" customWidth="1"/>
    <col min="5" max="5" width="10.453125" hidden="0" customWidth="1"/>
    <col min="6" max="6" width="10.453125" hidden="0" customWidth="1"/>
    <col min="7" max="7" width="10.453125" hidden="0" customWidth="1"/>
    <col min="8" max="8" width="10.453125" hidden="0" customWidth="1"/>
    <col min="9" max="9" width="10.453125" hidden="0" customWidth="1"/>
    <col min="10" max="10" width="7.1796875" hidden="0" customWidth="1"/>
    <col min="11" max="11" width="7.1796875" hidden="0" customWidth="1"/>
    <col min="12" max="12" width="7.1796875" hidden="0" customWidth="1"/>
    <col min="13" max="13" width="7.1796875" hidden="0" customWidth="1"/>
    <col min="14" max="14" width="7.1796875" hidden="0" customWidth="1"/>
    <col min="15" max="15" width="7.1796875" hidden="0" customWidth="1"/>
    <col min="16" max="16" width="7.1796875" hidden="0" customWidth="1"/>
    <col min="17" max="17" width="7.1796875" hidden="0" customWidth="1"/>
    <col min="18" max="18" width="7.1796875" hidden="0" customWidth="1"/>
    <col min="19" max="19" width="7.1796875" hidden="0" customWidth="1"/>
    <col min="20" max="20" width="7.1796875" hidden="0" customWidth="1"/>
    <col min="21" max="21" width="22.1796875" hidden="0" customWidth="1"/>
    <col min="22" max="22" width="11.81640625" hidden="0" customWidth="1"/>
  </cols>
  <sheetData>
    <row r="1">
      <c r="B1" s="99" t="s">
        <v>152</v>
      </c>
      <c r="C1" s="99"/>
      <c r="D1" s="99"/>
      <c r="E1" s="99"/>
      <c r="F1" s="99"/>
      <c r="G1" s="99"/>
      <c r="H1" s="99"/>
      <c r="I1" s="99"/>
      <c r="J1" s="99"/>
      <c r="K1" s="99"/>
      <c r="L1" s="99"/>
      <c r="M1" s="99"/>
      <c r="N1" s="99"/>
      <c r="O1" s="99"/>
      <c r="P1" s="99"/>
      <c r="Q1" s="99"/>
      <c r="R1" s="99"/>
      <c r="S1" s="99"/>
      <c r="T1" s="99"/>
    </row>
    <row r="2">
      <c r="B2" s="37" t="s">
        <v>857</v>
      </c>
      <c r="C2" s="37"/>
      <c r="D2" s="37"/>
      <c r="E2" s="37"/>
      <c r="F2" s="37"/>
      <c r="G2" s="37"/>
      <c r="H2" s="37"/>
      <c r="I2" s="37"/>
      <c r="J2" s="37"/>
      <c r="K2" s="37"/>
      <c r="L2" s="37"/>
      <c r="M2" s="37"/>
      <c r="N2" s="37"/>
      <c r="O2" s="37"/>
      <c r="P2" s="37"/>
      <c r="Q2" s="37"/>
      <c r="R2" s="37"/>
      <c r="S2" s="37"/>
      <c r="T2" s="37"/>
    </row>
    <row r="3">
      <c r="B3" s="37"/>
      <c r="C3" s="37"/>
      <c r="D3" s="37"/>
      <c r="E3" s="37"/>
      <c r="F3" s="37"/>
      <c r="G3" s="37"/>
      <c r="H3" s="37"/>
      <c r="I3" s="37"/>
      <c r="J3" s="37"/>
      <c r="K3" s="37"/>
      <c r="L3" s="37"/>
      <c r="M3" s="37"/>
      <c r="N3" s="37"/>
      <c r="O3" s="37"/>
      <c r="P3" s="37"/>
      <c r="Q3" s="37"/>
      <c r="R3" s="37"/>
      <c r="S3" s="37"/>
      <c r="T3" s="37"/>
    </row>
    <row r="4">
      <c r="B4" s="37"/>
      <c r="C4" s="37"/>
      <c r="D4" s="37"/>
      <c r="E4" s="37"/>
      <c r="F4" s="37"/>
      <c r="G4" s="37"/>
      <c r="H4" s="37"/>
      <c r="I4" s="37"/>
      <c r="J4" s="37"/>
      <c r="K4" s="37"/>
      <c r="L4" s="37"/>
      <c r="M4" s="37"/>
      <c r="N4" s="37"/>
      <c r="O4" s="37"/>
      <c r="P4" s="37"/>
      <c r="Q4" s="37"/>
      <c r="R4" s="37"/>
      <c r="S4" s="37"/>
      <c r="T4" s="37"/>
    </row>
    <row r="5">
      <c r="B5" s="37"/>
      <c r="C5" s="37"/>
      <c r="D5" s="37"/>
      <c r="E5" s="37"/>
      <c r="F5" s="37"/>
      <c r="G5" s="37"/>
      <c r="H5" s="37"/>
      <c r="I5" s="37"/>
      <c r="J5" s="37"/>
      <c r="K5" s="37"/>
      <c r="L5" s="37"/>
      <c r="M5" s="37"/>
      <c r="N5" s="37"/>
      <c r="O5" s="37"/>
      <c r="P5" s="37"/>
      <c r="Q5" s="37"/>
      <c r="R5" s="37"/>
      <c r="S5" s="37"/>
      <c r="T5" s="37"/>
    </row>
    <row r="6">
      <c r="B6" s="37"/>
      <c r="C6" s="37"/>
      <c r="D6" s="37"/>
      <c r="E6" s="37"/>
      <c r="F6" s="37"/>
      <c r="G6" s="37"/>
      <c r="H6" s="37"/>
      <c r="I6" s="37"/>
      <c r="J6" s="37"/>
      <c r="K6" s="37"/>
      <c r="L6" s="37"/>
      <c r="M6" s="37"/>
      <c r="N6" s="37"/>
      <c r="O6" s="37"/>
      <c r="P6" s="37"/>
      <c r="Q6" s="37"/>
      <c r="R6" s="37"/>
      <c r="S6" s="37"/>
      <c r="T6" s="37"/>
    </row>
    <row r="7">
      <c r="J7" s="243"/>
      <c r="K7" s="243"/>
      <c r="M7" s="243"/>
    </row>
    <row r="9" ht="14.9" customHeight="1">
      <c r="A9" s="742"/>
      <c r="B9" s="1146" t="s">
        <v>304</v>
      </c>
      <c r="C9" s="1147"/>
      <c r="D9" s="1163" t="n">
        <v>2018</v>
      </c>
      <c r="E9" s="1152" t="n">
        <v>2019</v>
      </c>
      <c r="F9" s="1153"/>
      <c r="G9" s="1153"/>
      <c r="H9" s="1154"/>
      <c r="I9" s="1150" t="n">
        <v>2020</v>
      </c>
      <c r="J9" s="1151"/>
      <c r="K9" s="1151"/>
      <c r="L9" s="1151"/>
      <c r="M9" s="1155" t="n">
        <v>2021</v>
      </c>
      <c r="N9" s="1156"/>
      <c r="O9" s="1156"/>
      <c r="P9" s="1157"/>
      <c r="Q9" s="1150" t="n">
        <v>2022</v>
      </c>
      <c r="R9" s="1158"/>
      <c r="S9" s="1158"/>
      <c r="T9" s="1159"/>
    </row>
    <row r="10">
      <c r="B10" s="1148"/>
      <c r="C10" s="1149"/>
      <c r="D10" s="1167" t="s">
        <v>282</v>
      </c>
      <c r="E10" s="1168" t="s">
        <v>283</v>
      </c>
      <c r="F10" s="780" t="s">
        <v>284</v>
      </c>
      <c r="G10" s="780" t="s">
        <v>238</v>
      </c>
      <c r="H10" s="1169" t="s">
        <v>282</v>
      </c>
      <c r="I10" s="1168" t="s">
        <v>283</v>
      </c>
      <c r="J10" s="780" t="s">
        <v>284</v>
      </c>
      <c r="K10" s="780" t="s">
        <v>238</v>
      </c>
      <c r="L10" s="780" t="s">
        <v>282</v>
      </c>
      <c r="M10" s="259" t="s">
        <v>283</v>
      </c>
      <c r="N10" s="260" t="s">
        <v>284</v>
      </c>
      <c r="O10" s="260" t="s">
        <v>238</v>
      </c>
      <c r="P10" s="261" t="s">
        <v>282</v>
      </c>
      <c r="Q10" s="780" t="s">
        <v>283</v>
      </c>
      <c r="R10" s="780" t="s">
        <v>284</v>
      </c>
      <c r="S10" s="780" t="s">
        <v>238</v>
      </c>
      <c r="T10" s="1169" t="s">
        <v>282</v>
      </c>
    </row>
    <row r="11" ht="29.15" customHeight="1">
      <c r="A11" s="1161"/>
      <c r="B11" s="1171" t="s">
        <v>139</v>
      </c>
      <c r="C11" s="1166" t="s">
        <v>305</v>
      </c>
      <c r="D11" s="1141"/>
      <c r="E11" s="1142"/>
      <c r="F11" s="1142"/>
      <c r="G11" s="1142"/>
      <c r="H11" s="1142"/>
      <c r="I11" s="1142"/>
      <c r="J11" s="1173" t="n">
        <f>'Haver Pivoted'!GU48</f>
        <v>160.9</v>
      </c>
      <c r="K11" s="1173" t="n">
        <f>'Haver Pivoted'!GV48</f>
        <v>58.4</v>
      </c>
      <c r="L11" s="1173" t="n">
        <f>'Haver Pivoted'!GW48</f>
        <v>34.5</v>
      </c>
      <c r="M11" s="1173" t="n">
        <f>'Haver Pivoted'!GX48</f>
        <v>21.4</v>
      </c>
      <c r="N11" s="1173" t="n">
        <f>'Haver Pivoted'!GY48</f>
        <v>13.3</v>
      </c>
      <c r="O11" s="1173" t="n">
        <f>'Haver Pivoted'!GZ48</f>
        <v>18.7</v>
      </c>
      <c r="P11" s="1173" t="n">
        <f>'Haver Pivoted'!HA48</f>
        <v>32.200000000000003</v>
      </c>
      <c r="Q11" s="1173" t="n">
        <f>'Haver Pivoted'!HB48</f>
        <v>26.9</v>
      </c>
      <c r="R11" s="1173" t="n">
        <f>'Haver Pivoted'!HC48</f>
        <v>20</v>
      </c>
      <c r="S11" s="1140" t="n">
        <f>'Haver Pivoted'!HD48</f>
        <v>8.1</v>
      </c>
      <c r="T11" s="1174" t="n">
        <f>'Haver Pivoted'!HE48</f>
        <v>4.9000000000000004</v>
      </c>
    </row>
    <row r="12" ht="29.15" customHeight="1">
      <c r="A12" s="1161"/>
      <c r="B12" s="1145" t="s">
        <v>306</v>
      </c>
      <c r="C12" s="233" t="s">
        <v>307</v>
      </c>
      <c r="D12" s="1145"/>
      <c r="E12" s="233"/>
      <c r="F12" s="233"/>
      <c r="G12" s="233"/>
      <c r="H12" s="233"/>
      <c r="I12" s="233"/>
      <c r="J12" s="1175" t="n">
        <f>'Haver Pivoted'!GU58</f>
        <v>64.400000000000006</v>
      </c>
      <c r="K12" s="1175" t="n">
        <f>'Haver Pivoted'!GV58</f>
        <v>23.4</v>
      </c>
      <c r="L12" s="1175" t="n">
        <f>'Haver Pivoted'!GW58</f>
        <v>13.8</v>
      </c>
      <c r="M12" s="1175" t="n">
        <f>'Haver Pivoted'!GX58</f>
        <v>12</v>
      </c>
      <c r="N12" s="1175" t="n">
        <f>'Haver Pivoted'!GY58</f>
        <v>7.5</v>
      </c>
      <c r="O12" s="1175" t="n">
        <f>'Haver Pivoted'!GZ58</f>
        <v>10.5</v>
      </c>
      <c r="P12" s="1175" t="n">
        <f>'Haver Pivoted'!HA58</f>
        <v>18</v>
      </c>
      <c r="Q12" s="1175" t="n">
        <f>'Haver Pivoted'!HB58</f>
        <v>15</v>
      </c>
      <c r="R12" s="1175" t="n">
        <f>'Haver Pivoted'!HC58</f>
        <v>11.2</v>
      </c>
      <c r="S12" s="1139" t="n">
        <f>'Haver Pivoted'!HD58</f>
        <v>7.5</v>
      </c>
      <c r="T12" s="1143" t="n">
        <f>'Haver Pivoted'!HE58</f>
        <v>6.2</v>
      </c>
    </row>
    <row r="13" ht="47.15" customHeight="1">
      <c r="A13" s="1161"/>
      <c r="B13" s="1145" t="s">
        <v>308</v>
      </c>
      <c r="C13" s="233" t="s">
        <v>309</v>
      </c>
      <c r="D13" s="1145"/>
      <c r="E13" s="233"/>
      <c r="F13" s="233"/>
      <c r="G13" s="233"/>
      <c r="H13" s="233"/>
      <c r="I13" s="233"/>
      <c r="J13" s="1175" t="n">
        <f>'Haver Pivoted'!GU54</f>
        <v>96.6</v>
      </c>
      <c r="K13" s="1175" t="n">
        <f>'Haver Pivoted'!GV54</f>
        <v>35.1</v>
      </c>
      <c r="L13" s="1175" t="n">
        <f>'Haver Pivoted'!GW54</f>
        <v>20.7</v>
      </c>
      <c r="M13" s="1175" t="n">
        <f>'Haver Pivoted'!GX54</f>
        <v>15.4</v>
      </c>
      <c r="N13" s="1175" t="n">
        <f>'Haver Pivoted'!GY54</f>
        <v>9.6</v>
      </c>
      <c r="O13" s="1175" t="n">
        <f>'Haver Pivoted'!GZ54</f>
        <v>13.5</v>
      </c>
      <c r="P13" s="1175" t="n">
        <f>'Haver Pivoted'!HA54</f>
        <v>23.2</v>
      </c>
      <c r="Q13" s="1175" t="n">
        <f>'Haver Pivoted'!HB54</f>
        <v>19.3</v>
      </c>
      <c r="R13" s="1175" t="n">
        <f>'Haver Pivoted'!HC54</f>
        <v>14.4</v>
      </c>
      <c r="S13" s="1139" t="n">
        <f>'Haver Pivoted'!HD54</f>
        <v>5.9</v>
      </c>
      <c r="T13" s="1143" t="n">
        <f>'Haver Pivoted'!HE54</f>
        <v>3.6</v>
      </c>
      <c r="U13" s="1176" t="s">
        <v>310</v>
      </c>
      <c r="V13" s="1164" t="s">
        <v>311</v>
      </c>
    </row>
    <row r="14">
      <c r="B14" s="69" t="s">
        <v>312</v>
      </c>
      <c r="C14" s="71"/>
      <c r="D14" s="69"/>
      <c r="E14" s="71"/>
      <c r="F14" s="71"/>
      <c r="G14" s="71"/>
      <c r="H14" s="71"/>
      <c r="I14" s="71"/>
      <c r="J14" s="1175" t="n">
        <f t="shared" ref="J14:T14" si="0">J13+J12+J11</f>
        <v>321.89999999999998</v>
      </c>
      <c r="K14" s="1175" t="n">
        <f t="shared" si="0"/>
        <v>116.9</v>
      </c>
      <c r="L14" s="1175" t="n">
        <f t="shared" si="0"/>
        <v>69</v>
      </c>
      <c r="M14" s="1175" t="n">
        <f t="shared" si="0"/>
        <v>48.8</v>
      </c>
      <c r="N14" s="1175" t="n">
        <f t="shared" si="0"/>
        <v>30.400000000000002</v>
      </c>
      <c r="O14" s="1175" t="n">
        <f t="shared" si="0"/>
        <v>42.7</v>
      </c>
      <c r="P14" s="1175" t="n">
        <f t="shared" si="0"/>
        <v>73.400000000000006</v>
      </c>
      <c r="Q14" s="1175" t="n">
        <f t="shared" si="0"/>
        <v>61.199999999999996</v>
      </c>
      <c r="R14" s="1175" t="n">
        <f t="shared" si="0"/>
        <v>45.6</v>
      </c>
      <c r="S14" s="1139" t="n">
        <f t="shared" si="0"/>
        <v>21.5</v>
      </c>
      <c r="T14" s="1143" t="n">
        <f t="shared" si="0"/>
        <v>14.700000000000001</v>
      </c>
      <c r="U14" s="1177" t="n">
        <v>236</v>
      </c>
      <c r="V14" s="1170" t="n">
        <f>SUM(J14:S14)/4</f>
        <v>207.85</v>
      </c>
    </row>
    <row r="15">
      <c r="B15" s="1160" t="s">
        <v>313</v>
      </c>
      <c r="C15" s="73"/>
      <c r="D15" s="1160"/>
      <c r="E15" s="73"/>
      <c r="F15" s="73"/>
      <c r="G15" s="73"/>
      <c r="H15" s="73"/>
      <c r="I15" s="73"/>
      <c r="J15" s="742" t="n">
        <f t="shared" ref="J15:N17" si="1">J11/J$14</f>
        <v>0.49984467225846541</v>
      </c>
      <c r="K15" s="742" t="n">
        <f t="shared" si="1"/>
        <v>0.49957228400342168</v>
      </c>
      <c r="L15" s="742" t="n">
        <f t="shared" si="1"/>
        <v>0.5</v>
      </c>
      <c r="M15" s="742" t="n">
        <f t="shared" si="1"/>
        <v>0.43852459016393441</v>
      </c>
      <c r="N15" s="742" t="n">
        <f t="shared" si="1"/>
        <v>0.4375</v>
      </c>
      <c r="O15" s="742" t="n">
        <f>O11/O$14</f>
        <v>0.43793911007025754</v>
      </c>
      <c r="P15" s="742" t="n">
        <f t="shared" ref="P15:T15" si="2">P11/P$14</f>
        <v>0.43869209809264303</v>
      </c>
      <c r="Q15" s="742" t="n">
        <f t="shared" si="2"/>
        <v>0.43954248366013071</v>
      </c>
      <c r="R15" s="742" t="n">
        <f t="shared" si="2"/>
        <v>0.43859649122807015</v>
      </c>
      <c r="S15" s="780" t="n">
        <f t="shared" si="2"/>
        <v>0.37674418604651161</v>
      </c>
      <c r="T15" s="1169" t="n">
        <f t="shared" si="2"/>
        <v>0.33333333333333331</v>
      </c>
    </row>
    <row r="16">
      <c r="B16" s="1160" t="s">
        <v>314</v>
      </c>
      <c r="C16" s="73"/>
      <c r="D16" s="1160"/>
      <c r="E16" s="73"/>
      <c r="F16" s="73"/>
      <c r="G16" s="73"/>
      <c r="H16" s="73"/>
      <c r="I16" s="73"/>
      <c r="J16" s="742" t="n">
        <f t="shared" si="1"/>
        <v>0.20006213109661389</v>
      </c>
      <c r="K16" s="742" t="n">
        <f t="shared" si="1"/>
        <v>0.20017108639863129</v>
      </c>
      <c r="L16" s="742" t="n">
        <f t="shared" si="1"/>
        <v>0.2</v>
      </c>
      <c r="M16" s="742" t="n">
        <f t="shared" si="1"/>
        <v>0.24590163934426232</v>
      </c>
      <c r="N16" s="742" t="n">
        <f t="shared" si="1"/>
        <v>0.24671052631578946</v>
      </c>
      <c r="O16" s="742" t="n">
        <f t="shared" ref="O16:T16" si="3">O12/O$14</f>
        <v>0.24590163934426229</v>
      </c>
      <c r="P16" s="742" t="n">
        <f t="shared" si="3"/>
        <v>0.24523160762942778</v>
      </c>
      <c r="Q16" s="742" t="n">
        <f t="shared" si="3"/>
        <v>0.24509803921568629</v>
      </c>
      <c r="R16" s="742" t="n">
        <f t="shared" si="3"/>
        <v>0.24561403508771928</v>
      </c>
      <c r="S16" s="780" t="n">
        <f t="shared" si="3"/>
        <v>0.34883720930232559</v>
      </c>
      <c r="T16" s="1169" t="n">
        <f t="shared" si="3"/>
        <v>0.42176870748299317</v>
      </c>
      <c r="U16" s="393"/>
    </row>
    <row r="17">
      <c r="B17" s="1162" t="s">
        <v>315</v>
      </c>
      <c r="C17" s="1165"/>
      <c r="D17" s="1162"/>
      <c r="E17" s="1165"/>
      <c r="F17" s="1165"/>
      <c r="G17" s="1165"/>
      <c r="H17" s="1165"/>
      <c r="I17" s="1165"/>
      <c r="J17" s="762" t="n">
        <f t="shared" si="1"/>
        <v>0.30009319664492079</v>
      </c>
      <c r="K17" s="762" t="n">
        <f t="shared" si="1"/>
        <v>0.30025662959794697</v>
      </c>
      <c r="L17" s="762" t="n">
        <f t="shared" si="1"/>
        <v>0.3</v>
      </c>
      <c r="M17" s="762" t="n">
        <f t="shared" si="1"/>
        <v>0.3155737704918033</v>
      </c>
      <c r="N17" s="762" t="n">
        <f t="shared" si="1"/>
        <v>0.31578947368421051</v>
      </c>
      <c r="O17" s="762" t="n">
        <f t="shared" ref="O17:T17" si="4">O13/O$14</f>
        <v>0.31615925058548006</v>
      </c>
      <c r="P17" s="762" t="n">
        <f t="shared" si="4"/>
        <v>0.3160762942779291</v>
      </c>
      <c r="Q17" s="762" t="n">
        <f t="shared" si="4"/>
        <v>0.31535947712418305</v>
      </c>
      <c r="R17" s="762" t="n">
        <f t="shared" si="4"/>
        <v>0.31578947368421051</v>
      </c>
      <c r="S17" s="1172" t="n">
        <f t="shared" si="4"/>
        <v>0.2744186046511628</v>
      </c>
      <c r="T17" s="1144" t="n">
        <f t="shared" si="4"/>
        <v>0.24489795918367346</v>
      </c>
    </row>
    <row r="18">
      <c r="B18" s="73"/>
      <c r="C18" s="73"/>
      <c r="D18" s="73"/>
      <c r="E18" s="73"/>
      <c r="F18" s="73"/>
      <c r="G18" s="73"/>
      <c r="H18" s="73"/>
      <c r="I18" s="73"/>
      <c r="J18" s="742"/>
      <c r="K18" s="742"/>
      <c r="L18" s="742"/>
      <c r="M18" s="742"/>
      <c r="N18" s="742"/>
      <c r="O18" s="742"/>
    </row>
    <row r="19" ht="15.75" customHeight="1"/>
    <row r="21" ht="30" customHeight="1"/>
    <row r="22" ht="27" customHeight="1">
      <c r="M22" s="85"/>
      <c r="N22" s="85"/>
      <c r="O22" s="85"/>
      <c r="P22" s="34"/>
      <c r="Q22" s="34"/>
      <c r="R22" s="34"/>
      <c r="S22" s="34"/>
      <c r="T22" s="34"/>
      <c r="U22" s="85"/>
    </row>
    <row r="23" ht="31.5" customHeight="1">
      <c r="M23" s="85"/>
      <c r="N23" s="85"/>
      <c r="O23" s="85"/>
      <c r="P23" s="34"/>
      <c r="Q23" s="34"/>
      <c r="R23" s="34"/>
      <c r="S23" s="34"/>
      <c r="T23" s="34"/>
      <c r="U23" s="85"/>
    </row>
    <row r="24" ht="24.65" customHeight="1">
      <c r="M24" s="85"/>
      <c r="N24" s="85"/>
      <c r="O24" s="85"/>
      <c r="P24" s="34"/>
      <c r="Q24" s="34"/>
      <c r="R24" s="34"/>
      <c r="S24" s="34"/>
      <c r="T24" s="34"/>
      <c r="U24" s="85"/>
    </row>
    <row r="25">
      <c r="M25" s="85"/>
      <c r="N25" s="85"/>
      <c r="O25" s="85"/>
      <c r="P25" s="85"/>
      <c r="Q25" s="85"/>
      <c r="R25" s="85"/>
      <c r="S25" s="85"/>
      <c r="T25" s="85"/>
      <c r="U25" s="85"/>
    </row>
    <row r="26">
      <c r="M26" s="85"/>
      <c r="N26" s="85"/>
      <c r="O26" s="85"/>
      <c r="P26" s="85"/>
      <c r="Q26" s="85"/>
      <c r="R26" s="85"/>
      <c r="S26" s="85"/>
      <c r="T26" s="85"/>
      <c r="U26" s="85"/>
    </row>
    <row r="27">
      <c r="M27" s="85"/>
      <c r="N27" s="85"/>
      <c r="O27" s="85"/>
      <c r="P27" s="85"/>
      <c r="Q27" s="85"/>
      <c r="R27" s="85"/>
      <c r="S27" s="85"/>
      <c r="T27" s="85"/>
      <c r="U27" s="85"/>
    </row>
    <row r="28">
      <c r="M28" s="85"/>
      <c r="N28" s="85"/>
      <c r="O28" s="85"/>
      <c r="P28" s="85"/>
      <c r="Q28" s="85"/>
      <c r="R28" s="85"/>
      <c r="S28" s="85"/>
      <c r="T28" s="85"/>
      <c r="U28" s="85"/>
    </row>
    <row r="29">
      <c r="M29" s="85"/>
      <c r="N29" s="85"/>
      <c r="O29" s="85"/>
      <c r="P29" s="85"/>
      <c r="Q29" s="85"/>
      <c r="R29" s="85"/>
      <c r="S29" s="85"/>
      <c r="T29" s="85"/>
      <c r="U29" s="85"/>
    </row>
    <row r="30">
      <c r="M30" s="85"/>
      <c r="N30" s="85"/>
      <c r="O30" s="85"/>
      <c r="P30" s="85"/>
      <c r="Q30" s="85"/>
      <c r="R30" s="85"/>
      <c r="S30" s="85"/>
      <c r="T30" s="85"/>
      <c r="U30" s="85"/>
    </row>
    <row r="31">
      <c r="M31" s="85"/>
      <c r="N31" s="85"/>
      <c r="O31" s="85"/>
      <c r="P31" s="85"/>
      <c r="Q31" s="85"/>
      <c r="R31" s="85"/>
      <c r="S31" s="85"/>
      <c r="T31" s="85"/>
      <c r="U31" s="85"/>
    </row>
    <row r="32">
      <c r="M32" s="85"/>
      <c r="N32" s="85"/>
      <c r="O32" s="85"/>
      <c r="P32" s="85"/>
      <c r="Q32" s="85"/>
      <c r="R32" s="85"/>
      <c r="S32" s="85"/>
      <c r="T32" s="85"/>
      <c r="U32" s="85"/>
    </row>
    <row r="33">
      <c r="M33" s="85"/>
      <c r="N33" s="85"/>
      <c r="O33" s="85"/>
      <c r="P33" s="85"/>
      <c r="Q33" s="85"/>
      <c r="R33" s="85"/>
      <c r="S33" s="85"/>
      <c r="T33" s="85"/>
      <c r="U33" s="85"/>
    </row>
    <row r="34">
      <c r="M34" s="85"/>
      <c r="N34" s="85"/>
      <c r="O34" s="85"/>
      <c r="P34" s="85"/>
      <c r="Q34" s="85"/>
      <c r="R34" s="85"/>
      <c r="S34" s="85"/>
      <c r="T34" s="85"/>
      <c r="U34" s="85"/>
    </row>
    <row r="35">
      <c r="M35" s="85"/>
      <c r="N35" s="85"/>
      <c r="O35" s="85"/>
      <c r="P35" s="85"/>
      <c r="Q35" s="85"/>
      <c r="R35" s="85"/>
      <c r="S35" s="85"/>
      <c r="T35" s="85"/>
      <c r="U35" s="85"/>
    </row>
    <row r="36">
      <c r="M36" s="85"/>
      <c r="N36" s="85"/>
      <c r="O36" s="85"/>
      <c r="P36" s="85"/>
      <c r="Q36" s="85"/>
      <c r="R36" s="85"/>
      <c r="S36" s="85"/>
      <c r="T36" s="85"/>
      <c r="U36" s="85"/>
    </row>
    <row r="37">
      <c r="M37" s="85"/>
      <c r="N37" s="85"/>
      <c r="O37" s="85"/>
      <c r="P37" s="85"/>
      <c r="Q37" s="85"/>
      <c r="R37" s="85"/>
      <c r="S37" s="85"/>
      <c r="T37" s="85"/>
      <c r="U37" s="85"/>
    </row>
    <row r="38">
      <c r="M38" s="85"/>
      <c r="N38" s="85"/>
      <c r="O38" s="85"/>
      <c r="P38" s="85"/>
      <c r="Q38" s="85"/>
      <c r="R38" s="85"/>
      <c r="S38" s="85"/>
      <c r="T38" s="85"/>
      <c r="U38" s="85"/>
    </row>
    <row r="39">
      <c r="M39" s="85"/>
      <c r="N39" s="85"/>
      <c r="O39" s="85"/>
      <c r="P39" s="85"/>
      <c r="Q39" s="85"/>
      <c r="R39" s="85"/>
      <c r="S39" s="85"/>
      <c r="T39" s="85"/>
      <c r="U39" s="85"/>
    </row>
    <row r="40">
      <c r="M40" s="85"/>
      <c r="N40" s="85"/>
      <c r="O40" s="85"/>
      <c r="P40" s="85"/>
      <c r="Q40" s="85"/>
      <c r="R40" s="85"/>
      <c r="S40" s="85"/>
      <c r="T40" s="85"/>
      <c r="U40" s="85"/>
    </row>
    <row r="41">
      <c r="M41" s="85"/>
      <c r="N41" s="85"/>
      <c r="O41" s="85"/>
      <c r="P41" s="85"/>
      <c r="Q41" s="85"/>
      <c r="R41" s="85"/>
      <c r="S41" s="85"/>
      <c r="T41" s="85"/>
      <c r="U41" s="85"/>
    </row>
    <row r="42">
      <c r="M42" s="85"/>
      <c r="N42" s="85"/>
      <c r="O42" s="85"/>
      <c r="P42" s="85"/>
      <c r="Q42" s="85"/>
      <c r="R42" s="85"/>
      <c r="S42" s="85"/>
      <c r="T42" s="85"/>
      <c r="U42" s="85"/>
    </row>
    <row r="43">
      <c r="M43" s="85"/>
      <c r="N43" s="85"/>
      <c r="O43" s="85"/>
      <c r="P43" s="85"/>
      <c r="Q43" s="85"/>
      <c r="R43" s="85"/>
      <c r="S43" s="85"/>
      <c r="T43" s="85"/>
      <c r="U43" s="85"/>
    </row>
    <row r="44">
      <c r="M44" s="85"/>
      <c r="N44" s="85"/>
      <c r="O44" s="85"/>
      <c r="P44" s="85"/>
      <c r="Q44" s="85"/>
      <c r="R44" s="85"/>
      <c r="S44" s="85"/>
      <c r="T44" s="85"/>
      <c r="U44" s="85"/>
    </row>
    <row r="45">
      <c r="M45" s="85"/>
      <c r="N45" s="85"/>
      <c r="O45" s="85"/>
      <c r="P45" s="85"/>
      <c r="Q45" s="85"/>
      <c r="R45" s="85"/>
      <c r="S45" s="85"/>
      <c r="T45" s="85"/>
      <c r="U45" s="8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90" zoomScaleNormal="90" workbookViewId="0">
      <selection activeCell="T9" sqref="T9"/>
    </sheetView>
  </sheetViews>
  <sheetFormatPr defaultRowHeight="15.0" baseColWidth="10"/>
  <cols>
    <col min="1" max="1" width="6" hidden="0" customWidth="1"/>
    <col min="2" max="2" width="29.453125" hidden="0" customWidth="1"/>
    <col min="3" max="3" width="10.453125" hidden="0" customWidth="1"/>
    <col min="4" max="4" width="10.453125" hidden="0" customWidth="1"/>
    <col min="5" max="5" width="10.453125" hidden="0" customWidth="1"/>
    <col min="6" max="6" width="10.453125" hidden="0" customWidth="1"/>
    <col min="7" max="7" width="10.453125" hidden="0" customWidth="1"/>
  </cols>
  <sheetData>
    <row r="1">
      <c r="B1" s="257" t="s">
        <v>56</v>
      </c>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row>
    <row r="2" ht="14.9" customHeight="1">
      <c r="B2" s="258" t="s">
        <v>459</v>
      </c>
      <c r="C2" s="258"/>
      <c r="D2" s="258"/>
      <c r="E2" s="258"/>
      <c r="F2" s="258"/>
      <c r="G2" s="258"/>
      <c r="H2" s="258"/>
      <c r="I2" s="258"/>
      <c r="J2" s="258"/>
      <c r="K2" s="258"/>
      <c r="L2" s="258"/>
      <c r="M2" s="258"/>
      <c r="N2" s="258"/>
      <c r="O2" s="258"/>
      <c r="P2" s="258"/>
      <c r="Q2" s="258"/>
      <c r="R2" s="258"/>
      <c r="S2" s="258"/>
      <c r="T2" s="258"/>
      <c r="U2" s="258"/>
      <c r="V2" s="258"/>
      <c r="W2" s="258"/>
      <c r="X2" s="258"/>
      <c r="Y2" s="258"/>
      <c r="Z2" s="258"/>
      <c r="AA2" s="258"/>
      <c r="AB2" s="258"/>
      <c r="AC2" s="258"/>
    </row>
    <row r="3">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row>
    <row r="4">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row>
    <row r="5">
      <c r="B5" s="477"/>
      <c r="C5" s="297"/>
      <c r="D5" s="297"/>
      <c r="E5" s="297"/>
      <c r="F5" s="297"/>
      <c r="G5" s="297"/>
      <c r="H5" s="297"/>
      <c r="I5" s="297"/>
      <c r="J5" s="297"/>
      <c r="K5" s="297"/>
      <c r="L5" s="297"/>
      <c r="M5" s="297"/>
      <c r="N5" s="297"/>
      <c r="O5" s="297"/>
      <c r="P5" s="297"/>
      <c r="Q5" s="297"/>
      <c r="R5" s="297"/>
      <c r="S5" s="297"/>
      <c r="T5" s="297"/>
      <c r="U5" s="297"/>
      <c r="V5" s="297"/>
      <c r="W5" s="297"/>
      <c r="X5" s="297"/>
      <c r="Y5" s="297"/>
    </row>
    <row r="6">
      <c r="B6" s="262" t="s">
        <v>404</v>
      </c>
      <c r="C6" s="263"/>
      <c r="D6" s="348" t="s">
        <v>280</v>
      </c>
      <c r="E6" s="349"/>
      <c r="F6" s="349"/>
      <c r="G6" s="349"/>
      <c r="H6" s="349"/>
      <c r="I6" s="349"/>
      <c r="J6" s="349"/>
      <c r="K6" s="349"/>
      <c r="L6" s="349"/>
      <c r="M6" s="349"/>
      <c r="N6" s="349"/>
      <c r="O6" s="349"/>
      <c r="P6" s="349"/>
      <c r="Q6" s="593"/>
      <c r="R6" s="593"/>
      <c r="S6" s="593"/>
      <c r="T6" s="263"/>
      <c r="U6" s="352" t="s">
        <v>281</v>
      </c>
      <c r="V6" s="352"/>
      <c r="W6" s="352"/>
      <c r="X6" s="352"/>
      <c r="Y6" s="352"/>
      <c r="Z6" s="352"/>
      <c r="AA6" s="352"/>
      <c r="AB6" s="352"/>
      <c r="AC6" s="353"/>
    </row>
    <row r="7">
      <c r="B7" s="264"/>
      <c r="C7" s="265"/>
      <c r="D7" s="269" t="n">
        <v>2018</v>
      </c>
      <c r="E7" s="269" t="n">
        <v>2019</v>
      </c>
      <c r="F7" s="270"/>
      <c r="G7" s="270"/>
      <c r="H7" s="271"/>
      <c r="I7" s="269" t="n">
        <v>2020</v>
      </c>
      <c r="J7" s="270"/>
      <c r="K7" s="270"/>
      <c r="L7" s="270"/>
      <c r="M7" s="269" t="n">
        <v>2021</v>
      </c>
      <c r="N7" s="270"/>
      <c r="O7" s="270"/>
      <c r="P7" s="270"/>
      <c r="Q7" s="269" t="n">
        <v>2022</v>
      </c>
      <c r="R7" s="358"/>
      <c r="S7" s="358"/>
      <c r="T7" s="271"/>
      <c r="U7" s="268" t="n">
        <v>2023</v>
      </c>
      <c r="V7" s="347"/>
      <c r="W7" s="347"/>
      <c r="X7" s="347"/>
      <c r="Y7" s="255" t="n">
        <v>2024</v>
      </c>
      <c r="Z7" s="347"/>
      <c r="AA7" s="347"/>
      <c r="AB7" s="256"/>
      <c r="AC7" s="356" t="n">
        <v>2025</v>
      </c>
    </row>
    <row r="8">
      <c r="B8" s="266"/>
      <c r="C8" s="267"/>
      <c r="D8" s="259" t="s">
        <v>282</v>
      </c>
      <c r="E8" s="259" t="s">
        <v>283</v>
      </c>
      <c r="F8" s="260" t="s">
        <v>284</v>
      </c>
      <c r="G8" s="260" t="s">
        <v>238</v>
      </c>
      <c r="H8" s="261" t="s">
        <v>282</v>
      </c>
      <c r="I8" s="260" t="s">
        <v>283</v>
      </c>
      <c r="J8" s="260" t="s">
        <v>284</v>
      </c>
      <c r="K8" s="260" t="s">
        <v>238</v>
      </c>
      <c r="L8" s="260" t="s">
        <v>282</v>
      </c>
      <c r="M8" s="259" t="s">
        <v>283</v>
      </c>
      <c r="N8" s="260" t="s">
        <v>284</v>
      </c>
      <c r="O8" s="260" t="s">
        <v>238</v>
      </c>
      <c r="P8" s="260" t="s">
        <v>282</v>
      </c>
      <c r="Q8" s="259" t="s">
        <v>283</v>
      </c>
      <c r="R8" s="260" t="s">
        <v>284</v>
      </c>
      <c r="S8" s="260" t="s">
        <v>238</v>
      </c>
      <c r="T8" s="261" t="s">
        <v>282</v>
      </c>
      <c r="U8" s="406" t="s">
        <v>283</v>
      </c>
      <c r="V8" s="406" t="s">
        <v>284</v>
      </c>
      <c r="W8" s="406" t="s">
        <v>238</v>
      </c>
      <c r="X8" s="406" t="s">
        <v>282</v>
      </c>
      <c r="Y8" s="510" t="s">
        <v>283</v>
      </c>
      <c r="Z8" s="413" t="s">
        <v>284</v>
      </c>
      <c r="AA8" s="406" t="s">
        <v>238</v>
      </c>
      <c r="AB8" s="509" t="s">
        <v>282</v>
      </c>
      <c r="AC8" s="1069" t="s">
        <v>283</v>
      </c>
    </row>
    <row r="9">
      <c r="B9" s="670" t="s">
        <v>56</v>
      </c>
      <c r="C9" s="536" t="s">
        <v>460</v>
      </c>
      <c r="D9" s="670"/>
      <c r="E9" s="830"/>
      <c r="F9" s="830"/>
      <c r="G9" s="830"/>
      <c r="H9" s="830"/>
      <c r="I9" s="830"/>
      <c r="J9" s="373" t="n">
        <f>'Haver Pivoted'!GU45</f>
        <v>1078.0999999999999</v>
      </c>
      <c r="K9" s="373" t="n">
        <f>'Haver Pivoted'!GV45</f>
        <v>15.6</v>
      </c>
      <c r="L9" s="373" t="n">
        <f>'Haver Pivoted'!GW45</f>
        <v>5</v>
      </c>
      <c r="M9" s="373" t="n">
        <f>'Haver Pivoted'!GX45</f>
        <v>1933.7</v>
      </c>
      <c r="N9" s="373" t="n">
        <f>'Haver Pivoted'!GY45</f>
        <v>290.10000000000002</v>
      </c>
      <c r="O9" s="373" t="n">
        <f>'Haver Pivoted'!GZ45</f>
        <v>38.9</v>
      </c>
      <c r="P9" s="373" t="n">
        <f>'Haver Pivoted'!HA45</f>
        <v>14.2</v>
      </c>
      <c r="Q9" s="373" t="n">
        <f>'Haver Pivoted'!HB45</f>
        <v>0</v>
      </c>
      <c r="R9" s="373" t="n">
        <f>'Haver Pivoted'!HC45</f>
        <v>0</v>
      </c>
      <c r="S9" s="358" t="n">
        <f>'Haver Pivoted'!HD45</f>
        <v>0</v>
      </c>
      <c r="T9" s="271" t="n">
        <f>'Haver Pivoted'!HE45</f>
        <v>0</v>
      </c>
      <c r="U9" s="347"/>
      <c r="V9" s="347"/>
      <c r="W9" s="347"/>
      <c r="X9" s="347"/>
      <c r="Y9" s="347"/>
      <c r="Z9" s="347"/>
      <c r="AA9" s="347"/>
      <c r="AB9" s="347"/>
      <c r="AC9" s="256"/>
    </row>
    <row r="10">
      <c r="B10" s="688" t="s">
        <v>214</v>
      </c>
      <c r="C10" s="319"/>
      <c r="D10" s="688"/>
      <c r="E10" s="319"/>
      <c r="F10" s="319"/>
      <c r="G10" s="319"/>
      <c r="H10" s="319"/>
      <c r="I10" s="319"/>
      <c r="J10" s="743"/>
      <c r="K10" s="743"/>
      <c r="L10" s="743"/>
      <c r="M10" s="743" t="n">
        <f t="shared" ref="M10:T10" si="0">M9-M11</f>
        <v>1348.1</v>
      </c>
      <c r="N10" s="743" t="n">
        <f t="shared" si="0"/>
        <v>290.10000000000002</v>
      </c>
      <c r="O10" s="743" t="n">
        <f t="shared" si="0"/>
        <v>38.9</v>
      </c>
      <c r="P10" s="743" t="n">
        <f t="shared" si="0"/>
        <v>14.2</v>
      </c>
      <c r="Q10" s="743" t="n">
        <f t="shared" si="0"/>
        <v>0</v>
      </c>
      <c r="R10" s="743" t="n">
        <f t="shared" si="0"/>
        <v>0</v>
      </c>
      <c r="S10" s="1188" t="n">
        <f t="shared" si="0"/>
        <v>0</v>
      </c>
      <c r="T10" s="1178" t="n">
        <f t="shared" si="0"/>
        <v>0</v>
      </c>
      <c r="U10" s="1186"/>
      <c r="V10" s="1186"/>
      <c r="W10" s="1186"/>
      <c r="X10" s="1186"/>
      <c r="Y10" s="1186"/>
      <c r="Z10" s="1186"/>
      <c r="AA10" s="1186"/>
      <c r="AB10" s="1186"/>
      <c r="AC10" s="1187"/>
    </row>
    <row r="11">
      <c r="B11" s="634" t="s">
        <v>461</v>
      </c>
      <c r="C11" s="635"/>
      <c r="D11" s="634"/>
      <c r="E11" s="635"/>
      <c r="F11" s="635"/>
      <c r="G11" s="635"/>
      <c r="H11" s="635"/>
      <c r="I11" s="635"/>
      <c r="J11" s="763" t="n">
        <f t="shared" ref="J11:L11" si="1">J9-J10</f>
        <v>1078.0999999999999</v>
      </c>
      <c r="K11" s="763" t="n">
        <f t="shared" si="1"/>
        <v>15.6</v>
      </c>
      <c r="L11" s="763" t="n">
        <f t="shared" si="1"/>
        <v>5</v>
      </c>
      <c r="M11" s="763" t="n">
        <f>SUM(C17:D17)/12*4</f>
        <v>585.6</v>
      </c>
      <c r="N11" s="763" t="n">
        <v>0</v>
      </c>
      <c r="O11" s="763" t="n">
        <v>0</v>
      </c>
      <c r="P11" s="763" t="n">
        <v>0</v>
      </c>
      <c r="Q11" s="763" t="n">
        <v>0</v>
      </c>
      <c r="R11" s="763" t="n">
        <v>0</v>
      </c>
      <c r="S11" s="763" t="n">
        <v>0</v>
      </c>
      <c r="T11" s="1062"/>
      <c r="U11" s="1180"/>
      <c r="V11" s="1180"/>
      <c r="W11" s="1180"/>
      <c r="X11" s="1180"/>
      <c r="Y11" s="1180"/>
      <c r="Z11" s="1180"/>
      <c r="AA11" s="1180"/>
      <c r="AB11" s="1180"/>
      <c r="AC11" s="1181"/>
    </row>
    <row r="12">
      <c r="B12" s="297"/>
      <c r="C12" s="297"/>
      <c r="D12" s="297"/>
      <c r="E12" s="297"/>
      <c r="F12" s="297"/>
      <c r="G12" s="297"/>
      <c r="H12" s="297"/>
      <c r="I12" s="297"/>
      <c r="J12" s="297"/>
      <c r="K12" s="297"/>
      <c r="L12" s="297"/>
      <c r="M12" s="297"/>
      <c r="N12" s="297"/>
      <c r="O12" s="297"/>
      <c r="P12" s="297"/>
      <c r="Q12" s="297"/>
      <c r="R12" s="297"/>
      <c r="S12" s="297"/>
      <c r="T12" s="297"/>
      <c r="U12" s="297"/>
      <c r="V12" s="297"/>
      <c r="W12" s="297"/>
      <c r="X12" s="297"/>
      <c r="Y12" s="297"/>
      <c r="Z12" s="85"/>
      <c r="AA12" s="85"/>
      <c r="AB12" s="85"/>
      <c r="AC12" s="85"/>
    </row>
    <row r="13">
      <c r="A13" s="105"/>
      <c r="B13" s="105"/>
      <c r="C13" s="105"/>
      <c r="D13" s="105"/>
      <c r="E13" s="105"/>
      <c r="F13" s="105"/>
      <c r="G13" s="105"/>
      <c r="H13" s="105"/>
      <c r="I13" s="105"/>
      <c r="J13" s="105"/>
      <c r="K13" s="105"/>
      <c r="L13" s="212"/>
      <c r="M13" s="212"/>
      <c r="N13" s="212"/>
    </row>
    <row r="14">
      <c r="A14" s="105"/>
      <c r="N14" s="85"/>
    </row>
    <row r="15">
      <c r="A15" s="742"/>
      <c r="B15" s="1189" t="s">
        <v>462</v>
      </c>
      <c r="C15" s="1150" t="n">
        <v>2021</v>
      </c>
      <c r="D15" s="1151"/>
      <c r="E15" s="1151"/>
      <c r="F15" s="1151"/>
      <c r="G15" s="97"/>
      <c r="K15" s="742"/>
      <c r="L15" s="742"/>
      <c r="M15" s="85"/>
      <c r="N15" s="85"/>
    </row>
    <row r="16">
      <c r="B16" s="1190"/>
      <c r="C16" s="1183" t="s">
        <v>234</v>
      </c>
      <c r="D16" s="1172" t="s">
        <v>235</v>
      </c>
      <c r="E16" s="1172" t="s">
        <v>236</v>
      </c>
      <c r="F16" s="1172" t="s">
        <v>237</v>
      </c>
      <c r="G16" s="1179"/>
      <c r="H16" s="742"/>
      <c r="I16" s="742"/>
      <c r="J16" s="742"/>
      <c r="K16" s="742"/>
      <c r="L16" s="742"/>
      <c r="M16" s="742"/>
      <c r="N16" s="742"/>
    </row>
    <row r="17" ht="16.399999999999999" customHeight="1">
      <c r="B17" s="1182" t="s">
        <v>463</v>
      </c>
      <c r="C17" s="1184" t="n">
        <v>1660.9</v>
      </c>
      <c r="D17" s="1184" t="n">
        <v>95.9</v>
      </c>
      <c r="E17" s="1184" t="n">
        <v>4044.2</v>
      </c>
      <c r="F17" s="1185" t="n">
        <v>688</v>
      </c>
      <c r="G17" s="207"/>
      <c r="H17" s="207"/>
      <c r="I17" s="207"/>
      <c r="J17" s="207"/>
      <c r="K17" s="207"/>
      <c r="L17" s="207"/>
      <c r="M17" s="297"/>
      <c r="N17" s="297"/>
    </row>
    <row r="18">
      <c r="B18" s="1131" t="s">
        <v>464</v>
      </c>
      <c r="C18" s="297"/>
      <c r="D18" s="297"/>
      <c r="E18" s="297"/>
      <c r="F18" s="297"/>
      <c r="G18" s="297"/>
      <c r="H18" s="297"/>
      <c r="I18" s="297"/>
      <c r="J18" s="297"/>
      <c r="K18" s="297"/>
      <c r="L18" s="297"/>
      <c r="M18" s="297"/>
      <c r="N18" s="297"/>
    </row>
    <row r="19">
      <c r="B19" s="297"/>
      <c r="C19" s="297"/>
      <c r="D19" s="297"/>
      <c r="E19" s="297"/>
      <c r="F19" s="297"/>
      <c r="G19" s="297"/>
      <c r="H19" s="297"/>
      <c r="I19" s="297"/>
      <c r="J19" s="297"/>
      <c r="K19" s="297"/>
      <c r="L19" s="297"/>
      <c r="M19" s="297"/>
      <c r="N19" s="297"/>
    </row>
    <row r="20">
      <c r="B20" s="1131"/>
      <c r="C20" s="297"/>
      <c r="D20" s="297"/>
      <c r="E20" s="297"/>
      <c r="F20" s="297"/>
      <c r="G20" s="297"/>
      <c r="H20" s="297"/>
      <c r="I20" s="297"/>
      <c r="J20" s="297"/>
      <c r="K20" s="297"/>
      <c r="L20" s="297"/>
      <c r="M20" s="297"/>
      <c r="N20" s="297"/>
    </row>
    <row r="21">
      <c r="B21" s="297"/>
      <c r="C21" s="297"/>
      <c r="D21" s="297"/>
      <c r="E21" s="297"/>
      <c r="F21" s="297"/>
      <c r="G21" s="297"/>
      <c r="H21" s="297"/>
      <c r="I21" s="297"/>
      <c r="J21" s="297"/>
      <c r="K21" s="297"/>
      <c r="L21" s="297"/>
      <c r="M21" s="297"/>
      <c r="N21" s="297"/>
      <c r="O21" s="297"/>
      <c r="P21" s="297"/>
      <c r="Q21" s="297"/>
      <c r="R21" s="297"/>
      <c r="S21" s="297"/>
      <c r="T21" s="297"/>
      <c r="U21" s="297"/>
      <c r="V21" s="297"/>
      <c r="W21" s="297"/>
      <c r="X21" s="297"/>
      <c r="Y21" s="297"/>
      <c r="Z21" s="85"/>
      <c r="AA21" s="85"/>
      <c r="AB21" s="85"/>
      <c r="AC21" s="85"/>
    </row>
    <row r="22">
      <c r="B22" s="105"/>
      <c r="C22" s="105"/>
      <c r="D22" s="105"/>
      <c r="E22" s="105"/>
      <c r="F22" s="105"/>
      <c r="G22" s="105"/>
      <c r="H22" s="105"/>
      <c r="I22" s="105"/>
      <c r="J22" s="105"/>
      <c r="K22" s="105"/>
      <c r="L22" s="212"/>
      <c r="M22" s="212"/>
      <c r="N22" s="212"/>
    </row>
    <row r="23">
      <c r="B23" s="297"/>
      <c r="C23" s="297"/>
      <c r="D23" s="297"/>
      <c r="E23" s="297"/>
      <c r="F23" s="297"/>
      <c r="G23" s="297"/>
      <c r="H23" s="297"/>
      <c r="I23" s="297"/>
      <c r="J23" s="297"/>
      <c r="K23" s="297"/>
      <c r="L23" s="297"/>
      <c r="M23" s="297"/>
      <c r="N23" s="297"/>
      <c r="O23" s="297"/>
      <c r="P23" s="297"/>
      <c r="Q23" s="297"/>
      <c r="R23" s="297"/>
      <c r="S23" s="297"/>
      <c r="T23" s="297"/>
      <c r="U23" s="297"/>
      <c r="V23" s="297"/>
      <c r="W23" s="297"/>
      <c r="X23" s="297"/>
      <c r="Y23" s="297"/>
    </row>
    <row r="24">
      <c r="B24" s="297"/>
      <c r="C24" s="297"/>
      <c r="D24" s="297"/>
      <c r="E24" s="297"/>
      <c r="F24" s="297"/>
      <c r="G24" s="297"/>
      <c r="H24" s="297"/>
      <c r="I24" s="297"/>
      <c r="J24" s="297"/>
      <c r="K24" s="297"/>
      <c r="L24" s="297"/>
      <c r="M24" s="297"/>
      <c r="N24" s="297"/>
      <c r="O24" s="297"/>
      <c r="P24" s="297"/>
      <c r="Q24" s="297"/>
      <c r="R24" s="297"/>
      <c r="S24" s="297"/>
      <c r="T24" s="297"/>
      <c r="U24" s="297"/>
      <c r="V24" s="297"/>
      <c r="W24" s="297"/>
      <c r="X24" s="297"/>
      <c r="Y24" s="297"/>
    </row>
    <row r="25">
      <c r="B25" s="297"/>
      <c r="C25" s="297"/>
      <c r="D25" s="297"/>
      <c r="E25" s="297"/>
      <c r="F25" s="297"/>
      <c r="G25" s="297"/>
      <c r="H25" s="297"/>
      <c r="I25" s="297"/>
      <c r="J25" s="297"/>
      <c r="K25" s="297"/>
      <c r="L25" s="297"/>
      <c r="M25" s="297"/>
      <c r="N25" s="297"/>
      <c r="O25" s="297"/>
      <c r="P25" s="297"/>
      <c r="Q25" s="297"/>
      <c r="R25" s="297"/>
      <c r="S25" s="297"/>
      <c r="T25" s="297"/>
      <c r="U25" s="297"/>
      <c r="V25" s="297"/>
      <c r="W25" s="297"/>
      <c r="X25" s="297"/>
      <c r="Y25" s="297"/>
    </row>
    <row r="26">
      <c r="B26" s="297"/>
      <c r="C26" s="297"/>
      <c r="D26" s="297"/>
      <c r="E26" s="297"/>
      <c r="F26" s="297"/>
      <c r="G26" s="297"/>
      <c r="H26" s="297"/>
      <c r="I26" s="297"/>
      <c r="J26" s="297"/>
      <c r="K26" s="297"/>
      <c r="L26" s="297"/>
      <c r="M26" s="297"/>
      <c r="N26" s="297"/>
      <c r="O26" s="297"/>
      <c r="P26" s="297"/>
      <c r="Q26" s="297"/>
      <c r="R26" s="297"/>
      <c r="S26" s="297"/>
      <c r="T26" s="297"/>
      <c r="U26" s="297"/>
      <c r="V26" s="297"/>
      <c r="W26" s="297"/>
      <c r="X26" s="297"/>
      <c r="Y26" s="297"/>
    </row>
    <row r="27">
      <c r="B27" s="297"/>
      <c r="C27" s="297"/>
      <c r="D27" s="297"/>
      <c r="E27" s="297"/>
      <c r="F27" s="297"/>
      <c r="G27" s="297"/>
      <c r="H27" s="297"/>
      <c r="I27" s="297"/>
      <c r="J27" s="297"/>
      <c r="K27" s="297"/>
      <c r="L27" s="297"/>
      <c r="M27" s="297"/>
      <c r="N27" s="297"/>
      <c r="O27" s="297"/>
      <c r="P27" s="297"/>
      <c r="Q27" s="297"/>
      <c r="R27" s="297"/>
      <c r="S27" s="297"/>
      <c r="T27" s="297"/>
      <c r="U27" s="297"/>
      <c r="V27" s="297"/>
      <c r="W27" s="297"/>
      <c r="X27" s="297"/>
      <c r="Y27" s="297"/>
    </row>
    <row r="28">
      <c r="B28" s="297"/>
      <c r="C28" s="297"/>
      <c r="D28" s="297"/>
      <c r="E28" s="297"/>
      <c r="F28" s="297"/>
      <c r="G28" s="297"/>
      <c r="H28" s="297"/>
      <c r="I28" s="297"/>
      <c r="J28" s="297"/>
      <c r="K28" s="297"/>
      <c r="L28" s="297"/>
      <c r="M28" s="297"/>
      <c r="N28" s="297"/>
      <c r="O28" s="297"/>
      <c r="P28" s="297"/>
      <c r="Q28" s="297"/>
      <c r="R28" s="297"/>
      <c r="S28" s="297"/>
      <c r="T28" s="297"/>
      <c r="U28" s="297"/>
      <c r="V28" s="297"/>
      <c r="W28" s="297"/>
      <c r="X28" s="297"/>
      <c r="Y28" s="297"/>
    </row>
    <row r="29">
      <c r="B29" s="297"/>
      <c r="C29" s="297"/>
      <c r="D29" s="297"/>
      <c r="E29" s="297"/>
      <c r="F29" s="297"/>
      <c r="G29" s="297"/>
      <c r="H29" s="297"/>
      <c r="I29" s="297"/>
      <c r="J29" s="297"/>
      <c r="K29" s="297"/>
      <c r="L29" s="297"/>
      <c r="M29" s="297"/>
      <c r="N29" s="297"/>
      <c r="O29" s="297"/>
      <c r="P29" s="297"/>
      <c r="Q29" s="297"/>
      <c r="R29" s="297"/>
      <c r="S29" s="297"/>
      <c r="T29" s="297"/>
      <c r="U29" s="297"/>
      <c r="V29" s="297"/>
      <c r="W29" s="297"/>
      <c r="X29" s="297"/>
      <c r="Y29" s="297"/>
    </row>
    <row r="30">
      <c r="B30" s="297"/>
      <c r="C30" s="297"/>
      <c r="D30" s="297"/>
      <c r="E30" s="297"/>
      <c r="F30" s="297"/>
      <c r="G30" s="297"/>
      <c r="H30" s="297"/>
      <c r="I30" s="297"/>
      <c r="J30" s="297"/>
      <c r="K30" s="297"/>
      <c r="L30" s="297"/>
      <c r="M30" s="297"/>
      <c r="N30" s="297"/>
      <c r="O30" s="297"/>
      <c r="P30" s="297"/>
      <c r="Q30" s="297"/>
      <c r="R30" s="297"/>
      <c r="S30" s="297"/>
      <c r="T30" s="297"/>
      <c r="U30" s="297"/>
      <c r="V30" s="297"/>
      <c r="W30" s="297"/>
      <c r="X30" s="297"/>
      <c r="Y30" s="297"/>
    </row>
    <row r="31">
      <c r="B31" s="297"/>
      <c r="C31" s="297"/>
      <c r="D31" s="297"/>
      <c r="E31" s="297"/>
      <c r="F31" s="297"/>
      <c r="G31" s="297"/>
      <c r="H31" s="297"/>
      <c r="I31" s="297"/>
      <c r="J31" s="297"/>
      <c r="K31" s="297"/>
      <c r="L31" s="297"/>
      <c r="M31" s="297"/>
      <c r="N31" s="297"/>
      <c r="O31" s="297"/>
      <c r="P31" s="297"/>
      <c r="Q31" s="297"/>
      <c r="R31" s="297"/>
      <c r="S31" s="297"/>
      <c r="T31" s="297"/>
      <c r="U31" s="297"/>
      <c r="V31" s="297"/>
      <c r="W31" s="297"/>
      <c r="X31" s="297"/>
      <c r="Y31" s="297"/>
    </row>
    <row r="32">
      <c r="B32" s="297"/>
      <c r="C32" s="297"/>
      <c r="D32" s="297"/>
      <c r="E32" s="297"/>
      <c r="F32" s="297"/>
      <c r="G32" s="297"/>
      <c r="H32" s="297"/>
      <c r="I32" s="297"/>
      <c r="J32" s="297"/>
      <c r="K32" s="297"/>
      <c r="L32" s="297"/>
      <c r="M32" s="297"/>
      <c r="N32" s="297"/>
      <c r="O32" s="297"/>
      <c r="P32" s="297"/>
      <c r="Q32" s="297"/>
      <c r="R32" s="297"/>
      <c r="S32" s="297"/>
      <c r="T32" s="297"/>
      <c r="U32" s="297"/>
      <c r="V32" s="297"/>
      <c r="W32" s="297"/>
      <c r="X32" s="297"/>
      <c r="Y32" s="297"/>
    </row>
    <row r="33">
      <c r="B33" s="297"/>
      <c r="C33" s="297"/>
      <c r="D33" s="297"/>
      <c r="E33" s="297"/>
      <c r="F33" s="297"/>
      <c r="G33" s="297"/>
      <c r="H33" s="297"/>
      <c r="I33" s="297"/>
      <c r="J33" s="297"/>
      <c r="K33" s="297"/>
      <c r="L33" s="297"/>
      <c r="M33" s="297"/>
      <c r="N33" s="297"/>
      <c r="O33" s="297"/>
      <c r="P33" s="297"/>
      <c r="Q33" s="297"/>
      <c r="R33" s="297"/>
      <c r="S33" s="297"/>
      <c r="T33" s="297"/>
      <c r="U33" s="297"/>
      <c r="V33" s="297"/>
      <c r="W33" s="297"/>
      <c r="X33" s="297"/>
      <c r="Y33" s="297"/>
    </row>
    <row r="34">
      <c r="B34" s="297"/>
      <c r="C34" s="297"/>
      <c r="D34" s="297"/>
      <c r="E34" s="297"/>
      <c r="F34" s="297"/>
      <c r="G34" s="297"/>
      <c r="H34" s="297"/>
      <c r="I34" s="297"/>
      <c r="J34" s="297"/>
      <c r="K34" s="297"/>
      <c r="L34" s="297"/>
      <c r="M34" s="297"/>
      <c r="N34" s="297"/>
      <c r="O34" s="297"/>
      <c r="P34" s="297"/>
      <c r="Q34" s="297"/>
      <c r="R34" s="297"/>
      <c r="S34" s="297"/>
      <c r="T34" s="297"/>
      <c r="U34" s="297"/>
      <c r="V34" s="297"/>
      <c r="W34" s="297"/>
      <c r="X34" s="297"/>
      <c r="Y34" s="297"/>
    </row>
    <row r="35">
      <c r="B35" s="297"/>
      <c r="C35" s="297"/>
      <c r="D35" s="297"/>
      <c r="E35" s="297"/>
      <c r="F35" s="297"/>
      <c r="G35" s="297"/>
      <c r="H35" s="297"/>
      <c r="I35" s="297"/>
      <c r="J35" s="297"/>
      <c r="K35" s="297"/>
      <c r="L35" s="297"/>
      <c r="M35" s="297"/>
      <c r="N35" s="297"/>
      <c r="O35" s="297"/>
      <c r="P35" s="297"/>
      <c r="Q35" s="297"/>
      <c r="R35" s="297"/>
      <c r="S35" s="297"/>
      <c r="T35" s="297"/>
      <c r="U35" s="297"/>
      <c r="V35" s="297"/>
      <c r="W35" s="297"/>
      <c r="X35" s="297"/>
      <c r="Y35" s="297"/>
    </row>
    <row r="36">
      <c r="B36" s="297"/>
      <c r="C36" s="297"/>
      <c r="D36" s="297"/>
      <c r="E36" s="297"/>
      <c r="F36" s="297"/>
      <c r="G36" s="297"/>
      <c r="H36" s="297"/>
      <c r="I36" s="297"/>
      <c r="J36" s="297"/>
      <c r="K36" s="297"/>
      <c r="L36" s="297"/>
      <c r="M36" s="297"/>
      <c r="N36" s="297"/>
      <c r="O36" s="297"/>
      <c r="P36" s="297"/>
      <c r="Q36" s="297"/>
      <c r="R36" s="297"/>
      <c r="S36" s="297"/>
      <c r="T36" s="297"/>
      <c r="U36" s="297"/>
      <c r="V36" s="297"/>
      <c r="W36" s="297"/>
      <c r="X36" s="297"/>
      <c r="Y36" s="297"/>
    </row>
    <row r="37">
      <c r="B37" s="297"/>
      <c r="C37" s="297"/>
      <c r="D37" s="297"/>
      <c r="E37" s="297"/>
      <c r="F37" s="297"/>
      <c r="G37" s="297"/>
      <c r="H37" s="297"/>
      <c r="I37" s="297"/>
      <c r="J37" s="297"/>
      <c r="K37" s="297"/>
      <c r="L37" s="297"/>
      <c r="M37" s="297"/>
      <c r="N37" s="297"/>
      <c r="O37" s="297"/>
      <c r="P37" s="297"/>
      <c r="Q37" s="297"/>
      <c r="R37" s="297"/>
      <c r="S37" s="297"/>
      <c r="T37" s="297"/>
      <c r="U37" s="297"/>
      <c r="V37" s="297"/>
      <c r="W37" s="297"/>
      <c r="X37" s="297"/>
      <c r="Y37" s="297"/>
    </row>
    <row r="38">
      <c r="B38" s="297"/>
      <c r="C38" s="297"/>
      <c r="D38" s="297"/>
      <c r="E38" s="297"/>
      <c r="F38" s="297"/>
      <c r="G38" s="297"/>
      <c r="H38" s="297"/>
      <c r="I38" s="297"/>
      <c r="J38" s="297"/>
      <c r="K38" s="297"/>
      <c r="L38" s="297"/>
      <c r="M38" s="297"/>
      <c r="N38" s="297"/>
      <c r="O38" s="297"/>
      <c r="P38" s="297"/>
      <c r="Q38" s="297"/>
      <c r="R38" s="297"/>
      <c r="S38" s="297"/>
      <c r="T38" s="297"/>
      <c r="U38" s="297"/>
      <c r="V38" s="297"/>
      <c r="W38" s="297"/>
      <c r="X38" s="297"/>
      <c r="Y38" s="297"/>
    </row>
    <row r="39">
      <c r="B39" s="297"/>
      <c r="C39" s="297"/>
      <c r="D39" s="297"/>
      <c r="E39" s="297"/>
      <c r="F39" s="297"/>
      <c r="G39" s="297"/>
      <c r="H39" s="297"/>
      <c r="I39" s="297"/>
      <c r="J39" s="297"/>
      <c r="K39" s="297"/>
      <c r="L39" s="297"/>
      <c r="M39" s="297"/>
      <c r="N39" s="297"/>
      <c r="O39" s="297"/>
      <c r="P39" s="297"/>
      <c r="Q39" s="297"/>
      <c r="R39" s="297"/>
      <c r="S39" s="297"/>
      <c r="T39" s="297"/>
      <c r="U39" s="297"/>
      <c r="V39" s="297"/>
      <c r="W39" s="297"/>
      <c r="X39" s="297"/>
      <c r="Y39" s="297"/>
    </row>
    <row r="40">
      <c r="B40" s="297"/>
      <c r="C40" s="297"/>
      <c r="D40" s="297"/>
      <c r="E40" s="297"/>
      <c r="F40" s="297"/>
      <c r="G40" s="297"/>
      <c r="H40" s="297"/>
      <c r="I40" s="297"/>
      <c r="J40" s="297"/>
      <c r="K40" s="297"/>
      <c r="L40" s="297"/>
      <c r="M40" s="297"/>
      <c r="N40" s="297"/>
      <c r="O40" s="297"/>
      <c r="P40" s="297"/>
      <c r="Q40" s="297"/>
      <c r="R40" s="297"/>
      <c r="S40" s="297"/>
      <c r="T40" s="297"/>
      <c r="U40" s="297"/>
      <c r="V40" s="297"/>
      <c r="W40" s="297"/>
      <c r="X40" s="297"/>
      <c r="Y40" s="297"/>
    </row>
    <row r="41">
      <c r="B41" s="297"/>
      <c r="C41" s="297"/>
      <c r="D41" s="297"/>
      <c r="E41" s="297"/>
      <c r="F41" s="297"/>
      <c r="G41" s="297"/>
      <c r="H41" s="297"/>
      <c r="I41" s="297"/>
      <c r="J41" s="297"/>
      <c r="K41" s="297"/>
      <c r="L41" s="297"/>
      <c r="M41" s="297"/>
      <c r="N41" s="297"/>
      <c r="O41" s="297"/>
      <c r="P41" s="297"/>
      <c r="Q41" s="297"/>
      <c r="R41" s="297"/>
      <c r="S41" s="297"/>
      <c r="T41" s="297"/>
      <c r="U41" s="297"/>
      <c r="V41" s="297"/>
      <c r="W41" s="297"/>
      <c r="X41" s="297"/>
      <c r="Y41" s="297"/>
    </row>
    <row r="42">
      <c r="B42" s="297"/>
      <c r="C42" s="297"/>
      <c r="D42" s="297"/>
      <c r="E42" s="297"/>
      <c r="F42" s="297"/>
      <c r="G42" s="297"/>
      <c r="H42" s="297"/>
      <c r="I42" s="297"/>
      <c r="J42" s="297"/>
      <c r="K42" s="297"/>
      <c r="L42" s="297"/>
      <c r="M42" s="297"/>
      <c r="N42" s="297"/>
      <c r="O42" s="297"/>
      <c r="P42" s="297"/>
      <c r="Q42" s="297"/>
      <c r="R42" s="297"/>
      <c r="S42" s="297"/>
      <c r="T42" s="297"/>
      <c r="U42" s="297"/>
      <c r="V42" s="297"/>
      <c r="W42" s="297"/>
      <c r="X42" s="297"/>
      <c r="Y42" s="297"/>
    </row>
    <row r="43">
      <c r="B43" s="297"/>
      <c r="C43" s="297"/>
      <c r="D43" s="297"/>
      <c r="E43" s="297"/>
      <c r="F43" s="297"/>
      <c r="G43" s="297"/>
      <c r="H43" s="297"/>
      <c r="I43" s="297"/>
      <c r="J43" s="297"/>
      <c r="K43" s="297"/>
      <c r="L43" s="297"/>
      <c r="M43" s="297"/>
      <c r="N43" s="297"/>
      <c r="O43" s="297"/>
      <c r="P43" s="297"/>
      <c r="Q43" s="297"/>
      <c r="R43" s="297"/>
      <c r="S43" s="297"/>
      <c r="T43" s="297"/>
      <c r="U43" s="297"/>
      <c r="V43" s="297"/>
      <c r="W43" s="297"/>
      <c r="X43" s="297"/>
      <c r="Y43" s="297"/>
    </row>
    <row r="44">
      <c r="B44" s="297"/>
      <c r="C44" s="297"/>
      <c r="D44" s="297"/>
      <c r="E44" s="297"/>
      <c r="F44" s="297"/>
      <c r="G44" s="297"/>
      <c r="H44" s="297"/>
      <c r="I44" s="297"/>
      <c r="J44" s="297"/>
      <c r="K44" s="297"/>
      <c r="L44" s="297"/>
      <c r="M44" s="297"/>
      <c r="N44" s="297"/>
      <c r="O44" s="297"/>
      <c r="P44" s="297"/>
      <c r="Q44" s="297"/>
      <c r="R44" s="297"/>
      <c r="S44" s="297"/>
      <c r="T44" s="297"/>
      <c r="U44" s="297"/>
      <c r="V44" s="297"/>
      <c r="W44" s="297"/>
      <c r="X44" s="297"/>
      <c r="Y44" s="297"/>
    </row>
    <row r="45">
      <c r="B45" s="297"/>
      <c r="C45" s="297"/>
      <c r="D45" s="297"/>
      <c r="E45" s="297"/>
      <c r="F45" s="297"/>
      <c r="G45" s="297"/>
      <c r="H45" s="297"/>
      <c r="I45" s="297"/>
      <c r="J45" s="297"/>
      <c r="K45" s="297"/>
      <c r="L45" s="297"/>
      <c r="M45" s="297"/>
      <c r="N45" s="297"/>
      <c r="O45" s="297"/>
      <c r="P45" s="297"/>
      <c r="Q45" s="297"/>
      <c r="R45" s="297"/>
      <c r="S45" s="297"/>
      <c r="T45" s="297"/>
      <c r="U45" s="297"/>
      <c r="V45" s="297"/>
      <c r="W45" s="297"/>
      <c r="X45" s="297"/>
      <c r="Y45" s="297"/>
    </row>
    <row r="46">
      <c r="B46" s="297"/>
      <c r="C46" s="297"/>
      <c r="D46" s="297"/>
      <c r="E46" s="297"/>
      <c r="F46" s="297"/>
      <c r="G46" s="297"/>
      <c r="H46" s="297"/>
      <c r="I46" s="297"/>
      <c r="J46" s="297"/>
      <c r="K46" s="297"/>
      <c r="L46" s="297"/>
      <c r="M46" s="297"/>
      <c r="N46" s="297"/>
      <c r="O46" s="297"/>
      <c r="P46" s="297"/>
      <c r="Q46" s="297"/>
      <c r="R46" s="297"/>
      <c r="S46" s="297"/>
      <c r="T46" s="297"/>
      <c r="U46" s="297"/>
      <c r="V46" s="297"/>
      <c r="W46" s="297"/>
      <c r="X46" s="297"/>
      <c r="Y46" s="297"/>
    </row>
    <row r="47">
      <c r="B47" s="297"/>
      <c r="C47" s="297"/>
      <c r="D47" s="297"/>
      <c r="E47" s="297"/>
      <c r="F47" s="297"/>
      <c r="G47" s="297"/>
      <c r="H47" s="297"/>
      <c r="I47" s="297"/>
      <c r="J47" s="297"/>
      <c r="K47" s="297"/>
      <c r="L47" s="297"/>
      <c r="M47" s="297"/>
      <c r="N47" s="297"/>
      <c r="O47" s="297"/>
      <c r="P47" s="297"/>
      <c r="Q47" s="297"/>
      <c r="R47" s="297"/>
      <c r="S47" s="297"/>
      <c r="T47" s="297"/>
      <c r="U47" s="297"/>
      <c r="V47" s="297"/>
      <c r="W47" s="297"/>
      <c r="X47" s="297"/>
      <c r="Y47" s="297"/>
    </row>
    <row r="48">
      <c r="B48" s="297"/>
      <c r="C48" s="297"/>
      <c r="D48" s="297"/>
      <c r="E48" s="297"/>
      <c r="F48" s="297"/>
      <c r="G48" s="297"/>
      <c r="H48" s="297"/>
      <c r="I48" s="297"/>
      <c r="J48" s="297"/>
      <c r="K48" s="297"/>
      <c r="L48" s="297"/>
      <c r="M48" s="297"/>
      <c r="N48" s="297"/>
      <c r="O48" s="297"/>
      <c r="P48" s="297"/>
      <c r="Q48" s="297"/>
      <c r="R48" s="297"/>
      <c r="S48" s="297"/>
      <c r="T48" s="297"/>
      <c r="U48" s="297"/>
      <c r="V48" s="297"/>
      <c r="W48" s="297"/>
      <c r="X48" s="297"/>
      <c r="Y48" s="297"/>
    </row>
    <row r="49">
      <c r="B49" s="297"/>
      <c r="C49" s="297"/>
      <c r="D49" s="297"/>
      <c r="E49" s="297"/>
      <c r="F49" s="297"/>
      <c r="G49" s="297"/>
      <c r="H49" s="297"/>
      <c r="I49" s="297"/>
      <c r="J49" s="297"/>
      <c r="K49" s="297"/>
      <c r="L49" s="297"/>
      <c r="M49" s="297"/>
      <c r="N49" s="297"/>
      <c r="O49" s="297"/>
      <c r="P49" s="297"/>
      <c r="Q49" s="297"/>
      <c r="R49" s="297"/>
      <c r="S49" s="297"/>
      <c r="T49" s="297"/>
      <c r="U49" s="297"/>
      <c r="V49" s="297"/>
      <c r="W49" s="297"/>
      <c r="X49" s="297"/>
      <c r="Y49" s="297"/>
    </row>
    <row r="50">
      <c r="B50" s="297"/>
      <c r="C50" s="297"/>
      <c r="D50" s="297"/>
      <c r="E50" s="297"/>
      <c r="F50" s="297"/>
      <c r="G50" s="297"/>
      <c r="H50" s="297"/>
      <c r="I50" s="297"/>
      <c r="J50" s="297"/>
      <c r="K50" s="297"/>
      <c r="L50" s="297"/>
      <c r="M50" s="297"/>
      <c r="N50" s="297"/>
      <c r="O50" s="297"/>
      <c r="P50" s="297"/>
      <c r="Q50" s="297"/>
      <c r="R50" s="297"/>
      <c r="S50" s="297"/>
      <c r="T50" s="297"/>
      <c r="U50" s="297"/>
      <c r="V50" s="297"/>
      <c r="W50" s="297"/>
      <c r="X50" s="297"/>
      <c r="Y50" s="297"/>
    </row>
    <row r="51">
      <c r="B51" s="297"/>
      <c r="C51" s="297"/>
      <c r="D51" s="297"/>
      <c r="E51" s="297"/>
      <c r="F51" s="297"/>
      <c r="G51" s="297"/>
      <c r="H51" s="297"/>
      <c r="I51" s="297"/>
      <c r="J51" s="297"/>
      <c r="K51" s="297"/>
      <c r="L51" s="297"/>
      <c r="M51" s="297"/>
      <c r="N51" s="297"/>
      <c r="O51" s="297"/>
      <c r="P51" s="297"/>
      <c r="Q51" s="297"/>
      <c r="R51" s="297"/>
      <c r="S51" s="297"/>
      <c r="T51" s="297"/>
      <c r="U51" s="297"/>
      <c r="V51" s="297"/>
      <c r="W51" s="297"/>
      <c r="X51" s="297"/>
      <c r="Y51" s="297"/>
    </row>
    <row r="52">
      <c r="B52" s="297"/>
      <c r="C52" s="297"/>
      <c r="D52" s="297"/>
      <c r="E52" s="297"/>
      <c r="F52" s="297"/>
      <c r="G52" s="297"/>
      <c r="H52" s="297"/>
      <c r="I52" s="297"/>
      <c r="J52" s="297"/>
      <c r="K52" s="297"/>
      <c r="L52" s="297"/>
      <c r="M52" s="297"/>
      <c r="N52" s="297"/>
      <c r="O52" s="297"/>
      <c r="P52" s="297"/>
      <c r="Q52" s="297"/>
      <c r="R52" s="297"/>
      <c r="S52" s="297"/>
      <c r="T52" s="297"/>
      <c r="U52" s="297"/>
      <c r="V52" s="297"/>
      <c r="W52" s="297"/>
      <c r="X52" s="297"/>
      <c r="Y52" s="297"/>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h"/>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A38" sqref="A38:P42"/>
    </sheetView>
  </sheetViews>
  <sheetFormatPr defaultRowHeight="15.0" baseColWidth="10"/>
  <cols>
    <col min="3" max="3" width="33.81640625" hidden="0" customWidth="1"/>
  </cols>
  <sheetData>
    <row r="3">
      <c r="A3" s="1021" t="s">
        <v>521</v>
      </c>
      <c r="B3" s="297"/>
    </row>
    <row r="4">
      <c r="A4" s="1192" t="s">
        <v>522</v>
      </c>
      <c r="B4" s="1193"/>
      <c r="C4" s="1193"/>
    </row>
    <row r="7">
      <c r="A7" s="1203" t="s">
        <v>523</v>
      </c>
      <c r="B7" s="1204"/>
      <c r="C7" s="1204"/>
      <c r="D7" s="1204"/>
      <c r="E7" s="1204"/>
      <c r="F7" s="1204"/>
      <c r="G7" s="1204"/>
      <c r="H7" s="1204"/>
      <c r="I7" s="1204"/>
      <c r="J7" s="1204"/>
      <c r="K7" s="1204"/>
      <c r="L7" s="1204"/>
      <c r="M7" s="1204"/>
      <c r="N7" s="1204"/>
      <c r="O7" s="1204"/>
      <c r="P7" s="1204"/>
    </row>
    <row r="8">
      <c r="A8" s="437" t="s">
        <v>524</v>
      </c>
      <c r="B8" s="437"/>
      <c r="C8" s="437"/>
      <c r="D8" s="1197"/>
      <c r="E8" s="437"/>
      <c r="F8" s="437"/>
      <c r="G8" s="437"/>
      <c r="H8" s="437"/>
      <c r="I8" s="437"/>
      <c r="J8" s="437"/>
      <c r="K8" s="437"/>
      <c r="L8" s="437"/>
      <c r="M8" s="437"/>
      <c r="N8" s="437"/>
      <c r="O8" s="437"/>
      <c r="P8" s="437"/>
    </row>
    <row r="9">
      <c r="A9" s="297"/>
      <c r="B9" s="297"/>
      <c r="C9" s="297"/>
      <c r="D9" s="856"/>
      <c r="E9" s="297"/>
      <c r="F9" s="297"/>
      <c r="G9" s="297"/>
      <c r="H9" s="297"/>
      <c r="I9" s="297"/>
      <c r="J9" s="297"/>
      <c r="K9" s="297"/>
      <c r="L9" s="297"/>
      <c r="M9" s="297"/>
      <c r="N9" s="297"/>
      <c r="O9" s="297"/>
      <c r="P9" s="297"/>
    </row>
    <row r="10">
      <c r="A10" s="297"/>
      <c r="B10" s="297"/>
      <c r="C10" s="297"/>
      <c r="D10" s="856"/>
      <c r="E10" s="297"/>
      <c r="F10" s="297"/>
      <c r="G10" s="297"/>
      <c r="H10" s="297"/>
      <c r="I10" s="297"/>
      <c r="J10" s="297"/>
      <c r="K10" s="297"/>
      <c r="L10" s="297"/>
      <c r="M10" s="297"/>
      <c r="N10" s="297"/>
      <c r="O10" s="671" t="s">
        <v>312</v>
      </c>
      <c r="P10" s="671"/>
    </row>
    <row r="11">
      <c r="A11" s="297"/>
      <c r="B11" s="297"/>
      <c r="C11" s="834"/>
      <c r="D11" s="322"/>
      <c r="E11" s="834"/>
      <c r="F11" s="834"/>
      <c r="G11" s="834"/>
      <c r="H11" s="834"/>
      <c r="I11" s="834"/>
      <c r="J11" s="834"/>
      <c r="K11" s="834"/>
      <c r="L11" s="834"/>
      <c r="M11" s="834"/>
      <c r="N11" s="834"/>
      <c r="O11" s="1196" t="s">
        <v>525</v>
      </c>
      <c r="P11" s="1196" t="s">
        <v>525</v>
      </c>
    </row>
    <row r="12">
      <c r="A12" s="437"/>
      <c r="B12" s="437"/>
      <c r="C12" s="437"/>
      <c r="D12" s="1197" t="n">
        <v>2020</v>
      </c>
      <c r="E12" s="1197" t="n">
        <v>2021</v>
      </c>
      <c r="F12" s="1197" t="n">
        <v>2022</v>
      </c>
      <c r="G12" s="1197" t="n">
        <v>2023</v>
      </c>
      <c r="H12" s="1197" t="n">
        <v>2024</v>
      </c>
      <c r="I12" s="1197" t="n">
        <v>2025</v>
      </c>
      <c r="J12" s="1197" t="n">
        <v>2026</v>
      </c>
      <c r="K12" s="1197" t="n">
        <v>2027</v>
      </c>
      <c r="L12" s="1197" t="n">
        <v>2028</v>
      </c>
      <c r="M12" s="1197" t="n">
        <v>2029</v>
      </c>
      <c r="N12" s="1197" t="n">
        <v>2030</v>
      </c>
      <c r="O12" s="990" t="n">
        <v>2025</v>
      </c>
      <c r="P12" s="990" t="n">
        <v>2030</v>
      </c>
    </row>
    <row r="13">
      <c r="A13" s="834" t="s">
        <v>526</v>
      </c>
      <c r="B13" s="834"/>
      <c r="C13" s="834"/>
      <c r="D13" s="739" t="n">
        <v>540.56299999999999</v>
      </c>
      <c r="E13" s="739" t="n">
        <v>0</v>
      </c>
      <c r="F13" s="739" t="n">
        <v>0</v>
      </c>
      <c r="G13" s="739" t="n">
        <v>0</v>
      </c>
      <c r="H13" s="739" t="n">
        <v>0</v>
      </c>
      <c r="I13" s="739" t="n">
        <v>0</v>
      </c>
      <c r="J13" s="739" t="n">
        <v>0</v>
      </c>
      <c r="K13" s="739" t="n">
        <v>0</v>
      </c>
      <c r="L13" s="739" t="n">
        <v>0</v>
      </c>
      <c r="M13" s="739" t="n">
        <v>0</v>
      </c>
      <c r="N13" s="739" t="n">
        <v>0</v>
      </c>
      <c r="O13" s="739" t="n">
        <v>0</v>
      </c>
      <c r="P13" s="739" t="n">
        <v>0</v>
      </c>
      <c r="Q13" t="s">
        <v>50</v>
      </c>
    </row>
    <row r="14">
      <c r="A14" s="297" t="s">
        <v>527</v>
      </c>
      <c r="B14" s="297"/>
      <c r="C14" s="297"/>
      <c r="D14" s="322"/>
      <c r="E14" s="834"/>
      <c r="F14" s="834"/>
      <c r="G14" s="834"/>
      <c r="H14" s="834"/>
      <c r="I14" s="834"/>
      <c r="J14" s="834"/>
      <c r="K14" s="834"/>
      <c r="L14" s="834"/>
      <c r="M14" s="834"/>
      <c r="N14" s="834"/>
      <c r="O14" s="834"/>
      <c r="P14" s="834"/>
      <c r="Q14" t="s">
        <v>528</v>
      </c>
    </row>
    <row r="15">
      <c r="A15" s="297"/>
      <c r="B15" s="297" t="s">
        <v>529</v>
      </c>
      <c r="C15" s="297"/>
      <c r="D15" s="322" t="n">
        <v>285.56</v>
      </c>
      <c r="E15" s="322" t="n">
        <v>5</v>
      </c>
      <c r="F15" s="322" t="n">
        <v>0</v>
      </c>
      <c r="G15" s="322" t="n">
        <v>0</v>
      </c>
      <c r="H15" s="322" t="n">
        <v>0</v>
      </c>
      <c r="I15" s="322" t="n">
        <v>0</v>
      </c>
      <c r="J15" s="322" t="n">
        <v>0</v>
      </c>
      <c r="K15" s="322" t="n">
        <v>0</v>
      </c>
      <c r="L15" s="322" t="n">
        <v>0</v>
      </c>
      <c r="M15" s="322" t="n">
        <v>0</v>
      </c>
      <c r="N15" s="322" t="n">
        <v>0</v>
      </c>
      <c r="O15" s="322" t="n">
        <v>5</v>
      </c>
      <c r="P15" s="322" t="n">
        <v>5</v>
      </c>
    </row>
    <row r="16">
      <c r="A16" s="834"/>
      <c r="B16" s="297" t="s">
        <v>530</v>
      </c>
      <c r="C16" s="834"/>
      <c r="D16" s="322" t="n">
        <v>67.209999999999994</v>
      </c>
      <c r="E16" s="322" t="n">
        <v>13.68</v>
      </c>
      <c r="F16" s="322" t="n">
        <v>0</v>
      </c>
      <c r="G16" s="322" t="n">
        <v>0</v>
      </c>
      <c r="H16" s="322" t="n">
        <v>0</v>
      </c>
      <c r="I16" s="322" t="n">
        <v>0</v>
      </c>
      <c r="J16" s="322" t="n">
        <v>0</v>
      </c>
      <c r="K16" s="322" t="n">
        <v>0</v>
      </c>
      <c r="L16" s="322" t="n">
        <v>0</v>
      </c>
      <c r="M16" s="322" t="n">
        <v>0</v>
      </c>
      <c r="N16" s="322" t="n">
        <v>0</v>
      </c>
      <c r="O16" s="322" t="n">
        <v>13.68</v>
      </c>
      <c r="P16" s="322" t="n">
        <v>13.68</v>
      </c>
    </row>
    <row r="17">
      <c r="A17" s="834"/>
      <c r="B17" s="297" t="s">
        <v>531</v>
      </c>
      <c r="C17" s="834"/>
      <c r="D17" s="322" t="n">
        <v>11.12</v>
      </c>
      <c r="E17" s="322" t="n">
        <v>47.8</v>
      </c>
      <c r="F17" s="322" t="n">
        <v>0</v>
      </c>
      <c r="G17" s="322" t="n">
        <v>0</v>
      </c>
      <c r="H17" s="322" t="n">
        <v>0</v>
      </c>
      <c r="I17" s="322" t="n">
        <v>0</v>
      </c>
      <c r="J17" s="322" t="n">
        <v>0</v>
      </c>
      <c r="K17" s="322" t="n">
        <v>0</v>
      </c>
      <c r="L17" s="322" t="n">
        <v>0</v>
      </c>
      <c r="M17" s="322" t="n">
        <v>0</v>
      </c>
      <c r="N17" s="322" t="n">
        <v>0</v>
      </c>
      <c r="O17" s="322" t="n">
        <v>47.8</v>
      </c>
      <c r="P17" s="322" t="n">
        <v>47.8</v>
      </c>
    </row>
    <row r="18">
      <c r="A18" s="834"/>
      <c r="B18" s="297" t="s">
        <v>532</v>
      </c>
      <c r="C18" s="834"/>
      <c r="D18" s="322" t="n">
        <v>6.2149999999999999</v>
      </c>
      <c r="E18" s="322" t="n">
        <v>5.0049999999999999</v>
      </c>
      <c r="F18" s="322" t="n">
        <v>0</v>
      </c>
      <c r="G18" s="322" t="n">
        <v>0</v>
      </c>
      <c r="H18" s="322" t="n">
        <v>0</v>
      </c>
      <c r="I18" s="322" t="n">
        <v>0</v>
      </c>
      <c r="J18" s="322" t="n">
        <v>0</v>
      </c>
      <c r="K18" s="322" t="n">
        <v>0</v>
      </c>
      <c r="L18" s="322" t="n">
        <v>0</v>
      </c>
      <c r="M18" s="322" t="n">
        <v>0</v>
      </c>
      <c r="N18" s="322" t="n">
        <v>0</v>
      </c>
      <c r="O18" s="322" t="n">
        <v>5.0049999999999999</v>
      </c>
      <c r="P18" s="322" t="n">
        <v>5.0049999999999999</v>
      </c>
    </row>
    <row r="19">
      <c r="A19" s="834"/>
      <c r="B19" s="297"/>
      <c r="C19" s="834"/>
      <c r="D19" s="322" t="s">
        <v>533</v>
      </c>
      <c r="E19" s="322" t="s">
        <v>533</v>
      </c>
      <c r="F19" s="322" t="s">
        <v>533</v>
      </c>
      <c r="G19" s="322" t="s">
        <v>533</v>
      </c>
      <c r="H19" s="322" t="s">
        <v>533</v>
      </c>
      <c r="I19" s="322" t="s">
        <v>533</v>
      </c>
      <c r="J19" s="322" t="s">
        <v>533</v>
      </c>
      <c r="K19" s="322" t="s">
        <v>533</v>
      </c>
      <c r="L19" s="322" t="s">
        <v>533</v>
      </c>
      <c r="M19" s="322" t="s">
        <v>533</v>
      </c>
      <c r="N19" s="322" t="s">
        <v>533</v>
      </c>
      <c r="O19" s="322" t="s">
        <v>533</v>
      </c>
      <c r="P19" s="322" t="s">
        <v>533</v>
      </c>
    </row>
    <row r="20">
      <c r="A20" s="834"/>
      <c r="B20" s="297"/>
      <c r="C20" s="834" t="s">
        <v>534</v>
      </c>
      <c r="D20" s="322" t="n">
        <v>370.10500000000002</v>
      </c>
      <c r="E20" s="322" t="n">
        <v>71.484999999999999</v>
      </c>
      <c r="F20" s="322" t="n">
        <v>0</v>
      </c>
      <c r="G20" s="322" t="n">
        <v>0</v>
      </c>
      <c r="H20" s="322" t="n">
        <v>0</v>
      </c>
      <c r="I20" s="322" t="n">
        <v>0</v>
      </c>
      <c r="J20" s="322" t="n">
        <v>0</v>
      </c>
      <c r="K20" s="322" t="n">
        <v>0</v>
      </c>
      <c r="L20" s="322" t="n">
        <v>0</v>
      </c>
      <c r="M20" s="322" t="n">
        <v>0</v>
      </c>
      <c r="N20" s="322" t="n">
        <v>0</v>
      </c>
      <c r="O20" s="322" t="n">
        <v>71.484999999999999</v>
      </c>
      <c r="P20" s="322" t="n">
        <v>71.484999999999999</v>
      </c>
    </row>
    <row r="21">
      <c r="A21" s="834"/>
      <c r="B21" s="297"/>
      <c r="C21" s="834"/>
      <c r="D21" s="322"/>
      <c r="E21" s="322"/>
      <c r="F21" s="322"/>
      <c r="G21" s="322"/>
      <c r="H21" s="322"/>
      <c r="I21" s="322"/>
      <c r="J21" s="322"/>
      <c r="K21" s="322"/>
      <c r="L21" s="322"/>
      <c r="M21" s="322"/>
      <c r="N21" s="322"/>
      <c r="O21" s="322"/>
      <c r="P21" s="322"/>
    </row>
    <row r="22" ht="17.149999999999999" customHeight="1">
      <c r="A22" s="834" t="s">
        <v>535</v>
      </c>
      <c r="B22" s="297"/>
      <c r="C22" s="834"/>
      <c r="D22" s="322" t="n">
        <v>271.98399999999998</v>
      </c>
      <c r="E22" s="322" t="n">
        <v>9.327</v>
      </c>
      <c r="F22" s="322" t="n">
        <v>0</v>
      </c>
      <c r="G22" s="322" t="n">
        <v>0</v>
      </c>
      <c r="H22" s="322" t="n">
        <v>0</v>
      </c>
      <c r="I22" s="322" t="n">
        <v>0</v>
      </c>
      <c r="J22" s="322" t="n">
        <v>0</v>
      </c>
      <c r="K22" s="322" t="n">
        <v>0</v>
      </c>
      <c r="L22" s="322" t="n">
        <v>0</v>
      </c>
      <c r="M22" s="322" t="n">
        <v>0</v>
      </c>
      <c r="N22" s="322" t="n">
        <v>0</v>
      </c>
      <c r="O22" s="322" t="n">
        <v>9.327</v>
      </c>
      <c r="P22" s="322" t="n">
        <v>9.327</v>
      </c>
      <c r="Q22" t="s">
        <v>536</v>
      </c>
    </row>
    <row r="23">
      <c r="A23" s="834" t="s">
        <v>149</v>
      </c>
      <c r="B23" s="297"/>
      <c r="C23" s="297"/>
      <c r="D23" s="322" t="n">
        <v>149.97300000000001</v>
      </c>
      <c r="E23" s="322" t="n">
        <v>2.5999999999999999E-2</v>
      </c>
      <c r="F23" s="322" t="n">
        <v>0</v>
      </c>
      <c r="G23" s="322" t="n">
        <v>0</v>
      </c>
      <c r="H23" s="322" t="n">
        <v>0</v>
      </c>
      <c r="I23" s="322" t="n">
        <v>0</v>
      </c>
      <c r="J23" s="322" t="n">
        <v>0</v>
      </c>
      <c r="K23" s="322" t="n">
        <v>0</v>
      </c>
      <c r="L23" s="322" t="n">
        <v>0</v>
      </c>
      <c r="M23" s="322" t="n">
        <v>0</v>
      </c>
      <c r="N23" s="322" t="n">
        <v>0</v>
      </c>
      <c r="O23" s="322" t="n">
        <v>2.5999999999999999E-2</v>
      </c>
      <c r="P23" s="322" t="n">
        <v>2.5999999999999999E-2</v>
      </c>
      <c r="Q23" t="s">
        <v>51</v>
      </c>
    </row>
    <row r="24">
      <c r="A24" s="834" t="s">
        <v>537</v>
      </c>
      <c r="B24" s="297"/>
      <c r="C24" s="297"/>
      <c r="D24" s="322" t="n">
        <v>135.41999999999999</v>
      </c>
      <c r="E24" s="322" t="n">
        <v>72.537999999999997</v>
      </c>
      <c r="F24" s="322" t="n">
        <v>10.331</v>
      </c>
      <c r="G24" s="322" t="n">
        <v>4.2670000000000003</v>
      </c>
      <c r="H24" s="322" t="n">
        <v>1.347</v>
      </c>
      <c r="I24" s="322" t="n">
        <v>0.67400000000000004</v>
      </c>
      <c r="J24" s="322" t="n">
        <v>0</v>
      </c>
      <c r="K24" s="322" t="n">
        <v>0</v>
      </c>
      <c r="L24" s="322" t="n">
        <v>0</v>
      </c>
      <c r="M24" s="322" t="n">
        <v>0</v>
      </c>
      <c r="N24" s="322" t="n">
        <v>0</v>
      </c>
      <c r="O24" s="322" t="n">
        <v>89.156999999999996</v>
      </c>
      <c r="P24" s="322" t="n">
        <v>89.156999999999996</v>
      </c>
      <c r="Q24" t="s">
        <v>538</v>
      </c>
    </row>
    <row r="25">
      <c r="A25" s="834" t="s">
        <v>539</v>
      </c>
      <c r="B25" s="297"/>
      <c r="C25" s="297"/>
      <c r="D25" s="322"/>
      <c r="E25" s="322"/>
      <c r="F25" s="322"/>
      <c r="G25" s="322"/>
      <c r="H25" s="322"/>
      <c r="I25" s="322"/>
      <c r="J25" s="322"/>
      <c r="K25" s="322"/>
      <c r="L25" s="322"/>
      <c r="M25" s="322"/>
      <c r="N25" s="322"/>
      <c r="O25" s="322"/>
      <c r="P25" s="322"/>
    </row>
    <row r="26">
      <c r="A26" s="834" t="s">
        <v>540</v>
      </c>
      <c r="B26" s="297"/>
      <c r="C26" s="297"/>
      <c r="D26" s="322" t="n">
        <v>40.831000000000003</v>
      </c>
      <c r="E26" s="322" t="n">
        <v>79.391999999999996</v>
      </c>
      <c r="F26" s="322" t="n">
        <v>47.442999999999998</v>
      </c>
      <c r="G26" s="322" t="n">
        <v>4.7220000000000004</v>
      </c>
      <c r="H26" s="322" t="n">
        <v>0</v>
      </c>
      <c r="I26" s="322" t="n">
        <v>0</v>
      </c>
      <c r="J26" s="322" t="n">
        <v>0</v>
      </c>
      <c r="K26" s="322" t="n">
        <v>0</v>
      </c>
      <c r="L26" s="322" t="n">
        <v>0</v>
      </c>
      <c r="M26" s="322" t="n">
        <v>0</v>
      </c>
      <c r="N26" s="322" t="n">
        <v>0</v>
      </c>
      <c r="O26" s="322" t="n">
        <v>131.55699999999999</v>
      </c>
      <c r="P26" s="322" t="n">
        <v>131.55699999999999</v>
      </c>
      <c r="Q26" t="s">
        <v>133</v>
      </c>
    </row>
    <row r="27">
      <c r="A27" s="834" t="s">
        <v>541</v>
      </c>
      <c r="B27" s="297"/>
      <c r="C27" s="297"/>
      <c r="D27" s="322" t="n">
        <v>58.054000000000002</v>
      </c>
      <c r="E27" s="322" t="n">
        <v>14.755000000000001</v>
      </c>
      <c r="F27" s="322" t="n">
        <v>3.4750000000000001</v>
      </c>
      <c r="G27" s="322" t="n">
        <v>3.9249999999999998</v>
      </c>
      <c r="H27" s="322" t="n">
        <v>4.375</v>
      </c>
      <c r="I27" s="322" t="n">
        <v>4.375</v>
      </c>
      <c r="J27" s="322" t="n">
        <v>4.5</v>
      </c>
      <c r="K27" s="322" t="n">
        <v>4.5</v>
      </c>
      <c r="L27" s="322" t="n">
        <v>4.5</v>
      </c>
      <c r="M27" s="322" t="n">
        <v>4.5</v>
      </c>
      <c r="N27" s="322" t="n">
        <v>4.5</v>
      </c>
      <c r="O27" s="322" t="n">
        <v>30.905000000000001</v>
      </c>
      <c r="P27" s="322" t="n">
        <v>53.405000000000001</v>
      </c>
    </row>
    <row r="28">
      <c r="A28" s="834" t="s">
        <v>542</v>
      </c>
      <c r="B28" s="297"/>
      <c r="C28" s="297"/>
      <c r="D28" s="322" t="n">
        <v>47.372999999999998</v>
      </c>
      <c r="E28" s="322" t="n">
        <v>-46.081000000000003</v>
      </c>
      <c r="F28" s="322" t="n">
        <v>0</v>
      </c>
      <c r="G28" s="322" t="n">
        <v>0</v>
      </c>
      <c r="H28" s="322" t="n">
        <v>0</v>
      </c>
      <c r="I28" s="322" t="n">
        <v>0</v>
      </c>
      <c r="J28" s="322" t="n">
        <v>0</v>
      </c>
      <c r="K28" s="322" t="n">
        <v>0</v>
      </c>
      <c r="L28" s="322" t="n">
        <v>0</v>
      </c>
      <c r="M28" s="322" t="n">
        <v>0</v>
      </c>
      <c r="N28" s="322" t="n">
        <v>0</v>
      </c>
      <c r="O28" s="322" t="n">
        <v>-46.081000000000003</v>
      </c>
      <c r="P28" s="322" t="n">
        <v>-46.081000000000003</v>
      </c>
      <c r="Q28" t="s">
        <v>55</v>
      </c>
    </row>
    <row r="29">
      <c r="A29" s="834" t="s">
        <v>543</v>
      </c>
      <c r="B29" s="297"/>
      <c r="C29" s="297"/>
      <c r="D29" s="322" t="n">
        <v>24.475000000000001</v>
      </c>
      <c r="E29" s="322" t="n">
        <v>32.784999999999997</v>
      </c>
      <c r="F29" s="322" t="n">
        <v>8.4600000000000009</v>
      </c>
      <c r="G29" s="322" t="n">
        <v>0</v>
      </c>
      <c r="H29" s="322" t="n">
        <v>0</v>
      </c>
      <c r="I29" s="322" t="n">
        <v>0</v>
      </c>
      <c r="J29" s="322" t="n">
        <v>0</v>
      </c>
      <c r="K29" s="322" t="n">
        <v>0</v>
      </c>
      <c r="L29" s="322" t="n">
        <v>0</v>
      </c>
      <c r="M29" s="322" t="n">
        <v>0</v>
      </c>
      <c r="N29" s="322" t="n">
        <v>0</v>
      </c>
      <c r="O29" s="322" t="n">
        <v>41.244999999999997</v>
      </c>
      <c r="P29" s="322" t="n">
        <v>41.244999999999997</v>
      </c>
      <c r="Q29" t="s">
        <v>544</v>
      </c>
    </row>
    <row r="30">
      <c r="A30" s="834" t="s">
        <v>545</v>
      </c>
      <c r="B30" s="297"/>
      <c r="C30" s="297"/>
      <c r="D30" s="322" t="n">
        <v>27.5</v>
      </c>
      <c r="E30" s="322" t="n">
        <v>0.86</v>
      </c>
      <c r="F30" s="322" t="n">
        <v>-0.22</v>
      </c>
      <c r="G30" s="322" t="n">
        <v>-0.49</v>
      </c>
      <c r="H30" s="322" t="n">
        <v>-0.56000000000000005</v>
      </c>
      <c r="I30" s="322" t="n">
        <v>-0.98</v>
      </c>
      <c r="J30" s="322" t="n">
        <v>-0.76</v>
      </c>
      <c r="K30" s="322" t="n">
        <v>-0.74</v>
      </c>
      <c r="L30" s="322" t="n">
        <v>-0.72</v>
      </c>
      <c r="M30" s="322" t="n">
        <v>-0.7</v>
      </c>
      <c r="N30" s="322" t="n">
        <v>-0.69</v>
      </c>
      <c r="O30" s="322" t="n">
        <v>-1.39</v>
      </c>
      <c r="P30" s="322" t="n">
        <v>-5</v>
      </c>
      <c r="Q30" t="s">
        <v>52</v>
      </c>
    </row>
    <row r="31">
      <c r="A31" s="834" t="s">
        <v>150</v>
      </c>
      <c r="B31" s="297"/>
      <c r="C31" s="297"/>
      <c r="D31" s="322" t="n">
        <v>11.407999999999999</v>
      </c>
      <c r="E31" s="322" t="n">
        <v>10.763</v>
      </c>
      <c r="F31" s="322" t="n">
        <v>5.7809999999999997</v>
      </c>
      <c r="G31" s="322" t="n">
        <v>0.92300000000000004</v>
      </c>
      <c r="H31" s="322" t="n">
        <v>0.52300000000000002</v>
      </c>
      <c r="I31" s="322" t="n">
        <v>0.43099999999999999</v>
      </c>
      <c r="J31" s="322" t="n">
        <v>0.246</v>
      </c>
      <c r="K31" s="322" t="n">
        <v>0</v>
      </c>
      <c r="L31" s="322" t="n">
        <v>0</v>
      </c>
      <c r="M31" s="322" t="n">
        <v>0</v>
      </c>
      <c r="N31" s="322" t="n">
        <v>0</v>
      </c>
      <c r="O31" s="322" t="n">
        <v>18.420999999999999</v>
      </c>
      <c r="P31" s="322" t="n">
        <v>18.667000000000002</v>
      </c>
      <c r="Q31" t="s">
        <v>546</v>
      </c>
    </row>
    <row r="32">
      <c r="A32" s="834" t="s">
        <v>547</v>
      </c>
      <c r="B32" s="297"/>
      <c r="C32" s="297"/>
      <c r="D32" s="322" t="n">
        <v>99.444000000000003</v>
      </c>
      <c r="E32" s="322" t="n">
        <v>61.634</v>
      </c>
      <c r="F32" s="322" t="n">
        <v>23.815000000000001</v>
      </c>
      <c r="G32" s="322" t="n">
        <v>7.35</v>
      </c>
      <c r="H32" s="322" t="n">
        <v>4.4029999999999996</v>
      </c>
      <c r="I32" s="322" t="n">
        <v>1.663</v>
      </c>
      <c r="J32" s="322" t="n">
        <v>0.74399999999999999</v>
      </c>
      <c r="K32" s="322" t="n">
        <v>0.65500000000000003</v>
      </c>
      <c r="L32" s="322" t="n">
        <v>0.68799999999999994</v>
      </c>
      <c r="M32" s="322" t="n">
        <v>10.603</v>
      </c>
      <c r="N32" s="322" t="n">
        <v>-35.328000000000003</v>
      </c>
      <c r="O32" s="322" t="n">
        <v>98.864999999999995</v>
      </c>
      <c r="P32" s="322" t="n">
        <v>76.227000000000004</v>
      </c>
      <c r="Q32" t="s">
        <v>548</v>
      </c>
    </row>
    <row r="33">
      <c r="A33" s="834"/>
      <c r="B33" s="297"/>
      <c r="C33" s="297"/>
      <c r="D33" s="322"/>
      <c r="E33" s="322"/>
      <c r="F33" s="322"/>
      <c r="G33" s="322"/>
      <c r="H33" s="322"/>
      <c r="I33" s="322"/>
      <c r="J33" s="322"/>
      <c r="K33" s="322"/>
      <c r="L33" s="322"/>
      <c r="M33" s="322"/>
      <c r="N33" s="322"/>
      <c r="O33" s="322"/>
      <c r="P33" s="322"/>
    </row>
    <row r="34">
      <c r="A34" s="1195"/>
      <c r="B34" s="1195"/>
      <c r="C34" s="1195" t="s">
        <v>312</v>
      </c>
      <c r="D34" s="1198" t="n">
        <v>1777.13</v>
      </c>
      <c r="E34" s="1198" t="n">
        <v>307.48399999999998</v>
      </c>
      <c r="F34" s="1198" t="n">
        <v>99.084999999999994</v>
      </c>
      <c r="G34" s="1198" t="n">
        <v>20.696999999999999</v>
      </c>
      <c r="H34" s="1198" t="n">
        <v>10.087999999999999</v>
      </c>
      <c r="I34" s="1198" t="n">
        <v>6.1630000000000003</v>
      </c>
      <c r="J34" s="1198" t="n">
        <v>4.7300000000000004</v>
      </c>
      <c r="K34" s="1198" t="n">
        <v>4.415</v>
      </c>
      <c r="L34" s="1198" t="n">
        <v>4.468</v>
      </c>
      <c r="M34" s="1198" t="n">
        <v>14.403</v>
      </c>
      <c r="N34" s="1198" t="n">
        <v>-31.518000000000001</v>
      </c>
      <c r="O34" s="1198" t="n">
        <v>443.517</v>
      </c>
      <c r="P34" s="1198" t="n">
        <v>440.01499999999999</v>
      </c>
    </row>
    <row r="35">
      <c r="A35" s="297"/>
      <c r="B35" s="297"/>
      <c r="C35" s="297"/>
      <c r="D35" s="1194"/>
      <c r="E35" s="581"/>
      <c r="F35" s="834"/>
      <c r="G35" s="834"/>
      <c r="H35" s="834"/>
      <c r="I35" s="834"/>
      <c r="J35" s="834"/>
      <c r="K35" s="834"/>
      <c r="L35" s="834"/>
      <c r="M35" s="834"/>
      <c r="N35" s="834"/>
      <c r="O35" s="834"/>
      <c r="P35" s="834"/>
    </row>
    <row r="36">
      <c r="A36" s="1199" t="s">
        <v>549</v>
      </c>
      <c r="B36" s="1199"/>
      <c r="C36" s="1199"/>
      <c r="D36" s="1200"/>
      <c r="E36" s="1199"/>
      <c r="F36" s="1199"/>
      <c r="G36" s="1199"/>
      <c r="H36" s="1199"/>
      <c r="I36" s="1199"/>
      <c r="J36" s="1199"/>
      <c r="K36" s="1199"/>
      <c r="L36" s="1199"/>
      <c r="M36" s="1199"/>
      <c r="N36" s="1199"/>
      <c r="O36" s="1199"/>
      <c r="P36" s="1199"/>
    </row>
    <row r="37">
      <c r="A37" s="1199"/>
      <c r="B37" s="1199"/>
      <c r="C37" s="1199"/>
      <c r="D37" s="1200"/>
      <c r="E37" s="1199"/>
      <c r="F37" s="1199"/>
      <c r="G37" s="1199"/>
      <c r="H37" s="1199"/>
      <c r="I37" s="1199"/>
      <c r="J37" s="1199"/>
      <c r="K37" s="1199"/>
      <c r="L37" s="1199"/>
      <c r="M37" s="1199"/>
      <c r="N37" s="1199"/>
      <c r="O37" s="1199"/>
      <c r="P37" s="1199"/>
    </row>
    <row r="38">
      <c r="A38" s="1206" t="s">
        <v>550</v>
      </c>
      <c r="B38" s="1206"/>
      <c r="C38" s="1206"/>
      <c r="D38" s="1206"/>
      <c r="E38" s="1206"/>
      <c r="F38" s="1206"/>
      <c r="G38" s="1206"/>
      <c r="H38" s="1206"/>
      <c r="I38" s="1206"/>
      <c r="J38" s="1206"/>
      <c r="K38" s="1206"/>
      <c r="L38" s="1206"/>
      <c r="M38" s="1206"/>
      <c r="N38" s="1206"/>
      <c r="O38" s="1206"/>
      <c r="P38" s="1206"/>
    </row>
    <row r="39">
      <c r="A39" s="1206"/>
      <c r="B39" s="1206"/>
      <c r="C39" s="1206"/>
      <c r="D39" s="1206"/>
      <c r="E39" s="1206"/>
      <c r="F39" s="1206"/>
      <c r="G39" s="1206"/>
      <c r="H39" s="1206"/>
      <c r="I39" s="1206"/>
      <c r="J39" s="1206"/>
      <c r="K39" s="1206"/>
      <c r="L39" s="1206"/>
      <c r="M39" s="1206"/>
      <c r="N39" s="1206"/>
      <c r="O39" s="1206"/>
      <c r="P39" s="1206"/>
    </row>
    <row r="40">
      <c r="A40" s="1206"/>
      <c r="B40" s="1206"/>
      <c r="C40" s="1206"/>
      <c r="D40" s="1206"/>
      <c r="E40" s="1206"/>
      <c r="F40" s="1206"/>
      <c r="G40" s="1206"/>
      <c r="H40" s="1206"/>
      <c r="I40" s="1206"/>
      <c r="J40" s="1206"/>
      <c r="K40" s="1206"/>
      <c r="L40" s="1206"/>
      <c r="M40" s="1206"/>
      <c r="N40" s="1206"/>
      <c r="O40" s="1206"/>
      <c r="P40" s="1206"/>
    </row>
    <row r="41">
      <c r="A41" s="1206"/>
      <c r="B41" s="1206"/>
      <c r="C41" s="1206"/>
      <c r="D41" s="1206"/>
      <c r="E41" s="1206"/>
      <c r="F41" s="1206"/>
      <c r="G41" s="1206"/>
      <c r="H41" s="1206"/>
      <c r="I41" s="1206"/>
      <c r="J41" s="1206"/>
      <c r="K41" s="1206"/>
      <c r="L41" s="1206"/>
      <c r="M41" s="1206"/>
      <c r="N41" s="1206"/>
      <c r="O41" s="1206"/>
      <c r="P41" s="1206"/>
    </row>
    <row r="42">
      <c r="A42" s="1206"/>
      <c r="B42" s="1206"/>
      <c r="C42" s="1206"/>
      <c r="D42" s="1206"/>
      <c r="E42" s="1206"/>
      <c r="F42" s="1206"/>
      <c r="G42" s="1206"/>
      <c r="H42" s="1206"/>
      <c r="I42" s="1206"/>
      <c r="J42" s="1206"/>
      <c r="K42" s="1206"/>
      <c r="L42" s="1206"/>
      <c r="M42" s="1206"/>
      <c r="N42" s="1206"/>
      <c r="O42" s="1206"/>
      <c r="P42" s="1206"/>
    </row>
    <row r="43">
      <c r="A43" s="304"/>
      <c r="B43" s="304"/>
      <c r="C43" s="304"/>
      <c r="D43" s="304"/>
      <c r="E43" s="304"/>
      <c r="F43" s="304"/>
      <c r="G43" s="304"/>
      <c r="H43" s="304"/>
      <c r="I43" s="304"/>
      <c r="J43" s="304"/>
      <c r="K43" s="304"/>
      <c r="L43" s="304"/>
      <c r="M43" s="304"/>
      <c r="N43" s="304"/>
      <c r="O43" s="304"/>
      <c r="P43" s="304"/>
    </row>
    <row r="44">
      <c r="A44" s="304" t="s">
        <v>551</v>
      </c>
      <c r="B44" s="304"/>
      <c r="C44" s="304"/>
      <c r="D44" s="304"/>
      <c r="E44" s="304"/>
      <c r="F44" s="304"/>
      <c r="G44" s="304"/>
      <c r="H44" s="304"/>
      <c r="I44" s="304"/>
      <c r="J44" s="304"/>
      <c r="K44" s="304"/>
      <c r="L44" s="304"/>
      <c r="M44" s="304"/>
      <c r="N44" s="304"/>
      <c r="O44" s="304"/>
      <c r="P44" s="304"/>
    </row>
    <row r="45">
      <c r="A45" s="304"/>
      <c r="B45" s="304"/>
      <c r="C45" s="304"/>
      <c r="D45" s="304"/>
      <c r="E45" s="304"/>
      <c r="F45" s="304"/>
      <c r="G45" s="304"/>
      <c r="H45" s="304"/>
      <c r="I45" s="304"/>
      <c r="J45" s="304"/>
      <c r="K45" s="304"/>
      <c r="L45" s="304"/>
      <c r="M45" s="304"/>
      <c r="N45" s="304"/>
      <c r="O45" s="304"/>
      <c r="P45" s="304"/>
    </row>
    <row r="46">
      <c r="A46" s="304"/>
      <c r="B46" s="304"/>
      <c r="C46" s="304"/>
      <c r="D46" s="304"/>
      <c r="E46" s="304"/>
      <c r="F46" s="304"/>
      <c r="G46" s="304"/>
      <c r="H46" s="304"/>
      <c r="I46" s="304"/>
      <c r="J46" s="304"/>
      <c r="K46" s="304"/>
      <c r="L46" s="304"/>
      <c r="M46" s="304"/>
      <c r="N46" s="304"/>
      <c r="O46" s="304"/>
      <c r="P46" s="304"/>
    </row>
    <row r="47">
      <c r="A47" s="1199"/>
      <c r="B47" s="1199"/>
      <c r="C47" s="1199"/>
      <c r="D47" s="1200"/>
      <c r="E47" s="1199"/>
      <c r="F47" s="1199"/>
      <c r="G47" s="1199"/>
      <c r="H47" s="1199"/>
      <c r="I47" s="1199"/>
      <c r="J47" s="1199"/>
      <c r="K47" s="1199"/>
      <c r="L47" s="1199"/>
      <c r="M47" s="1199"/>
      <c r="N47" s="1199"/>
      <c r="O47" s="1199"/>
      <c r="P47" s="1199"/>
    </row>
    <row r="48">
      <c r="A48" s="1205" t="s">
        <v>552</v>
      </c>
      <c r="B48" s="1199"/>
      <c r="C48" s="1199"/>
      <c r="D48" s="1199"/>
      <c r="E48" s="1199"/>
      <c r="F48" s="1199"/>
      <c r="G48" s="1199"/>
      <c r="H48" s="1199"/>
      <c r="I48" s="1199"/>
      <c r="J48" s="1199"/>
      <c r="K48" s="1199"/>
      <c r="L48" s="1199"/>
      <c r="M48" s="1199"/>
      <c r="N48" s="1199"/>
      <c r="O48" s="1199"/>
      <c r="P48" s="1199"/>
    </row>
    <row r="49">
      <c r="A49" s="1199"/>
      <c r="B49" s="1199"/>
      <c r="C49" s="1199"/>
      <c r="D49" s="1199"/>
      <c r="E49" s="1199"/>
      <c r="F49" s="1199"/>
      <c r="G49" s="1199"/>
      <c r="H49" s="1199"/>
      <c r="I49" s="1199"/>
      <c r="J49" s="1199"/>
      <c r="K49" s="1199"/>
      <c r="L49" s="1199"/>
      <c r="M49" s="1199"/>
      <c r="N49" s="1199"/>
      <c r="O49" s="1199"/>
      <c r="P49" s="1199"/>
    </row>
    <row r="50">
      <c r="A50" s="1199"/>
      <c r="B50" s="1199"/>
      <c r="C50" s="1199"/>
      <c r="D50" s="1200"/>
      <c r="E50" s="1199"/>
      <c r="F50" s="1199"/>
      <c r="G50" s="1199"/>
      <c r="H50" s="1199"/>
      <c r="I50" s="1199"/>
      <c r="J50" s="1199"/>
      <c r="K50" s="1199"/>
      <c r="L50" s="1199"/>
      <c r="M50" s="1199"/>
      <c r="N50" s="1199"/>
      <c r="O50" s="1199"/>
      <c r="P50" s="1199"/>
    </row>
    <row r="51">
      <c r="A51" s="1202" t="s">
        <v>553</v>
      </c>
      <c r="B51" s="1202"/>
      <c r="C51" s="1202"/>
      <c r="D51" s="1202"/>
      <c r="E51" s="1202"/>
      <c r="F51" s="1202"/>
      <c r="G51" s="1202"/>
      <c r="H51" s="1202"/>
      <c r="I51" s="1202"/>
      <c r="J51" s="1202"/>
      <c r="K51" s="1202"/>
      <c r="L51" s="1202"/>
      <c r="M51" s="1202"/>
      <c r="N51" s="1202"/>
      <c r="O51" s="1202"/>
      <c r="P51" s="1202"/>
    </row>
    <row r="52">
      <c r="A52" s="1202"/>
      <c r="B52" s="1202"/>
      <c r="C52" s="1202"/>
      <c r="D52" s="1202"/>
      <c r="E52" s="1202"/>
      <c r="F52" s="1202"/>
      <c r="G52" s="1202"/>
      <c r="H52" s="1202"/>
      <c r="I52" s="1202"/>
      <c r="J52" s="1202"/>
      <c r="K52" s="1202"/>
      <c r="L52" s="1202"/>
      <c r="M52" s="1202"/>
      <c r="N52" s="1202"/>
      <c r="O52" s="1202"/>
      <c r="P52" s="1202"/>
    </row>
    <row r="53">
      <c r="A53" s="1202"/>
      <c r="B53" s="1202"/>
      <c r="C53" s="1202"/>
      <c r="D53" s="1202"/>
      <c r="E53" s="1202"/>
      <c r="F53" s="1202"/>
      <c r="G53" s="1202"/>
      <c r="H53" s="1202"/>
      <c r="I53" s="1202"/>
      <c r="J53" s="1202"/>
      <c r="K53" s="1202"/>
      <c r="L53" s="1202"/>
      <c r="M53" s="1202"/>
      <c r="N53" s="1202"/>
      <c r="O53" s="1202"/>
      <c r="P53" s="1202"/>
    </row>
    <row r="54">
      <c r="A54" s="1201"/>
      <c r="B54" s="1201"/>
      <c r="C54" s="1201"/>
      <c r="D54" s="1191"/>
      <c r="E54" s="1201"/>
      <c r="F54" s="1201"/>
      <c r="G54" s="1201"/>
      <c r="H54" s="1201"/>
      <c r="I54" s="1201"/>
      <c r="J54" s="1201"/>
      <c r="K54" s="1201"/>
      <c r="L54" s="1201"/>
      <c r="M54" s="1201"/>
      <c r="N54" s="1201"/>
      <c r="O54" s="1201"/>
      <c r="P54" s="1201"/>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62" workbookViewId="0">
      <selection activeCell="C197" sqref="C197"/>
    </sheetView>
  </sheetViews>
  <sheetFormatPr defaultRowHeight="15.0" baseColWidth="10"/>
  <cols>
    <col min="1" max="1" width="36" hidden="0" customWidth="1"/>
    <col min="2" max="2" width="15.54296875" hidden="0" customWidth="1"/>
    <col min="3" max="3" width="10.7265625" hidden="0" customWidth="1"/>
    <col min="4" max="4" width="10.7265625" hidden="0" customWidth="1"/>
    <col min="5" max="5" width="10.7265625" hidden="0" customWidth="1"/>
    <col min="6" max="6" width="10.7265625" hidden="0" customWidth="1"/>
    <col min="7" max="7" width="10.7265625" hidden="0" customWidth="1"/>
    <col min="8" max="8" width="10.7265625" hidden="0" customWidth="1"/>
    <col min="9" max="9" width="10.7265625" hidden="0" customWidth="1"/>
    <col min="10" max="10" width="10.7265625" hidden="0" customWidth="1"/>
    <col min="11" max="11" width="10.7265625" hidden="0" customWidth="1"/>
    <col min="12" max="12" width="10.7265625" hidden="0" customWidth="1"/>
    <col min="13" max="13" width="10.7265625" hidden="0" customWidth="1"/>
    <col min="14" max="14" width="10.7265625" hidden="0" customWidth="1"/>
    <col min="15" max="15" width="10.7265625" hidden="0" customWidth="1"/>
    <col min="16" max="16" width="10.7265625" hidden="0" customWidth="1"/>
    <col min="17" max="17" width="10.7265625" hidden="0" customWidth="1"/>
    <col min="18" max="18" width="10.7265625" hidden="0" customWidth="1"/>
    <col min="19" max="19" width="10.7265625" hidden="0" customWidth="1"/>
    <col min="20" max="20" width="125.81640625" hidden="0" customWidth="1"/>
  </cols>
  <sheetData>
    <row r="1">
      <c r="A1" s="741" t="s">
        <v>1386</v>
      </c>
      <c r="D1" s="1285" t="n">
        <v>2022</v>
      </c>
      <c r="E1" s="1285" t="n">
        <v>2023</v>
      </c>
      <c r="F1" s="1285" t="n">
        <v>2024</v>
      </c>
      <c r="G1" s="1285" t="n">
        <v>2025</v>
      </c>
      <c r="H1" s="1285" t="n">
        <v>2026</v>
      </c>
      <c r="I1" s="1285" t="n">
        <v>2027</v>
      </c>
      <c r="J1" s="1285" t="n">
        <v>2028</v>
      </c>
      <c r="K1" s="1285" t="n">
        <v>2029</v>
      </c>
      <c r="L1" s="1285" t="n">
        <v>2030</v>
      </c>
      <c r="M1" s="1286" t="n">
        <v>2031</v>
      </c>
      <c r="N1" s="1287" t="s">
        <v>1188</v>
      </c>
      <c r="O1" s="1287" t="s">
        <v>1189</v>
      </c>
      <c r="P1" s="1272"/>
      <c r="Q1" s="1272"/>
      <c r="R1" s="1272"/>
      <c r="S1" s="1272"/>
    </row>
    <row r="2">
      <c r="C2" s="1311" t="s">
        <v>1387</v>
      </c>
      <c r="D2" s="1311"/>
      <c r="E2" s="1311"/>
      <c r="F2" s="1311"/>
      <c r="G2" s="1311"/>
      <c r="H2" s="1311"/>
      <c r="I2" s="1311"/>
      <c r="J2" s="1311"/>
      <c r="K2" s="1311"/>
      <c r="L2" s="1311"/>
      <c r="M2" s="1311"/>
      <c r="N2" s="1311"/>
      <c r="O2" s="1311"/>
      <c r="P2" s="1271"/>
      <c r="Q2" s="1271"/>
      <c r="R2" s="1271"/>
      <c r="S2" s="1271"/>
    </row>
    <row r="3">
      <c r="A3" s="85" t="s">
        <v>1197</v>
      </c>
      <c r="B3" s="85" t="n">
        <v>13601</v>
      </c>
      <c r="C3" s="85" t="s">
        <v>1388</v>
      </c>
      <c r="D3" s="85" t="n">
        <v>0</v>
      </c>
      <c r="E3" s="85" t="n">
        <v>0</v>
      </c>
      <c r="F3" s="85" t="n">
        <v>601</v>
      </c>
      <c r="G3" s="85" t="n">
        <v>1038</v>
      </c>
      <c r="H3" s="85" t="n">
        <v>1251</v>
      </c>
      <c r="I3" s="85" t="n">
        <v>1431</v>
      </c>
      <c r="J3" s="85" t="n">
        <v>1492</v>
      </c>
      <c r="K3" s="85" t="n">
        <v>1530</v>
      </c>
      <c r="L3" s="85" t="n">
        <v>1567</v>
      </c>
      <c r="M3" s="85" t="n">
        <v>1606</v>
      </c>
      <c r="N3" s="85" t="n">
        <v>2890</v>
      </c>
      <c r="O3" s="85" t="n">
        <v>10516</v>
      </c>
      <c r="P3" s="85"/>
      <c r="Q3" s="85"/>
      <c r="R3" s="85"/>
      <c r="S3" s="85"/>
    </row>
    <row r="4">
      <c r="A4" s="85" t="s">
        <v>1210</v>
      </c>
      <c r="B4" s="85" t="n">
        <v>10301</v>
      </c>
      <c r="C4" s="85" t="s">
        <v>1388</v>
      </c>
      <c r="D4" s="85" t="n">
        <v>0</v>
      </c>
      <c r="E4" s="85" t="n">
        <v>3823</v>
      </c>
      <c r="F4" s="85" t="n">
        <v>3380</v>
      </c>
      <c r="G4" s="85" t="n">
        <v>4970</v>
      </c>
      <c r="H4" s="85" t="n">
        <v>6248</v>
      </c>
      <c r="I4" s="85" t="n">
        <v>7996</v>
      </c>
      <c r="J4" s="85" t="n">
        <v>10106</v>
      </c>
      <c r="K4" s="85" t="n">
        <v>12617</v>
      </c>
      <c r="L4" s="85" t="n">
        <v>15072</v>
      </c>
      <c r="M4" s="85" t="n">
        <v>15388</v>
      </c>
      <c r="N4" s="85" t="n">
        <v>18421</v>
      </c>
      <c r="O4" s="85" t="n">
        <v>79600</v>
      </c>
      <c r="P4" s="85"/>
      <c r="Q4" s="85"/>
      <c r="R4" s="85"/>
      <c r="S4" s="85"/>
    </row>
    <row r="5">
      <c r="A5" s="85" t="s">
        <v>1212</v>
      </c>
      <c r="B5" s="85" t="n">
        <v>13802</v>
      </c>
      <c r="C5" s="85" t="s">
        <v>1388</v>
      </c>
      <c r="D5" s="85" t="n">
        <v>0</v>
      </c>
      <c r="E5" s="85" t="n">
        <v>55</v>
      </c>
      <c r="F5" s="85" t="n">
        <v>55</v>
      </c>
      <c r="G5" s="85" t="n">
        <v>55</v>
      </c>
      <c r="H5" s="85" t="n">
        <v>55</v>
      </c>
      <c r="I5" s="85" t="n">
        <v>55</v>
      </c>
      <c r="J5" s="85" t="n">
        <v>55</v>
      </c>
      <c r="K5" s="85" t="n">
        <v>55</v>
      </c>
      <c r="L5" s="85" t="n">
        <v>55</v>
      </c>
      <c r="M5" s="85" t="n">
        <v>55</v>
      </c>
      <c r="N5" s="85" t="n">
        <v>220</v>
      </c>
      <c r="O5" s="85" t="n">
        <v>495</v>
      </c>
      <c r="P5" s="85"/>
      <c r="Q5" s="85"/>
      <c r="R5" s="85"/>
      <c r="S5" s="85"/>
    </row>
    <row r="6">
      <c r="A6" s="85" t="s">
        <v>1214</v>
      </c>
      <c r="B6" s="85" t="n">
        <v>22005</v>
      </c>
      <c r="C6" s="85" t="s">
        <v>1388</v>
      </c>
      <c r="D6" s="85" t="n">
        <v>0</v>
      </c>
      <c r="E6" s="85" t="n">
        <v>19</v>
      </c>
      <c r="F6" s="85" t="n">
        <v>26</v>
      </c>
      <c r="G6" s="85" t="n">
        <v>27</v>
      </c>
      <c r="H6" s="85" t="n">
        <v>17</v>
      </c>
      <c r="I6" s="85" t="n">
        <v>7</v>
      </c>
      <c r="J6" s="85" t="n">
        <v>3</v>
      </c>
      <c r="K6" s="85" t="n">
        <v>1</v>
      </c>
      <c r="L6" s="85" t="n">
        <v>0</v>
      </c>
      <c r="M6" s="85" t="n">
        <v>0</v>
      </c>
      <c r="N6" s="85" t="n">
        <v>89</v>
      </c>
      <c r="O6" s="85" t="n">
        <v>100</v>
      </c>
      <c r="P6" s="85"/>
      <c r="Q6" s="85"/>
      <c r="R6" s="85"/>
      <c r="S6" s="85"/>
    </row>
    <row r="7">
      <c r="A7" s="85" t="s">
        <v>1200</v>
      </c>
      <c r="B7" s="85" t="n">
        <v>23001</v>
      </c>
      <c r="C7" s="85" t="s">
        <v>1388</v>
      </c>
      <c r="D7" s="85" t="n">
        <v>0</v>
      </c>
      <c r="E7" s="85" t="n">
        <v>35</v>
      </c>
      <c r="F7" s="85" t="n">
        <v>125</v>
      </c>
      <c r="G7" s="85" t="n">
        <v>170</v>
      </c>
      <c r="H7" s="85" t="n">
        <v>375</v>
      </c>
      <c r="I7" s="85" t="n">
        <v>470</v>
      </c>
      <c r="J7" s="85" t="n">
        <v>415</v>
      </c>
      <c r="K7" s="85" t="n">
        <v>280</v>
      </c>
      <c r="L7" s="85" t="n">
        <v>217</v>
      </c>
      <c r="M7" s="85" t="n">
        <v>58</v>
      </c>
      <c r="N7" s="85" t="n">
        <v>705</v>
      </c>
      <c r="O7" s="85" t="n">
        <v>2145</v>
      </c>
      <c r="P7" s="85"/>
      <c r="Q7" s="85"/>
      <c r="R7" s="85"/>
      <c r="S7" s="85"/>
    </row>
    <row r="8">
      <c r="A8" s="85" t="s">
        <v>1216</v>
      </c>
      <c r="B8" s="85" t="n">
        <v>23005</v>
      </c>
      <c r="C8" s="85" t="s">
        <v>1388</v>
      </c>
      <c r="D8" s="85" t="n">
        <v>0</v>
      </c>
      <c r="E8" s="85" t="n">
        <v>15</v>
      </c>
      <c r="F8" s="85" t="n">
        <v>15</v>
      </c>
      <c r="G8" s="85" t="n">
        <v>15</v>
      </c>
      <c r="H8" s="85" t="n">
        <v>10</v>
      </c>
      <c r="I8" s="85" t="n">
        <v>10</v>
      </c>
      <c r="J8" s="85" t="n">
        <v>10</v>
      </c>
      <c r="K8" s="85" t="n">
        <v>10</v>
      </c>
      <c r="L8" s="85" t="n">
        <v>10</v>
      </c>
      <c r="M8" s="85" t="n">
        <v>5</v>
      </c>
      <c r="N8" s="85" t="n">
        <v>55</v>
      </c>
      <c r="O8" s="85" t="n">
        <v>100</v>
      </c>
      <c r="P8" s="85"/>
      <c r="Q8" s="85"/>
      <c r="R8" s="85"/>
      <c r="S8" s="85"/>
    </row>
    <row r="9">
      <c r="A9" s="85" t="s">
        <v>1269</v>
      </c>
      <c r="B9" s="85" t="n">
        <v>23003</v>
      </c>
      <c r="C9" s="85" t="s">
        <v>1256</v>
      </c>
      <c r="D9" s="85" t="n">
        <v>0</v>
      </c>
      <c r="E9" s="85" t="n">
        <v>65</v>
      </c>
      <c r="F9" s="85" t="n">
        <v>150</v>
      </c>
      <c r="G9" s="85" t="n">
        <v>290</v>
      </c>
      <c r="H9" s="85" t="n">
        <v>290</v>
      </c>
      <c r="I9" s="85" t="n">
        <v>290</v>
      </c>
      <c r="J9" s="85" t="n">
        <v>285</v>
      </c>
      <c r="K9" s="85" t="n">
        <v>250</v>
      </c>
      <c r="L9" s="85" t="n">
        <v>220</v>
      </c>
      <c r="M9" s="85" t="n">
        <v>160</v>
      </c>
      <c r="N9" s="85" t="n">
        <v>795</v>
      </c>
      <c r="O9" s="85" t="n">
        <v>2000</v>
      </c>
      <c r="P9" s="85"/>
      <c r="Q9" s="85"/>
      <c r="R9" s="85"/>
      <c r="S9" s="85"/>
    </row>
    <row r="10">
      <c r="A10" s="85" t="s">
        <v>1297</v>
      </c>
      <c r="B10" s="85" t="n">
        <v>11102</v>
      </c>
      <c r="C10" s="85" t="s">
        <v>210</v>
      </c>
      <c r="D10" s="85" t="n">
        <v>0</v>
      </c>
      <c r="E10" s="85" t="n">
        <v>110</v>
      </c>
      <c r="F10" s="85" t="n">
        <v>504</v>
      </c>
      <c r="G10" s="85" t="n">
        <v>878</v>
      </c>
      <c r="H10" s="85" t="n">
        <v>1193</v>
      </c>
      <c r="I10" s="85" t="n">
        <v>1596</v>
      </c>
      <c r="J10" s="85" t="n">
        <v>2081</v>
      </c>
      <c r="K10" s="85" t="n">
        <v>2587</v>
      </c>
      <c r="L10" s="85" t="n">
        <v>3117</v>
      </c>
      <c r="M10" s="85" t="n">
        <v>3648</v>
      </c>
      <c r="N10" s="85" t="n">
        <v>2685</v>
      </c>
      <c r="O10" s="85" t="n">
        <v>15714</v>
      </c>
      <c r="P10" s="85"/>
      <c r="Q10" s="85"/>
      <c r="R10" s="85"/>
      <c r="S10" s="85"/>
    </row>
    <row r="11">
      <c r="A11" s="85" t="s">
        <v>1299</v>
      </c>
      <c r="B11" s="85" t="n">
        <v>11405</v>
      </c>
      <c r="C11" s="85" t="s">
        <v>210</v>
      </c>
      <c r="D11" s="85" t="n">
        <v>0</v>
      </c>
      <c r="E11" s="85" t="n">
        <v>0</v>
      </c>
      <c r="F11" s="85" t="n">
        <v>235</v>
      </c>
      <c r="G11" s="85" t="n">
        <v>317</v>
      </c>
      <c r="H11" s="85" t="n">
        <v>304</v>
      </c>
      <c r="I11" s="85" t="n">
        <v>314</v>
      </c>
      <c r="J11" s="85" t="n">
        <v>324</v>
      </c>
      <c r="K11" s="85" t="n">
        <v>335</v>
      </c>
      <c r="L11" s="85" t="n">
        <v>346</v>
      </c>
      <c r="M11" s="85" t="n">
        <v>359</v>
      </c>
      <c r="N11" s="85" t="n">
        <v>856</v>
      </c>
      <c r="O11" s="85" t="n">
        <v>2534</v>
      </c>
      <c r="P11" s="85"/>
      <c r="Q11" s="85"/>
      <c r="R11" s="85"/>
      <c r="S11" s="85"/>
    </row>
    <row r="12">
      <c r="A12" s="85" t="s">
        <v>1301</v>
      </c>
      <c r="B12" s="85" t="n">
        <v>11001</v>
      </c>
      <c r="C12" s="85" t="s">
        <v>211</v>
      </c>
      <c r="D12" s="85" t="n">
        <v>0</v>
      </c>
      <c r="E12" s="85" t="n">
        <v>0</v>
      </c>
      <c r="F12" s="85" t="n">
        <v>0</v>
      </c>
      <c r="G12" s="85" t="n">
        <v>0</v>
      </c>
      <c r="H12" s="85" t="n">
        <v>-3728</v>
      </c>
      <c r="I12" s="85" t="n">
        <v>-8317</v>
      </c>
      <c r="J12" s="85" t="n">
        <v>-17535</v>
      </c>
      <c r="K12" s="85" t="n">
        <v>-21009</v>
      </c>
      <c r="L12" s="85" t="n">
        <v>-23416</v>
      </c>
      <c r="M12" s="85" t="n">
        <v>-24516</v>
      </c>
      <c r="N12" s="85" t="n">
        <v>-3728</v>
      </c>
      <c r="O12" s="85" t="n">
        <v>-98521</v>
      </c>
      <c r="P12" s="85"/>
      <c r="Q12" s="85"/>
      <c r="R12" s="85"/>
      <c r="S12" s="85"/>
    </row>
    <row r="13">
      <c r="A13" s="85" t="n">
        <v>0</v>
      </c>
      <c r="B13" s="85" t="n">
        <v>11004</v>
      </c>
      <c r="C13" s="85" t="s">
        <v>211</v>
      </c>
      <c r="D13" s="85" t="n">
        <v>0</v>
      </c>
      <c r="E13" s="85" t="n">
        <v>333</v>
      </c>
      <c r="F13" s="85" t="n">
        <v>314</v>
      </c>
      <c r="G13" s="85" t="n">
        <v>314</v>
      </c>
      <c r="H13" s="85" t="n">
        <v>314</v>
      </c>
      <c r="I13" s="85" t="n">
        <v>314</v>
      </c>
      <c r="J13" s="85" t="n">
        <v>314</v>
      </c>
      <c r="K13" s="85" t="n">
        <v>314</v>
      </c>
      <c r="L13" s="85" t="n">
        <v>314</v>
      </c>
      <c r="M13" s="85" t="n">
        <v>314</v>
      </c>
      <c r="N13" s="85" t="n">
        <v>1275</v>
      </c>
      <c r="O13" s="85" t="n">
        <v>2845</v>
      </c>
      <c r="P13" s="85"/>
      <c r="Q13" s="85"/>
      <c r="R13" s="85"/>
      <c r="S13" s="85"/>
    </row>
    <row r="14">
      <c r="A14" s="85" t="s">
        <v>1297</v>
      </c>
      <c r="B14" s="85" t="n">
        <v>11102</v>
      </c>
      <c r="C14" s="85" t="s">
        <v>211</v>
      </c>
      <c r="D14" s="85" t="n">
        <v>0</v>
      </c>
      <c r="E14" s="85" t="n">
        <v>-719</v>
      </c>
      <c r="F14" s="85" t="n">
        <v>-1051</v>
      </c>
      <c r="G14" s="85" t="n">
        <v>-18680</v>
      </c>
      <c r="H14" s="85" t="n">
        <v>-7174</v>
      </c>
      <c r="I14" s="85" t="n">
        <v>-7523</v>
      </c>
      <c r="J14" s="85" t="n">
        <v>-7820</v>
      </c>
      <c r="K14" s="85" t="n">
        <v>-8529</v>
      </c>
      <c r="L14" s="85" t="n">
        <v>-9564</v>
      </c>
      <c r="M14" s="85" t="n">
        <v>-10720</v>
      </c>
      <c r="N14" s="85" t="n">
        <v>-27624</v>
      </c>
      <c r="O14" s="85" t="n">
        <v>-71780</v>
      </c>
      <c r="P14" s="85"/>
      <c r="Q14" s="85"/>
      <c r="R14" s="85"/>
      <c r="S14" s="85"/>
    </row>
    <row r="15">
      <c r="A15" s="85" t="n">
        <v>0</v>
      </c>
      <c r="B15" s="85" t="n">
        <v>11102</v>
      </c>
      <c r="C15" s="85" t="s">
        <v>211</v>
      </c>
      <c r="D15" s="85" t="n">
        <v>0</v>
      </c>
      <c r="E15" s="85" t="n">
        <v>-23</v>
      </c>
      <c r="F15" s="85" t="n">
        <v>-60</v>
      </c>
      <c r="G15" s="85" t="n">
        <v>-61</v>
      </c>
      <c r="H15" s="85" t="n">
        <v>-43</v>
      </c>
      <c r="I15" s="85" t="n">
        <v>-30</v>
      </c>
      <c r="J15" s="85" t="n">
        <v>-34</v>
      </c>
      <c r="K15" s="85" t="n">
        <v>-26</v>
      </c>
      <c r="L15" s="85" t="n">
        <v>-3</v>
      </c>
      <c r="M15" s="85" t="n">
        <v>7</v>
      </c>
      <c r="N15" s="85" t="n">
        <v>-187</v>
      </c>
      <c r="O15" s="85" t="n">
        <v>-273</v>
      </c>
      <c r="P15" s="85"/>
      <c r="Q15" s="85"/>
      <c r="R15" s="85"/>
      <c r="S15" s="85"/>
    </row>
    <row r="16">
      <c r="A16" s="85" t="s">
        <v>1304</v>
      </c>
      <c r="B16" s="85" t="n">
        <v>11201</v>
      </c>
      <c r="C16" s="85" t="s">
        <v>211</v>
      </c>
      <c r="D16" s="85" t="n">
        <v>0</v>
      </c>
      <c r="E16" s="85" t="n">
        <v>48</v>
      </c>
      <c r="F16" s="85" t="n">
        <v>2541</v>
      </c>
      <c r="G16" s="85" t="n">
        <v>4311</v>
      </c>
      <c r="H16" s="85" t="n">
        <v>3827</v>
      </c>
      <c r="I16" s="85" t="n">
        <v>4927</v>
      </c>
      <c r="J16" s="85" t="n">
        <v>5162</v>
      </c>
      <c r="K16" s="85" t="n">
        <v>4780</v>
      </c>
      <c r="L16" s="85" t="n">
        <v>2375</v>
      </c>
      <c r="M16" s="85" t="n">
        <v>1866</v>
      </c>
      <c r="N16" s="85" t="n">
        <v>10727</v>
      </c>
      <c r="O16" s="85" t="n">
        <v>29837</v>
      </c>
      <c r="P16" s="85"/>
      <c r="Q16" s="85"/>
      <c r="R16" s="85"/>
      <c r="S16" s="85"/>
    </row>
    <row r="17">
      <c r="A17" s="85" t="s">
        <v>1389</v>
      </c>
      <c r="B17" s="85" t="n">
        <v>11202</v>
      </c>
      <c r="C17" s="85" t="s">
        <v>211</v>
      </c>
      <c r="D17" s="85" t="n">
        <v>0</v>
      </c>
      <c r="E17" s="85" t="n">
        <v>5</v>
      </c>
      <c r="F17" s="85" t="n">
        <v>3</v>
      </c>
      <c r="G17" s="85" t="n">
        <v>17</v>
      </c>
      <c r="H17" s="85" t="n">
        <v>15</v>
      </c>
      <c r="I17" s="85" t="n">
        <v>15</v>
      </c>
      <c r="J17" s="85" t="n">
        <v>20</v>
      </c>
      <c r="K17" s="85" t="n">
        <v>15</v>
      </c>
      <c r="L17" s="85" t="n">
        <v>15</v>
      </c>
      <c r="M17" s="85" t="n">
        <v>20</v>
      </c>
      <c r="N17" s="85" t="n">
        <v>40</v>
      </c>
      <c r="O17" s="85" t="n">
        <v>125</v>
      </c>
      <c r="P17" s="85"/>
      <c r="Q17" s="85"/>
      <c r="R17" s="85"/>
      <c r="S17" s="85"/>
    </row>
    <row r="18">
      <c r="A18" s="85" t="s">
        <v>1306</v>
      </c>
      <c r="B18" s="85" t="n">
        <v>11301</v>
      </c>
      <c r="C18" s="85" t="s">
        <v>211</v>
      </c>
      <c r="D18" s="85" t="n">
        <v>0</v>
      </c>
      <c r="E18" s="85" t="n">
        <v>0</v>
      </c>
      <c r="F18" s="85" t="n">
        <v>0</v>
      </c>
      <c r="G18" s="85" t="n">
        <v>0</v>
      </c>
      <c r="H18" s="85" t="n">
        <v>0</v>
      </c>
      <c r="I18" s="85" t="n">
        <v>-16290</v>
      </c>
      <c r="J18" s="85" t="n">
        <v>-25656</v>
      </c>
      <c r="K18" s="85" t="n">
        <v>-23394</v>
      </c>
      <c r="L18" s="85" t="n">
        <v>-27561</v>
      </c>
      <c r="M18" s="85" t="n">
        <v>-29250</v>
      </c>
      <c r="N18" s="85" t="n">
        <v>0</v>
      </c>
      <c r="O18" s="85" t="n">
        <v>-122151</v>
      </c>
      <c r="P18" s="85"/>
      <c r="Q18" s="85"/>
      <c r="R18" s="85"/>
      <c r="S18" s="85"/>
    </row>
    <row r="19">
      <c r="A19" s="85" t="s">
        <v>1308</v>
      </c>
      <c r="B19" s="85" t="n">
        <v>11401</v>
      </c>
      <c r="C19" s="85" t="s">
        <v>211</v>
      </c>
      <c r="D19" s="85" t="n">
        <v>0</v>
      </c>
      <c r="E19" s="85" t="n">
        <v>-69</v>
      </c>
      <c r="F19" s="85" t="n">
        <v>301</v>
      </c>
      <c r="G19" s="85" t="n">
        <v>863</v>
      </c>
      <c r="H19" s="85" t="n">
        <v>579</v>
      </c>
      <c r="I19" s="85" t="n">
        <v>466</v>
      </c>
      <c r="J19" s="85" t="n">
        <v>551</v>
      </c>
      <c r="K19" s="85" t="n">
        <v>503</v>
      </c>
      <c r="L19" s="85" t="n">
        <v>593</v>
      </c>
      <c r="M19" s="85" t="n">
        <v>632</v>
      </c>
      <c r="N19" s="85" t="n">
        <v>1674</v>
      </c>
      <c r="O19" s="85" t="n">
        <v>4419</v>
      </c>
      <c r="P19" s="85"/>
      <c r="Q19" s="85"/>
      <c r="R19" s="85"/>
      <c r="S19" s="85"/>
    </row>
    <row r="20">
      <c r="A20" s="85" t="n">
        <v>0</v>
      </c>
      <c r="B20" s="85" t="n">
        <v>11402</v>
      </c>
      <c r="C20" s="85" t="s">
        <v>211</v>
      </c>
      <c r="D20" s="85" t="n">
        <v>0</v>
      </c>
      <c r="E20" s="85" t="n">
        <v>-1</v>
      </c>
      <c r="F20" s="85" t="n">
        <v>-1</v>
      </c>
      <c r="G20" s="85" t="n">
        <v>-1</v>
      </c>
      <c r="H20" s="85" t="n">
        <v>-2</v>
      </c>
      <c r="I20" s="85" t="n">
        <v>-2</v>
      </c>
      <c r="J20" s="85" t="n">
        <v>-2</v>
      </c>
      <c r="K20" s="85" t="n">
        <v>-2</v>
      </c>
      <c r="L20" s="85" t="n">
        <v>-2</v>
      </c>
      <c r="M20" s="85" t="n">
        <v>-2</v>
      </c>
      <c r="N20" s="85" t="n">
        <v>-5</v>
      </c>
      <c r="O20" s="85" t="n">
        <v>-15</v>
      </c>
      <c r="P20" s="85"/>
      <c r="Q20" s="85"/>
      <c r="R20" s="85"/>
      <c r="S20" s="85"/>
    </row>
    <row r="21">
      <c r="A21" s="85" t="n">
        <v>0</v>
      </c>
      <c r="B21" s="85" t="n">
        <v>11403</v>
      </c>
      <c r="C21" s="85" t="s">
        <v>211</v>
      </c>
      <c r="D21" s="85" t="n">
        <v>0</v>
      </c>
      <c r="E21" s="85" t="n">
        <v>0</v>
      </c>
      <c r="F21" s="85" t="n">
        <v>0</v>
      </c>
      <c r="G21" s="85" t="n">
        <v>0</v>
      </c>
      <c r="H21" s="85" t="n">
        <v>0</v>
      </c>
      <c r="I21" s="85" t="n">
        <v>0</v>
      </c>
      <c r="J21" s="85" t="n">
        <v>0</v>
      </c>
      <c r="K21" s="85" t="n">
        <v>0</v>
      </c>
      <c r="L21" s="85" t="n">
        <v>0</v>
      </c>
      <c r="M21" s="85" t="n">
        <v>0</v>
      </c>
      <c r="N21" s="85" t="n">
        <v>0</v>
      </c>
      <c r="O21" s="85" t="n">
        <v>0</v>
      </c>
      <c r="P21" s="85"/>
      <c r="Q21" s="85"/>
      <c r="R21" s="85"/>
      <c r="S21" s="85"/>
    </row>
    <row r="22">
      <c r="A22" s="85" t="n">
        <v>0</v>
      </c>
      <c r="B22" s="85" t="n">
        <v>11406</v>
      </c>
      <c r="C22" s="85" t="s">
        <v>211</v>
      </c>
      <c r="D22" s="85" t="n">
        <v>0</v>
      </c>
      <c r="E22" s="85" t="n">
        <v>1</v>
      </c>
      <c r="F22" s="85" t="n">
        <v>501</v>
      </c>
      <c r="G22" s="85" t="n">
        <v>506</v>
      </c>
      <c r="H22" s="85" t="n">
        <v>561</v>
      </c>
      <c r="I22" s="85" t="n">
        <v>628</v>
      </c>
      <c r="J22" s="85" t="n">
        <v>681</v>
      </c>
      <c r="K22" s="85" t="n">
        <v>608</v>
      </c>
      <c r="L22" s="85" t="n">
        <v>659</v>
      </c>
      <c r="M22" s="85" t="n">
        <v>684</v>
      </c>
      <c r="N22" s="85" t="n">
        <v>1569</v>
      </c>
      <c r="O22" s="85" t="n">
        <v>4829</v>
      </c>
      <c r="P22" s="85"/>
      <c r="Q22" s="85"/>
      <c r="R22" s="85"/>
      <c r="S22" s="85"/>
    </row>
    <row r="23">
      <c r="A23" s="85" t="n">
        <v>0</v>
      </c>
      <c r="B23" s="85" t="n">
        <v>11407</v>
      </c>
      <c r="C23" s="85" t="s">
        <v>211</v>
      </c>
      <c r="D23" s="85" t="n">
        <v>0</v>
      </c>
      <c r="E23" s="85" t="n">
        <v>10</v>
      </c>
      <c r="F23" s="85" t="n">
        <v>25</v>
      </c>
      <c r="G23" s="85" t="n">
        <v>28</v>
      </c>
      <c r="H23" s="85" t="n">
        <v>29</v>
      </c>
      <c r="I23" s="85" t="n">
        <v>31</v>
      </c>
      <c r="J23" s="85" t="n">
        <v>33</v>
      </c>
      <c r="K23" s="85" t="n">
        <v>33</v>
      </c>
      <c r="L23" s="85" t="n">
        <v>35</v>
      </c>
      <c r="M23" s="85" t="n">
        <v>37</v>
      </c>
      <c r="N23" s="85" t="n">
        <v>92</v>
      </c>
      <c r="O23" s="85" t="n">
        <v>261</v>
      </c>
      <c r="P23" s="85"/>
      <c r="Q23" s="85"/>
      <c r="R23" s="85"/>
      <c r="S23" s="85"/>
    </row>
    <row r="24">
      <c r="A24" s="85" t="n">
        <v>0</v>
      </c>
      <c r="B24" s="85" t="n">
        <v>11408</v>
      </c>
      <c r="C24" s="85" t="s">
        <v>211</v>
      </c>
      <c r="D24" s="85" t="n">
        <v>0</v>
      </c>
      <c r="E24" s="85" t="n">
        <v>0</v>
      </c>
      <c r="F24" s="85" t="n">
        <v>0</v>
      </c>
      <c r="G24" s="85" t="n">
        <v>0</v>
      </c>
      <c r="H24" s="85" t="n">
        <v>0</v>
      </c>
      <c r="I24" s="85" t="n">
        <v>0</v>
      </c>
      <c r="J24" s="85" t="n">
        <v>0</v>
      </c>
      <c r="K24" s="85" t="n">
        <v>0</v>
      </c>
      <c r="L24" s="85" t="n">
        <v>0</v>
      </c>
      <c r="M24" s="85" t="n">
        <v>0</v>
      </c>
      <c r="N24" s="85" t="n">
        <v>0</v>
      </c>
      <c r="O24" s="85" t="n">
        <v>0</v>
      </c>
      <c r="P24" s="85"/>
      <c r="Q24" s="85"/>
      <c r="R24" s="85"/>
      <c r="S24" s="85"/>
    </row>
    <row r="25">
      <c r="A25" s="85" t="s">
        <v>1310</v>
      </c>
      <c r="B25" s="85" t="n">
        <v>11404</v>
      </c>
      <c r="C25" s="85" t="s">
        <v>211</v>
      </c>
      <c r="D25" s="85" t="n">
        <v>0</v>
      </c>
      <c r="E25" s="85" t="n">
        <v>0</v>
      </c>
      <c r="F25" s="85" t="n">
        <v>195</v>
      </c>
      <c r="G25" s="85" t="n">
        <v>230</v>
      </c>
      <c r="H25" s="85" t="n">
        <v>248</v>
      </c>
      <c r="I25" s="85" t="n">
        <v>266</v>
      </c>
      <c r="J25" s="85" t="n">
        <v>311</v>
      </c>
      <c r="K25" s="85" t="n">
        <v>281</v>
      </c>
      <c r="L25" s="85" t="n">
        <v>327</v>
      </c>
      <c r="M25" s="85" t="n">
        <v>347</v>
      </c>
      <c r="N25" s="85" t="n">
        <v>673</v>
      </c>
      <c r="O25" s="85" t="n">
        <v>2205</v>
      </c>
      <c r="P25" s="85"/>
      <c r="Q25" s="85"/>
      <c r="R25" s="85"/>
      <c r="S25" s="85"/>
    </row>
    <row r="26">
      <c r="A26" s="85" t="s">
        <v>1322</v>
      </c>
      <c r="B26" s="85" t="n">
        <v>12001</v>
      </c>
      <c r="C26" s="85" t="s">
        <v>1390</v>
      </c>
      <c r="D26" s="85" t="n">
        <v>0</v>
      </c>
      <c r="E26" s="85" t="n">
        <v>20892</v>
      </c>
      <c r="F26" s="85" t="n">
        <v>11288</v>
      </c>
      <c r="G26" s="85" t="n">
        <v>9651</v>
      </c>
      <c r="H26" s="85" t="n">
        <v>-8548</v>
      </c>
      <c r="I26" s="85" t="n">
        <v>-463</v>
      </c>
      <c r="J26" s="85" t="n">
        <v>0</v>
      </c>
      <c r="K26" s="85" t="n">
        <v>0</v>
      </c>
      <c r="L26" s="85" t="n">
        <v>0</v>
      </c>
      <c r="M26" s="85" t="n">
        <v>0</v>
      </c>
      <c r="N26" s="85" t="n">
        <v>33283</v>
      </c>
      <c r="O26" s="85" t="n">
        <v>32820</v>
      </c>
      <c r="P26" s="85"/>
      <c r="Q26" s="85"/>
      <c r="R26" s="85"/>
      <c r="S26" s="85"/>
    </row>
    <row r="27">
      <c r="A27" s="85" t="s">
        <v>1324</v>
      </c>
      <c r="B27" s="85" t="n">
        <v>22003</v>
      </c>
      <c r="C27" s="85" t="s">
        <v>1390</v>
      </c>
      <c r="D27" s="85" t="n">
        <v>0</v>
      </c>
      <c r="E27" s="85" t="n">
        <v>24</v>
      </c>
      <c r="F27" s="85" t="n">
        <v>65</v>
      </c>
      <c r="G27" s="85" t="n">
        <v>112</v>
      </c>
      <c r="H27" s="85" t="n">
        <v>130</v>
      </c>
      <c r="I27" s="85" t="n">
        <v>98</v>
      </c>
      <c r="J27" s="85" t="n">
        <v>56</v>
      </c>
      <c r="K27" s="85" t="n">
        <v>15</v>
      </c>
      <c r="L27" s="85" t="n">
        <v>0</v>
      </c>
      <c r="M27" s="85" t="n">
        <v>0</v>
      </c>
      <c r="N27" s="85" t="n">
        <v>331</v>
      </c>
      <c r="O27" s="85" t="n">
        <v>500</v>
      </c>
      <c r="P27" s="85"/>
      <c r="Q27" s="85"/>
      <c r="R27" s="85"/>
      <c r="S27" s="85"/>
    </row>
    <row r="28">
      <c r="A28" s="85" t="s">
        <v>1326</v>
      </c>
      <c r="B28" s="85" t="n">
        <v>22004</v>
      </c>
      <c r="C28" s="85" t="s">
        <v>1390</v>
      </c>
      <c r="D28" s="85" t="n">
        <v>0</v>
      </c>
      <c r="E28" s="85" t="n">
        <v>50</v>
      </c>
      <c r="F28" s="85" t="n">
        <v>500</v>
      </c>
      <c r="G28" s="85" t="n">
        <v>920</v>
      </c>
      <c r="H28" s="85" t="n">
        <v>1310</v>
      </c>
      <c r="I28" s="85" t="n">
        <v>1680</v>
      </c>
      <c r="J28" s="85" t="n">
        <v>1780</v>
      </c>
      <c r="K28" s="85" t="n">
        <v>1640</v>
      </c>
      <c r="L28" s="85" t="n">
        <v>1090</v>
      </c>
      <c r="M28" s="85" t="n">
        <v>630</v>
      </c>
      <c r="N28" s="85" t="n">
        <v>2780</v>
      </c>
      <c r="O28" s="85" t="n">
        <v>9600</v>
      </c>
      <c r="P28" s="85"/>
      <c r="Q28" s="85"/>
      <c r="R28" s="85"/>
      <c r="S28" s="85"/>
    </row>
    <row r="29" ht="45" customHeight="1">
      <c r="A29" s="34" t="s">
        <v>1391</v>
      </c>
      <c r="B29" s="85" t="n">
        <v>22007</v>
      </c>
      <c r="C29" s="85" t="s">
        <v>1390</v>
      </c>
      <c r="D29" s="85" t="n">
        <v>-622</v>
      </c>
      <c r="E29" s="85" t="n">
        <v>80</v>
      </c>
      <c r="F29" s="85" t="n">
        <v>248</v>
      </c>
      <c r="G29" s="85" t="n">
        <v>266</v>
      </c>
      <c r="H29" s="85" t="n">
        <v>363</v>
      </c>
      <c r="I29" s="85" t="n">
        <v>464</v>
      </c>
      <c r="J29" s="85" t="n">
        <v>451</v>
      </c>
      <c r="K29" s="85" t="n">
        <v>336</v>
      </c>
      <c r="L29" s="85" t="n">
        <v>226</v>
      </c>
      <c r="M29" s="85" t="n">
        <v>117</v>
      </c>
      <c r="N29" s="85" t="n">
        <v>335</v>
      </c>
      <c r="O29" s="85" t="n">
        <v>1929</v>
      </c>
      <c r="P29" s="85"/>
      <c r="Q29" s="85"/>
      <c r="R29" s="85"/>
      <c r="S29" s="85"/>
    </row>
    <row r="30">
      <c r="A30" s="85" t="s">
        <v>1328</v>
      </c>
      <c r="B30" s="85" t="n">
        <v>23002</v>
      </c>
      <c r="C30" s="85" t="s">
        <v>1390</v>
      </c>
      <c r="D30" s="85" t="n">
        <v>0</v>
      </c>
      <c r="E30" s="85" t="n">
        <v>30</v>
      </c>
      <c r="F30" s="85" t="n">
        <v>90</v>
      </c>
      <c r="G30" s="85" t="n">
        <v>90</v>
      </c>
      <c r="H30" s="85" t="n">
        <v>85</v>
      </c>
      <c r="I30" s="85" t="n">
        <v>70</v>
      </c>
      <c r="J30" s="85" t="n">
        <v>65</v>
      </c>
      <c r="K30" s="85" t="n">
        <v>65</v>
      </c>
      <c r="L30" s="85" t="n">
        <v>35</v>
      </c>
      <c r="M30" s="85" t="n">
        <v>15</v>
      </c>
      <c r="N30" s="85" t="n">
        <v>295</v>
      </c>
      <c r="O30" s="85" t="n">
        <v>545</v>
      </c>
      <c r="P30" s="85"/>
      <c r="Q30" s="85"/>
      <c r="R30" s="85"/>
      <c r="S30" s="85"/>
    </row>
    <row r="31">
      <c r="A31" s="85" t="s">
        <v>1319</v>
      </c>
      <c r="B31" s="85" t="n">
        <v>30002</v>
      </c>
      <c r="C31" s="85" t="s">
        <v>1390</v>
      </c>
      <c r="D31" s="85" t="n">
        <v>0</v>
      </c>
      <c r="E31" s="85" t="n">
        <v>20</v>
      </c>
      <c r="F31" s="85" t="n">
        <v>65</v>
      </c>
      <c r="G31" s="85" t="n">
        <v>110</v>
      </c>
      <c r="H31" s="85" t="n">
        <v>135</v>
      </c>
      <c r="I31" s="85" t="n">
        <v>180</v>
      </c>
      <c r="J31" s="85" t="n">
        <v>230</v>
      </c>
      <c r="K31" s="85" t="n">
        <v>180</v>
      </c>
      <c r="L31" s="85" t="n">
        <v>60</v>
      </c>
      <c r="M31" s="85" t="n">
        <v>10</v>
      </c>
      <c r="N31" s="85" t="n">
        <v>330</v>
      </c>
      <c r="O31" s="85" t="n">
        <v>990</v>
      </c>
      <c r="P31" s="85"/>
      <c r="Q31" s="85"/>
      <c r="R31" s="85"/>
      <c r="S31" s="85"/>
    </row>
    <row r="32">
      <c r="A32" s="85" t="s">
        <v>1392</v>
      </c>
      <c r="B32" s="85" t="n">
        <v>13104</v>
      </c>
      <c r="C32" s="85" t="s">
        <v>1393</v>
      </c>
      <c r="D32" s="85" t="n">
        <v>0</v>
      </c>
      <c r="E32" s="85" t="n">
        <v>20</v>
      </c>
      <c r="F32" s="85" t="n">
        <v>145</v>
      </c>
      <c r="G32" s="85" t="n">
        <v>225</v>
      </c>
      <c r="H32" s="85" t="n">
        <v>238</v>
      </c>
      <c r="I32" s="85" t="n">
        <v>222</v>
      </c>
      <c r="J32" s="85" t="n">
        <v>206</v>
      </c>
      <c r="K32" s="85" t="n">
        <v>186</v>
      </c>
      <c r="L32" s="85" t="n">
        <v>165</v>
      </c>
      <c r="M32" s="85" t="n">
        <v>142</v>
      </c>
      <c r="N32" s="85" t="n">
        <v>628</v>
      </c>
      <c r="O32" s="85" t="n">
        <v>1550</v>
      </c>
      <c r="P32" s="85"/>
      <c r="Q32" s="85"/>
      <c r="R32" s="85"/>
      <c r="S32" s="85"/>
    </row>
    <row r="33">
      <c r="A33" s="85" t="s">
        <v>1394</v>
      </c>
      <c r="B33" s="85" t="n">
        <v>13105</v>
      </c>
      <c r="C33" s="85" t="s">
        <v>1393</v>
      </c>
      <c r="D33" s="85" t="n">
        <v>0</v>
      </c>
      <c r="E33" s="85" t="n">
        <v>0</v>
      </c>
      <c r="F33" s="85" t="n">
        <v>1050</v>
      </c>
      <c r="G33" s="85" t="n">
        <v>1692</v>
      </c>
      <c r="H33" s="85" t="n">
        <v>1781</v>
      </c>
      <c r="I33" s="85" t="n">
        <v>1842</v>
      </c>
      <c r="J33" s="85" t="n">
        <v>1901</v>
      </c>
      <c r="K33" s="85" t="n">
        <v>1944</v>
      </c>
      <c r="L33" s="85" t="n">
        <v>2054</v>
      </c>
      <c r="M33" s="85" t="n">
        <v>2137</v>
      </c>
      <c r="N33" s="85" t="n">
        <v>4522</v>
      </c>
      <c r="O33" s="85" t="n">
        <v>14401</v>
      </c>
      <c r="P33" s="85"/>
      <c r="Q33" s="85"/>
      <c r="R33" s="85"/>
      <c r="S33" s="85"/>
    </row>
    <row r="34">
      <c r="A34" s="85" t="s">
        <v>1356</v>
      </c>
      <c r="B34" s="85" t="n">
        <v>13204</v>
      </c>
      <c r="C34" s="85" t="s">
        <v>1393</v>
      </c>
      <c r="D34" s="85" t="n">
        <v>0</v>
      </c>
      <c r="E34" s="85" t="n">
        <v>59</v>
      </c>
      <c r="F34" s="85" t="n">
        <v>149</v>
      </c>
      <c r="G34" s="85" t="n">
        <v>244</v>
      </c>
      <c r="H34" s="85" t="n">
        <v>364</v>
      </c>
      <c r="I34" s="85" t="n">
        <v>498</v>
      </c>
      <c r="J34" s="85" t="n">
        <v>657</v>
      </c>
      <c r="K34" s="85" t="n">
        <v>851</v>
      </c>
      <c r="L34" s="85" t="n">
        <v>1086</v>
      </c>
      <c r="M34" s="85" t="n">
        <v>1410</v>
      </c>
      <c r="N34" s="85" t="n">
        <v>815</v>
      </c>
      <c r="O34" s="85" t="n">
        <v>5317</v>
      </c>
      <c r="P34" s="85"/>
      <c r="Q34" s="85"/>
      <c r="R34" s="85"/>
      <c r="S34" s="85"/>
    </row>
    <row r="35">
      <c r="A35" s="85" t="s">
        <v>1395</v>
      </c>
      <c r="B35" s="85" t="n">
        <v>13502</v>
      </c>
      <c r="C35" s="85" t="s">
        <v>1393</v>
      </c>
      <c r="D35" s="85" t="n">
        <v>0</v>
      </c>
      <c r="E35" s="85" t="n">
        <v>842</v>
      </c>
      <c r="F35" s="85" t="n">
        <v>1201</v>
      </c>
      <c r="G35" s="85" t="n">
        <v>1291</v>
      </c>
      <c r="H35" s="85" t="n">
        <v>1519</v>
      </c>
      <c r="I35" s="85" t="n">
        <v>1710</v>
      </c>
      <c r="J35" s="85" t="n">
        <v>1890</v>
      </c>
      <c r="K35" s="85" t="n">
        <v>2176</v>
      </c>
      <c r="L35" s="85" t="n">
        <v>2189</v>
      </c>
      <c r="M35" s="85" t="n">
        <v>1882</v>
      </c>
      <c r="N35" s="85" t="n">
        <v>4853</v>
      </c>
      <c r="O35" s="85" t="n">
        <v>14699</v>
      </c>
      <c r="P35" s="85"/>
      <c r="Q35" s="85"/>
      <c r="R35" s="85"/>
      <c r="S35" s="85"/>
    </row>
    <row r="36">
      <c r="A36" s="85" t="s">
        <v>1396</v>
      </c>
      <c r="B36" s="85" t="n">
        <v>13701</v>
      </c>
      <c r="C36" s="85" t="s">
        <v>1393</v>
      </c>
      <c r="D36" s="85" t="n">
        <v>0</v>
      </c>
      <c r="E36" s="85" t="n">
        <v>1</v>
      </c>
      <c r="F36" s="85" t="n">
        <v>1</v>
      </c>
      <c r="G36" s="85" t="n">
        <v>2</v>
      </c>
      <c r="H36" s="85" t="n">
        <v>2</v>
      </c>
      <c r="I36" s="85" t="n">
        <v>3</v>
      </c>
      <c r="J36" s="85" t="n">
        <v>3</v>
      </c>
      <c r="K36" s="85" t="n">
        <v>4</v>
      </c>
      <c r="L36" s="85" t="n">
        <v>5</v>
      </c>
      <c r="M36" s="85" t="n">
        <v>6</v>
      </c>
      <c r="N36" s="85" t="n">
        <v>6</v>
      </c>
      <c r="O36" s="85" t="n">
        <v>26</v>
      </c>
      <c r="P36" s="85"/>
      <c r="Q36" s="85"/>
      <c r="R36" s="85"/>
      <c r="S36" s="85"/>
    </row>
    <row r="37">
      <c r="A37" s="85" t="s">
        <v>1338</v>
      </c>
      <c r="B37" s="85" t="n">
        <v>21001</v>
      </c>
      <c r="C37" s="85" t="s">
        <v>1393</v>
      </c>
      <c r="D37" s="85" t="n">
        <v>0</v>
      </c>
      <c r="E37" s="85" t="n">
        <v>178</v>
      </c>
      <c r="F37" s="85" t="n">
        <v>716</v>
      </c>
      <c r="G37" s="85" t="n">
        <v>1268</v>
      </c>
      <c r="H37" s="85" t="n">
        <v>2150</v>
      </c>
      <c r="I37" s="85" t="n">
        <v>3000</v>
      </c>
      <c r="J37" s="85" t="n">
        <v>2906</v>
      </c>
      <c r="K37" s="85" t="n">
        <v>2533</v>
      </c>
      <c r="L37" s="85" t="n">
        <v>1750</v>
      </c>
      <c r="M37" s="85" t="n">
        <v>807</v>
      </c>
      <c r="N37" s="85" t="n">
        <v>4312</v>
      </c>
      <c r="O37" s="85" t="n">
        <v>15308</v>
      </c>
      <c r="P37" s="85"/>
      <c r="Q37" s="85"/>
      <c r="R37" s="85"/>
      <c r="S37" s="85"/>
    </row>
    <row r="38">
      <c r="A38" s="85" t="n">
        <v>0</v>
      </c>
      <c r="B38" s="85" t="n">
        <v>21002</v>
      </c>
      <c r="C38" s="85" t="s">
        <v>1393</v>
      </c>
      <c r="D38" s="85" t="n">
        <v>0</v>
      </c>
      <c r="E38" s="85" t="n">
        <v>86</v>
      </c>
      <c r="F38" s="85" t="n">
        <v>95</v>
      </c>
      <c r="G38" s="85" t="n">
        <v>125</v>
      </c>
      <c r="H38" s="85" t="n">
        <v>225</v>
      </c>
      <c r="I38" s="85" t="n">
        <v>225</v>
      </c>
      <c r="J38" s="85" t="n">
        <v>245</v>
      </c>
      <c r="K38" s="85" t="n">
        <v>240</v>
      </c>
      <c r="L38" s="85" t="n">
        <v>109</v>
      </c>
      <c r="M38" s="85" t="n">
        <v>50</v>
      </c>
      <c r="N38" s="85" t="n">
        <v>531</v>
      </c>
      <c r="O38" s="85" t="n">
        <v>1400</v>
      </c>
      <c r="P38" s="85"/>
      <c r="Q38" s="85"/>
      <c r="R38" s="85"/>
      <c r="S38" s="85"/>
    </row>
    <row r="39">
      <c r="A39" s="85" t="s">
        <v>1350</v>
      </c>
      <c r="B39" s="85" t="n">
        <v>22002</v>
      </c>
      <c r="C39" s="85" t="s">
        <v>1393</v>
      </c>
      <c r="D39" s="85" t="n">
        <v>0</v>
      </c>
      <c r="E39" s="85" t="n">
        <v>5</v>
      </c>
      <c r="F39" s="85" t="n">
        <v>41</v>
      </c>
      <c r="G39" s="85" t="n">
        <v>116</v>
      </c>
      <c r="H39" s="85" t="n">
        <v>284</v>
      </c>
      <c r="I39" s="85" t="n">
        <v>417</v>
      </c>
      <c r="J39" s="85" t="n">
        <v>459</v>
      </c>
      <c r="K39" s="85" t="n">
        <v>355</v>
      </c>
      <c r="L39" s="85" t="n">
        <v>210</v>
      </c>
      <c r="M39" s="85" t="n">
        <v>90</v>
      </c>
      <c r="N39" s="85" t="n">
        <v>446</v>
      </c>
      <c r="O39" s="85" t="n">
        <v>1977</v>
      </c>
      <c r="P39" s="85"/>
      <c r="Q39" s="85"/>
      <c r="R39" s="85"/>
      <c r="S39" s="85"/>
    </row>
    <row r="40">
      <c r="A40" s="85" t="s">
        <v>1366</v>
      </c>
      <c r="B40" s="85" t="n">
        <v>30001</v>
      </c>
      <c r="C40" s="85" t="s">
        <v>1393</v>
      </c>
      <c r="D40" s="85" t="n">
        <v>0</v>
      </c>
      <c r="E40" s="85" t="n">
        <v>25</v>
      </c>
      <c r="F40" s="85" t="n">
        <v>100</v>
      </c>
      <c r="G40" s="85" t="n">
        <v>125</v>
      </c>
      <c r="H40" s="85" t="n">
        <v>100</v>
      </c>
      <c r="I40" s="85" t="n">
        <v>75</v>
      </c>
      <c r="J40" s="85" t="n">
        <v>30</v>
      </c>
      <c r="K40" s="85" t="n">
        <v>20</v>
      </c>
      <c r="L40" s="85" t="n">
        <v>0</v>
      </c>
      <c r="M40" s="85" t="n">
        <v>0</v>
      </c>
      <c r="N40" s="85" t="n">
        <v>350</v>
      </c>
      <c r="O40" s="85" t="n">
        <v>475</v>
      </c>
      <c r="P40" s="85"/>
      <c r="Q40" s="85"/>
      <c r="R40" s="85"/>
      <c r="S40" s="85"/>
    </row>
    <row r="42">
      <c r="C42" s="1271" t="s">
        <v>1397</v>
      </c>
      <c r="D42" s="1271"/>
      <c r="E42" s="1271"/>
      <c r="F42" s="1271"/>
      <c r="G42" s="1271"/>
      <c r="H42" s="1271"/>
      <c r="I42" s="1271"/>
      <c r="J42" s="1271"/>
      <c r="K42" s="1271"/>
      <c r="L42" s="1271"/>
      <c r="M42" s="1271"/>
      <c r="N42" s="1271"/>
      <c r="O42" s="1271"/>
      <c r="P42" s="1271"/>
      <c r="Q42" s="1271"/>
      <c r="R42" s="1271"/>
      <c r="S42" s="1271"/>
    </row>
    <row r="43">
      <c r="A43" s="85" t="s">
        <v>1398</v>
      </c>
      <c r="B43" s="85" t="n">
        <v>10101</v>
      </c>
      <c r="C43" s="85" t="s">
        <v>1399</v>
      </c>
      <c r="D43" s="85" t="n">
        <v>0</v>
      </c>
      <c r="E43" s="85" t="n">
        <v>34679</v>
      </c>
      <c r="F43" s="85" t="n">
        <v>34258</v>
      </c>
      <c r="G43" s="85" t="n">
        <v>22039</v>
      </c>
      <c r="H43" s="85" t="n">
        <v>17702</v>
      </c>
      <c r="I43" s="85" t="n">
        <v>18699</v>
      </c>
      <c r="J43" s="85" t="n">
        <v>20798</v>
      </c>
      <c r="K43" s="85" t="n">
        <v>22756</v>
      </c>
      <c r="L43" s="85" t="n">
        <v>24658</v>
      </c>
      <c r="M43" s="85" t="n">
        <v>26659</v>
      </c>
      <c r="N43" s="85" t="n">
        <v>108678</v>
      </c>
      <c r="O43" s="85" t="n">
        <v>222248</v>
      </c>
      <c r="P43" s="85"/>
      <c r="Q43" s="85"/>
      <c r="R43" s="85"/>
      <c r="S43" s="85"/>
    </row>
    <row r="44">
      <c r="A44" s="85" t="s">
        <v>1400</v>
      </c>
      <c r="B44" s="85" t="s">
        <v>1401</v>
      </c>
      <c r="C44" s="85" t="s">
        <v>1399</v>
      </c>
      <c r="D44" s="85" t="n">
        <v>0</v>
      </c>
      <c r="E44" s="85" t="n">
        <v>113</v>
      </c>
      <c r="F44" s="85" t="n">
        <v>314</v>
      </c>
      <c r="G44" s="85" t="n">
        <v>470</v>
      </c>
      <c r="H44" s="85" t="n">
        <v>642</v>
      </c>
      <c r="I44" s="85" t="n">
        <v>812</v>
      </c>
      <c r="J44" s="85" t="n">
        <v>973</v>
      </c>
      <c r="K44" s="85" t="n">
        <v>1100</v>
      </c>
      <c r="L44" s="85" t="n">
        <v>1181</v>
      </c>
      <c r="M44" s="85" t="n">
        <v>1245</v>
      </c>
      <c r="N44" s="85" t="n">
        <v>1539</v>
      </c>
      <c r="O44" s="85" t="n">
        <v>6850</v>
      </c>
      <c r="P44" s="85"/>
      <c r="Q44" s="85"/>
      <c r="R44" s="85"/>
      <c r="S44" s="85"/>
    </row>
    <row r="45">
      <c r="A45" s="85" t="s">
        <v>1402</v>
      </c>
      <c r="B45" s="85" t="n">
        <v>13101</v>
      </c>
      <c r="C45" s="85" t="s">
        <v>1399</v>
      </c>
      <c r="D45" s="85" t="n">
        <v>0</v>
      </c>
      <c r="E45" s="85" t="n">
        <v>-1562</v>
      </c>
      <c r="F45" s="85" t="n">
        <v>-2183</v>
      </c>
      <c r="G45" s="85" t="n">
        <v>-3317</v>
      </c>
      <c r="H45" s="85" t="n">
        <v>-4822</v>
      </c>
      <c r="I45" s="85" t="n">
        <v>-6428</v>
      </c>
      <c r="J45" s="85" t="n">
        <v>-7677</v>
      </c>
      <c r="K45" s="85" t="n">
        <v>-8232</v>
      </c>
      <c r="L45" s="85" t="n">
        <v>-8329</v>
      </c>
      <c r="M45" s="85" t="n">
        <v>-8511</v>
      </c>
      <c r="N45" s="85" t="n">
        <v>-11885</v>
      </c>
      <c r="O45" s="85" t="n">
        <v>-51062</v>
      </c>
      <c r="P45" s="85"/>
      <c r="Q45" s="85"/>
      <c r="R45" s="85"/>
      <c r="S45" s="85"/>
    </row>
    <row r="46">
      <c r="A46" s="85" t="s">
        <v>1403</v>
      </c>
      <c r="B46" s="85" t="n">
        <v>13102</v>
      </c>
      <c r="C46" s="85" t="s">
        <v>1399</v>
      </c>
      <c r="D46" s="85" t="n">
        <v>0</v>
      </c>
      <c r="E46" s="85" t="n">
        <v>-2140</v>
      </c>
      <c r="F46" s="85" t="n">
        <v>-1559</v>
      </c>
      <c r="G46" s="85" t="n">
        <v>-2458</v>
      </c>
      <c r="H46" s="85" t="n">
        <v>-5367</v>
      </c>
      <c r="I46" s="85" t="n">
        <v>-2359</v>
      </c>
      <c r="J46" s="85" t="n">
        <v>-48</v>
      </c>
      <c r="K46" s="85" t="n">
        <v>-38</v>
      </c>
      <c r="L46" s="85" t="n">
        <v>-9</v>
      </c>
      <c r="M46" s="85" t="n">
        <v>15</v>
      </c>
      <c r="N46" s="85" t="n">
        <v>-11523</v>
      </c>
      <c r="O46" s="85" t="n">
        <v>-13962</v>
      </c>
      <c r="P46" s="85"/>
      <c r="Q46" s="85"/>
      <c r="R46" s="85"/>
      <c r="S46" s="85"/>
    </row>
    <row r="47">
      <c r="A47" s="85" t="s">
        <v>1404</v>
      </c>
      <c r="B47" s="85" t="n">
        <v>13104</v>
      </c>
      <c r="C47" s="85" t="s">
        <v>1399</v>
      </c>
      <c r="D47" s="85" t="n">
        <v>0</v>
      </c>
      <c r="E47" s="85" t="n">
        <v>-22</v>
      </c>
      <c r="F47" s="85" t="n">
        <v>-158</v>
      </c>
      <c r="G47" s="85" t="n">
        <v>-244</v>
      </c>
      <c r="H47" s="85" t="n">
        <v>-257</v>
      </c>
      <c r="I47" s="85" t="n">
        <v>-241</v>
      </c>
      <c r="J47" s="85" t="n">
        <v>-223</v>
      </c>
      <c r="K47" s="85" t="n">
        <v>-202</v>
      </c>
      <c r="L47" s="85" t="n">
        <v>-178</v>
      </c>
      <c r="M47" s="85" t="n">
        <v>-154</v>
      </c>
      <c r="N47" s="85" t="n">
        <v>-681</v>
      </c>
      <c r="O47" s="85" t="n">
        <v>-1679</v>
      </c>
      <c r="P47" s="85"/>
      <c r="Q47" s="85"/>
      <c r="R47" s="85"/>
      <c r="S47" s="85"/>
    </row>
    <row r="48">
      <c r="A48" s="85" t="s">
        <v>1405</v>
      </c>
      <c r="B48" s="85" t="n">
        <v>13105</v>
      </c>
      <c r="C48" s="85" t="s">
        <v>1399</v>
      </c>
      <c r="D48" s="85" t="n">
        <v>0</v>
      </c>
      <c r="E48" s="85" t="n">
        <v>0</v>
      </c>
      <c r="F48" s="85" t="n">
        <v>-1138</v>
      </c>
      <c r="G48" s="85" t="n">
        <v>-1832</v>
      </c>
      <c r="H48" s="85" t="n">
        <v>-1929</v>
      </c>
      <c r="I48" s="85" t="n">
        <v>-1996</v>
      </c>
      <c r="J48" s="85" t="n">
        <v>-2059</v>
      </c>
      <c r="K48" s="85" t="n">
        <v>-2106</v>
      </c>
      <c r="L48" s="85" t="n">
        <v>-2225</v>
      </c>
      <c r="M48" s="85" t="n">
        <v>-2315</v>
      </c>
      <c r="N48" s="85" t="n">
        <v>-4899</v>
      </c>
      <c r="O48" s="85" t="n">
        <v>-15600</v>
      </c>
      <c r="P48" s="85"/>
      <c r="Q48" s="85"/>
      <c r="R48" s="85"/>
      <c r="S48" s="85"/>
    </row>
    <row r="49">
      <c r="A49" s="85" t="s">
        <v>1406</v>
      </c>
      <c r="B49" s="85" t="n">
        <v>13303</v>
      </c>
      <c r="C49" s="85" t="s">
        <v>1399</v>
      </c>
      <c r="D49" s="85" t="n">
        <v>0</v>
      </c>
      <c r="E49" s="85" t="n">
        <v>-62</v>
      </c>
      <c r="F49" s="85" t="n">
        <v>-50</v>
      </c>
      <c r="G49" s="85" t="n">
        <v>-46</v>
      </c>
      <c r="H49" s="85" t="n">
        <v>-42</v>
      </c>
      <c r="I49" s="85" t="n">
        <v>-38</v>
      </c>
      <c r="J49" s="85" t="n">
        <v>-35</v>
      </c>
      <c r="K49" s="85" t="n">
        <v>-32</v>
      </c>
      <c r="L49" s="85" t="n">
        <v>-30</v>
      </c>
      <c r="M49" s="85" t="n">
        <v>-28</v>
      </c>
      <c r="N49" s="85" t="n">
        <v>-200</v>
      </c>
      <c r="O49" s="85" t="n">
        <v>-362</v>
      </c>
      <c r="P49" s="85"/>
      <c r="Q49" s="85"/>
      <c r="R49" s="85"/>
      <c r="S49" s="85"/>
    </row>
    <row r="50">
      <c r="A50" s="85" t="s">
        <v>1407</v>
      </c>
      <c r="B50" s="85" t="s">
        <v>1408</v>
      </c>
      <c r="C50" s="85" t="s">
        <v>1399</v>
      </c>
      <c r="D50" s="85" t="n">
        <v>0</v>
      </c>
      <c r="E50" s="85" t="n">
        <v>-2376</v>
      </c>
      <c r="F50" s="85" t="n">
        <v>-2679</v>
      </c>
      <c r="G50" s="85" t="n">
        <v>-2315</v>
      </c>
      <c r="H50" s="85" t="n">
        <v>-2572</v>
      </c>
      <c r="I50" s="85" t="n">
        <v>-2467</v>
      </c>
      <c r="J50" s="85" t="n">
        <v>-2490</v>
      </c>
      <c r="K50" s="85" t="n">
        <v>-2638</v>
      </c>
      <c r="L50" s="85" t="n">
        <v>-2569</v>
      </c>
      <c r="M50" s="85" t="n">
        <v>-2081</v>
      </c>
      <c r="N50" s="85" t="n">
        <v>-9943</v>
      </c>
      <c r="O50" s="85" t="n">
        <v>-22188</v>
      </c>
      <c r="P50" s="85"/>
      <c r="Q50" s="85"/>
      <c r="R50" s="85"/>
      <c r="S50" s="85"/>
    </row>
    <row r="51">
      <c r="A51" s="85" t="s">
        <v>1409</v>
      </c>
      <c r="B51" s="85" t="n">
        <v>13601</v>
      </c>
      <c r="C51" s="85" t="s">
        <v>1399</v>
      </c>
      <c r="D51" s="85" t="n">
        <v>0</v>
      </c>
      <c r="E51" s="85" t="n">
        <v>902</v>
      </c>
      <c r="F51" s="85" t="n">
        <v>1230</v>
      </c>
      <c r="G51" s="85" t="n">
        <v>1271</v>
      </c>
      <c r="H51" s="85" t="n">
        <v>1304</v>
      </c>
      <c r="I51" s="85" t="n">
        <v>1336</v>
      </c>
      <c r="J51" s="85" t="n">
        <v>1368</v>
      </c>
      <c r="K51" s="85" t="n">
        <v>1402</v>
      </c>
      <c r="L51" s="85" t="n">
        <v>1436</v>
      </c>
      <c r="M51" s="85" t="n">
        <v>1470</v>
      </c>
      <c r="N51" s="85" t="n">
        <v>4707</v>
      </c>
      <c r="O51" s="85" t="n">
        <v>11719</v>
      </c>
      <c r="P51" s="85"/>
      <c r="Q51" s="85"/>
      <c r="R51" s="85"/>
      <c r="S51" s="85"/>
    </row>
    <row r="52">
      <c r="A52" s="85" t="s">
        <v>1410</v>
      </c>
      <c r="B52" s="85" t="s">
        <v>1411</v>
      </c>
      <c r="C52" s="85" t="s">
        <v>1399</v>
      </c>
      <c r="D52" s="85" t="n">
        <v>0</v>
      </c>
      <c r="E52" s="85" t="n">
        <v>1</v>
      </c>
      <c r="F52" s="85" t="n">
        <v>1</v>
      </c>
      <c r="G52" s="85" t="n">
        <v>-678</v>
      </c>
      <c r="H52" s="85" t="n">
        <v>-858</v>
      </c>
      <c r="I52" s="85" t="n">
        <v>-7820</v>
      </c>
      <c r="J52" s="85" t="n">
        <v>-11303</v>
      </c>
      <c r="K52" s="85" t="n">
        <v>-12736</v>
      </c>
      <c r="L52" s="85" t="n">
        <v>-14927</v>
      </c>
      <c r="M52" s="85" t="n">
        <v>-17285</v>
      </c>
      <c r="N52" s="85" t="n">
        <v>-1535</v>
      </c>
      <c r="O52" s="85" t="n">
        <v>-65606</v>
      </c>
      <c r="P52" s="85"/>
      <c r="Q52" s="85"/>
      <c r="R52" s="85"/>
      <c r="S52" s="85"/>
    </row>
    <row r="53">
      <c r="A53" s="85" t="s">
        <v>1412</v>
      </c>
      <c r="B53" s="85" t="n">
        <v>13901</v>
      </c>
      <c r="C53" s="85" t="s">
        <v>1399</v>
      </c>
      <c r="D53" s="85" t="n">
        <v>0</v>
      </c>
      <c r="E53" s="85" t="n">
        <v>103</v>
      </c>
      <c r="F53" s="85" t="n">
        <v>135</v>
      </c>
      <c r="G53" s="85" t="n">
        <v>131</v>
      </c>
      <c r="H53" s="85" t="n">
        <v>130</v>
      </c>
      <c r="I53" s="85" t="n">
        <v>130</v>
      </c>
      <c r="J53" s="85" t="n">
        <v>131</v>
      </c>
      <c r="K53" s="85" t="n">
        <v>132</v>
      </c>
      <c r="L53" s="85" t="n">
        <v>133</v>
      </c>
      <c r="M53" s="85" t="n">
        <v>134</v>
      </c>
      <c r="N53" s="85" t="n">
        <v>498</v>
      </c>
      <c r="O53" s="85" t="n">
        <v>1159</v>
      </c>
      <c r="P53" s="85"/>
      <c r="Q53" s="85"/>
      <c r="R53" s="85"/>
      <c r="S53" s="85"/>
    </row>
    <row r="54">
      <c r="A54" s="85" t="s">
        <v>1413</v>
      </c>
      <c r="B54" s="85" t="n">
        <v>13902</v>
      </c>
      <c r="C54" s="85" t="s">
        <v>1399</v>
      </c>
      <c r="D54" s="85" t="n">
        <v>0</v>
      </c>
      <c r="E54" s="85" t="n">
        <v>-16</v>
      </c>
      <c r="F54" s="85" t="n">
        <v>-13</v>
      </c>
      <c r="G54" s="85" t="n">
        <v>-15</v>
      </c>
      <c r="H54" s="85" t="n">
        <v>-16</v>
      </c>
      <c r="I54" s="85" t="n">
        <v>-18</v>
      </c>
      <c r="J54" s="85" t="n">
        <v>-21</v>
      </c>
      <c r="K54" s="85" t="n">
        <v>-22</v>
      </c>
      <c r="L54" s="85" t="n">
        <v>-23</v>
      </c>
      <c r="M54" s="85" t="n">
        <v>-24</v>
      </c>
      <c r="N54" s="85" t="n">
        <v>-60</v>
      </c>
      <c r="O54" s="85" t="n">
        <v>-168</v>
      </c>
      <c r="P54" s="85"/>
      <c r="Q54" s="85"/>
      <c r="R54" s="85"/>
      <c r="S54" s="85"/>
    </row>
    <row r="55">
      <c r="A55" s="85" t="s">
        <v>1414</v>
      </c>
      <c r="B55" s="85" t="s">
        <v>1415</v>
      </c>
      <c r="C55" s="85" t="s">
        <v>1399</v>
      </c>
      <c r="D55" s="85" t="n">
        <v>0</v>
      </c>
      <c r="E55" s="85" t="n">
        <v>0</v>
      </c>
      <c r="F55" s="85" t="n">
        <v>0</v>
      </c>
      <c r="G55" s="85" t="n">
        <v>0</v>
      </c>
      <c r="H55" s="85" t="n">
        <v>0</v>
      </c>
      <c r="I55" s="85" t="n">
        <v>17666</v>
      </c>
      <c r="J55" s="85" t="n">
        <v>26198</v>
      </c>
      <c r="K55" s="85" t="n">
        <v>9453</v>
      </c>
      <c r="L55" s="85" t="n">
        <v>-274</v>
      </c>
      <c r="M55" s="85" t="n">
        <v>-284</v>
      </c>
      <c r="N55" s="85" t="n">
        <v>0</v>
      </c>
      <c r="O55" s="85" t="n">
        <v>52759</v>
      </c>
      <c r="P55" s="85"/>
      <c r="Q55" s="85"/>
      <c r="R55" s="85"/>
      <c r="S55" s="85"/>
    </row>
    <row r="56">
      <c r="A56" s="85" t="s">
        <v>1416</v>
      </c>
      <c r="B56" s="85" t="n">
        <v>60113</v>
      </c>
      <c r="C56" s="85" t="s">
        <v>1399</v>
      </c>
      <c r="D56" s="85" t="n">
        <v>0</v>
      </c>
      <c r="E56" s="85" t="n">
        <v>0</v>
      </c>
      <c r="F56" s="85" t="n">
        <v>0</v>
      </c>
      <c r="G56" s="85" t="n">
        <v>0</v>
      </c>
      <c r="H56" s="85" t="n">
        <v>850</v>
      </c>
      <c r="I56" s="243" t="n">
        <v>1350</v>
      </c>
      <c r="J56" s="243" t="n">
        <v>1400</v>
      </c>
      <c r="K56" s="243" t="n">
        <v>1200</v>
      </c>
      <c r="L56" s="243" t="n">
        <v>1050</v>
      </c>
      <c r="M56" s="85" t="n">
        <v>500</v>
      </c>
      <c r="N56" s="85" t="n">
        <v>850</v>
      </c>
      <c r="O56" s="243" t="n">
        <v>6350</v>
      </c>
      <c r="P56" s="243"/>
      <c r="Q56" s="243"/>
      <c r="R56" s="243"/>
      <c r="S56" s="243"/>
    </row>
    <row r="57">
      <c r="A57" s="85" t="s">
        <v>1417</v>
      </c>
      <c r="B57" s="85" t="n">
        <v>10201</v>
      </c>
      <c r="C57" s="85" t="s">
        <v>1399</v>
      </c>
      <c r="D57" s="85" t="n">
        <v>0</v>
      </c>
      <c r="E57" s="85" t="n">
        <v>5697</v>
      </c>
      <c r="F57" s="85" t="n">
        <v>7875</v>
      </c>
      <c r="G57" s="85" t="n">
        <v>8070</v>
      </c>
      <c r="H57" s="85" t="n">
        <v>8581</v>
      </c>
      <c r="I57" s="85" t="n">
        <v>8882</v>
      </c>
      <c r="J57" s="85" t="n">
        <v>8838</v>
      </c>
      <c r="K57" s="85" t="n">
        <v>8603</v>
      </c>
      <c r="L57" s="85" t="n">
        <v>8500</v>
      </c>
      <c r="M57" s="85" t="n">
        <v>8641</v>
      </c>
      <c r="N57" s="85" t="n">
        <v>30223</v>
      </c>
      <c r="O57" s="85" t="n">
        <v>73686</v>
      </c>
      <c r="P57" s="85"/>
      <c r="Q57" s="85"/>
      <c r="R57" s="85"/>
      <c r="S57" s="85"/>
    </row>
    <row r="58">
      <c r="A58" s="85" t="s">
        <v>1424</v>
      </c>
      <c r="B58" s="85" t="n">
        <v>13304</v>
      </c>
      <c r="C58" s="85" t="s">
        <v>1429</v>
      </c>
      <c r="D58" s="85" t="n">
        <v>0</v>
      </c>
      <c r="E58" s="85" t="n">
        <v>-273</v>
      </c>
      <c r="F58" s="85" t="n">
        <v>-193</v>
      </c>
      <c r="G58" s="85" t="n">
        <v>-203</v>
      </c>
      <c r="H58" s="85" t="n">
        <v>-216</v>
      </c>
      <c r="I58" s="85" t="n">
        <v>-230</v>
      </c>
      <c r="J58" s="85" t="n">
        <v>-241</v>
      </c>
      <c r="K58" s="85" t="n">
        <v>-240</v>
      </c>
      <c r="L58" s="85" t="n">
        <v>-229</v>
      </c>
      <c r="M58" s="85" t="n">
        <v>-217</v>
      </c>
      <c r="N58" s="85" t="n">
        <v>-887</v>
      </c>
      <c r="O58" s="85" t="n">
        <v>-2043</v>
      </c>
      <c r="P58" s="85"/>
      <c r="Q58" s="85"/>
      <c r="R58" s="85"/>
      <c r="S58" s="85"/>
    </row>
    <row r="59">
      <c r="A59" s="85" t="s">
        <v>1420</v>
      </c>
      <c r="B59" s="85" t="s">
        <v>1421</v>
      </c>
      <c r="C59" s="85" t="s">
        <v>1429</v>
      </c>
      <c r="D59" s="85" t="n">
        <v>0</v>
      </c>
      <c r="E59" s="85" t="n">
        <v>-2882</v>
      </c>
      <c r="F59" s="85" t="n">
        <v>-2038</v>
      </c>
      <c r="G59" s="85" t="n">
        <v>-1405</v>
      </c>
      <c r="H59" s="85" t="n">
        <v>-554</v>
      </c>
      <c r="I59" s="85" t="n">
        <v>-753</v>
      </c>
      <c r="J59" s="85" t="n">
        <v>-970</v>
      </c>
      <c r="K59" s="85" t="n">
        <v>-1231</v>
      </c>
      <c r="L59" s="85" t="n">
        <v>-1581</v>
      </c>
      <c r="M59" s="85" t="n">
        <v>-2108</v>
      </c>
      <c r="N59" s="85" t="n">
        <v>-6880</v>
      </c>
      <c r="O59" s="85" t="n">
        <v>-13523</v>
      </c>
      <c r="P59" s="85"/>
      <c r="Q59" s="85"/>
      <c r="R59" s="85"/>
      <c r="S59" s="85"/>
    </row>
    <row r="60">
      <c r="A60" s="1288" t="s">
        <v>1418</v>
      </c>
      <c r="B60" s="1289" t="n">
        <v>10301</v>
      </c>
      <c r="C60" s="1289" t="s">
        <v>239</v>
      </c>
      <c r="D60" s="1289" t="n">
        <v>0</v>
      </c>
      <c r="E60" s="1290" t="n">
        <v>2012</v>
      </c>
      <c r="F60" s="1290" t="n">
        <v>5106</v>
      </c>
      <c r="G60" s="1290" t="n">
        <v>11125</v>
      </c>
      <c r="H60" s="1290" t="n">
        <v>16116</v>
      </c>
      <c r="I60" s="1290" t="n">
        <v>21716</v>
      </c>
      <c r="J60" s="1290" t="n">
        <v>26314</v>
      </c>
      <c r="K60" s="1290" t="n">
        <v>31218</v>
      </c>
      <c r="L60" s="1290" t="n">
        <v>34877</v>
      </c>
      <c r="M60" s="1290" t="n">
        <v>31904</v>
      </c>
      <c r="N60" s="1290" t="n">
        <v>34359</v>
      </c>
      <c r="O60" s="1291" t="n">
        <v>180388</v>
      </c>
      <c r="P60" s="243"/>
      <c r="Q60" s="243"/>
      <c r="R60" s="243"/>
      <c r="S60" s="243"/>
    </row>
    <row r="61">
      <c r="A61" s="85" t="s">
        <v>1419</v>
      </c>
      <c r="B61" s="85" t="n">
        <v>12001</v>
      </c>
      <c r="C61" s="85" t="s">
        <v>239</v>
      </c>
      <c r="D61" s="85" t="n">
        <v>0</v>
      </c>
      <c r="E61" s="85" t="n">
        <v>1297</v>
      </c>
      <c r="F61" s="85" t="n">
        <v>-10555</v>
      </c>
      <c r="G61" s="85" t="n">
        <v>-10586</v>
      </c>
      <c r="H61" s="85" t="n">
        <v>-11431</v>
      </c>
      <c r="I61" s="85" t="n">
        <v>-154</v>
      </c>
      <c r="J61" s="85" t="n">
        <v>132</v>
      </c>
      <c r="K61" s="85" t="n">
        <v>53</v>
      </c>
      <c r="L61" s="85" t="n">
        <v>6</v>
      </c>
      <c r="M61" s="85" t="n">
        <v>0</v>
      </c>
      <c r="N61" s="85" t="n">
        <v>-31275</v>
      </c>
      <c r="O61" s="85" t="n">
        <v>-31238</v>
      </c>
      <c r="P61" s="85"/>
      <c r="Q61" s="85"/>
      <c r="R61" s="85"/>
      <c r="S61" s="85"/>
    </row>
    <row r="62">
      <c r="A62" s="85" t="s">
        <v>1422</v>
      </c>
      <c r="B62" s="85" t="n">
        <v>13301</v>
      </c>
      <c r="C62" s="85" t="s">
        <v>239</v>
      </c>
      <c r="D62" s="85" t="n">
        <v>0</v>
      </c>
      <c r="E62" s="85" t="n">
        <v>-1887</v>
      </c>
      <c r="F62" s="85" t="n">
        <v>-1348</v>
      </c>
      <c r="G62" s="85" t="n">
        <v>-1324</v>
      </c>
      <c r="H62" s="85" t="n">
        <v>-1345</v>
      </c>
      <c r="I62" s="85" t="n">
        <v>-1327</v>
      </c>
      <c r="J62" s="85" t="n">
        <v>-1277</v>
      </c>
      <c r="K62" s="85" t="n">
        <v>-1301</v>
      </c>
      <c r="L62" s="85" t="n">
        <v>-1314</v>
      </c>
      <c r="M62" s="85" t="n">
        <v>-1327</v>
      </c>
      <c r="N62" s="85" t="n">
        <v>-5904</v>
      </c>
      <c r="O62" s="85" t="n">
        <v>-12451</v>
      </c>
      <c r="P62" s="85"/>
      <c r="Q62" s="85"/>
      <c r="R62" s="85"/>
      <c r="S62" s="85"/>
    </row>
    <row r="63">
      <c r="A63" s="85" t="s">
        <v>1423</v>
      </c>
      <c r="B63" s="85" t="n">
        <v>13302</v>
      </c>
      <c r="C63" s="85" t="s">
        <v>239</v>
      </c>
      <c r="D63" s="85" t="n">
        <v>0</v>
      </c>
      <c r="E63" s="85" t="n">
        <v>-459</v>
      </c>
      <c r="F63" s="85" t="n">
        <v>-1021</v>
      </c>
      <c r="G63" s="85" t="n">
        <v>-2692</v>
      </c>
      <c r="H63" s="85" t="n">
        <v>-2770</v>
      </c>
      <c r="I63" s="85" t="n">
        <v>-2850</v>
      </c>
      <c r="J63" s="85" t="n">
        <v>-2935</v>
      </c>
      <c r="K63" s="85" t="n">
        <v>-3019</v>
      </c>
      <c r="L63" s="85" t="n">
        <v>-3092</v>
      </c>
      <c r="M63" s="85" t="n">
        <v>-3185</v>
      </c>
      <c r="N63" s="85" t="n">
        <v>-6942</v>
      </c>
      <c r="O63" s="85" t="n">
        <v>-22022</v>
      </c>
      <c r="P63" s="85"/>
      <c r="Q63" s="85"/>
      <c r="R63" s="85"/>
      <c r="S63" s="85"/>
    </row>
    <row r="64">
      <c r="A64" s="85" t="s">
        <v>1425</v>
      </c>
      <c r="B64" s="85" t="s">
        <v>1426</v>
      </c>
      <c r="C64" s="85" t="s">
        <v>239</v>
      </c>
      <c r="D64" s="85" t="n">
        <v>0</v>
      </c>
      <c r="E64" s="85" t="n">
        <v>-511</v>
      </c>
      <c r="F64" s="85" t="n">
        <v>-852</v>
      </c>
      <c r="G64" s="85" t="n">
        <v>-1050</v>
      </c>
      <c r="H64" s="85" t="n">
        <v>-1275</v>
      </c>
      <c r="I64" s="85" t="n">
        <v>-1572</v>
      </c>
      <c r="J64" s="85" t="n">
        <v>-1862</v>
      </c>
      <c r="K64" s="85" t="n">
        <v>-2104</v>
      </c>
      <c r="L64" s="85" t="n">
        <v>-2364</v>
      </c>
      <c r="M64" s="85" t="n">
        <v>-2615</v>
      </c>
      <c r="N64" s="85" t="n">
        <v>-3689</v>
      </c>
      <c r="O64" s="85" t="n">
        <v>-14209</v>
      </c>
      <c r="P64" s="85"/>
      <c r="Q64" s="85"/>
      <c r="R64" s="85"/>
      <c r="S64" s="85"/>
    </row>
    <row r="67">
      <c r="D67" s="1292" t="n">
        <v>2022</v>
      </c>
      <c r="E67" s="1292" t="n">
        <v>2023</v>
      </c>
      <c r="F67" s="1292" t="n">
        <v>2024</v>
      </c>
      <c r="G67" s="1292" t="n">
        <v>2025</v>
      </c>
      <c r="H67" s="1292" t="n">
        <v>2026</v>
      </c>
      <c r="I67" s="1292" t="n">
        <v>2027</v>
      </c>
      <c r="J67" s="1292" t="n">
        <v>2028</v>
      </c>
      <c r="K67" s="1292" t="n">
        <v>2029</v>
      </c>
      <c r="L67" s="1292" t="n">
        <v>2030</v>
      </c>
      <c r="M67" s="1293" t="n">
        <v>2031</v>
      </c>
      <c r="N67" s="1272" t="s">
        <v>1368</v>
      </c>
      <c r="O67" s="1294" t="s">
        <v>1369</v>
      </c>
      <c r="P67" s="1272"/>
      <c r="Q67" s="1272"/>
      <c r="R67" s="1272"/>
      <c r="S67" s="1272"/>
    </row>
    <row r="68">
      <c r="C68" s="1312" t="s">
        <v>1427</v>
      </c>
      <c r="D68" s="1313"/>
      <c r="E68" s="1313"/>
      <c r="F68" s="1313"/>
      <c r="G68" s="1313"/>
      <c r="H68" s="1313"/>
      <c r="I68" s="1313"/>
      <c r="J68" s="1313"/>
      <c r="K68" s="1313"/>
      <c r="L68" s="1313"/>
      <c r="M68" s="1313"/>
      <c r="N68" s="1313"/>
      <c r="O68" s="1314"/>
      <c r="P68" s="1271"/>
      <c r="Q68" s="1271"/>
      <c r="R68" s="1271"/>
      <c r="S68" s="1271"/>
    </row>
    <row r="69">
      <c r="C69" s="97" t="s">
        <v>1388</v>
      </c>
      <c r="D69" s="85" t="n">
        <f t="shared" ref="D69:O69" si="0">SUM(D3:D8)</f>
        <v>0</v>
      </c>
      <c r="E69" s="85" t="n">
        <f t="shared" si="0"/>
        <v>3947</v>
      </c>
      <c r="F69" s="85" t="n">
        <f t="shared" si="0"/>
        <v>4202</v>
      </c>
      <c r="G69" s="85" t="n">
        <f t="shared" si="0"/>
        <v>6275</v>
      </c>
      <c r="H69" s="85" t="n">
        <f t="shared" si="0"/>
        <v>7956</v>
      </c>
      <c r="I69" s="85" t="n">
        <f t="shared" si="0"/>
        <v>9969</v>
      </c>
      <c r="J69" s="85" t="n">
        <f t="shared" si="0"/>
        <v>12081</v>
      </c>
      <c r="K69" s="85" t="n">
        <f t="shared" si="0"/>
        <v>14493</v>
      </c>
      <c r="L69" s="85" t="n">
        <f t="shared" si="0"/>
        <v>16921</v>
      </c>
      <c r="M69" s="85" t="n">
        <f t="shared" si="0"/>
        <v>17112</v>
      </c>
      <c r="N69" s="85" t="n">
        <f t="shared" si="0"/>
        <v>22380</v>
      </c>
      <c r="O69" s="85" t="n">
        <f t="shared" si="0"/>
        <v>92956</v>
      </c>
      <c r="P69" s="85"/>
      <c r="Q69" s="85"/>
      <c r="R69" s="85"/>
      <c r="S69" s="85"/>
    </row>
    <row r="70">
      <c r="C70" s="97" t="s">
        <v>1256</v>
      </c>
      <c r="D70" s="85" t="n">
        <f t="shared" ref="D70:O70" si="1">SUM(D9)</f>
        <v>0</v>
      </c>
      <c r="E70" s="85" t="n">
        <f t="shared" si="1"/>
        <v>65</v>
      </c>
      <c r="F70" s="85" t="n">
        <f t="shared" si="1"/>
        <v>150</v>
      </c>
      <c r="G70" s="85" t="n">
        <f t="shared" si="1"/>
        <v>290</v>
      </c>
      <c r="H70" s="85" t="n">
        <f t="shared" si="1"/>
        <v>290</v>
      </c>
      <c r="I70" s="85" t="n">
        <f t="shared" si="1"/>
        <v>290</v>
      </c>
      <c r="J70" s="85" t="n">
        <f t="shared" si="1"/>
        <v>285</v>
      </c>
      <c r="K70" s="85" t="n">
        <f t="shared" si="1"/>
        <v>250</v>
      </c>
      <c r="L70" s="85" t="n">
        <f t="shared" si="1"/>
        <v>220</v>
      </c>
      <c r="M70" s="85" t="n">
        <f t="shared" si="1"/>
        <v>160</v>
      </c>
      <c r="N70" s="97" t="n">
        <f t="shared" si="1"/>
        <v>795</v>
      </c>
      <c r="O70" s="281" t="n">
        <f t="shared" si="1"/>
        <v>2000</v>
      </c>
      <c r="P70" s="85"/>
      <c r="Q70" s="85"/>
      <c r="R70" s="85"/>
      <c r="S70" s="85"/>
    </row>
    <row r="71">
      <c r="C71" s="97" t="s">
        <v>210</v>
      </c>
      <c r="D71" s="85" t="n">
        <f t="shared" ref="D71:O71" si="2">SUM(D10:D11)</f>
        <v>0</v>
      </c>
      <c r="E71" s="85" t="n">
        <f t="shared" si="2"/>
        <v>110</v>
      </c>
      <c r="F71" s="85" t="n">
        <f t="shared" si="2"/>
        <v>739</v>
      </c>
      <c r="G71" s="85" t="n">
        <f t="shared" si="2"/>
        <v>1195</v>
      </c>
      <c r="H71" s="85" t="n">
        <f t="shared" si="2"/>
        <v>1497</v>
      </c>
      <c r="I71" s="85" t="n">
        <f t="shared" si="2"/>
        <v>1910</v>
      </c>
      <c r="J71" s="85" t="n">
        <f t="shared" si="2"/>
        <v>2405</v>
      </c>
      <c r="K71" s="85" t="n">
        <f t="shared" si="2"/>
        <v>2922</v>
      </c>
      <c r="L71" s="85" t="n">
        <f t="shared" si="2"/>
        <v>3463</v>
      </c>
      <c r="M71" s="85" t="n">
        <f t="shared" si="2"/>
        <v>4007</v>
      </c>
      <c r="N71" s="97" t="n">
        <f t="shared" si="2"/>
        <v>3541</v>
      </c>
      <c r="O71" s="281" t="n">
        <f t="shared" si="2"/>
        <v>18248</v>
      </c>
      <c r="P71" s="85"/>
      <c r="Q71" s="85"/>
      <c r="R71" s="85"/>
      <c r="S71" s="85"/>
    </row>
    <row r="72">
      <c r="C72" s="97" t="s">
        <v>211</v>
      </c>
      <c r="D72" s="85" t="n">
        <f t="shared" ref="D72:O72" si="3">SUM(D12:D25)</f>
        <v>0</v>
      </c>
      <c r="E72" s="85" t="n">
        <f t="shared" si="3"/>
        <v>-415</v>
      </c>
      <c r="F72" s="85" t="n">
        <f t="shared" si="3"/>
        <v>2768</v>
      </c>
      <c r="G72" s="85" t="n">
        <f t="shared" si="3"/>
        <v>-12473</v>
      </c>
      <c r="H72" s="85" t="n">
        <f t="shared" si="3"/>
        <v>-5374</v>
      </c>
      <c r="I72" s="85" t="n">
        <f t="shared" si="3"/>
        <v>-25515</v>
      </c>
      <c r="J72" s="85" t="n">
        <f t="shared" si="3"/>
        <v>-43975</v>
      </c>
      <c r="K72" s="85" t="n">
        <f t="shared" si="3"/>
        <v>-46426</v>
      </c>
      <c r="L72" s="85" t="n">
        <f t="shared" si="3"/>
        <v>-56228</v>
      </c>
      <c r="M72" s="85" t="n">
        <f t="shared" si="3"/>
        <v>-60581</v>
      </c>
      <c r="N72" s="97" t="n">
        <f t="shared" si="3"/>
        <v>-15494</v>
      </c>
      <c r="O72" s="281" t="n">
        <f t="shared" si="3"/>
        <v>-248219</v>
      </c>
      <c r="P72" s="85"/>
      <c r="Q72" s="85"/>
      <c r="R72" s="85"/>
      <c r="S72" s="85"/>
    </row>
    <row r="73">
      <c r="C73" s="97" t="s">
        <v>1390</v>
      </c>
      <c r="D73" s="85" t="n">
        <f t="shared" ref="D73:O73" si="4">SUM(D26:D31)</f>
        <v>-622</v>
      </c>
      <c r="E73" s="85" t="n">
        <f t="shared" si="4"/>
        <v>21096</v>
      </c>
      <c r="F73" s="85" t="n">
        <f t="shared" si="4"/>
        <v>12256</v>
      </c>
      <c r="G73" s="85" t="n">
        <f t="shared" si="4"/>
        <v>11149</v>
      </c>
      <c r="H73" s="85" t="n">
        <f t="shared" si="4"/>
        <v>-6525</v>
      </c>
      <c r="I73" s="85" t="n">
        <f t="shared" si="4"/>
        <v>2029</v>
      </c>
      <c r="J73" s="85" t="n">
        <f t="shared" si="4"/>
        <v>2582</v>
      </c>
      <c r="K73" s="85" t="n">
        <f t="shared" si="4"/>
        <v>2236</v>
      </c>
      <c r="L73" s="85" t="n">
        <f t="shared" si="4"/>
        <v>1411</v>
      </c>
      <c r="M73" s="85" t="n">
        <f t="shared" si="4"/>
        <v>772</v>
      </c>
      <c r="N73" s="97" t="n">
        <f t="shared" si="4"/>
        <v>37354</v>
      </c>
      <c r="O73" s="281" t="n">
        <f t="shared" si="4"/>
        <v>46384</v>
      </c>
      <c r="P73" s="85"/>
      <c r="Q73" s="85"/>
      <c r="R73" s="85"/>
      <c r="S73" s="85"/>
    </row>
    <row r="74">
      <c r="C74" s="97" t="s">
        <v>1393</v>
      </c>
      <c r="D74" s="85" t="n">
        <f t="shared" ref="D74:O74" si="5">SUM(D32:D40)</f>
        <v>0</v>
      </c>
      <c r="E74" s="85" t="n">
        <f t="shared" si="5"/>
        <v>1216</v>
      </c>
      <c r="F74" s="85" t="n">
        <f t="shared" si="5"/>
        <v>3498</v>
      </c>
      <c r="G74" s="85" t="n">
        <f t="shared" si="5"/>
        <v>5088</v>
      </c>
      <c r="H74" s="85" t="n">
        <f t="shared" si="5"/>
        <v>6663</v>
      </c>
      <c r="I74" s="85" t="n">
        <f t="shared" si="5"/>
        <v>7992</v>
      </c>
      <c r="J74" s="85" t="n">
        <f t="shared" si="5"/>
        <v>8297</v>
      </c>
      <c r="K74" s="85" t="n">
        <f t="shared" si="5"/>
        <v>8309</v>
      </c>
      <c r="L74" s="85" t="n">
        <f t="shared" si="5"/>
        <v>7568</v>
      </c>
      <c r="M74" s="85" t="n">
        <f t="shared" si="5"/>
        <v>6524</v>
      </c>
      <c r="N74" s="399" t="n">
        <f t="shared" si="5"/>
        <v>16463</v>
      </c>
      <c r="O74" s="282" t="n">
        <f t="shared" si="5"/>
        <v>55153</v>
      </c>
      <c r="P74" s="85"/>
      <c r="Q74" s="85"/>
      <c r="R74" s="85"/>
      <c r="S74" s="85"/>
    </row>
    <row r="75">
      <c r="C75" s="1312" t="s">
        <v>1428</v>
      </c>
      <c r="D75" s="1313"/>
      <c r="E75" s="1313"/>
      <c r="F75" s="1313"/>
      <c r="G75" s="1313"/>
      <c r="H75" s="1313"/>
      <c r="I75" s="1313"/>
      <c r="J75" s="1313"/>
      <c r="K75" s="1313"/>
      <c r="L75" s="1313"/>
      <c r="M75" s="1313"/>
      <c r="N75" s="1313"/>
      <c r="O75" s="1314"/>
      <c r="P75" s="1271"/>
      <c r="Q75" s="1271"/>
      <c r="R75" s="1271"/>
      <c r="S75" s="1271"/>
    </row>
    <row r="76">
      <c r="C76" s="97" t="s">
        <v>385</v>
      </c>
      <c r="D76" s="85" t="n">
        <v>0</v>
      </c>
      <c r="E76" s="85" t="n">
        <v>596</v>
      </c>
      <c r="F76" s="85" t="n">
        <v>1406</v>
      </c>
      <c r="G76" s="85" t="n">
        <v>1885</v>
      </c>
      <c r="H76" s="85" t="n">
        <v>2113</v>
      </c>
      <c r="I76" s="85" t="n">
        <v>2058</v>
      </c>
      <c r="J76" s="85" t="n">
        <v>1745</v>
      </c>
      <c r="K76" s="85" t="n">
        <v>1369</v>
      </c>
      <c r="L76" s="85" t="n">
        <v>970</v>
      </c>
      <c r="M76" s="85" t="n">
        <v>369</v>
      </c>
      <c r="N76" s="864" t="n">
        <v>6000</v>
      </c>
      <c r="O76" s="542" t="n">
        <v>12511</v>
      </c>
      <c r="P76" s="85"/>
      <c r="Q76" s="85"/>
      <c r="R76" s="85"/>
      <c r="S76" s="85"/>
    </row>
    <row r="77">
      <c r="C77" s="97" t="s">
        <v>134</v>
      </c>
      <c r="D77" s="85" t="n">
        <v>0</v>
      </c>
      <c r="E77" s="85" t="n">
        <v>754</v>
      </c>
      <c r="F77" s="85" t="n">
        <v>2328</v>
      </c>
      <c r="G77" s="85" t="n">
        <v>3782</v>
      </c>
      <c r="H77" s="85" t="n">
        <v>5158</v>
      </c>
      <c r="I77" s="85" t="n">
        <v>4539</v>
      </c>
      <c r="J77" s="85" t="n">
        <v>3010</v>
      </c>
      <c r="K77" s="85" t="n">
        <v>1730</v>
      </c>
      <c r="L77" s="85" t="n">
        <v>790</v>
      </c>
      <c r="M77" s="85" t="n">
        <v>244</v>
      </c>
      <c r="N77" s="97" t="n">
        <v>12022</v>
      </c>
      <c r="O77" s="281" t="n">
        <v>22335</v>
      </c>
      <c r="P77" s="85"/>
      <c r="Q77" s="85"/>
      <c r="R77" s="85"/>
      <c r="S77" s="85"/>
    </row>
    <row r="78">
      <c r="C78" s="97" t="s">
        <v>192</v>
      </c>
      <c r="D78" s="85" t="n">
        <v>0</v>
      </c>
      <c r="E78" s="85" t="n">
        <v>68</v>
      </c>
      <c r="F78" s="85" t="n">
        <v>1363</v>
      </c>
      <c r="G78" s="85" t="n">
        <v>2433</v>
      </c>
      <c r="H78" s="85" t="n">
        <v>2803</v>
      </c>
      <c r="I78" s="85" t="n">
        <v>1741</v>
      </c>
      <c r="J78" s="85" t="n">
        <v>570</v>
      </c>
      <c r="K78" s="85" t="n">
        <v>35</v>
      </c>
      <c r="L78" s="85" t="n">
        <v>0</v>
      </c>
      <c r="M78" s="85" t="n">
        <v>0</v>
      </c>
      <c r="N78" s="97" t="n">
        <v>6667</v>
      </c>
      <c r="O78" s="281" t="n">
        <v>9013</v>
      </c>
      <c r="P78" s="85"/>
      <c r="Q78" s="85"/>
      <c r="R78" s="85"/>
      <c r="S78" s="85"/>
    </row>
    <row r="79">
      <c r="C79" s="97" t="s">
        <v>52</v>
      </c>
      <c r="D79" s="85" t="n">
        <v>0</v>
      </c>
      <c r="E79" s="85" t="n">
        <v>81</v>
      </c>
      <c r="F79" s="85" t="n">
        <v>350</v>
      </c>
      <c r="G79" s="85" t="n">
        <v>1354</v>
      </c>
      <c r="H79" s="85" t="n">
        <v>2869</v>
      </c>
      <c r="I79" s="85" t="n">
        <v>3890</v>
      </c>
      <c r="J79" s="85" t="n">
        <v>3430</v>
      </c>
      <c r="K79" s="85" t="n">
        <v>2260</v>
      </c>
      <c r="L79" s="85" t="n">
        <v>1320</v>
      </c>
      <c r="M79" s="85" t="n">
        <v>665</v>
      </c>
      <c r="N79" s="97" t="n">
        <v>4654</v>
      </c>
      <c r="O79" s="281" t="n">
        <v>16219</v>
      </c>
      <c r="P79" s="85"/>
      <c r="Q79" s="85"/>
      <c r="R79" s="85"/>
      <c r="S79" s="85"/>
    </row>
    <row r="80">
      <c r="C80" s="97" t="s">
        <v>57</v>
      </c>
      <c r="D80" s="85" t="n">
        <v>0</v>
      </c>
      <c r="E80" s="85" t="n">
        <v>794</v>
      </c>
      <c r="F80" s="85" t="n">
        <v>3183</v>
      </c>
      <c r="G80" s="85" t="n">
        <v>5818</v>
      </c>
      <c r="H80" s="85" t="n">
        <v>7253</v>
      </c>
      <c r="I80" s="85" t="n">
        <v>5628</v>
      </c>
      <c r="J80" s="85" t="n">
        <v>1977</v>
      </c>
      <c r="K80" s="85" t="n">
        <v>229</v>
      </c>
      <c r="L80" s="85" t="n">
        <v>33</v>
      </c>
      <c r="M80" s="85" t="n">
        <v>1</v>
      </c>
      <c r="N80" s="97" t="n">
        <v>17048</v>
      </c>
      <c r="O80" s="281" t="n">
        <v>24916</v>
      </c>
      <c r="P80" s="85"/>
      <c r="Q80" s="85"/>
      <c r="R80" s="85"/>
      <c r="S80" s="85"/>
    </row>
    <row r="81">
      <c r="C81" s="97"/>
      <c r="N81" s="399"/>
      <c r="O81" s="282"/>
      <c r="P81" s="85"/>
      <c r="Q81" s="85"/>
      <c r="R81" s="85"/>
      <c r="S81" s="85"/>
    </row>
    <row r="82">
      <c r="C82" s="1312" t="s">
        <v>1397</v>
      </c>
      <c r="D82" s="1313"/>
      <c r="E82" s="1313"/>
      <c r="F82" s="1313"/>
      <c r="G82" s="1313"/>
      <c r="H82" s="1313"/>
      <c r="I82" s="1313"/>
      <c r="J82" s="1313"/>
      <c r="K82" s="1313"/>
      <c r="L82" s="1313"/>
      <c r="M82" s="1313"/>
      <c r="N82" s="1313"/>
      <c r="O82" s="1314"/>
      <c r="P82" s="1271"/>
      <c r="Q82" s="1271"/>
      <c r="R82" s="1271"/>
      <c r="S82" s="1271"/>
    </row>
    <row r="83">
      <c r="C83" s="97" t="s">
        <v>1399</v>
      </c>
      <c r="D83" s="85" t="n">
        <f t="shared" ref="D83:O83" si="6">SUM(D43:D57)</f>
        <v>0</v>
      </c>
      <c r="E83" s="85" t="n">
        <f t="shared" si="6"/>
        <v>35317</v>
      </c>
      <c r="F83" s="85" t="n">
        <f t="shared" si="6"/>
        <v>36033</v>
      </c>
      <c r="G83" s="85" t="n">
        <f t="shared" si="6"/>
        <v>21076</v>
      </c>
      <c r="H83" s="85" t="n">
        <f t="shared" si="6"/>
        <v>13346</v>
      </c>
      <c r="I83" s="85" t="n">
        <f t="shared" si="6"/>
        <v>27508</v>
      </c>
      <c r="J83" s="85" t="n">
        <f t="shared" si="6"/>
        <v>35850</v>
      </c>
      <c r="K83" s="85" t="n">
        <f t="shared" si="6"/>
        <v>18640</v>
      </c>
      <c r="L83" s="85" t="n">
        <f t="shared" si="6"/>
        <v>8394</v>
      </c>
      <c r="M83" s="85" t="n">
        <f t="shared" si="6"/>
        <v>7982</v>
      </c>
      <c r="N83" s="85" t="n">
        <f t="shared" si="6"/>
        <v>105769</v>
      </c>
      <c r="O83" s="85" t="n">
        <f t="shared" si="6"/>
        <v>204144</v>
      </c>
      <c r="P83" s="85"/>
      <c r="Q83" s="85"/>
      <c r="R83" s="85"/>
      <c r="S83" s="85"/>
    </row>
    <row r="84">
      <c r="C84" s="97" t="s">
        <v>484</v>
      </c>
      <c r="D84" s="85" t="n">
        <f>SUM(D58:D59)</f>
        <v>0</v>
      </c>
      <c r="E84" s="85" t="n">
        <f t="shared" ref="E84:O84" si="7">SUM(E58:E59)</f>
        <v>-3155</v>
      </c>
      <c r="F84" s="85" t="n">
        <f t="shared" si="7"/>
        <v>-2231</v>
      </c>
      <c r="G84" s="85" t="n">
        <f t="shared" si="7"/>
        <v>-1608</v>
      </c>
      <c r="H84" s="85" t="n">
        <f t="shared" si="7"/>
        <v>-770</v>
      </c>
      <c r="I84" s="85" t="n">
        <f t="shared" si="7"/>
        <v>-983</v>
      </c>
      <c r="J84" s="85" t="n">
        <f t="shared" si="7"/>
        <v>-1211</v>
      </c>
      <c r="K84" s="85" t="n">
        <f t="shared" si="7"/>
        <v>-1471</v>
      </c>
      <c r="L84" s="85" t="n">
        <f t="shared" si="7"/>
        <v>-1810</v>
      </c>
      <c r="M84" s="85" t="n">
        <f t="shared" si="7"/>
        <v>-2325</v>
      </c>
      <c r="N84" s="85" t="n">
        <f t="shared" si="7"/>
        <v>-7767</v>
      </c>
      <c r="O84" s="85" t="n">
        <f t="shared" si="7"/>
        <v>-15566</v>
      </c>
      <c r="P84" s="85"/>
      <c r="Q84" s="85"/>
      <c r="R84" s="85"/>
      <c r="S84" s="85"/>
    </row>
    <row r="85">
      <c r="C85" s="97" t="s">
        <v>239</v>
      </c>
      <c r="D85" s="85" t="n">
        <f>SUM(D60:D64)</f>
        <v>0</v>
      </c>
      <c r="E85" s="85" t="n">
        <f t="shared" ref="E85:O85" si="8">SUM(E60:E64)</f>
        <v>452</v>
      </c>
      <c r="F85" s="85" t="n">
        <f t="shared" si="8"/>
        <v>-8670</v>
      </c>
      <c r="G85" s="85" t="n">
        <f t="shared" si="8"/>
        <v>-4527</v>
      </c>
      <c r="H85" s="85" t="n">
        <f t="shared" si="8"/>
        <v>-705</v>
      </c>
      <c r="I85" s="85" t="n">
        <f t="shared" si="8"/>
        <v>15813</v>
      </c>
      <c r="J85" s="85" t="n">
        <f t="shared" si="8"/>
        <v>20372</v>
      </c>
      <c r="K85" s="85" t="n">
        <f t="shared" si="8"/>
        <v>24847</v>
      </c>
      <c r="L85" s="85" t="n">
        <f t="shared" si="8"/>
        <v>28113</v>
      </c>
      <c r="M85" s="85" t="n">
        <f t="shared" si="8"/>
        <v>24777</v>
      </c>
      <c r="N85" s="85" t="n">
        <f t="shared" si="8"/>
        <v>-13451</v>
      </c>
      <c r="O85" s="85" t="n">
        <f t="shared" si="8"/>
        <v>100468</v>
      </c>
      <c r="P85" s="85"/>
      <c r="Q85" s="85"/>
      <c r="R85" s="85"/>
      <c r="S85" s="85"/>
    </row>
    <row r="87">
      <c r="A87" s="75" t="s">
        <v>1379</v>
      </c>
    </row>
    <row r="88">
      <c r="A88" s="1207" t="s">
        <v>1186</v>
      </c>
      <c r="B88" s="1208" t="s">
        <v>1187</v>
      </c>
      <c r="C88" s="1209" t="n">
        <v>2022</v>
      </c>
      <c r="D88" s="1209" t="n">
        <v>2023</v>
      </c>
      <c r="E88" s="1209" t="n">
        <v>2024</v>
      </c>
      <c r="F88" s="1209" t="n">
        <v>2025</v>
      </c>
      <c r="G88" s="1209" t="n">
        <v>2026</v>
      </c>
      <c r="H88" s="1209" t="n">
        <v>2027</v>
      </c>
      <c r="I88" s="1209" t="n">
        <v>2028</v>
      </c>
      <c r="J88" s="1209" t="n">
        <v>2029</v>
      </c>
      <c r="K88" s="1209" t="n">
        <v>2030</v>
      </c>
      <c r="L88" s="1209" t="n">
        <v>2031</v>
      </c>
      <c r="M88" s="1210" t="s">
        <v>1188</v>
      </c>
      <c r="N88" s="1210" t="s">
        <v>1189</v>
      </c>
      <c r="O88" s="1211" t="s">
        <v>1190</v>
      </c>
      <c r="P88" s="1211"/>
      <c r="Q88" s="1211"/>
      <c r="R88" s="1211"/>
      <c r="S88" s="1211"/>
      <c r="T88" s="1212" t="s">
        <v>1191</v>
      </c>
    </row>
    <row r="89">
      <c r="A89" s="1213" t="s">
        <v>1192</v>
      </c>
      <c r="B89" s="1214" t="s">
        <v>1193</v>
      </c>
      <c r="C89" s="1215" t="n">
        <v>0</v>
      </c>
      <c r="D89" s="1215" t="n">
        <v>3</v>
      </c>
      <c r="E89" s="1215" t="n">
        <v>3</v>
      </c>
      <c r="F89" s="1215" t="n">
        <v>3</v>
      </c>
      <c r="G89" s="1215" t="n">
        <v>3</v>
      </c>
      <c r="H89" s="1215" t="n">
        <v>1</v>
      </c>
      <c r="I89" s="1215" t="n">
        <v>0</v>
      </c>
      <c r="J89" s="1215" t="n">
        <v>0</v>
      </c>
      <c r="K89" s="1215" t="n">
        <v>0</v>
      </c>
      <c r="L89" s="1215" t="n">
        <v>0</v>
      </c>
      <c r="M89" s="1215" t="n">
        <v>12</v>
      </c>
      <c r="N89" s="1215" t="n">
        <v>13</v>
      </c>
      <c r="O89" s="1216" t="s">
        <v>1194</v>
      </c>
      <c r="P89" s="1216"/>
      <c r="Q89" s="1216"/>
      <c r="R89" s="1216"/>
      <c r="S89" s="1216"/>
      <c r="T89" s="1217"/>
    </row>
    <row r="90" ht="24" customHeight="1">
      <c r="A90" s="1213" t="s">
        <v>1195</v>
      </c>
      <c r="B90" s="1214" t="s">
        <v>1196</v>
      </c>
      <c r="C90" s="1215" t="n">
        <v>0</v>
      </c>
      <c r="D90" s="1215" t="n">
        <v>65</v>
      </c>
      <c r="E90" s="1215" t="n">
        <v>1360</v>
      </c>
      <c r="F90" s="1215" t="n">
        <v>2430</v>
      </c>
      <c r="G90" s="1215" t="n">
        <v>2800</v>
      </c>
      <c r="H90" s="1215" t="n">
        <v>1740</v>
      </c>
      <c r="I90" s="1215" t="n">
        <v>570</v>
      </c>
      <c r="J90" s="1215" t="n">
        <v>35</v>
      </c>
      <c r="K90" s="1215" t="n">
        <v>0</v>
      </c>
      <c r="L90" s="1215" t="n">
        <v>0</v>
      </c>
      <c r="M90" s="1215" t="n">
        <v>6655</v>
      </c>
      <c r="N90" s="1215" t="n">
        <v>9000</v>
      </c>
      <c r="O90" s="1216" t="s">
        <v>1194</v>
      </c>
      <c r="P90" s="1216"/>
      <c r="Q90" s="1216"/>
      <c r="R90" s="1216"/>
      <c r="S90" s="1216"/>
      <c r="T90" s="1218"/>
    </row>
    <row r="91">
      <c r="A91" s="1219" t="s">
        <v>1197</v>
      </c>
      <c r="B91" s="1220" t="s">
        <v>1198</v>
      </c>
      <c r="C91" s="1221" t="n">
        <v>0</v>
      </c>
      <c r="D91" s="1221" t="n">
        <v>0</v>
      </c>
      <c r="E91" s="1221" t="n">
        <v>601</v>
      </c>
      <c r="F91" s="1222" t="n">
        <v>1038</v>
      </c>
      <c r="G91" s="1222" t="n">
        <v>1251</v>
      </c>
      <c r="H91" s="1222" t="n">
        <v>1431</v>
      </c>
      <c r="I91" s="1222" t="n">
        <v>1492</v>
      </c>
      <c r="J91" s="1222" t="n">
        <v>1530</v>
      </c>
      <c r="K91" s="1222" t="n">
        <v>1567</v>
      </c>
      <c r="L91" s="1222" t="n">
        <v>1606</v>
      </c>
      <c r="M91" s="1222" t="n">
        <v>2890</v>
      </c>
      <c r="N91" s="1222" t="n">
        <v>10516</v>
      </c>
      <c r="O91" s="1223" t="s">
        <v>1199</v>
      </c>
      <c r="P91" s="1223"/>
      <c r="Q91" s="1223"/>
      <c r="R91" s="1223"/>
      <c r="S91" s="1223"/>
      <c r="T91" s="1224"/>
    </row>
    <row r="92">
      <c r="A92" s="1225" t="s">
        <v>1200</v>
      </c>
      <c r="B92" s="1226" t="s">
        <v>1201</v>
      </c>
      <c r="C92" s="1292" t="n">
        <v>0</v>
      </c>
      <c r="D92" s="1292" t="n">
        <v>30</v>
      </c>
      <c r="E92" s="1292" t="n">
        <v>120</v>
      </c>
      <c r="F92" s="1292" t="n">
        <v>165</v>
      </c>
      <c r="G92" s="1292" t="n">
        <v>370</v>
      </c>
      <c r="H92" s="1292" t="n">
        <v>470</v>
      </c>
      <c r="I92" s="1292" t="n">
        <v>420</v>
      </c>
      <c r="J92" s="1292" t="n">
        <v>285</v>
      </c>
      <c r="K92" s="1292" t="n">
        <v>220</v>
      </c>
      <c r="L92" s="1293" t="n">
        <v>65</v>
      </c>
      <c r="M92" s="1292" t="n">
        <v>685</v>
      </c>
      <c r="N92" s="1227" t="n">
        <v>2145</v>
      </c>
      <c r="O92" s="1228" t="s">
        <v>1202</v>
      </c>
      <c r="P92" s="1273"/>
      <c r="Q92" s="1273"/>
      <c r="R92" s="1273"/>
      <c r="S92" s="1273"/>
      <c r="T92" s="1229" t="s">
        <v>1203</v>
      </c>
    </row>
    <row r="93">
      <c r="A93" s="1213" t="s">
        <v>1204</v>
      </c>
      <c r="B93" s="1214" t="s">
        <v>1205</v>
      </c>
      <c r="C93" s="1215" t="n">
        <v>0</v>
      </c>
      <c r="D93" s="1215" t="n">
        <v>2</v>
      </c>
      <c r="E93" s="1215" t="n">
        <v>10</v>
      </c>
      <c r="F93" s="1215" t="n">
        <v>25</v>
      </c>
      <c r="G93" s="1215" t="n">
        <v>28</v>
      </c>
      <c r="H93" s="1215" t="n">
        <v>17</v>
      </c>
      <c r="I93" s="1215" t="n">
        <v>11</v>
      </c>
      <c r="J93" s="1215" t="n">
        <v>4</v>
      </c>
      <c r="K93" s="1215" t="n">
        <v>2</v>
      </c>
      <c r="L93" s="1215" t="n">
        <v>1</v>
      </c>
      <c r="M93" s="1215" t="n">
        <v>65</v>
      </c>
      <c r="N93" s="1215" t="n">
        <v>100</v>
      </c>
      <c r="O93" s="1216" t="s">
        <v>1202</v>
      </c>
      <c r="P93" s="1216"/>
      <c r="Q93" s="1216"/>
      <c r="R93" s="1216"/>
      <c r="S93" s="1216"/>
      <c r="T93" s="1217" t="s">
        <v>1206</v>
      </c>
    </row>
    <row r="94" ht="24" customHeight="1">
      <c r="A94" s="1230" t="s">
        <v>1207</v>
      </c>
      <c r="B94" s="1231" t="s">
        <v>1208</v>
      </c>
      <c r="C94" s="1215" t="n">
        <v>0</v>
      </c>
      <c r="D94" s="1215" t="n">
        <v>36</v>
      </c>
      <c r="E94" s="1215" t="n">
        <v>30</v>
      </c>
      <c r="F94" s="1215" t="n">
        <v>14</v>
      </c>
      <c r="G94" s="1215" t="n">
        <v>7</v>
      </c>
      <c r="H94" s="1215" t="n">
        <v>0</v>
      </c>
      <c r="I94" s="1215" t="n">
        <v>0</v>
      </c>
      <c r="J94" s="1215" t="n">
        <v>0</v>
      </c>
      <c r="K94" s="1215" t="n">
        <v>0</v>
      </c>
      <c r="L94" s="1215" t="n">
        <v>0</v>
      </c>
      <c r="M94" s="1215" t="n">
        <v>87</v>
      </c>
      <c r="N94" s="1215" t="n">
        <v>87</v>
      </c>
      <c r="O94" s="1216" t="s">
        <v>1202</v>
      </c>
      <c r="P94" s="1216"/>
      <c r="Q94" s="1216"/>
      <c r="R94" s="1216"/>
      <c r="S94" s="1216"/>
      <c r="T94" s="1217" t="s">
        <v>1209</v>
      </c>
    </row>
    <row r="95">
      <c r="A95" s="1213" t="s">
        <v>1210</v>
      </c>
      <c r="B95" s="1214" t="s">
        <v>1211</v>
      </c>
      <c r="C95" s="1215" t="n">
        <v>0</v>
      </c>
      <c r="D95" s="1232" t="n">
        <v>5240</v>
      </c>
      <c r="E95" s="1232" t="n">
        <v>4175</v>
      </c>
      <c r="F95" s="1232" t="n">
        <v>5215</v>
      </c>
      <c r="G95" s="1232" t="n">
        <v>6493</v>
      </c>
      <c r="H95" s="1232" t="n">
        <v>7982</v>
      </c>
      <c r="I95" s="1232" t="n">
        <v>9820</v>
      </c>
      <c r="J95" s="1232" t="n">
        <v>11813</v>
      </c>
      <c r="K95" s="1232" t="n">
        <v>14269</v>
      </c>
      <c r="L95" s="1232" t="n">
        <v>14605</v>
      </c>
      <c r="M95" s="1232" t="n">
        <v>21123</v>
      </c>
      <c r="N95" s="1232" t="n">
        <v>79612</v>
      </c>
      <c r="O95" s="1233" t="s">
        <v>1202</v>
      </c>
      <c r="P95" s="1233"/>
      <c r="Q95" s="1233"/>
      <c r="R95" s="1233"/>
      <c r="S95" s="1233"/>
      <c r="T95" s="1217"/>
    </row>
    <row r="96">
      <c r="A96" s="1213" t="s">
        <v>1212</v>
      </c>
      <c r="B96" s="1214" t="s">
        <v>1213</v>
      </c>
      <c r="C96" s="1234" t="n">
        <v>0</v>
      </c>
      <c r="D96" s="1234" t="n">
        <v>55</v>
      </c>
      <c r="E96" s="1234" t="n">
        <v>55</v>
      </c>
      <c r="F96" s="1234" t="n">
        <v>55</v>
      </c>
      <c r="G96" s="1234" t="n">
        <v>55</v>
      </c>
      <c r="H96" s="1234" t="n">
        <v>55</v>
      </c>
      <c r="I96" s="1234" t="n">
        <v>55</v>
      </c>
      <c r="J96" s="1234" t="n">
        <v>55</v>
      </c>
      <c r="K96" s="1234" t="n">
        <v>55</v>
      </c>
      <c r="L96" s="1234" t="n">
        <v>55</v>
      </c>
      <c r="M96" s="1234" t="n">
        <v>220</v>
      </c>
      <c r="N96" s="1234" t="n">
        <v>495</v>
      </c>
      <c r="O96" s="1235" t="s">
        <v>1202</v>
      </c>
      <c r="P96" s="1235"/>
      <c r="Q96" s="1235"/>
      <c r="R96" s="1235"/>
      <c r="S96" s="1235"/>
      <c r="T96" s="1218"/>
    </row>
    <row r="97">
      <c r="A97" s="1213" t="s">
        <v>1214</v>
      </c>
      <c r="B97" s="1214" t="s">
        <v>1215</v>
      </c>
      <c r="C97" s="1215" t="n">
        <v>0</v>
      </c>
      <c r="D97" s="1215" t="n">
        <v>19</v>
      </c>
      <c r="E97" s="1215" t="n">
        <v>26</v>
      </c>
      <c r="F97" s="1215" t="n">
        <v>27</v>
      </c>
      <c r="G97" s="1215" t="n">
        <v>17</v>
      </c>
      <c r="H97" s="1215" t="n">
        <v>7</v>
      </c>
      <c r="I97" s="1215" t="n">
        <v>3</v>
      </c>
      <c r="J97" s="1215" t="n">
        <v>1</v>
      </c>
      <c r="K97" s="1215" t="n">
        <v>0</v>
      </c>
      <c r="L97" s="1215" t="n">
        <v>0</v>
      </c>
      <c r="M97" s="1215" t="n">
        <v>89</v>
      </c>
      <c r="N97" s="1215" t="n">
        <v>100</v>
      </c>
      <c r="O97" s="1233" t="s">
        <v>1202</v>
      </c>
      <c r="P97" s="1233"/>
      <c r="Q97" s="1233"/>
      <c r="R97" s="1233"/>
      <c r="S97" s="1233"/>
      <c r="T97" s="1218"/>
    </row>
    <row r="98">
      <c r="A98" s="1213" t="s">
        <v>1216</v>
      </c>
      <c r="B98" s="1214" t="s">
        <v>1217</v>
      </c>
      <c r="C98" s="1215" t="n">
        <v>0</v>
      </c>
      <c r="D98" s="1215" t="n">
        <v>15</v>
      </c>
      <c r="E98" s="1215" t="n">
        <v>15</v>
      </c>
      <c r="F98" s="1215" t="n">
        <v>15</v>
      </c>
      <c r="G98" s="1215" t="n">
        <v>10</v>
      </c>
      <c r="H98" s="1215" t="n">
        <v>10</v>
      </c>
      <c r="I98" s="1215" t="n">
        <v>10</v>
      </c>
      <c r="J98" s="1215" t="n">
        <v>10</v>
      </c>
      <c r="K98" s="1215" t="n">
        <v>10</v>
      </c>
      <c r="L98" s="1215" t="n">
        <v>5</v>
      </c>
      <c r="M98" s="1215" t="n">
        <v>55</v>
      </c>
      <c r="N98" s="1215" t="n">
        <v>100</v>
      </c>
      <c r="O98" s="1216" t="s">
        <v>1202</v>
      </c>
      <c r="P98" s="1216"/>
      <c r="Q98" s="1216"/>
      <c r="R98" s="1216"/>
      <c r="S98" s="1216"/>
      <c r="T98" s="1218"/>
    </row>
    <row r="99" ht="36" customHeight="1">
      <c r="A99" s="1213" t="s">
        <v>1218</v>
      </c>
      <c r="B99" s="1214" t="s">
        <v>1219</v>
      </c>
      <c r="C99" s="1236" t="n">
        <v>0</v>
      </c>
      <c r="D99" s="1236" t="n">
        <v>22</v>
      </c>
      <c r="E99" s="1236" t="n">
        <v>96</v>
      </c>
      <c r="F99" s="1236" t="n">
        <v>170</v>
      </c>
      <c r="G99" s="1236" t="n">
        <v>213</v>
      </c>
      <c r="H99" s="1236" t="n">
        <v>160</v>
      </c>
      <c r="I99" s="1236" t="n">
        <v>47</v>
      </c>
      <c r="J99" s="1236" t="n">
        <v>2</v>
      </c>
      <c r="K99" s="1236" t="n">
        <v>0</v>
      </c>
      <c r="L99" s="1236" t="n">
        <v>0</v>
      </c>
      <c r="M99" s="1236" t="n">
        <v>501</v>
      </c>
      <c r="N99" s="1236" t="n">
        <v>710</v>
      </c>
      <c r="O99" s="1215" t="s">
        <v>1202</v>
      </c>
      <c r="P99" s="1215"/>
      <c r="Q99" s="1215"/>
      <c r="R99" s="1215"/>
      <c r="S99" s="1215"/>
      <c r="T99" s="1218"/>
    </row>
    <row r="100" ht="36" customHeight="1">
      <c r="A100" s="1213" t="s">
        <v>1220</v>
      </c>
      <c r="B100" s="1214" t="s">
        <v>1221</v>
      </c>
      <c r="C100" s="1237"/>
      <c r="D100" s="1237" t="n">
        <v>90</v>
      </c>
      <c r="E100" s="1237" t="n">
        <v>260</v>
      </c>
      <c r="F100" s="1237" t="n">
        <v>427</v>
      </c>
      <c r="G100" s="1237" t="n">
        <v>560</v>
      </c>
      <c r="H100" s="1237" t="n">
        <v>572</v>
      </c>
      <c r="I100" s="1237" t="n">
        <v>534</v>
      </c>
      <c r="J100" s="1237" t="n">
        <v>275</v>
      </c>
      <c r="K100" s="1237" t="n">
        <v>162</v>
      </c>
      <c r="L100" s="1237" t="n">
        <v>70</v>
      </c>
      <c r="M100" s="1237" t="n">
        <v>1347</v>
      </c>
      <c r="N100" s="1237" t="n">
        <v>2960</v>
      </c>
      <c r="O100" s="1238" t="s">
        <v>1202</v>
      </c>
      <c r="P100" s="1238"/>
      <c r="Q100" s="1238"/>
      <c r="R100" s="1238"/>
      <c r="S100" s="1238"/>
      <c r="T100" s="1218"/>
    </row>
    <row r="101">
      <c r="A101" s="1213" t="s">
        <v>1222</v>
      </c>
      <c r="B101" s="1214" t="s">
        <v>1223</v>
      </c>
      <c r="C101" s="1215" t="n">
        <v>0</v>
      </c>
      <c r="D101" s="1215" t="n">
        <v>40</v>
      </c>
      <c r="E101" s="1215" t="n">
        <v>60</v>
      </c>
      <c r="F101" s="1215" t="n">
        <v>52</v>
      </c>
      <c r="G101" s="1215" t="n">
        <v>40</v>
      </c>
      <c r="H101" s="1215" t="n">
        <v>27</v>
      </c>
      <c r="I101" s="1215" t="n">
        <v>19</v>
      </c>
      <c r="J101" s="1215" t="n">
        <v>10</v>
      </c>
      <c r="K101" s="1215" t="n">
        <v>2</v>
      </c>
      <c r="L101" s="1215" t="n">
        <v>0</v>
      </c>
      <c r="M101" s="1215" t="n">
        <v>192</v>
      </c>
      <c r="N101" s="1215" t="n">
        <v>250</v>
      </c>
      <c r="O101" s="1216" t="s">
        <v>1202</v>
      </c>
      <c r="P101" s="1216"/>
      <c r="Q101" s="1216"/>
      <c r="R101" s="1216"/>
      <c r="S101" s="1216"/>
      <c r="T101" s="1218"/>
    </row>
    <row r="102">
      <c r="A102" s="1230" t="s">
        <v>1224</v>
      </c>
      <c r="B102" s="1231" t="s">
        <v>1225</v>
      </c>
      <c r="C102" s="1215" t="n">
        <v>0</v>
      </c>
      <c r="D102" s="1215" t="n">
        <v>49</v>
      </c>
      <c r="E102" s="1215" t="n">
        <v>62</v>
      </c>
      <c r="F102" s="1215" t="n">
        <v>62</v>
      </c>
      <c r="G102" s="1215" t="n">
        <v>62</v>
      </c>
      <c r="H102" s="1215" t="n">
        <v>63</v>
      </c>
      <c r="I102" s="1215" t="n">
        <v>63</v>
      </c>
      <c r="J102" s="1215" t="n">
        <v>63</v>
      </c>
      <c r="K102" s="1215" t="n">
        <v>64</v>
      </c>
      <c r="L102" s="1215" t="n">
        <v>12</v>
      </c>
      <c r="M102" s="1215" t="n">
        <v>235</v>
      </c>
      <c r="N102" s="1215" t="n">
        <v>500</v>
      </c>
      <c r="O102" s="1216" t="s">
        <v>1202</v>
      </c>
      <c r="P102" s="1216"/>
      <c r="Q102" s="1216"/>
      <c r="R102" s="1216"/>
      <c r="S102" s="1216"/>
      <c r="T102" s="1218"/>
    </row>
    <row r="103">
      <c r="A103" s="1213" t="s">
        <v>1226</v>
      </c>
      <c r="B103" s="1214" t="s">
        <v>1227</v>
      </c>
      <c r="C103" s="1215" t="n">
        <v>0</v>
      </c>
      <c r="D103" s="1215" t="n">
        <v>0</v>
      </c>
      <c r="E103" s="1215" t="n">
        <v>0</v>
      </c>
      <c r="F103" s="1215" t="n">
        <v>0</v>
      </c>
      <c r="G103" s="1215" t="n">
        <v>-20</v>
      </c>
      <c r="H103" s="1215" t="n">
        <v>-28</v>
      </c>
      <c r="I103" s="1215" t="n">
        <v>-28</v>
      </c>
      <c r="J103" s="1215" t="n">
        <v>-28</v>
      </c>
      <c r="K103" s="1215" t="n">
        <v>-28</v>
      </c>
      <c r="L103" s="1215" t="n">
        <v>-28</v>
      </c>
      <c r="M103" s="1215" t="n">
        <v>-20</v>
      </c>
      <c r="N103" s="1215" t="n">
        <v>-160</v>
      </c>
      <c r="O103" s="1216" t="s">
        <v>1202</v>
      </c>
      <c r="P103" s="1216"/>
      <c r="Q103" s="1216"/>
      <c r="R103" s="1216"/>
      <c r="S103" s="1216"/>
      <c r="T103" s="1218"/>
    </row>
    <row r="104" ht="24" customHeight="1">
      <c r="A104" s="1213" t="s">
        <v>1228</v>
      </c>
      <c r="B104" s="1214" t="s">
        <v>1229</v>
      </c>
      <c r="C104" s="1215" t="n">
        <v>0</v>
      </c>
      <c r="D104" s="1215" t="n">
        <v>-235</v>
      </c>
      <c r="E104" s="1215" t="n">
        <v>-44</v>
      </c>
      <c r="F104" s="1215" t="n">
        <v>-22</v>
      </c>
      <c r="G104" s="1215" t="n">
        <v>-26</v>
      </c>
      <c r="H104" s="1215" t="n">
        <v>-23</v>
      </c>
      <c r="I104" s="1215" t="n">
        <v>-19</v>
      </c>
      <c r="J104" s="1215" t="n">
        <v>-41</v>
      </c>
      <c r="K104" s="1215" t="n">
        <v>-35</v>
      </c>
      <c r="L104" s="1215" t="n">
        <v>-39</v>
      </c>
      <c r="M104" s="1215" t="n">
        <v>-327</v>
      </c>
      <c r="N104" s="1215" t="n">
        <v>-484</v>
      </c>
      <c r="O104" s="1216" t="s">
        <v>1202</v>
      </c>
      <c r="P104" s="1216"/>
      <c r="Q104" s="1216"/>
      <c r="R104" s="1216"/>
      <c r="S104" s="1216"/>
      <c r="T104" s="1218"/>
    </row>
    <row r="105">
      <c r="A105" s="1213" t="s">
        <v>1230</v>
      </c>
      <c r="B105" s="1214" t="s">
        <v>1231</v>
      </c>
      <c r="C105" s="1215" t="n">
        <v>0</v>
      </c>
      <c r="D105" s="1215" t="n">
        <v>7</v>
      </c>
      <c r="E105" s="1215" t="n">
        <v>8</v>
      </c>
      <c r="F105" s="1215" t="n">
        <v>6</v>
      </c>
      <c r="G105" s="1215" t="n">
        <v>2</v>
      </c>
      <c r="H105" s="1215" t="n">
        <v>1</v>
      </c>
      <c r="I105" s="1215" t="n">
        <v>0</v>
      </c>
      <c r="J105" s="1215" t="n">
        <v>0</v>
      </c>
      <c r="K105" s="1215" t="n">
        <v>0</v>
      </c>
      <c r="L105" s="1215" t="n">
        <v>0</v>
      </c>
      <c r="M105" s="1215" t="n">
        <v>23</v>
      </c>
      <c r="N105" s="1215" t="n">
        <v>24</v>
      </c>
      <c r="O105" s="1216" t="s">
        <v>1202</v>
      </c>
      <c r="P105" s="1216"/>
      <c r="Q105" s="1216"/>
      <c r="R105" s="1216"/>
      <c r="S105" s="1216"/>
      <c r="T105" s="1218"/>
    </row>
    <row r="106" ht="36" customHeight="1">
      <c r="A106" s="1213" t="s">
        <v>1232</v>
      </c>
      <c r="B106" s="1214" t="s">
        <v>1233</v>
      </c>
      <c r="C106" s="1215" t="n">
        <v>0</v>
      </c>
      <c r="D106" s="1215" t="n">
        <v>50</v>
      </c>
      <c r="E106" s="1215" t="n">
        <v>77</v>
      </c>
      <c r="F106" s="1215" t="n">
        <v>87</v>
      </c>
      <c r="G106" s="1215" t="n">
        <v>81</v>
      </c>
      <c r="H106" s="1215" t="n">
        <v>50</v>
      </c>
      <c r="I106" s="1215" t="n">
        <v>30</v>
      </c>
      <c r="J106" s="1215" t="n">
        <v>10</v>
      </c>
      <c r="K106" s="1215" t="n">
        <v>0</v>
      </c>
      <c r="L106" s="1215" t="n">
        <v>0</v>
      </c>
      <c r="M106" s="1215" t="n">
        <v>295</v>
      </c>
      <c r="N106" s="1215" t="n">
        <v>385</v>
      </c>
      <c r="O106" s="1216" t="s">
        <v>1202</v>
      </c>
      <c r="P106" s="1216"/>
      <c r="Q106" s="1216"/>
      <c r="R106" s="1216"/>
      <c r="S106" s="1216"/>
      <c r="T106" s="1218"/>
    </row>
    <row r="107">
      <c r="A107" s="1230" t="s">
        <v>1234</v>
      </c>
      <c r="B107" s="1231" t="s">
        <v>1235</v>
      </c>
      <c r="C107" s="1215" t="n">
        <v>0</v>
      </c>
      <c r="D107" s="1215" t="n">
        <v>3</v>
      </c>
      <c r="E107" s="1215" t="n">
        <v>2</v>
      </c>
      <c r="F107" s="1215" t="n">
        <v>0</v>
      </c>
      <c r="G107" s="1215" t="n">
        <v>0</v>
      </c>
      <c r="H107" s="1215" t="n">
        <v>0</v>
      </c>
      <c r="I107" s="1215" t="n">
        <v>0</v>
      </c>
      <c r="J107" s="1215" t="n">
        <v>0</v>
      </c>
      <c r="K107" s="1215" t="n">
        <v>0</v>
      </c>
      <c r="L107" s="1215" t="n">
        <v>0</v>
      </c>
      <c r="M107" s="1215" t="n">
        <v>5</v>
      </c>
      <c r="N107" s="1215" t="n">
        <v>5</v>
      </c>
      <c r="O107" s="1216" t="s">
        <v>1236</v>
      </c>
      <c r="P107" s="1216"/>
      <c r="Q107" s="1216"/>
      <c r="R107" s="1216"/>
      <c r="S107" s="1216"/>
      <c r="T107" s="1218"/>
    </row>
    <row r="108">
      <c r="A108" s="1230" t="s">
        <v>1237</v>
      </c>
      <c r="B108" s="1231" t="s">
        <v>1238</v>
      </c>
      <c r="C108" s="1215" t="n">
        <v>0</v>
      </c>
      <c r="D108" s="1215" t="n">
        <v>70</v>
      </c>
      <c r="E108" s="1215" t="n">
        <v>80</v>
      </c>
      <c r="F108" s="1215" t="n">
        <v>62</v>
      </c>
      <c r="G108" s="1215" t="n">
        <v>25</v>
      </c>
      <c r="H108" s="1215" t="n">
        <v>13</v>
      </c>
      <c r="I108" s="1215" t="n">
        <v>0</v>
      </c>
      <c r="J108" s="1215" t="n">
        <v>0</v>
      </c>
      <c r="K108" s="1215" t="n">
        <v>0</v>
      </c>
      <c r="L108" s="1215" t="n">
        <v>0</v>
      </c>
      <c r="M108" s="1215" t="n">
        <v>237</v>
      </c>
      <c r="N108" s="1215" t="n">
        <v>250</v>
      </c>
      <c r="O108" s="1216" t="s">
        <v>1236</v>
      </c>
      <c r="P108" s="1216"/>
      <c r="Q108" s="1216"/>
      <c r="R108" s="1216"/>
      <c r="S108" s="1216"/>
      <c r="T108" s="1218"/>
    </row>
    <row r="109" ht="24" customHeight="1">
      <c r="A109" s="1230" t="s">
        <v>1239</v>
      </c>
      <c r="B109" s="1231" t="s">
        <v>1240</v>
      </c>
      <c r="C109" s="1234" t="n">
        <v>0</v>
      </c>
      <c r="D109" s="1234" t="n">
        <v>33</v>
      </c>
      <c r="E109" s="1234" t="n">
        <v>54</v>
      </c>
      <c r="F109" s="1234" t="n">
        <v>37</v>
      </c>
      <c r="G109" s="1234" t="n">
        <v>16</v>
      </c>
      <c r="H109" s="1234" t="n">
        <v>0</v>
      </c>
      <c r="I109" s="1234" t="n">
        <v>0</v>
      </c>
      <c r="J109" s="1234" t="n">
        <v>0</v>
      </c>
      <c r="K109" s="1234" t="n">
        <v>0</v>
      </c>
      <c r="L109" s="1234" t="n">
        <v>0</v>
      </c>
      <c r="M109" s="1234" t="n">
        <v>140</v>
      </c>
      <c r="N109" s="1234" t="n">
        <v>140</v>
      </c>
      <c r="O109" s="1216" t="s">
        <v>1202</v>
      </c>
      <c r="P109" s="1216"/>
      <c r="Q109" s="1216"/>
      <c r="R109" s="1216"/>
      <c r="S109" s="1216"/>
      <c r="T109" s="1218"/>
    </row>
    <row r="110">
      <c r="A110" s="1213" t="s">
        <v>1241</v>
      </c>
      <c r="B110" s="1214" t="s">
        <v>1242</v>
      </c>
      <c r="C110" s="1215" t="n">
        <v>0</v>
      </c>
      <c r="D110" s="1215" t="n">
        <v>40</v>
      </c>
      <c r="E110" s="1215" t="n">
        <v>40</v>
      </c>
      <c r="F110" s="1215" t="n">
        <v>30</v>
      </c>
      <c r="G110" s="1215" t="n">
        <v>10</v>
      </c>
      <c r="H110" s="1215" t="n">
        <v>5</v>
      </c>
      <c r="I110" s="1215" t="n">
        <v>0</v>
      </c>
      <c r="J110" s="1215" t="n">
        <v>0</v>
      </c>
      <c r="K110" s="1215" t="n">
        <v>0</v>
      </c>
      <c r="L110" s="1215" t="n">
        <v>0</v>
      </c>
      <c r="M110" s="1215" t="n">
        <v>120</v>
      </c>
      <c r="N110" s="1215" t="n">
        <v>125</v>
      </c>
      <c r="O110" s="1216" t="s">
        <v>1202</v>
      </c>
      <c r="P110" s="1216"/>
      <c r="Q110" s="1216"/>
      <c r="R110" s="1216"/>
      <c r="S110" s="1216"/>
      <c r="T110" s="1218"/>
    </row>
    <row r="111">
      <c r="A111" s="1230" t="s">
        <v>1243</v>
      </c>
      <c r="B111" s="1214" t="s">
        <v>1244</v>
      </c>
      <c r="C111" s="1215" t="n">
        <v>0</v>
      </c>
      <c r="D111" s="1215" t="n">
        <v>5</v>
      </c>
      <c r="E111" s="1215" t="n">
        <v>8</v>
      </c>
      <c r="F111" s="1215" t="n">
        <v>8</v>
      </c>
      <c r="G111" s="1215" t="n">
        <v>8</v>
      </c>
      <c r="H111" s="1215" t="n">
        <v>4</v>
      </c>
      <c r="I111" s="1215" t="n">
        <v>0</v>
      </c>
      <c r="J111" s="1215" t="n">
        <v>0</v>
      </c>
      <c r="K111" s="1215" t="n">
        <v>0</v>
      </c>
      <c r="L111" s="1215" t="n">
        <v>0</v>
      </c>
      <c r="M111" s="1215" t="n">
        <v>29</v>
      </c>
      <c r="N111" s="1215" t="n">
        <v>33</v>
      </c>
      <c r="O111" s="1216" t="s">
        <v>1202</v>
      </c>
      <c r="P111" s="1216"/>
      <c r="Q111" s="1216"/>
      <c r="R111" s="1216"/>
      <c r="S111" s="1216"/>
      <c r="T111" s="1218"/>
    </row>
    <row r="112">
      <c r="A112" s="1213" t="s">
        <v>1245</v>
      </c>
      <c r="B112" s="1231" t="s">
        <v>1246</v>
      </c>
      <c r="C112" s="1215" t="n">
        <v>0</v>
      </c>
      <c r="D112" s="1215" t="n">
        <v>3</v>
      </c>
      <c r="E112" s="1215" t="n">
        <v>8</v>
      </c>
      <c r="F112" s="1215" t="n">
        <v>8</v>
      </c>
      <c r="G112" s="1215" t="n">
        <v>8</v>
      </c>
      <c r="H112" s="1215" t="n">
        <v>3</v>
      </c>
      <c r="I112" s="1215" t="n">
        <v>0</v>
      </c>
      <c r="J112" s="1215" t="n">
        <v>0</v>
      </c>
      <c r="K112" s="1215" t="n">
        <v>0</v>
      </c>
      <c r="L112" s="1215" t="n">
        <v>0</v>
      </c>
      <c r="M112" s="1215" t="n">
        <v>27</v>
      </c>
      <c r="N112" s="1215" t="n">
        <v>30</v>
      </c>
      <c r="O112" s="1216" t="s">
        <v>1202</v>
      </c>
      <c r="P112" s="1216"/>
      <c r="Q112" s="1216"/>
      <c r="R112" s="1216"/>
      <c r="S112" s="1216"/>
      <c r="T112" s="1218"/>
    </row>
    <row r="113" ht="24" customHeight="1">
      <c r="A113" s="1213" t="s">
        <v>1247</v>
      </c>
      <c r="B113" s="1214" t="s">
        <v>1248</v>
      </c>
      <c r="C113" s="1234" t="n">
        <v>0</v>
      </c>
      <c r="D113" s="1234" t="n">
        <v>165</v>
      </c>
      <c r="E113" s="1234" t="n">
        <v>165</v>
      </c>
      <c r="F113" s="1234" t="n">
        <v>230</v>
      </c>
      <c r="G113" s="1234" t="n">
        <v>340</v>
      </c>
      <c r="H113" s="1234" t="n">
        <v>490</v>
      </c>
      <c r="I113" s="1234" t="n">
        <v>540</v>
      </c>
      <c r="J113" s="1234" t="n">
        <v>640</v>
      </c>
      <c r="K113" s="1234" t="n">
        <v>475</v>
      </c>
      <c r="L113" s="1234" t="n">
        <v>330</v>
      </c>
      <c r="M113" s="1234" t="n">
        <v>900</v>
      </c>
      <c r="N113" s="1234" t="n">
        <v>3375</v>
      </c>
      <c r="O113" s="1233" t="s">
        <v>1202</v>
      </c>
      <c r="P113" s="1233"/>
      <c r="Q113" s="1233"/>
      <c r="R113" s="1233"/>
      <c r="S113" s="1233"/>
      <c r="T113" s="1218"/>
    </row>
    <row r="114" ht="24" customHeight="1">
      <c r="A114" s="1239" t="s">
        <v>1218</v>
      </c>
      <c r="B114" s="1240" t="s">
        <v>1249</v>
      </c>
      <c r="C114" s="1215" t="n">
        <v>0</v>
      </c>
      <c r="D114" s="1215" t="n">
        <v>195</v>
      </c>
      <c r="E114" s="1215" t="n">
        <v>448</v>
      </c>
      <c r="F114" s="1215" t="n">
        <v>641</v>
      </c>
      <c r="G114" s="1215" t="n">
        <v>716</v>
      </c>
      <c r="H114" s="1215" t="n">
        <v>681</v>
      </c>
      <c r="I114" s="1215" t="n">
        <v>528</v>
      </c>
      <c r="J114" s="1215" t="n">
        <v>421</v>
      </c>
      <c r="K114" s="1215" t="n">
        <v>323</v>
      </c>
      <c r="L114" s="1215" t="n">
        <v>23</v>
      </c>
      <c r="M114" s="1232" t="n">
        <v>2000</v>
      </c>
      <c r="N114" s="1232" t="n">
        <v>3976</v>
      </c>
      <c r="O114" s="1233" t="s">
        <v>1202</v>
      </c>
      <c r="P114" s="1233"/>
      <c r="Q114" s="1233"/>
      <c r="R114" s="1233"/>
      <c r="S114" s="1233"/>
      <c r="T114" s="1241"/>
    </row>
    <row r="115" ht="30" customHeight="1">
      <c r="A115" s="1225" t="s">
        <v>1250</v>
      </c>
      <c r="B115" s="1226" t="s">
        <v>1251</v>
      </c>
      <c r="C115" s="1242" t="n">
        <v>0</v>
      </c>
      <c r="D115" s="1242" t="n">
        <v>20</v>
      </c>
      <c r="E115" s="1242" t="n">
        <v>57</v>
      </c>
      <c r="F115" s="1242" t="n">
        <v>96</v>
      </c>
      <c r="G115" s="1242" t="n">
        <v>150</v>
      </c>
      <c r="H115" s="1242" t="n">
        <v>200</v>
      </c>
      <c r="I115" s="1242" t="n">
        <v>185</v>
      </c>
      <c r="J115" s="1242" t="n">
        <v>147</v>
      </c>
      <c r="K115" s="1242" t="n">
        <v>106</v>
      </c>
      <c r="L115" s="1242" t="n">
        <v>39</v>
      </c>
      <c r="M115" s="1242" t="n">
        <v>323</v>
      </c>
      <c r="N115" s="1243" t="n">
        <v>1000</v>
      </c>
      <c r="O115" s="1244" t="s">
        <v>1252</v>
      </c>
      <c r="P115" s="1274"/>
      <c r="Q115" s="1274"/>
      <c r="R115" s="1274"/>
      <c r="S115" s="1274"/>
      <c r="T115" s="1245" t="s">
        <v>1253</v>
      </c>
    </row>
    <row r="116">
      <c r="A116" s="1230" t="s">
        <v>1254</v>
      </c>
      <c r="B116" s="1214" t="s">
        <v>1255</v>
      </c>
      <c r="C116" s="1215" t="n">
        <v>0</v>
      </c>
      <c r="D116" s="1215" t="n">
        <v>15</v>
      </c>
      <c r="E116" s="1215" t="n">
        <v>53</v>
      </c>
      <c r="F116" s="1215" t="n">
        <v>57</v>
      </c>
      <c r="G116" s="1215" t="n">
        <v>48</v>
      </c>
      <c r="H116" s="1215" t="n">
        <v>43</v>
      </c>
      <c r="I116" s="1215" t="n">
        <v>17</v>
      </c>
      <c r="J116" s="1215" t="n">
        <v>2</v>
      </c>
      <c r="K116" s="1215" t="n">
        <v>0</v>
      </c>
      <c r="L116" s="1215" t="n">
        <v>0</v>
      </c>
      <c r="M116" s="1215" t="n">
        <v>173</v>
      </c>
      <c r="N116" s="1215" t="n">
        <v>235</v>
      </c>
      <c r="O116" s="1216" t="s">
        <v>1256</v>
      </c>
      <c r="P116" s="1216"/>
      <c r="Q116" s="1216"/>
      <c r="R116" s="1216"/>
      <c r="S116" s="1216"/>
      <c r="T116" s="1217" t="s">
        <v>1257</v>
      </c>
    </row>
    <row r="117">
      <c r="A117" s="1213" t="s">
        <v>1258</v>
      </c>
      <c r="B117" s="1214" t="s">
        <v>1259</v>
      </c>
      <c r="C117" s="1215" t="n">
        <v>0</v>
      </c>
      <c r="D117" s="1215" t="n">
        <v>15</v>
      </c>
      <c r="E117" s="1215" t="n">
        <v>53</v>
      </c>
      <c r="F117" s="1215" t="n">
        <v>57</v>
      </c>
      <c r="G117" s="1215" t="n">
        <v>48</v>
      </c>
      <c r="H117" s="1215" t="n">
        <v>43</v>
      </c>
      <c r="I117" s="1215" t="n">
        <v>17</v>
      </c>
      <c r="J117" s="1215" t="n">
        <v>2</v>
      </c>
      <c r="K117" s="1215" t="n">
        <v>0</v>
      </c>
      <c r="L117" s="1215" t="n">
        <v>0</v>
      </c>
      <c r="M117" s="1215" t="n">
        <v>173</v>
      </c>
      <c r="N117" s="1215" t="n">
        <v>235</v>
      </c>
      <c r="O117" s="1216" t="s">
        <v>1256</v>
      </c>
      <c r="P117" s="1216"/>
      <c r="Q117" s="1216"/>
      <c r="R117" s="1216"/>
      <c r="S117" s="1216"/>
      <c r="T117" s="1217" t="s">
        <v>1257</v>
      </c>
    </row>
    <row r="118">
      <c r="A118" s="1230" t="s">
        <v>1260</v>
      </c>
      <c r="B118" s="1231" t="s">
        <v>1261</v>
      </c>
      <c r="C118" s="1215" t="n">
        <v>0</v>
      </c>
      <c r="D118" s="1215" t="n">
        <v>42</v>
      </c>
      <c r="E118" s="1215" t="n">
        <v>18</v>
      </c>
      <c r="F118" s="1215" t="n">
        <v>0</v>
      </c>
      <c r="G118" s="1215" t="n">
        <v>0</v>
      </c>
      <c r="H118" s="1215" t="n">
        <v>0</v>
      </c>
      <c r="I118" s="1215" t="n">
        <v>0</v>
      </c>
      <c r="J118" s="1215" t="n">
        <v>0</v>
      </c>
      <c r="K118" s="1215" t="n">
        <v>0</v>
      </c>
      <c r="L118" s="1215" t="n">
        <v>0</v>
      </c>
      <c r="M118" s="1215" t="n">
        <v>60</v>
      </c>
      <c r="N118" s="1215" t="n">
        <v>60</v>
      </c>
      <c r="O118" s="1216" t="s">
        <v>1252</v>
      </c>
      <c r="P118" s="1216"/>
      <c r="Q118" s="1216"/>
      <c r="R118" s="1216"/>
      <c r="S118" s="1216"/>
      <c r="T118" s="1218" t="s">
        <v>1262</v>
      </c>
    </row>
    <row r="119">
      <c r="A119" s="1213" t="s">
        <v>1263</v>
      </c>
      <c r="B119" s="1214" t="s">
        <v>1264</v>
      </c>
      <c r="C119" s="1215" t="n">
        <v>0</v>
      </c>
      <c r="D119" s="1215" t="n">
        <v>2</v>
      </c>
      <c r="E119" s="1215" t="n">
        <v>13</v>
      </c>
      <c r="F119" s="1215" t="n">
        <v>26</v>
      </c>
      <c r="G119" s="1215" t="n">
        <v>30</v>
      </c>
      <c r="H119" s="1215" t="n">
        <v>24</v>
      </c>
      <c r="I119" s="1215" t="n">
        <v>0</v>
      </c>
      <c r="J119" s="1215" t="n">
        <v>0</v>
      </c>
      <c r="K119" s="1215" t="n">
        <v>0</v>
      </c>
      <c r="L119" s="1215" t="n">
        <v>0</v>
      </c>
      <c r="M119" s="1215" t="n">
        <v>71</v>
      </c>
      <c r="N119" s="1215" t="n">
        <v>95</v>
      </c>
      <c r="O119" s="1216" t="s">
        <v>1252</v>
      </c>
      <c r="P119" s="1216"/>
      <c r="Q119" s="1216"/>
      <c r="R119" s="1216"/>
      <c r="S119" s="1216"/>
      <c r="T119" s="1217" t="s">
        <v>1265</v>
      </c>
    </row>
    <row r="120" ht="36" customHeight="1">
      <c r="A120" s="1213" t="s">
        <v>1266</v>
      </c>
      <c r="B120" s="1214" t="s">
        <v>1267</v>
      </c>
      <c r="C120" s="1215" t="n">
        <v>0</v>
      </c>
      <c r="D120" s="1215" t="n">
        <v>3</v>
      </c>
      <c r="E120" s="1215" t="n">
        <v>19</v>
      </c>
      <c r="F120" s="1215" t="n">
        <v>67</v>
      </c>
      <c r="G120" s="1215" t="n">
        <v>86</v>
      </c>
      <c r="H120" s="1215" t="n">
        <v>59</v>
      </c>
      <c r="I120" s="1215" t="n">
        <v>35</v>
      </c>
      <c r="J120" s="1215" t="n">
        <v>19</v>
      </c>
      <c r="K120" s="1215" t="n">
        <v>6</v>
      </c>
      <c r="L120" s="1215" t="n">
        <v>0</v>
      </c>
      <c r="M120" s="1215" t="n">
        <v>175</v>
      </c>
      <c r="N120" s="1215" t="n">
        <v>294</v>
      </c>
      <c r="O120" s="1216" t="s">
        <v>1252</v>
      </c>
      <c r="P120" s="1216"/>
      <c r="Q120" s="1216"/>
      <c r="R120" s="1216"/>
      <c r="S120" s="1216"/>
      <c r="T120" s="1241" t="s">
        <v>1268</v>
      </c>
    </row>
    <row r="121">
      <c r="A121" s="1213" t="s">
        <v>1269</v>
      </c>
      <c r="B121" s="1214" t="s">
        <v>1270</v>
      </c>
      <c r="C121" s="1215" t="n">
        <v>0</v>
      </c>
      <c r="D121" s="1215" t="n">
        <v>65</v>
      </c>
      <c r="E121" s="1215" t="n">
        <v>150</v>
      </c>
      <c r="F121" s="1215" t="n">
        <v>290</v>
      </c>
      <c r="G121" s="1215" t="n">
        <v>290</v>
      </c>
      <c r="H121" s="1215" t="n">
        <v>290</v>
      </c>
      <c r="I121" s="1215" t="n">
        <v>285</v>
      </c>
      <c r="J121" s="1215" t="n">
        <v>250</v>
      </c>
      <c r="K121" s="1215" t="n">
        <v>220</v>
      </c>
      <c r="L121" s="1215" t="n">
        <v>160</v>
      </c>
      <c r="M121" s="1215" t="n">
        <v>795</v>
      </c>
      <c r="N121" s="1232" t="n">
        <v>2000</v>
      </c>
      <c r="O121" s="1216" t="s">
        <v>1252</v>
      </c>
      <c r="P121" s="1216"/>
      <c r="Q121" s="1216"/>
      <c r="R121" s="1216"/>
      <c r="S121" s="1216"/>
      <c r="T121" s="1218"/>
    </row>
    <row r="122">
      <c r="A122" s="1213" t="s">
        <v>1271</v>
      </c>
      <c r="B122" s="1214" t="s">
        <v>1272</v>
      </c>
      <c r="C122" s="1215" t="n">
        <v>0</v>
      </c>
      <c r="D122" s="1215" t="n">
        <v>5</v>
      </c>
      <c r="E122" s="1215" t="n">
        <v>20</v>
      </c>
      <c r="F122" s="1215" t="n">
        <v>65</v>
      </c>
      <c r="G122" s="1215" t="n">
        <v>105</v>
      </c>
      <c r="H122" s="1215" t="n">
        <v>140</v>
      </c>
      <c r="I122" s="1215" t="n">
        <v>175</v>
      </c>
      <c r="J122" s="1215" t="n">
        <v>210</v>
      </c>
      <c r="K122" s="1215" t="n">
        <v>150</v>
      </c>
      <c r="L122" s="1215" t="n">
        <v>35</v>
      </c>
      <c r="M122" s="1215" t="n">
        <v>195</v>
      </c>
      <c r="N122" s="1215" t="n">
        <v>905</v>
      </c>
      <c r="O122" s="1246" t="s">
        <v>1252</v>
      </c>
      <c r="P122" s="1246"/>
      <c r="Q122" s="1246"/>
      <c r="R122" s="1246"/>
      <c r="S122" s="1246"/>
      <c r="T122" s="1247"/>
    </row>
    <row r="123">
      <c r="A123" s="1213" t="s">
        <v>1273</v>
      </c>
      <c r="B123" s="1214" t="s">
        <v>1274</v>
      </c>
      <c r="C123" s="1215" t="n">
        <v>0</v>
      </c>
      <c r="D123" s="1215" t="n">
        <v>10</v>
      </c>
      <c r="E123" s="1215" t="n">
        <v>150</v>
      </c>
      <c r="F123" s="1215" t="n">
        <v>300</v>
      </c>
      <c r="G123" s="1215" t="n">
        <v>590</v>
      </c>
      <c r="H123" s="1215" t="n">
        <v>460</v>
      </c>
      <c r="I123" s="1215" t="n">
        <v>295</v>
      </c>
      <c r="J123" s="1215" t="n">
        <v>195</v>
      </c>
      <c r="K123" s="1215" t="n">
        <v>0</v>
      </c>
      <c r="L123" s="1215" t="n">
        <v>0</v>
      </c>
      <c r="M123" s="1232" t="n">
        <v>1050</v>
      </c>
      <c r="N123" s="1232" t="n">
        <v>2000</v>
      </c>
      <c r="O123" s="1216" t="s">
        <v>1252</v>
      </c>
      <c r="P123" s="1216"/>
      <c r="Q123" s="1216"/>
      <c r="R123" s="1216"/>
      <c r="S123" s="1216"/>
      <c r="T123" s="1218"/>
    </row>
    <row r="124">
      <c r="A124" s="1213" t="s">
        <v>1275</v>
      </c>
      <c r="B124" s="1214" t="s">
        <v>1276</v>
      </c>
      <c r="C124" s="1215"/>
      <c r="D124" s="1215"/>
      <c r="E124" s="1215"/>
      <c r="F124" s="1215"/>
      <c r="G124" s="1215"/>
      <c r="H124" s="1215"/>
      <c r="I124" s="1215"/>
      <c r="J124" s="1215"/>
      <c r="K124" s="1215"/>
      <c r="L124" s="1215"/>
      <c r="M124" s="1215"/>
      <c r="N124" s="1215"/>
      <c r="O124" s="1216"/>
      <c r="P124" s="1216"/>
      <c r="Q124" s="1216"/>
      <c r="R124" s="1216"/>
      <c r="S124" s="1216"/>
      <c r="T124" s="1218"/>
    </row>
    <row r="125" ht="24" customHeight="1">
      <c r="A125" s="1230" t="s">
        <v>1277</v>
      </c>
      <c r="B125" s="1231" t="s">
        <v>1278</v>
      </c>
      <c r="C125" s="1234" t="n">
        <v>0</v>
      </c>
      <c r="D125" s="1234" t="n">
        <v>72</v>
      </c>
      <c r="E125" s="1234" t="n">
        <v>123</v>
      </c>
      <c r="F125" s="1234" t="n">
        <v>122</v>
      </c>
      <c r="G125" s="1234" t="n">
        <v>115</v>
      </c>
      <c r="H125" s="1234" t="n">
        <v>55</v>
      </c>
      <c r="I125" s="1234" t="n">
        <v>55</v>
      </c>
      <c r="J125" s="1234" t="n">
        <v>33</v>
      </c>
      <c r="K125" s="1234" t="n">
        <v>0</v>
      </c>
      <c r="L125" s="1234" t="n">
        <v>0</v>
      </c>
      <c r="M125" s="1234" t="n">
        <v>432</v>
      </c>
      <c r="N125" s="1234" t="n">
        <v>575</v>
      </c>
      <c r="O125" s="1215" t="s">
        <v>1252</v>
      </c>
      <c r="P125" s="1215"/>
      <c r="Q125" s="1215"/>
      <c r="R125" s="1215"/>
      <c r="S125" s="1215"/>
      <c r="T125" s="1218"/>
    </row>
    <row r="126">
      <c r="A126" s="1213" t="s">
        <v>1279</v>
      </c>
      <c r="B126" s="1214" t="s">
        <v>1280</v>
      </c>
      <c r="C126" s="1215" t="n">
        <v>0</v>
      </c>
      <c r="D126" s="1215" t="n">
        <v>1</v>
      </c>
      <c r="E126" s="1215" t="n">
        <v>2</v>
      </c>
      <c r="F126" s="1215" t="n">
        <v>2</v>
      </c>
      <c r="G126" s="1215" t="n">
        <v>2</v>
      </c>
      <c r="H126" s="1215" t="n">
        <v>2</v>
      </c>
      <c r="I126" s="1215" t="n">
        <v>2</v>
      </c>
      <c r="J126" s="1215" t="n">
        <v>2</v>
      </c>
      <c r="K126" s="1215" t="n">
        <v>2</v>
      </c>
      <c r="L126" s="1215" t="n">
        <v>1</v>
      </c>
      <c r="M126" s="1215" t="n">
        <v>7</v>
      </c>
      <c r="N126" s="1215" t="n">
        <v>16</v>
      </c>
      <c r="O126" s="1216" t="s">
        <v>1252</v>
      </c>
      <c r="P126" s="1216"/>
      <c r="Q126" s="1216"/>
      <c r="R126" s="1216"/>
      <c r="S126" s="1216"/>
      <c r="T126" s="1218"/>
    </row>
    <row r="127">
      <c r="A127" s="1213" t="s">
        <v>1281</v>
      </c>
      <c r="B127" s="1214" t="s">
        <v>1282</v>
      </c>
      <c r="C127" s="1215" t="n">
        <v>0</v>
      </c>
      <c r="D127" s="1215" t="n">
        <v>49</v>
      </c>
      <c r="E127" s="1215" t="n">
        <v>190</v>
      </c>
      <c r="F127" s="1215" t="n">
        <v>379</v>
      </c>
      <c r="G127" s="1215" t="n">
        <v>531</v>
      </c>
      <c r="H127" s="1215" t="n">
        <v>619</v>
      </c>
      <c r="I127" s="1215" t="n">
        <v>580</v>
      </c>
      <c r="J127" s="1215" t="n">
        <v>387</v>
      </c>
      <c r="K127" s="1215" t="n">
        <v>196</v>
      </c>
      <c r="L127" s="1215" t="n">
        <v>69</v>
      </c>
      <c r="M127" s="1232" t="n">
        <v>1149</v>
      </c>
      <c r="N127" s="1232" t="n">
        <v>3000</v>
      </c>
      <c r="O127" s="1216" t="s">
        <v>1252</v>
      </c>
      <c r="P127" s="1216"/>
      <c r="Q127" s="1216"/>
      <c r="R127" s="1216"/>
      <c r="S127" s="1216"/>
      <c r="T127" s="1218"/>
    </row>
    <row r="128">
      <c r="A128" s="1230" t="s">
        <v>1283</v>
      </c>
      <c r="B128" s="1231" t="s">
        <v>1284</v>
      </c>
      <c r="C128" s="1215" t="n">
        <v>0</v>
      </c>
      <c r="D128" s="1215" t="n">
        <v>22</v>
      </c>
      <c r="E128" s="1215" t="n">
        <v>22</v>
      </c>
      <c r="F128" s="1215" t="n">
        <v>6</v>
      </c>
      <c r="G128" s="1215" t="n">
        <v>0</v>
      </c>
      <c r="H128" s="1215" t="n">
        <v>0</v>
      </c>
      <c r="I128" s="1215" t="n">
        <v>0</v>
      </c>
      <c r="J128" s="1215" t="n">
        <v>0</v>
      </c>
      <c r="K128" s="1215" t="n">
        <v>0</v>
      </c>
      <c r="L128" s="1215" t="n">
        <v>0</v>
      </c>
      <c r="M128" s="1215" t="n">
        <v>50</v>
      </c>
      <c r="N128" s="1215" t="n">
        <v>50</v>
      </c>
      <c r="O128" s="1216" t="s">
        <v>1252</v>
      </c>
      <c r="P128" s="1216"/>
      <c r="Q128" s="1216"/>
      <c r="R128" s="1216"/>
      <c r="S128" s="1216"/>
      <c r="T128" s="1217"/>
    </row>
    <row r="129">
      <c r="A129" s="1213" t="s">
        <v>1285</v>
      </c>
      <c r="B129" s="1214" t="s">
        <v>1286</v>
      </c>
      <c r="C129" s="1215" t="n">
        <v>0</v>
      </c>
      <c r="D129" s="1215" t="n">
        <v>30</v>
      </c>
      <c r="E129" s="1215" t="n">
        <v>30</v>
      </c>
      <c r="F129" s="1215" t="n">
        <v>40</v>
      </c>
      <c r="G129" s="1215" t="n">
        <v>15</v>
      </c>
      <c r="H129" s="1215" t="n">
        <v>5</v>
      </c>
      <c r="I129" s="1215" t="n">
        <v>5</v>
      </c>
      <c r="J129" s="1215" t="n">
        <v>0</v>
      </c>
      <c r="K129" s="1215" t="n">
        <v>0</v>
      </c>
      <c r="L129" s="1215" t="n">
        <v>0</v>
      </c>
      <c r="M129" s="1215" t="n">
        <v>115</v>
      </c>
      <c r="N129" s="1215" t="n">
        <v>125</v>
      </c>
      <c r="O129" s="1216" t="s">
        <v>1252</v>
      </c>
      <c r="P129" s="1216"/>
      <c r="Q129" s="1216"/>
      <c r="R129" s="1216"/>
      <c r="S129" s="1216"/>
      <c r="T129" s="1218"/>
    </row>
    <row r="130">
      <c r="A130" s="1213" t="s">
        <v>1287</v>
      </c>
      <c r="B130" s="1214" t="s">
        <v>1288</v>
      </c>
      <c r="C130" s="1215" t="n">
        <v>0</v>
      </c>
      <c r="D130" s="1215" t="n">
        <v>10</v>
      </c>
      <c r="E130" s="1215" t="n">
        <v>230</v>
      </c>
      <c r="F130" s="1215" t="n">
        <v>660</v>
      </c>
      <c r="G130" s="1215" t="n">
        <v>945</v>
      </c>
      <c r="H130" s="1215" t="n">
        <v>605</v>
      </c>
      <c r="I130" s="1215" t="n">
        <v>100</v>
      </c>
      <c r="J130" s="1215" t="n">
        <v>0</v>
      </c>
      <c r="K130" s="1215" t="n">
        <v>0</v>
      </c>
      <c r="L130" s="1215" t="n">
        <v>0</v>
      </c>
      <c r="M130" s="1232" t="n">
        <v>1845</v>
      </c>
      <c r="N130" s="1232" t="n">
        <v>2550</v>
      </c>
      <c r="O130" s="1216" t="s">
        <v>1252</v>
      </c>
      <c r="P130" s="1216"/>
      <c r="Q130" s="1216"/>
      <c r="R130" s="1216"/>
      <c r="S130" s="1216"/>
      <c r="T130" s="1218"/>
    </row>
    <row r="131">
      <c r="A131" s="1213" t="s">
        <v>1289</v>
      </c>
      <c r="B131" s="1214" t="s">
        <v>1290</v>
      </c>
      <c r="C131" s="1215" t="n">
        <v>0</v>
      </c>
      <c r="D131" s="1215" t="n">
        <v>10</v>
      </c>
      <c r="E131" s="1215" t="n">
        <v>45</v>
      </c>
      <c r="F131" s="1215" t="n">
        <v>70</v>
      </c>
      <c r="G131" s="1215" t="n">
        <v>100</v>
      </c>
      <c r="H131" s="1215" t="n">
        <v>100</v>
      </c>
      <c r="I131" s="1215" t="n">
        <v>100</v>
      </c>
      <c r="J131" s="1215" t="n">
        <v>100</v>
      </c>
      <c r="K131" s="1215" t="n">
        <v>100</v>
      </c>
      <c r="L131" s="1215" t="n">
        <v>100</v>
      </c>
      <c r="M131" s="1215" t="n">
        <v>225</v>
      </c>
      <c r="N131" s="1215" t="n">
        <v>725</v>
      </c>
      <c r="O131" s="1216" t="s">
        <v>1252</v>
      </c>
      <c r="P131" s="1216"/>
      <c r="Q131" s="1216"/>
      <c r="R131" s="1216"/>
      <c r="S131" s="1216"/>
      <c r="T131" s="1218"/>
    </row>
    <row r="132">
      <c r="A132" s="1230" t="s">
        <v>1291</v>
      </c>
      <c r="B132" s="1231" t="s">
        <v>1292</v>
      </c>
      <c r="C132" s="1215" t="n">
        <v>0</v>
      </c>
      <c r="D132" s="1215" t="n">
        <v>14</v>
      </c>
      <c r="E132" s="1215" t="n">
        <v>11</v>
      </c>
      <c r="F132" s="1215" t="n">
        <v>0</v>
      </c>
      <c r="G132" s="1215" t="n">
        <v>0</v>
      </c>
      <c r="H132" s="1215" t="n">
        <v>0</v>
      </c>
      <c r="I132" s="1215" t="n">
        <v>0</v>
      </c>
      <c r="J132" s="1215" t="n">
        <v>0</v>
      </c>
      <c r="K132" s="1215" t="n">
        <v>0</v>
      </c>
      <c r="L132" s="1215" t="n">
        <v>0</v>
      </c>
      <c r="M132" s="1215" t="n">
        <v>25</v>
      </c>
      <c r="N132" s="1215" t="n">
        <v>25</v>
      </c>
      <c r="O132" s="1216" t="s">
        <v>1256</v>
      </c>
      <c r="P132" s="1216"/>
      <c r="Q132" s="1216"/>
      <c r="R132" s="1216"/>
      <c r="S132" s="1216"/>
      <c r="T132" s="1217"/>
    </row>
    <row r="133">
      <c r="A133" s="1230" t="s">
        <v>1293</v>
      </c>
      <c r="B133" s="1231" t="s">
        <v>1294</v>
      </c>
      <c r="C133" s="1215" t="n">
        <v>0</v>
      </c>
      <c r="D133" s="1215" t="n">
        <v>84</v>
      </c>
      <c r="E133" s="1215" t="n">
        <v>320</v>
      </c>
      <c r="F133" s="1215" t="n">
        <v>638</v>
      </c>
      <c r="G133" s="1215" t="n">
        <v>928</v>
      </c>
      <c r="H133" s="1215" t="n">
        <v>940</v>
      </c>
      <c r="I133" s="1215" t="n">
        <v>720</v>
      </c>
      <c r="J133" s="1215" t="n">
        <v>300</v>
      </c>
      <c r="K133" s="1215" t="n">
        <v>120</v>
      </c>
      <c r="L133" s="1215" t="n">
        <v>0</v>
      </c>
      <c r="M133" s="1232" t="n">
        <v>1970</v>
      </c>
      <c r="N133" s="1232" t="n">
        <v>4050</v>
      </c>
      <c r="O133" s="1216" t="s">
        <v>1256</v>
      </c>
      <c r="P133" s="1216"/>
      <c r="Q133" s="1216"/>
      <c r="R133" s="1216"/>
      <c r="S133" s="1216"/>
      <c r="T133" s="1218"/>
    </row>
    <row r="134">
      <c r="A134" s="1213" t="s">
        <v>1295</v>
      </c>
      <c r="B134" s="1214" t="s">
        <v>1296</v>
      </c>
      <c r="C134" s="1215" t="n">
        <v>0</v>
      </c>
      <c r="D134" s="1215" t="n">
        <v>40</v>
      </c>
      <c r="E134" s="1215" t="n">
        <v>200</v>
      </c>
      <c r="F134" s="1215" t="n">
        <v>400</v>
      </c>
      <c r="G134" s="1215" t="n">
        <v>660</v>
      </c>
      <c r="H134" s="1215" t="n">
        <v>640</v>
      </c>
      <c r="I134" s="1215" t="n">
        <v>515</v>
      </c>
      <c r="J134" s="1215" t="n">
        <v>240</v>
      </c>
      <c r="K134" s="1215" t="n">
        <v>105</v>
      </c>
      <c r="L134" s="1215" t="n">
        <v>0</v>
      </c>
      <c r="M134" s="1232" t="n">
        <v>1300</v>
      </c>
      <c r="N134" s="1232" t="n">
        <v>2800</v>
      </c>
      <c r="O134" s="1216" t="s">
        <v>1256</v>
      </c>
      <c r="P134" s="1216"/>
      <c r="Q134" s="1216"/>
      <c r="R134" s="1216"/>
      <c r="S134" s="1216"/>
      <c r="T134" s="1218"/>
    </row>
    <row r="135">
      <c r="A135" s="1213" t="s">
        <v>1297</v>
      </c>
      <c r="B135" s="1214" t="s">
        <v>1298</v>
      </c>
      <c r="C135" s="1248" t="n">
        <v>0</v>
      </c>
      <c r="D135" s="1248" t="n">
        <v>138</v>
      </c>
      <c r="E135" s="1248" t="n">
        <v>566</v>
      </c>
      <c r="F135" s="1248" t="n">
        <v>994</v>
      </c>
      <c r="G135" s="1249" t="n">
        <v>1328</v>
      </c>
      <c r="H135" s="1249" t="n">
        <v>1791</v>
      </c>
      <c r="I135" s="1249" t="n">
        <v>2350</v>
      </c>
      <c r="J135" s="1249" t="n">
        <v>2928</v>
      </c>
      <c r="K135" s="1249" t="n">
        <v>3548</v>
      </c>
      <c r="L135" s="1249" t="n">
        <v>4162</v>
      </c>
      <c r="M135" s="1249" t="n">
        <v>3026</v>
      </c>
      <c r="N135" s="1249" t="n">
        <v>17805</v>
      </c>
      <c r="O135" s="1250" t="s">
        <v>54</v>
      </c>
      <c r="P135" s="1250"/>
      <c r="Q135" s="1250"/>
      <c r="R135" s="1250"/>
      <c r="S135" s="1250"/>
      <c r="T135" s="1251"/>
    </row>
    <row r="136">
      <c r="A136" s="1213" t="s">
        <v>1299</v>
      </c>
      <c r="B136" s="1214" t="s">
        <v>1300</v>
      </c>
      <c r="C136" s="1248" t="n">
        <v>0</v>
      </c>
      <c r="D136" s="1248" t="n">
        <v>0</v>
      </c>
      <c r="E136" s="1248" t="n">
        <v>235</v>
      </c>
      <c r="F136" s="1248" t="n">
        <v>317</v>
      </c>
      <c r="G136" s="1248" t="n">
        <v>304</v>
      </c>
      <c r="H136" s="1248" t="n">
        <v>314</v>
      </c>
      <c r="I136" s="1248" t="n">
        <v>324</v>
      </c>
      <c r="J136" s="1248" t="n">
        <v>335</v>
      </c>
      <c r="K136" s="1248" t="n">
        <v>346</v>
      </c>
      <c r="L136" s="1248" t="n">
        <v>359</v>
      </c>
      <c r="M136" s="1248" t="n">
        <v>856</v>
      </c>
      <c r="N136" s="1249" t="n">
        <v>2534</v>
      </c>
      <c r="O136" s="1250" t="s">
        <v>54</v>
      </c>
      <c r="P136" s="1250"/>
      <c r="Q136" s="1250"/>
      <c r="R136" s="1250"/>
      <c r="S136" s="1250"/>
      <c r="T136" s="1218"/>
    </row>
    <row r="137" ht="24" customHeight="1">
      <c r="A137" s="1213" t="s">
        <v>1301</v>
      </c>
      <c r="B137" s="1214" t="s">
        <v>1302</v>
      </c>
      <c r="C137" s="1252"/>
      <c r="D137" s="1252" t="n">
        <v>333</v>
      </c>
      <c r="E137" s="1252" t="n">
        <v>314</v>
      </c>
      <c r="F137" s="1252" t="n">
        <v>314</v>
      </c>
      <c r="G137" s="1252" t="n">
        <v>-4530</v>
      </c>
      <c r="H137" s="1252" t="n">
        <v>-9118</v>
      </c>
      <c r="I137" s="1252" t="n">
        <v>-18184</v>
      </c>
      <c r="J137" s="1252" t="n">
        <v>-20493</v>
      </c>
      <c r="K137" s="1252" t="n">
        <v>-23289</v>
      </c>
      <c r="L137" s="1252" t="n">
        <v>-24298</v>
      </c>
      <c r="M137" s="1252" t="n">
        <v>-569</v>
      </c>
      <c r="N137" s="1252" t="n">
        <v>-95951</v>
      </c>
      <c r="O137" s="1253" t="s">
        <v>55</v>
      </c>
      <c r="P137" s="1253"/>
      <c r="Q137" s="1253"/>
      <c r="R137" s="1253"/>
      <c r="S137" s="1253"/>
      <c r="T137" s="1254"/>
    </row>
    <row r="138" ht="36" customHeight="1">
      <c r="A138" s="1213" t="s">
        <v>1297</v>
      </c>
      <c r="B138" s="1214" t="s">
        <v>1303</v>
      </c>
      <c r="C138" s="1255" t="n">
        <v>0</v>
      </c>
      <c r="D138" s="1255" t="n">
        <v>-2447</v>
      </c>
      <c r="E138" s="1255" t="n">
        <v>-3716</v>
      </c>
      <c r="F138" s="1255" t="n">
        <v>-19171</v>
      </c>
      <c r="G138" s="1255" t="n">
        <v>-7014</v>
      </c>
      <c r="H138" s="1255" t="n">
        <v>-7706</v>
      </c>
      <c r="I138" s="1255" t="n">
        <v>-8497</v>
      </c>
      <c r="J138" s="1255" t="n">
        <v>-9360</v>
      </c>
      <c r="K138" s="1255" t="n">
        <v>-10602</v>
      </c>
      <c r="L138" s="1255" t="n">
        <v>-11603</v>
      </c>
      <c r="M138" s="1255" t="n">
        <v>-32348</v>
      </c>
      <c r="N138" s="1255" t="n">
        <v>-80116</v>
      </c>
      <c r="O138" s="1253" t="s">
        <v>55</v>
      </c>
      <c r="P138" s="1253"/>
      <c r="Q138" s="1253"/>
      <c r="R138" s="1253"/>
      <c r="S138" s="1253"/>
      <c r="T138" s="1218"/>
    </row>
    <row r="139">
      <c r="A139" s="1213" t="s">
        <v>1304</v>
      </c>
      <c r="B139" s="1214" t="s">
        <v>1305</v>
      </c>
      <c r="C139" s="1252" t="n">
        <v>0</v>
      </c>
      <c r="D139" s="1252" t="n">
        <v>53</v>
      </c>
      <c r="E139" s="1252" t="n">
        <v>1991</v>
      </c>
      <c r="F139" s="1252" t="n">
        <v>3308</v>
      </c>
      <c r="G139" s="1252" t="n">
        <v>3545</v>
      </c>
      <c r="H139" s="1252" t="n">
        <v>4537</v>
      </c>
      <c r="I139" s="1252" t="n">
        <v>4476</v>
      </c>
      <c r="J139" s="1252" t="n">
        <v>3947</v>
      </c>
      <c r="K139" s="1252" t="n">
        <v>1781</v>
      </c>
      <c r="L139" s="1252" t="n">
        <v>1462</v>
      </c>
      <c r="M139" s="1252" t="n">
        <v>8897</v>
      </c>
      <c r="N139" s="1252" t="n">
        <v>25100</v>
      </c>
      <c r="O139" s="1253" t="s">
        <v>55</v>
      </c>
      <c r="P139" s="1253"/>
      <c r="Q139" s="1253"/>
      <c r="R139" s="1253"/>
      <c r="S139" s="1253"/>
      <c r="T139" s="1218"/>
    </row>
    <row r="140">
      <c r="A140" s="1213" t="s">
        <v>1306</v>
      </c>
      <c r="B140" s="1214" t="s">
        <v>1307</v>
      </c>
      <c r="C140" s="1256" t="n">
        <v>0</v>
      </c>
      <c r="D140" s="1256" t="n">
        <v>0</v>
      </c>
      <c r="E140" s="1256" t="n">
        <v>0</v>
      </c>
      <c r="F140" s="1256" t="n">
        <v>0</v>
      </c>
      <c r="G140" s="1256" t="n">
        <v>0</v>
      </c>
      <c r="H140" s="1257" t="n">
        <v>-16290</v>
      </c>
      <c r="I140" s="1257" t="n">
        <v>-25656</v>
      </c>
      <c r="J140" s="1257" t="n">
        <v>-23394</v>
      </c>
      <c r="K140" s="1257" t="n">
        <v>-27561</v>
      </c>
      <c r="L140" s="1257" t="n">
        <v>-29250</v>
      </c>
      <c r="M140" s="1256" t="n">
        <v>0</v>
      </c>
      <c r="N140" s="1257" t="n">
        <v>-122151</v>
      </c>
      <c r="O140" s="1253" t="s">
        <v>55</v>
      </c>
      <c r="P140" s="1253"/>
      <c r="Q140" s="1253"/>
      <c r="R140" s="1253"/>
      <c r="S140" s="1253"/>
      <c r="T140" s="1218"/>
    </row>
    <row r="141" ht="36" customHeight="1">
      <c r="A141" s="1213" t="s">
        <v>1308</v>
      </c>
      <c r="B141" s="1214" t="s">
        <v>1309</v>
      </c>
      <c r="C141" s="1252" t="n">
        <v>0</v>
      </c>
      <c r="D141" s="1252" t="n">
        <v>-70</v>
      </c>
      <c r="E141" s="1252" t="n">
        <v>300</v>
      </c>
      <c r="F141" s="1252" t="n">
        <v>862</v>
      </c>
      <c r="G141" s="1252" t="n">
        <v>577</v>
      </c>
      <c r="H141" s="1252" t="n">
        <v>464</v>
      </c>
      <c r="I141" s="1252" t="n">
        <v>549</v>
      </c>
      <c r="J141" s="1252" t="n">
        <v>501</v>
      </c>
      <c r="K141" s="1252" t="n">
        <v>591</v>
      </c>
      <c r="L141" s="1252" t="n">
        <v>630</v>
      </c>
      <c r="M141" s="1252" t="n">
        <v>1669</v>
      </c>
      <c r="N141" s="1252" t="n">
        <v>4404</v>
      </c>
      <c r="O141" s="1253" t="s">
        <v>55</v>
      </c>
      <c r="P141" s="1253"/>
      <c r="Q141" s="1253"/>
      <c r="R141" s="1253"/>
      <c r="S141" s="1253"/>
      <c r="T141" s="1218"/>
    </row>
    <row r="142">
      <c r="A142" s="1213" t="s">
        <v>1310</v>
      </c>
      <c r="B142" s="1214" t="s">
        <v>1311</v>
      </c>
      <c r="C142" s="1256" t="n">
        <v>0</v>
      </c>
      <c r="D142" s="1256" t="n">
        <v>0</v>
      </c>
      <c r="E142" s="1256" t="n">
        <v>195</v>
      </c>
      <c r="F142" s="1256" t="n">
        <v>230</v>
      </c>
      <c r="G142" s="1256" t="n">
        <v>248</v>
      </c>
      <c r="H142" s="1256" t="n">
        <v>266</v>
      </c>
      <c r="I142" s="1256" t="n">
        <v>311</v>
      </c>
      <c r="J142" s="1256" t="n">
        <v>281</v>
      </c>
      <c r="K142" s="1256" t="n">
        <v>327</v>
      </c>
      <c r="L142" s="1256" t="n">
        <v>347</v>
      </c>
      <c r="M142" s="1256" t="n">
        <v>673</v>
      </c>
      <c r="N142" s="1257" t="n">
        <v>2205</v>
      </c>
      <c r="O142" s="1253" t="s">
        <v>55</v>
      </c>
      <c r="P142" s="1253"/>
      <c r="Q142" s="1253"/>
      <c r="R142" s="1253"/>
      <c r="S142" s="1253"/>
      <c r="T142" s="1218"/>
    </row>
    <row r="143">
      <c r="A143" s="1230" t="s">
        <v>1312</v>
      </c>
      <c r="B143" s="1231" t="s">
        <v>1313</v>
      </c>
      <c r="C143" s="1258" t="n">
        <v>0</v>
      </c>
      <c r="D143" s="1258" t="n">
        <v>70</v>
      </c>
      <c r="E143" s="1258" t="n">
        <v>132</v>
      </c>
      <c r="F143" s="1258" t="n">
        <v>51</v>
      </c>
      <c r="G143" s="1258" t="n">
        <v>20</v>
      </c>
      <c r="H143" s="1258" t="n">
        <v>8</v>
      </c>
      <c r="I143" s="1258" t="n">
        <v>0</v>
      </c>
      <c r="J143" s="1258" t="n">
        <v>0</v>
      </c>
      <c r="K143" s="1258" t="n">
        <v>0</v>
      </c>
      <c r="L143" s="1258" t="n">
        <v>0</v>
      </c>
      <c r="M143" s="1258" t="n">
        <v>273</v>
      </c>
      <c r="N143" s="1258" t="n">
        <v>281</v>
      </c>
      <c r="O143" s="1259" t="s">
        <v>1314</v>
      </c>
      <c r="P143" s="1259"/>
      <c r="Q143" s="1259"/>
      <c r="R143" s="1259"/>
      <c r="S143" s="1259"/>
      <c r="T143" s="1218" t="s">
        <v>1315</v>
      </c>
    </row>
    <row r="144">
      <c r="A144" s="1230" t="s">
        <v>1316</v>
      </c>
      <c r="B144" s="1231" t="s">
        <v>1317</v>
      </c>
      <c r="C144" s="1258" t="n">
        <v>0</v>
      </c>
      <c r="D144" s="1258" t="n">
        <v>465</v>
      </c>
      <c r="E144" s="1260" t="n">
        <v>2420</v>
      </c>
      <c r="F144" s="1260" t="n">
        <v>4755</v>
      </c>
      <c r="G144" s="1260" t="n">
        <v>5980</v>
      </c>
      <c r="H144" s="1260" t="n">
        <v>4694</v>
      </c>
      <c r="I144" s="1260" t="n">
        <v>1573</v>
      </c>
      <c r="J144" s="1258" t="n">
        <v>93</v>
      </c>
      <c r="K144" s="1258" t="n">
        <v>0</v>
      </c>
      <c r="L144" s="1258" t="n">
        <v>0</v>
      </c>
      <c r="M144" s="1260" t="n">
        <v>13620</v>
      </c>
      <c r="N144" s="1260" t="n">
        <v>19980</v>
      </c>
      <c r="O144" s="1259" t="s">
        <v>1314</v>
      </c>
      <c r="P144" s="1259"/>
      <c r="Q144" s="1259"/>
      <c r="R144" s="1259"/>
      <c r="S144" s="1259"/>
      <c r="T144" s="1218" t="s">
        <v>1318</v>
      </c>
    </row>
    <row r="145">
      <c r="A145" s="1213" t="s">
        <v>1319</v>
      </c>
      <c r="B145" s="1214" t="s">
        <v>1320</v>
      </c>
      <c r="C145" s="1258" t="n">
        <v>0</v>
      </c>
      <c r="D145" s="1258" t="n">
        <v>20</v>
      </c>
      <c r="E145" s="1258" t="n">
        <v>65</v>
      </c>
      <c r="F145" s="1258" t="n">
        <v>110</v>
      </c>
      <c r="G145" s="1258" t="n">
        <v>135</v>
      </c>
      <c r="H145" s="1258" t="n">
        <v>180</v>
      </c>
      <c r="I145" s="1258" t="n">
        <v>230</v>
      </c>
      <c r="J145" s="1258" t="n">
        <v>180</v>
      </c>
      <c r="K145" s="1258" t="n">
        <v>60</v>
      </c>
      <c r="L145" s="1258" t="n">
        <v>10</v>
      </c>
      <c r="M145" s="1258" t="n">
        <v>330</v>
      </c>
      <c r="N145" s="1258" t="n">
        <v>990</v>
      </c>
      <c r="O145" s="1259" t="s">
        <v>1314</v>
      </c>
      <c r="P145" s="1259"/>
      <c r="Q145" s="1259"/>
      <c r="R145" s="1259"/>
      <c r="S145" s="1259"/>
      <c r="T145" s="1241" t="s">
        <v>1321</v>
      </c>
    </row>
    <row r="146">
      <c r="A146" s="1213" t="s">
        <v>1322</v>
      </c>
      <c r="B146" s="1214" t="s">
        <v>1323</v>
      </c>
      <c r="C146" s="1258" t="n">
        <v>0</v>
      </c>
      <c r="D146" s="1260" t="n">
        <v>20892</v>
      </c>
      <c r="E146" s="1260" t="n">
        <v>11288</v>
      </c>
      <c r="F146" s="1260" t="n">
        <v>9651</v>
      </c>
      <c r="G146" s="1260" t="n">
        <v>-8548</v>
      </c>
      <c r="H146" s="1258" t="n">
        <v>-463</v>
      </c>
      <c r="I146" s="1258" t="n">
        <v>0</v>
      </c>
      <c r="J146" s="1258" t="n">
        <v>0</v>
      </c>
      <c r="K146" s="1258" t="n">
        <v>0</v>
      </c>
      <c r="L146" s="1258" t="n">
        <v>0</v>
      </c>
      <c r="M146" s="1260" t="n">
        <v>33283</v>
      </c>
      <c r="N146" s="1260" t="n">
        <v>32820</v>
      </c>
      <c r="O146" s="1261" t="s">
        <v>1314</v>
      </c>
      <c r="P146" s="1261"/>
      <c r="Q146" s="1261"/>
      <c r="R146" s="1261"/>
      <c r="S146" s="1261"/>
      <c r="T146" s="1218"/>
    </row>
    <row r="147">
      <c r="A147" s="1213" t="s">
        <v>1324</v>
      </c>
      <c r="B147" s="1214" t="s">
        <v>1325</v>
      </c>
      <c r="C147" s="1258" t="n">
        <v>0</v>
      </c>
      <c r="D147" s="1258" t="n">
        <v>24</v>
      </c>
      <c r="E147" s="1258" t="n">
        <v>65</v>
      </c>
      <c r="F147" s="1258" t="n">
        <v>112</v>
      </c>
      <c r="G147" s="1258" t="n">
        <v>130</v>
      </c>
      <c r="H147" s="1258" t="n">
        <v>98</v>
      </c>
      <c r="I147" s="1258" t="n">
        <v>56</v>
      </c>
      <c r="J147" s="1258" t="n">
        <v>15</v>
      </c>
      <c r="K147" s="1258" t="n">
        <v>0</v>
      </c>
      <c r="L147" s="1258" t="n">
        <v>0</v>
      </c>
      <c r="M147" s="1258" t="n">
        <v>331</v>
      </c>
      <c r="N147" s="1258" t="n">
        <v>500</v>
      </c>
      <c r="O147" s="1261" t="s">
        <v>1314</v>
      </c>
      <c r="P147" s="1261"/>
      <c r="Q147" s="1261"/>
      <c r="R147" s="1261"/>
      <c r="S147" s="1261"/>
      <c r="T147" s="1218"/>
    </row>
    <row r="148">
      <c r="A148" s="1262" t="s">
        <v>1326</v>
      </c>
      <c r="B148" s="1263" t="s">
        <v>1327</v>
      </c>
      <c r="C148" s="1258" t="n">
        <v>0</v>
      </c>
      <c r="D148" s="1258" t="n">
        <v>50</v>
      </c>
      <c r="E148" s="1258" t="n">
        <v>500</v>
      </c>
      <c r="F148" s="1258" t="n">
        <v>920</v>
      </c>
      <c r="G148" s="1260" t="n">
        <v>1310</v>
      </c>
      <c r="H148" s="1260" t="n">
        <v>1680</v>
      </c>
      <c r="I148" s="1260" t="n">
        <v>1780</v>
      </c>
      <c r="J148" s="1260" t="n">
        <v>1640</v>
      </c>
      <c r="K148" s="1260" t="n">
        <v>1090</v>
      </c>
      <c r="L148" s="1258" t="n">
        <v>630</v>
      </c>
      <c r="M148" s="1260" t="n">
        <v>2780</v>
      </c>
      <c r="N148" s="1260" t="n">
        <v>9600</v>
      </c>
      <c r="O148" s="1261" t="s">
        <v>1314</v>
      </c>
      <c r="P148" s="1261"/>
      <c r="Q148" s="1261"/>
      <c r="R148" s="1261"/>
      <c r="S148" s="1261"/>
      <c r="T148" s="1264"/>
    </row>
    <row r="149">
      <c r="A149" s="1213" t="s">
        <v>1328</v>
      </c>
      <c r="B149" s="1214" t="s">
        <v>1329</v>
      </c>
      <c r="C149" s="1258" t="n">
        <v>0</v>
      </c>
      <c r="D149" s="1258" t="n">
        <v>30</v>
      </c>
      <c r="E149" s="1258" t="n">
        <v>90</v>
      </c>
      <c r="F149" s="1258" t="n">
        <v>90</v>
      </c>
      <c r="G149" s="1258" t="n">
        <v>85</v>
      </c>
      <c r="H149" s="1258" t="n">
        <v>70</v>
      </c>
      <c r="I149" s="1258" t="n">
        <v>65</v>
      </c>
      <c r="J149" s="1258" t="n">
        <v>65</v>
      </c>
      <c r="K149" s="1258" t="n">
        <v>35</v>
      </c>
      <c r="L149" s="1258" t="n">
        <v>15</v>
      </c>
      <c r="M149" s="1258" t="n">
        <v>295</v>
      </c>
      <c r="N149" s="1258" t="n">
        <v>545</v>
      </c>
      <c r="O149" s="1261" t="s">
        <v>1314</v>
      </c>
      <c r="P149" s="1261"/>
      <c r="Q149" s="1261"/>
      <c r="R149" s="1261"/>
      <c r="S149" s="1261"/>
      <c r="T149" s="1218"/>
    </row>
    <row r="150">
      <c r="A150" s="1213" t="s">
        <v>1330</v>
      </c>
      <c r="B150" s="1214" t="s">
        <v>1331</v>
      </c>
      <c r="C150" s="1258" t="n">
        <v>0</v>
      </c>
      <c r="D150" s="1258" t="n">
        <v>185</v>
      </c>
      <c r="E150" s="1258" t="n">
        <v>394</v>
      </c>
      <c r="F150" s="1258" t="n">
        <v>639</v>
      </c>
      <c r="G150" s="1258" t="n">
        <v>722</v>
      </c>
      <c r="H150" s="1258" t="n">
        <v>595</v>
      </c>
      <c r="I150" s="1258" t="n">
        <v>346</v>
      </c>
      <c r="J150" s="1258" t="n">
        <v>101</v>
      </c>
      <c r="K150" s="1258" t="n">
        <v>18</v>
      </c>
      <c r="L150" s="1258" t="n">
        <v>0</v>
      </c>
      <c r="M150" s="1260" t="n">
        <v>1940</v>
      </c>
      <c r="N150" s="1260" t="n">
        <v>3000</v>
      </c>
      <c r="O150" s="1259" t="s">
        <v>1314</v>
      </c>
      <c r="P150" s="1259"/>
      <c r="Q150" s="1259"/>
      <c r="R150" s="1259"/>
      <c r="S150" s="1259"/>
      <c r="T150" s="1218"/>
    </row>
    <row r="151">
      <c r="A151" s="1213" t="s">
        <v>1332</v>
      </c>
      <c r="B151" s="1214" t="s">
        <v>1333</v>
      </c>
      <c r="C151" s="1258" t="n">
        <v>0</v>
      </c>
      <c r="D151" s="1258" t="n">
        <v>8</v>
      </c>
      <c r="E151" s="1258" t="n">
        <v>26</v>
      </c>
      <c r="F151" s="1258" t="n">
        <v>41</v>
      </c>
      <c r="G151" s="1258" t="n">
        <v>38</v>
      </c>
      <c r="H151" s="1258" t="n">
        <v>22</v>
      </c>
      <c r="I151" s="1258" t="n">
        <v>11</v>
      </c>
      <c r="J151" s="1258" t="n">
        <v>4</v>
      </c>
      <c r="K151" s="1258" t="n">
        <v>0</v>
      </c>
      <c r="L151" s="1258" t="n">
        <v>0</v>
      </c>
      <c r="M151" s="1258" t="n">
        <v>113</v>
      </c>
      <c r="N151" s="1258" t="n">
        <v>150</v>
      </c>
      <c r="O151" s="1259" t="s">
        <v>1314</v>
      </c>
      <c r="P151" s="1259"/>
      <c r="Q151" s="1259"/>
      <c r="R151" s="1259"/>
      <c r="S151" s="1259"/>
      <c r="T151" s="1218"/>
    </row>
    <row r="152" ht="24" customHeight="1">
      <c r="A152" s="1230" t="s">
        <v>1334</v>
      </c>
      <c r="B152" s="1231" t="s">
        <v>1335</v>
      </c>
      <c r="C152" s="1265" t="n">
        <v>0</v>
      </c>
      <c r="D152" s="1266" t="n">
        <v>77</v>
      </c>
      <c r="E152" s="1266" t="n">
        <v>232</v>
      </c>
      <c r="F152" s="1266" t="n">
        <v>341</v>
      </c>
      <c r="G152" s="1266" t="n">
        <v>496</v>
      </c>
      <c r="H152" s="1266" t="n">
        <v>310</v>
      </c>
      <c r="I152" s="1266" t="n">
        <v>47</v>
      </c>
      <c r="J152" s="1266" t="n">
        <v>31</v>
      </c>
      <c r="K152" s="1266" t="n">
        <v>15</v>
      </c>
      <c r="L152" s="1266" t="n">
        <v>1</v>
      </c>
      <c r="M152" s="1267" t="n">
        <v>1146</v>
      </c>
      <c r="N152" s="1267" t="n">
        <v>1550</v>
      </c>
      <c r="O152" s="1268" t="s">
        <v>1336</v>
      </c>
      <c r="P152" s="1275"/>
      <c r="Q152" s="1275"/>
      <c r="R152" s="1275"/>
      <c r="S152" s="1275"/>
      <c r="T152" s="1218" t="s">
        <v>1337</v>
      </c>
    </row>
    <row r="153" ht="30" customHeight="1">
      <c r="A153" s="1213" t="s">
        <v>1338</v>
      </c>
      <c r="B153" s="1214" t="s">
        <v>1339</v>
      </c>
      <c r="C153" s="1269" t="n">
        <v>0</v>
      </c>
      <c r="D153" s="1269" t="n">
        <v>264</v>
      </c>
      <c r="E153" s="1269" t="n">
        <v>715</v>
      </c>
      <c r="F153" s="1269" t="n">
        <v>1393</v>
      </c>
      <c r="G153" s="1269" t="n">
        <v>2492</v>
      </c>
      <c r="H153" s="1269" t="n">
        <v>3364</v>
      </c>
      <c r="I153" s="1269" t="n">
        <v>3209</v>
      </c>
      <c r="J153" s="1269" t="n">
        <v>2750</v>
      </c>
      <c r="K153" s="1269" t="n">
        <v>1783</v>
      </c>
      <c r="L153" s="1269" t="n">
        <v>744</v>
      </c>
      <c r="M153" s="1270" t="n">
        <v>4864</v>
      </c>
      <c r="N153" s="1270" t="n">
        <v>16714</v>
      </c>
      <c r="O153" s="1276" t="s">
        <v>52</v>
      </c>
      <c r="P153" s="1276"/>
      <c r="Q153" s="1276"/>
      <c r="R153" s="1276"/>
      <c r="S153" s="1276"/>
      <c r="T153" s="1277" t="s">
        <v>1340</v>
      </c>
    </row>
    <row r="154">
      <c r="A154" s="1213" t="s">
        <v>1341</v>
      </c>
      <c r="B154" s="1214" t="s">
        <v>1342</v>
      </c>
      <c r="C154" s="1278" t="n">
        <v>0</v>
      </c>
      <c r="D154" s="1278" t="n">
        <v>0</v>
      </c>
      <c r="E154" s="1278" t="n">
        <v>50</v>
      </c>
      <c r="F154" s="1278" t="n">
        <v>270</v>
      </c>
      <c r="G154" s="1278" t="n">
        <v>680</v>
      </c>
      <c r="H154" s="1278" t="n">
        <v>850</v>
      </c>
      <c r="I154" s="1278" t="n">
        <v>730</v>
      </c>
      <c r="J154" s="1278" t="n">
        <v>485</v>
      </c>
      <c r="K154" s="1278" t="n">
        <v>285</v>
      </c>
      <c r="L154" s="1278" t="n">
        <v>145</v>
      </c>
      <c r="M154" s="1279" t="n">
        <v>1000</v>
      </c>
      <c r="N154" s="1279" t="n">
        <v>3495</v>
      </c>
      <c r="O154" s="1280" t="s">
        <v>52</v>
      </c>
      <c r="P154" s="1280"/>
      <c r="Q154" s="1280"/>
      <c r="R154" s="1280"/>
      <c r="S154" s="1280"/>
      <c r="T154" s="1281" t="s">
        <v>1343</v>
      </c>
    </row>
    <row r="155">
      <c r="A155" s="1213" t="s">
        <v>1344</v>
      </c>
      <c r="B155" s="1214" t="s">
        <v>1345</v>
      </c>
      <c r="C155" s="1278" t="n">
        <v>0</v>
      </c>
      <c r="D155" s="1278" t="n">
        <v>5</v>
      </c>
      <c r="E155" s="1278" t="n">
        <v>5</v>
      </c>
      <c r="F155" s="1278" t="n">
        <v>10</v>
      </c>
      <c r="G155" s="1278" t="n">
        <v>25</v>
      </c>
      <c r="H155" s="1278" t="n">
        <v>70</v>
      </c>
      <c r="I155" s="1278" t="n">
        <v>175</v>
      </c>
      <c r="J155" s="1278" t="n">
        <v>385</v>
      </c>
      <c r="K155" s="1278" t="n">
        <v>460</v>
      </c>
      <c r="L155" s="1278" t="n">
        <v>325</v>
      </c>
      <c r="M155" s="1278" t="n">
        <v>45</v>
      </c>
      <c r="N155" s="1279" t="n">
        <v>1460</v>
      </c>
      <c r="O155" s="1282" t="s">
        <v>52</v>
      </c>
      <c r="P155" s="1282"/>
      <c r="Q155" s="1282"/>
      <c r="R155" s="1282"/>
      <c r="S155" s="1282"/>
      <c r="T155" s="1281" t="s">
        <v>1346</v>
      </c>
    </row>
    <row r="156">
      <c r="A156" s="1230" t="s">
        <v>1347</v>
      </c>
      <c r="B156" s="1231" t="s">
        <v>1348</v>
      </c>
      <c r="C156" s="1278" t="n">
        <v>0</v>
      </c>
      <c r="D156" s="1278" t="n">
        <v>6</v>
      </c>
      <c r="E156" s="1278" t="n">
        <v>8</v>
      </c>
      <c r="F156" s="1278" t="n">
        <v>1</v>
      </c>
      <c r="G156" s="1278" t="n">
        <v>0</v>
      </c>
      <c r="H156" s="1278" t="n">
        <v>0</v>
      </c>
      <c r="I156" s="1278" t="n">
        <v>0</v>
      </c>
      <c r="J156" s="1278" t="n">
        <v>0</v>
      </c>
      <c r="K156" s="1278" t="n">
        <v>0</v>
      </c>
      <c r="L156" s="1278" t="n">
        <v>0</v>
      </c>
      <c r="M156" s="1278" t="n">
        <v>15</v>
      </c>
      <c r="N156" s="1278" t="n">
        <v>15</v>
      </c>
      <c r="O156" s="1282" t="s">
        <v>52</v>
      </c>
      <c r="P156" s="1282"/>
      <c r="Q156" s="1282"/>
      <c r="R156" s="1282"/>
      <c r="S156" s="1282"/>
      <c r="T156" s="1281" t="s">
        <v>1349</v>
      </c>
    </row>
    <row r="157" ht="24" customHeight="1">
      <c r="A157" s="1213" t="s">
        <v>1350</v>
      </c>
      <c r="B157" s="1214" t="s">
        <v>1351</v>
      </c>
      <c r="C157" s="1278" t="n">
        <v>0</v>
      </c>
      <c r="D157" s="1278" t="n">
        <v>5</v>
      </c>
      <c r="E157" s="1278" t="n">
        <v>41</v>
      </c>
      <c r="F157" s="1278" t="n">
        <v>116</v>
      </c>
      <c r="G157" s="1278" t="n">
        <v>284</v>
      </c>
      <c r="H157" s="1278" t="n">
        <v>417</v>
      </c>
      <c r="I157" s="1278" t="n">
        <v>459</v>
      </c>
      <c r="J157" s="1278" t="n">
        <v>355</v>
      </c>
      <c r="K157" s="1278" t="n">
        <v>210</v>
      </c>
      <c r="L157" s="1278" t="n">
        <v>90</v>
      </c>
      <c r="M157" s="1278" t="n">
        <v>446</v>
      </c>
      <c r="N157" s="1279" t="n">
        <v>1977</v>
      </c>
      <c r="O157" s="1283" t="s">
        <v>52</v>
      </c>
      <c r="P157" s="1283"/>
      <c r="Q157" s="1283"/>
      <c r="R157" s="1283"/>
      <c r="S157" s="1283"/>
      <c r="T157" s="1284" t="s">
        <v>1352</v>
      </c>
    </row>
    <row r="158" ht="24" customHeight="1">
      <c r="A158" s="1213" t="s">
        <v>1353</v>
      </c>
      <c r="B158" s="1214" t="s">
        <v>1354</v>
      </c>
      <c r="C158" s="1278" t="n">
        <v>0</v>
      </c>
      <c r="D158" s="1278" t="n">
        <v>20</v>
      </c>
      <c r="E158" s="1278" t="n">
        <v>100</v>
      </c>
      <c r="F158" s="1278" t="n">
        <v>460</v>
      </c>
      <c r="G158" s="1279" t="n">
        <v>1070</v>
      </c>
      <c r="H158" s="1279" t="n">
        <v>1430</v>
      </c>
      <c r="I158" s="1279" t="n">
        <v>1110</v>
      </c>
      <c r="J158" s="1278" t="n">
        <v>660</v>
      </c>
      <c r="K158" s="1278" t="n">
        <v>300</v>
      </c>
      <c r="L158" s="1278" t="n">
        <v>100</v>
      </c>
      <c r="M158" s="1279" t="n">
        <v>1650</v>
      </c>
      <c r="N158" s="1279" t="n">
        <v>5250</v>
      </c>
      <c r="O158" s="1282" t="s">
        <v>52</v>
      </c>
      <c r="P158" s="1282"/>
      <c r="Q158" s="1282"/>
      <c r="R158" s="1282"/>
      <c r="S158" s="1282"/>
      <c r="T158" s="1281" t="s">
        <v>1355</v>
      </c>
    </row>
    <row r="159">
      <c r="A159" s="1213" t="s">
        <v>1356</v>
      </c>
      <c r="B159" s="1214" t="s">
        <v>1357</v>
      </c>
      <c r="C159" s="1296" t="n">
        <v>0</v>
      </c>
      <c r="D159" s="1296" t="n">
        <v>56</v>
      </c>
      <c r="E159" s="1296" t="n">
        <v>141</v>
      </c>
      <c r="F159" s="1296" t="n">
        <v>230</v>
      </c>
      <c r="G159" s="1296" t="n">
        <v>343</v>
      </c>
      <c r="H159" s="1296" t="n">
        <v>470</v>
      </c>
      <c r="I159" s="1296" t="n">
        <v>620</v>
      </c>
      <c r="J159" s="1296" t="n">
        <v>802</v>
      </c>
      <c r="K159" s="1296" t="n">
        <v>1024</v>
      </c>
      <c r="L159" s="1296" t="n">
        <v>1330</v>
      </c>
      <c r="M159" s="1296" t="n">
        <v>769</v>
      </c>
      <c r="N159" s="1296" t="n">
        <v>5015</v>
      </c>
      <c r="O159" s="1280" t="s">
        <v>52</v>
      </c>
      <c r="P159" s="1280"/>
      <c r="Q159" s="1280"/>
      <c r="R159" s="1280"/>
      <c r="S159" s="1280"/>
      <c r="T159" s="1218"/>
    </row>
    <row r="160">
      <c r="A160" s="1213" t="s">
        <v>1358</v>
      </c>
      <c r="B160" s="1214" t="s">
        <v>1359</v>
      </c>
      <c r="C160" s="1278"/>
      <c r="D160" s="1278"/>
      <c r="E160" s="1278"/>
      <c r="F160" s="1278"/>
      <c r="G160" s="1278"/>
      <c r="H160" s="1278"/>
      <c r="I160" s="1278"/>
      <c r="J160" s="1278"/>
      <c r="K160" s="1278"/>
      <c r="L160" s="1278"/>
      <c r="M160" s="1278"/>
      <c r="N160" s="1279"/>
      <c r="O160" s="1283"/>
      <c r="P160" s="1283"/>
      <c r="Q160" s="1283"/>
      <c r="R160" s="1283"/>
      <c r="S160" s="1283"/>
      <c r="T160" s="1218"/>
    </row>
    <row r="161">
      <c r="A161" s="1213" t="s">
        <v>1360</v>
      </c>
      <c r="B161" s="1214" t="s">
        <v>1361</v>
      </c>
      <c r="C161" s="1278"/>
      <c r="D161" s="1278"/>
      <c r="E161" s="1278"/>
      <c r="F161" s="1278"/>
      <c r="G161" s="1278"/>
      <c r="H161" s="1278"/>
      <c r="I161" s="1278"/>
      <c r="J161" s="1278"/>
      <c r="K161" s="1278"/>
      <c r="L161" s="1278"/>
      <c r="M161" s="1278"/>
      <c r="N161" s="1279"/>
      <c r="O161" s="1297"/>
      <c r="P161" s="1297"/>
      <c r="Q161" s="1297"/>
      <c r="R161" s="1297"/>
      <c r="S161" s="1297"/>
      <c r="T161" s="1298"/>
    </row>
    <row r="162">
      <c r="A162" s="1213" t="s">
        <v>1362</v>
      </c>
      <c r="B162" s="1214" t="s">
        <v>1363</v>
      </c>
      <c r="C162" s="1278" t="n">
        <v>0</v>
      </c>
      <c r="D162" s="1278" t="n">
        <v>20</v>
      </c>
      <c r="E162" s="1278" t="n">
        <v>70</v>
      </c>
      <c r="F162" s="1278" t="n">
        <v>130</v>
      </c>
      <c r="G162" s="1278" t="n">
        <v>155</v>
      </c>
      <c r="H162" s="1278" t="n">
        <v>155</v>
      </c>
      <c r="I162" s="1278" t="n">
        <v>155</v>
      </c>
      <c r="J162" s="1278" t="n">
        <v>135</v>
      </c>
      <c r="K162" s="1278" t="n">
        <v>80</v>
      </c>
      <c r="L162" s="1278" t="n">
        <v>20</v>
      </c>
      <c r="M162" s="1278" t="n">
        <v>375</v>
      </c>
      <c r="N162" s="1278" t="n">
        <v>920</v>
      </c>
      <c r="O162" s="1282" t="s">
        <v>52</v>
      </c>
      <c r="P162" s="1282"/>
      <c r="Q162" s="1282"/>
      <c r="R162" s="1282"/>
      <c r="S162" s="1282"/>
      <c r="T162" s="1218"/>
    </row>
    <row r="163">
      <c r="A163" s="1230" t="s">
        <v>1364</v>
      </c>
      <c r="B163" s="1231" t="s">
        <v>1365</v>
      </c>
      <c r="C163" s="1278" t="n">
        <v>0</v>
      </c>
      <c r="D163" s="1278" t="n">
        <v>15</v>
      </c>
      <c r="E163" s="1278" t="n">
        <v>12</v>
      </c>
      <c r="F163" s="1278" t="n">
        <v>8</v>
      </c>
      <c r="G163" s="1278" t="n">
        <v>4</v>
      </c>
      <c r="H163" s="1278" t="n">
        <v>0</v>
      </c>
      <c r="I163" s="1278" t="n">
        <v>0</v>
      </c>
      <c r="J163" s="1278" t="n">
        <v>0</v>
      </c>
      <c r="K163" s="1278" t="n">
        <v>0</v>
      </c>
      <c r="L163" s="1278" t="n">
        <v>0</v>
      </c>
      <c r="M163" s="1278" t="n">
        <v>39</v>
      </c>
      <c r="N163" s="1278" t="n">
        <v>39</v>
      </c>
      <c r="O163" s="1282" t="s">
        <v>52</v>
      </c>
      <c r="P163" s="1282"/>
      <c r="Q163" s="1282"/>
      <c r="R163" s="1282"/>
      <c r="S163" s="1282"/>
      <c r="T163" s="1218"/>
    </row>
    <row r="164">
      <c r="A164" s="1213" t="s">
        <v>1366</v>
      </c>
      <c r="B164" s="1214" t="s">
        <v>1367</v>
      </c>
      <c r="C164" s="1299" t="n">
        <v>0</v>
      </c>
      <c r="D164" s="1299" t="n">
        <v>25</v>
      </c>
      <c r="E164" s="1299" t="n">
        <v>100</v>
      </c>
      <c r="F164" s="1299" t="n">
        <v>125</v>
      </c>
      <c r="G164" s="1299" t="n">
        <v>100</v>
      </c>
      <c r="H164" s="1299" t="n">
        <v>75</v>
      </c>
      <c r="I164" s="1299" t="n">
        <v>30</v>
      </c>
      <c r="J164" s="1299" t="n">
        <v>20</v>
      </c>
      <c r="K164" s="1299" t="n">
        <v>0</v>
      </c>
      <c r="L164" s="1299" t="n">
        <v>0</v>
      </c>
      <c r="M164" s="1299" t="n">
        <v>350</v>
      </c>
      <c r="N164" s="1299" t="n">
        <v>475</v>
      </c>
      <c r="O164" s="1300" t="s">
        <v>52</v>
      </c>
      <c r="P164" s="1300"/>
      <c r="Q164" s="1300"/>
      <c r="R164" s="1300"/>
      <c r="S164" s="1300"/>
      <c r="T164" s="1218"/>
    </row>
    <row r="165">
      <c r="A165" s="70"/>
      <c r="B165" s="37"/>
      <c r="C165" s="87"/>
      <c r="D165" s="87"/>
      <c r="E165" s="87"/>
      <c r="F165" s="87"/>
      <c r="G165" s="87"/>
      <c r="H165" s="87"/>
      <c r="I165" s="87"/>
      <c r="J165" s="87"/>
      <c r="K165" s="87"/>
      <c r="L165" s="87"/>
      <c r="M165" s="87"/>
      <c r="N165" s="87"/>
      <c r="O165" s="70"/>
      <c r="P165" s="70"/>
      <c r="Q165" s="70"/>
      <c r="R165" s="70"/>
      <c r="S165" s="70"/>
      <c r="T165" s="37"/>
    </row>
    <row r="167">
      <c r="A167" s="71" t="s">
        <v>1375</v>
      </c>
    </row>
    <row r="168">
      <c r="A168" s="1301"/>
      <c r="B168" s="1301"/>
      <c r="C168" s="1285"/>
      <c r="D168" s="1285" t="n">
        <v>2022</v>
      </c>
      <c r="E168" s="1285" t="n">
        <v>2023</v>
      </c>
      <c r="F168" s="1285" t="n">
        <v>2024</v>
      </c>
      <c r="G168" s="1285" t="n">
        <v>2025</v>
      </c>
      <c r="H168" s="1285" t="n">
        <v>2026</v>
      </c>
      <c r="I168" s="1285" t="n">
        <v>2027</v>
      </c>
      <c r="J168" s="1285" t="n">
        <v>2028</v>
      </c>
      <c r="K168" s="1285" t="n">
        <v>2029</v>
      </c>
      <c r="L168" s="1285" t="n">
        <v>2030</v>
      </c>
      <c r="M168" s="1286" t="n">
        <v>2031</v>
      </c>
      <c r="N168" s="1287" t="s">
        <v>1368</v>
      </c>
      <c r="O168" s="1287" t="s">
        <v>1369</v>
      </c>
      <c r="P168" s="1272"/>
      <c r="Q168" s="1272"/>
      <c r="R168" s="1272"/>
      <c r="S168" s="1272"/>
      <c r="U168" s="77"/>
    </row>
    <row r="169">
      <c r="A169" s="1302" t="s">
        <v>1370</v>
      </c>
      <c r="B169" s="1302"/>
      <c r="C169" s="1308"/>
      <c r="D169" s="1308" t="n">
        <f t="shared" ref="D169:O169" si="9">D78/1000</f>
        <v>0</v>
      </c>
      <c r="E169" s="1308" t="n">
        <f t="shared" si="9"/>
        <v>6.8000000000000005E-2</v>
      </c>
      <c r="F169" s="1308" t="n">
        <f t="shared" si="9"/>
        <v>1.363</v>
      </c>
      <c r="G169" s="1308" t="n">
        <f t="shared" si="9"/>
        <v>2.4329999999999998</v>
      </c>
      <c r="H169" s="1308" t="n">
        <f t="shared" si="9"/>
        <v>2.8029999999999999</v>
      </c>
      <c r="I169" s="1308" t="n">
        <f t="shared" si="9"/>
        <v>1.7410000000000001</v>
      </c>
      <c r="J169" s="1308" t="n">
        <f t="shared" si="9"/>
        <v>0.56999999999999995</v>
      </c>
      <c r="K169" s="1308" t="n">
        <f t="shared" si="9"/>
        <v>3.5000000000000003E-2</v>
      </c>
      <c r="L169" s="1308" t="n">
        <f t="shared" si="9"/>
        <v>0</v>
      </c>
      <c r="M169" s="1308" t="n">
        <f t="shared" si="9"/>
        <v>0</v>
      </c>
      <c r="N169" s="1308" t="n">
        <f t="shared" si="9"/>
        <v>6.6669999999999998</v>
      </c>
      <c r="O169" s="1308" t="n">
        <f t="shared" si="9"/>
        <v>9.0129999999999999</v>
      </c>
      <c r="P169" s="1308"/>
      <c r="Q169" s="1308"/>
      <c r="R169" s="1308"/>
      <c r="S169" s="1308"/>
      <c r="U169" s="77"/>
    </row>
    <row r="170">
      <c r="A170" s="1302" t="s">
        <v>1371</v>
      </c>
      <c r="B170" s="1302"/>
      <c r="C170" s="1308"/>
      <c r="D170" s="1308" t="n">
        <f t="shared" ref="D170:O170" si="10">(D77+D70)/1000</f>
        <v>0</v>
      </c>
      <c r="E170" s="1308" t="n">
        <f t="shared" si="10"/>
        <v>0.81899999999999995</v>
      </c>
      <c r="F170" s="1308" t="n">
        <f t="shared" si="10"/>
        <v>2.4780000000000002</v>
      </c>
      <c r="G170" s="1308" t="n">
        <f t="shared" si="10"/>
        <v>4.0720000000000001</v>
      </c>
      <c r="H170" s="1308" t="n">
        <f t="shared" si="10"/>
        <v>5.4480000000000004</v>
      </c>
      <c r="I170" s="1308" t="n">
        <f t="shared" si="10"/>
        <v>4.8289999999999997</v>
      </c>
      <c r="J170" s="1308" t="n">
        <f t="shared" si="10"/>
        <v>3.2949999999999999</v>
      </c>
      <c r="K170" s="1308" t="n">
        <f t="shared" si="10"/>
        <v>1.98</v>
      </c>
      <c r="L170" s="1308" t="n">
        <f t="shared" si="10"/>
        <v>1.01</v>
      </c>
      <c r="M170" s="1308" t="n">
        <f t="shared" si="10"/>
        <v>0.40400000000000003</v>
      </c>
      <c r="N170" s="1308" t="n">
        <f t="shared" si="10"/>
        <v>12.817</v>
      </c>
      <c r="O170" s="1308" t="n">
        <f t="shared" si="10"/>
        <v>24.335000000000001</v>
      </c>
      <c r="P170" s="1308"/>
      <c r="Q170" s="1308"/>
      <c r="R170" s="1308"/>
      <c r="S170" s="1308"/>
      <c r="U170" s="77"/>
    </row>
    <row r="171">
      <c r="A171" s="1302" t="s">
        <v>1372</v>
      </c>
      <c r="B171" s="1302"/>
      <c r="C171" s="1308"/>
      <c r="D171" s="1308" t="n">
        <f t="shared" ref="D171:O171" si="11">(D69+D76)/1000</f>
        <v>0</v>
      </c>
      <c r="E171" s="1308" t="n">
        <f t="shared" si="11"/>
        <v>4.5430000000000001</v>
      </c>
      <c r="F171" s="1308" t="n">
        <f t="shared" si="11"/>
        <v>5.6079999999999997</v>
      </c>
      <c r="G171" s="1308" t="n">
        <f t="shared" si="11"/>
        <v>8.16</v>
      </c>
      <c r="H171" s="1308" t="n">
        <f t="shared" si="11"/>
        <v>10.069000000000001</v>
      </c>
      <c r="I171" s="1308" t="n">
        <f t="shared" si="11"/>
        <v>12.026999999999999</v>
      </c>
      <c r="J171" s="1308" t="n">
        <f t="shared" si="11"/>
        <v>13.826000000000001</v>
      </c>
      <c r="K171" s="1308" t="n">
        <f t="shared" si="11"/>
        <v>15.862</v>
      </c>
      <c r="L171" s="1308" t="n">
        <f t="shared" si="11"/>
        <v>17.890999999999998</v>
      </c>
      <c r="M171" s="1308" t="n">
        <f t="shared" si="11"/>
        <v>17.481000000000002</v>
      </c>
      <c r="N171" s="1308" t="n">
        <f t="shared" si="11"/>
        <v>28.38</v>
      </c>
      <c r="O171" s="1308" t="n">
        <f t="shared" si="11"/>
        <v>105.467</v>
      </c>
      <c r="P171" s="1308"/>
      <c r="Q171" s="1308"/>
      <c r="R171" s="1308"/>
      <c r="S171" s="1308"/>
      <c r="U171" s="77"/>
    </row>
    <row r="172">
      <c r="A172" s="1303" t="s">
        <v>52</v>
      </c>
      <c r="B172" s="1303"/>
      <c r="C172" s="1308"/>
      <c r="D172" s="1308" t="n">
        <f t="shared" ref="D172:O172" si="12">(D79+D74)/1000</f>
        <v>0</v>
      </c>
      <c r="E172" s="1308" t="n">
        <f t="shared" si="12"/>
        <v>1.2969999999999999</v>
      </c>
      <c r="F172" s="1308" t="n">
        <f t="shared" si="12"/>
        <v>3.8479999999999999</v>
      </c>
      <c r="G172" s="1308" t="n">
        <f t="shared" si="12"/>
        <v>6.4420000000000002</v>
      </c>
      <c r="H172" s="1308" t="n">
        <f t="shared" si="12"/>
        <v>9.532</v>
      </c>
      <c r="I172" s="1308" t="n">
        <f t="shared" si="12"/>
        <v>11.882</v>
      </c>
      <c r="J172" s="1308" t="n">
        <f t="shared" si="12"/>
        <v>11.727</v>
      </c>
      <c r="K172" s="1308" t="n">
        <f t="shared" si="12"/>
        <v>10.569000000000001</v>
      </c>
      <c r="L172" s="1308" t="n">
        <f t="shared" si="12"/>
        <v>8.8879999999999999</v>
      </c>
      <c r="M172" s="1308" t="n">
        <f t="shared" si="12"/>
        <v>7.1890000000000001</v>
      </c>
      <c r="N172" s="1308" t="n">
        <f t="shared" si="12"/>
        <v>21.117000000000001</v>
      </c>
      <c r="O172" s="1308" t="n">
        <f t="shared" si="12"/>
        <v>71.372</v>
      </c>
      <c r="P172" s="1308"/>
      <c r="Q172" s="1308"/>
      <c r="R172" s="1308"/>
      <c r="S172" s="1308"/>
      <c r="U172" s="77"/>
    </row>
    <row r="173">
      <c r="A173" s="1304" t="s">
        <v>528</v>
      </c>
      <c r="B173" s="1304"/>
      <c r="C173" s="1308"/>
      <c r="D173" s="1308"/>
      <c r="E173" s="1308"/>
      <c r="F173" s="1308"/>
      <c r="G173" s="1308"/>
      <c r="H173" s="1308"/>
      <c r="I173" s="1308"/>
      <c r="J173" s="1308"/>
      <c r="K173" s="1308"/>
      <c r="L173" s="1308"/>
      <c r="M173" s="1308"/>
      <c r="N173" s="1308"/>
      <c r="O173" s="1308"/>
      <c r="P173" s="1308"/>
      <c r="Q173" s="1308"/>
      <c r="R173" s="1308"/>
      <c r="S173" s="1308"/>
      <c r="U173" s="77"/>
    </row>
    <row r="174">
      <c r="A174" s="1305" t="s">
        <v>54</v>
      </c>
      <c r="B174" s="1305"/>
      <c r="C174" s="1308"/>
      <c r="D174" s="1308" t="n">
        <f t="shared" ref="D174:O174" si="13">D71/1000</f>
        <v>0</v>
      </c>
      <c r="E174" s="1308" t="n">
        <f t="shared" si="13"/>
        <v>0.11</v>
      </c>
      <c r="F174" s="1308" t="n">
        <f t="shared" si="13"/>
        <v>0.73899999999999999</v>
      </c>
      <c r="G174" s="1308" t="n">
        <f t="shared" si="13"/>
        <v>1.1950000000000001</v>
      </c>
      <c r="H174" s="1308" t="n">
        <f t="shared" si="13"/>
        <v>1.4970000000000001</v>
      </c>
      <c r="I174" s="1308" t="n">
        <f t="shared" si="13"/>
        <v>1.91</v>
      </c>
      <c r="J174" s="1308" t="n">
        <f t="shared" si="13"/>
        <v>2.4049999999999998</v>
      </c>
      <c r="K174" s="1308" t="n">
        <f t="shared" si="13"/>
        <v>2.9220000000000002</v>
      </c>
      <c r="L174" s="1308" t="n">
        <f t="shared" si="13"/>
        <v>3.4630000000000001</v>
      </c>
      <c r="M174" s="1308" t="n">
        <f t="shared" si="13"/>
        <v>4.0069999999999997</v>
      </c>
      <c r="N174" s="1308" t="n">
        <f t="shared" si="13"/>
        <v>3.5409999999999999</v>
      </c>
      <c r="O174" s="1308" t="n">
        <f t="shared" si="13"/>
        <v>18.248000000000001</v>
      </c>
      <c r="P174" s="1308"/>
      <c r="Q174" s="1308"/>
      <c r="R174" s="1308"/>
      <c r="S174" s="1308"/>
      <c r="U174" s="77"/>
    </row>
    <row r="175">
      <c r="A175" s="1305" t="s">
        <v>1373</v>
      </c>
      <c r="B175" s="1305"/>
      <c r="C175" s="1308"/>
      <c r="D175" s="1308" t="n">
        <f t="shared" ref="D175:O175" si="14">D72/1000</f>
        <v>0</v>
      </c>
      <c r="E175" s="1308" t="n">
        <f t="shared" si="14"/>
        <v>-0.41499999999999998</v>
      </c>
      <c r="F175" s="1308" t="n">
        <f t="shared" si="14"/>
        <v>2.7679999999999998</v>
      </c>
      <c r="G175" s="1308" t="n">
        <f t="shared" si="14"/>
        <v>-12.473000000000001</v>
      </c>
      <c r="H175" s="1308" t="n">
        <f t="shared" si="14"/>
        <v>-5.3739999999999997</v>
      </c>
      <c r="I175" s="1308" t="n">
        <f t="shared" si="14"/>
        <v>-25.515000000000001</v>
      </c>
      <c r="J175" s="1308" t="n">
        <f t="shared" si="14"/>
        <v>-43.975000000000001</v>
      </c>
      <c r="K175" s="1308" t="n">
        <f t="shared" si="14"/>
        <v>-46.426000000000002</v>
      </c>
      <c r="L175" s="1308" t="n">
        <f t="shared" si="14"/>
        <v>-56.228000000000002</v>
      </c>
      <c r="M175" s="1308" t="n">
        <f t="shared" si="14"/>
        <v>-60.581000000000003</v>
      </c>
      <c r="N175" s="1308" t="n">
        <f t="shared" si="14"/>
        <v>-15.494</v>
      </c>
      <c r="O175" s="1308" t="n">
        <f t="shared" si="14"/>
        <v>-248.21899999999999</v>
      </c>
      <c r="P175" s="1308"/>
      <c r="Q175" s="1308"/>
      <c r="R175" s="1308"/>
      <c r="S175" s="1308"/>
      <c r="U175" s="77"/>
    </row>
    <row r="176">
      <c r="A176" s="1306" t="s">
        <v>57</v>
      </c>
      <c r="B176" s="1306"/>
      <c r="C176" s="1308"/>
      <c r="D176" s="1308" t="n">
        <f t="shared" ref="D176:O176" si="15">(D80+D73)/1000</f>
        <v>-0.622</v>
      </c>
      <c r="E176" s="1308" t="n">
        <f t="shared" si="15"/>
        <v>21.89</v>
      </c>
      <c r="F176" s="1308" t="n">
        <f t="shared" si="15"/>
        <v>15.439</v>
      </c>
      <c r="G176" s="1308" t="n">
        <f t="shared" si="15"/>
        <v>16.966999999999999</v>
      </c>
      <c r="H176" s="1308" t="n">
        <f t="shared" si="15"/>
        <v>0.72799999999999998</v>
      </c>
      <c r="I176" s="1308" t="n">
        <f t="shared" si="15"/>
        <v>7.657</v>
      </c>
      <c r="J176" s="1308" t="n">
        <f t="shared" si="15"/>
        <v>4.5590000000000002</v>
      </c>
      <c r="K176" s="1308" t="n">
        <f t="shared" si="15"/>
        <v>2.4649999999999999</v>
      </c>
      <c r="L176" s="1308" t="n">
        <f t="shared" si="15"/>
        <v>1.444</v>
      </c>
      <c r="M176" s="1308" t="n">
        <f t="shared" si="15"/>
        <v>0.77300000000000002</v>
      </c>
      <c r="N176" s="1308" t="n">
        <f t="shared" si="15"/>
        <v>54.402000000000001</v>
      </c>
      <c r="O176" s="1308" t="n">
        <f t="shared" si="15"/>
        <v>71.3</v>
      </c>
      <c r="P176" s="1308"/>
      <c r="Q176" s="1308"/>
      <c r="R176" s="1308"/>
      <c r="S176" s="1308"/>
      <c r="U176" s="77"/>
    </row>
    <row r="177">
      <c r="A177" s="1307" t="s">
        <v>1429</v>
      </c>
      <c r="B177" s="1307"/>
      <c r="C177" s="1308"/>
      <c r="D177" s="1295" t="n">
        <f t="shared" ref="D177:O177" si="16">D84/1000</f>
        <v>0</v>
      </c>
      <c r="E177" s="1295" t="n">
        <f t="shared" si="16"/>
        <v>-3.1549999999999998</v>
      </c>
      <c r="F177" s="1295" t="n">
        <f t="shared" si="16"/>
        <v>-2.2309999999999999</v>
      </c>
      <c r="G177" s="1295" t="n">
        <f t="shared" si="16"/>
        <v>-1.6080000000000001</v>
      </c>
      <c r="H177" s="1295" t="n">
        <f t="shared" si="16"/>
        <v>-0.77</v>
      </c>
      <c r="I177" s="1295" t="n">
        <f t="shared" si="16"/>
        <v>-0.98299999999999998</v>
      </c>
      <c r="J177" s="1295" t="n">
        <f t="shared" si="16"/>
        <v>-1.2110000000000001</v>
      </c>
      <c r="K177" s="1295" t="n">
        <f t="shared" si="16"/>
        <v>-1.4710000000000001</v>
      </c>
      <c r="L177" s="1295" t="n">
        <f t="shared" si="16"/>
        <v>-1.81</v>
      </c>
      <c r="M177" s="1295" t="n">
        <f t="shared" si="16"/>
        <v>-2.3250000000000002</v>
      </c>
      <c r="N177" s="1295" t="n">
        <f t="shared" si="16"/>
        <v>-7.7670000000000003</v>
      </c>
      <c r="O177" s="1295" t="n">
        <f t="shared" si="16"/>
        <v>-15.566000000000001</v>
      </c>
      <c r="P177" s="1295"/>
      <c r="Q177" s="1295"/>
      <c r="R177" s="1295"/>
      <c r="S177" s="1295"/>
      <c r="U177" s="77"/>
    </row>
    <row r="178">
      <c r="A178" s="1307" t="s">
        <v>239</v>
      </c>
      <c r="B178" s="1307"/>
      <c r="C178" s="1308"/>
      <c r="D178" s="1295" t="n">
        <f t="shared" ref="D178:O178" si="17">D85/1000</f>
        <v>0</v>
      </c>
      <c r="E178" s="1295" t="n">
        <f t="shared" si="17"/>
        <v>0.45200000000000001</v>
      </c>
      <c r="F178" s="1295" t="n">
        <f t="shared" si="17"/>
        <v>-8.67</v>
      </c>
      <c r="G178" s="1295" t="n">
        <f t="shared" si="17"/>
        <v>-4.5270000000000001</v>
      </c>
      <c r="H178" s="1295" t="n">
        <f t="shared" si="17"/>
        <v>-0.70499999999999996</v>
      </c>
      <c r="I178" s="1295" t="n">
        <f t="shared" si="17"/>
        <v>15.813000000000001</v>
      </c>
      <c r="J178" s="1295" t="n">
        <f t="shared" si="17"/>
        <v>20.372</v>
      </c>
      <c r="K178" s="1295" t="n">
        <f t="shared" si="17"/>
        <v>24.847000000000001</v>
      </c>
      <c r="L178" s="1295" t="n">
        <f t="shared" si="17"/>
        <v>28.113</v>
      </c>
      <c r="M178" s="1295" t="n">
        <f t="shared" si="17"/>
        <v>24.777000000000001</v>
      </c>
      <c r="N178" s="1295" t="n">
        <f t="shared" si="17"/>
        <v>-13.451000000000001</v>
      </c>
      <c r="O178" s="1295" t="n">
        <f t="shared" si="17"/>
        <v>100.468</v>
      </c>
      <c r="P178" s="1295"/>
      <c r="Q178" s="1295"/>
      <c r="R178" s="1295"/>
      <c r="S178" s="1295"/>
      <c r="U178" s="77"/>
    </row>
    <row r="179">
      <c r="A179" s="1307" t="s">
        <v>106</v>
      </c>
      <c r="B179" s="1307"/>
      <c r="C179" s="1308"/>
      <c r="D179" s="1295" t="n">
        <f t="shared" ref="D179:O179" si="18">D83/1000</f>
        <v>0</v>
      </c>
      <c r="E179" s="1295" t="n">
        <f t="shared" si="18"/>
        <v>35.317</v>
      </c>
      <c r="F179" s="1295" t="n">
        <f t="shared" si="18"/>
        <v>36.033000000000001</v>
      </c>
      <c r="G179" s="1295" t="n">
        <f t="shared" si="18"/>
        <v>21.076000000000001</v>
      </c>
      <c r="H179" s="1295" t="n">
        <f t="shared" si="18"/>
        <v>13.346</v>
      </c>
      <c r="I179" s="1295" t="n">
        <f t="shared" si="18"/>
        <v>27.507999999999999</v>
      </c>
      <c r="J179" s="1295" t="n">
        <f t="shared" si="18"/>
        <v>35.85</v>
      </c>
      <c r="K179" s="1295" t="n">
        <f t="shared" si="18"/>
        <v>18.64</v>
      </c>
      <c r="L179" s="1295" t="n">
        <f t="shared" si="18"/>
        <v>8.3940000000000001</v>
      </c>
      <c r="M179" s="1295" t="n">
        <f t="shared" si="18"/>
        <v>7.9820000000000002</v>
      </c>
      <c r="N179" s="1295" t="n">
        <f t="shared" si="18"/>
        <v>105.76900000000001</v>
      </c>
      <c r="O179" s="1295" t="n">
        <f t="shared" si="18"/>
        <v>204.14400000000001</v>
      </c>
      <c r="P179" s="1295"/>
      <c r="Q179" s="1295"/>
      <c r="R179" s="1295"/>
      <c r="S179" s="1295"/>
      <c r="U179" s="77"/>
    </row>
    <row r="182">
      <c r="A182" s="71" t="s">
        <v>1374</v>
      </c>
    </row>
    <row r="183">
      <c r="A183" s="1301"/>
      <c r="B183" s="1301"/>
      <c r="C183" s="1301"/>
      <c r="D183" s="1301" t="s">
        <v>183</v>
      </c>
      <c r="E183" s="1301" t="s">
        <v>184</v>
      </c>
      <c r="F183" s="1301" t="s">
        <v>185</v>
      </c>
      <c r="G183" s="1301" t="s">
        <v>186</v>
      </c>
      <c r="H183" s="1301" t="s">
        <v>187</v>
      </c>
      <c r="I183" s="1301" t="s">
        <v>188</v>
      </c>
      <c r="J183" s="1301" t="s">
        <v>189</v>
      </c>
      <c r="K183" s="1301" t="s">
        <v>190</v>
      </c>
      <c r="L183" s="1301" t="s">
        <v>191</v>
      </c>
      <c r="M183" s="1301" t="s">
        <v>175</v>
      </c>
      <c r="N183" s="1301" t="s">
        <v>176</v>
      </c>
      <c r="O183" s="1301" t="s">
        <v>177</v>
      </c>
      <c r="P183" s="1301" t="s">
        <v>765</v>
      </c>
      <c r="Q183" s="1301" t="s">
        <v>766</v>
      </c>
      <c r="R183" s="1301" t="s">
        <v>767</v>
      </c>
      <c r="S183" s="1301" t="s">
        <v>1157</v>
      </c>
      <c r="U183" s="77"/>
    </row>
    <row r="184">
      <c r="A184" s="1302" t="s">
        <v>1370</v>
      </c>
      <c r="B184" s="1302"/>
      <c r="C184" s="1309"/>
      <c r="D184" s="1309" t="n">
        <f t="shared" ref="D184:D191" si="19">D169</f>
        <v>0</v>
      </c>
      <c r="E184" s="1309" t="n">
        <f>D184</f>
        <v>0</v>
      </c>
      <c r="F184" s="1309" t="n">
        <f t="shared" ref="F184:F191" si="20">E169</f>
        <v>6.8000000000000005E-2</v>
      </c>
      <c r="G184" s="1309" t="n">
        <f>F184</f>
        <v>6.8000000000000005E-2</v>
      </c>
      <c r="H184" s="1309" t="n">
        <f>G184</f>
        <v>6.8000000000000005E-2</v>
      </c>
      <c r="I184" s="1309" t="n">
        <f>H184</f>
        <v>6.8000000000000005E-2</v>
      </c>
      <c r="J184" s="1309" t="n">
        <f t="shared" ref="J184:J191" si="21">F169</f>
        <v>1.363</v>
      </c>
      <c r="K184" s="1309" t="n">
        <f t="shared" ref="K184:M191" si="22">J184</f>
        <v>1.363</v>
      </c>
      <c r="L184" s="1309" t="n">
        <f t="shared" si="22"/>
        <v>1.363</v>
      </c>
      <c r="M184" s="1309" t="n">
        <f>L184</f>
        <v>1.363</v>
      </c>
      <c r="N184" s="1309" t="n">
        <f>G169</f>
        <v>2.4329999999999998</v>
      </c>
      <c r="O184" s="1309" t="n">
        <f>N184</f>
        <v>2.4329999999999998</v>
      </c>
      <c r="P184" s="1309" t="n">
        <f t="shared" ref="P184:Q184" si="23">O184</f>
        <v>2.4329999999999998</v>
      </c>
      <c r="Q184" s="1309" t="n">
        <f t="shared" si="23"/>
        <v>2.4329999999999998</v>
      </c>
      <c r="R184" s="1309" t="n">
        <f>H169</f>
        <v>2.8029999999999999</v>
      </c>
      <c r="S184" s="1309" t="n">
        <f>R184</f>
        <v>2.8029999999999999</v>
      </c>
      <c r="U184" s="77"/>
    </row>
    <row r="185">
      <c r="A185" s="1302" t="s">
        <v>1371</v>
      </c>
      <c r="B185" s="1302"/>
      <c r="C185" s="1309"/>
      <c r="D185" s="1309" t="n">
        <f t="shared" si="19"/>
        <v>0</v>
      </c>
      <c r="E185" s="1309" t="n">
        <f t="shared" ref="E185:E191" si="24">D185</f>
        <v>0</v>
      </c>
      <c r="F185" s="1309" t="n">
        <f t="shared" si="20"/>
        <v>0.81899999999999995</v>
      </c>
      <c r="G185" s="1309" t="n">
        <f t="shared" ref="G185:I191" si="25">F185</f>
        <v>0.81899999999999995</v>
      </c>
      <c r="H185" s="1309" t="n">
        <f t="shared" si="25"/>
        <v>0.81899999999999995</v>
      </c>
      <c r="I185" s="1309" t="n">
        <f t="shared" si="25"/>
        <v>0.81899999999999995</v>
      </c>
      <c r="J185" s="1309" t="n">
        <f>F170</f>
        <v>2.4780000000000002</v>
      </c>
      <c r="K185" s="1309" t="n">
        <f t="shared" si="22"/>
        <v>2.4780000000000002</v>
      </c>
      <c r="L185" s="1309" t="n">
        <f t="shared" si="22"/>
        <v>2.4780000000000002</v>
      </c>
      <c r="M185" s="1309" t="n">
        <f>L185</f>
        <v>2.4780000000000002</v>
      </c>
      <c r="N185" s="1309" t="n">
        <f>G170</f>
        <v>4.0720000000000001</v>
      </c>
      <c r="O185" s="1309" t="n">
        <f>N185</f>
        <v>4.0720000000000001</v>
      </c>
      <c r="P185" s="1309" t="n">
        <f t="shared" ref="P185:Q194" si="26">O185</f>
        <v>4.0720000000000001</v>
      </c>
      <c r="Q185" s="1309" t="n">
        <f t="shared" si="26"/>
        <v>4.0720000000000001</v>
      </c>
      <c r="R185" s="1309" t="n">
        <f>H170</f>
        <v>5.4480000000000004</v>
      </c>
      <c r="S185" s="1309" t="n">
        <f t="shared" ref="S185:S194" si="27">R185</f>
        <v>5.4480000000000004</v>
      </c>
      <c r="U185" s="77"/>
    </row>
    <row r="186">
      <c r="A186" s="1302" t="s">
        <v>1372</v>
      </c>
      <c r="B186" s="1302"/>
      <c r="C186" s="1309"/>
      <c r="D186" s="1309" t="n">
        <f t="shared" si="19"/>
        <v>0</v>
      </c>
      <c r="E186" s="1309" t="n">
        <f t="shared" si="24"/>
        <v>0</v>
      </c>
      <c r="F186" s="1309" t="n">
        <f t="shared" si="20"/>
        <v>4.5430000000000001</v>
      </c>
      <c r="G186" s="1309" t="n">
        <f t="shared" si="25"/>
        <v>4.5430000000000001</v>
      </c>
      <c r="H186" s="1309" t="n">
        <f t="shared" si="25"/>
        <v>4.5430000000000001</v>
      </c>
      <c r="I186" s="1309" t="n">
        <f t="shared" si="25"/>
        <v>4.5430000000000001</v>
      </c>
      <c r="J186" s="1309" t="n">
        <f t="shared" si="21"/>
        <v>5.6079999999999997</v>
      </c>
      <c r="K186" s="1309" t="n">
        <f t="shared" si="22"/>
        <v>5.6079999999999997</v>
      </c>
      <c r="L186" s="1309" t="n">
        <f t="shared" si="22"/>
        <v>5.6079999999999997</v>
      </c>
      <c r="M186" s="1309" t="n">
        <f t="shared" si="22"/>
        <v>5.6079999999999997</v>
      </c>
      <c r="N186" s="1309" t="n">
        <f>G171</f>
        <v>8.16</v>
      </c>
      <c r="O186" s="1309" t="n">
        <f t="shared" ref="O186:O191" si="28">N186</f>
        <v>8.16</v>
      </c>
      <c r="P186" s="1309" t="n">
        <f t="shared" si="26"/>
        <v>8.16</v>
      </c>
      <c r="Q186" s="1309" t="n">
        <f t="shared" si="26"/>
        <v>8.16</v>
      </c>
      <c r="R186" s="1309" t="n">
        <f t="shared" ref="R186:R194" si="29">H171</f>
        <v>10.069000000000001</v>
      </c>
      <c r="S186" s="1309" t="n">
        <f t="shared" si="27"/>
        <v>10.069000000000001</v>
      </c>
      <c r="U186" s="77"/>
    </row>
    <row r="187">
      <c r="A187" s="1303" t="s">
        <v>52</v>
      </c>
      <c r="B187" s="1303"/>
      <c r="C187" s="1309"/>
      <c r="D187" s="1309" t="n">
        <f t="shared" si="19"/>
        <v>0</v>
      </c>
      <c r="E187" s="1309" t="n">
        <f t="shared" si="24"/>
        <v>0</v>
      </c>
      <c r="F187" s="1309" t="n">
        <f t="shared" si="20"/>
        <v>1.2969999999999999</v>
      </c>
      <c r="G187" s="1309" t="n">
        <f t="shared" si="25"/>
        <v>1.2969999999999999</v>
      </c>
      <c r="H187" s="1309" t="n">
        <f t="shared" si="25"/>
        <v>1.2969999999999999</v>
      </c>
      <c r="I187" s="1309" t="n">
        <f t="shared" si="25"/>
        <v>1.2969999999999999</v>
      </c>
      <c r="J187" s="1309" t="n">
        <f t="shared" si="21"/>
        <v>3.8479999999999999</v>
      </c>
      <c r="K187" s="1309" t="n">
        <f t="shared" si="22"/>
        <v>3.8479999999999999</v>
      </c>
      <c r="L187" s="1309" t="n">
        <f t="shared" si="22"/>
        <v>3.8479999999999999</v>
      </c>
      <c r="M187" s="1309" t="n">
        <f t="shared" si="22"/>
        <v>3.8479999999999999</v>
      </c>
      <c r="N187" s="1309" t="n">
        <f t="shared" ref="N187:N191" si="30">G172</f>
        <v>6.4420000000000002</v>
      </c>
      <c r="O187" s="1309" t="n">
        <f t="shared" si="28"/>
        <v>6.4420000000000002</v>
      </c>
      <c r="P187" s="1309" t="n">
        <f t="shared" si="26"/>
        <v>6.4420000000000002</v>
      </c>
      <c r="Q187" s="1309" t="n">
        <f t="shared" si="26"/>
        <v>6.4420000000000002</v>
      </c>
      <c r="R187" s="1309" t="n">
        <f t="shared" si="29"/>
        <v>9.532</v>
      </c>
      <c r="S187" s="1309" t="n">
        <f t="shared" si="27"/>
        <v>9.532</v>
      </c>
      <c r="U187" s="77"/>
    </row>
    <row r="188">
      <c r="A188" s="1304" t="s">
        <v>528</v>
      </c>
      <c r="B188" s="1304"/>
      <c r="C188" s="1309"/>
      <c r="D188" s="1309" t="n">
        <f t="shared" si="19"/>
        <v>0</v>
      </c>
      <c r="E188" s="1309" t="n">
        <f t="shared" si="24"/>
        <v>0</v>
      </c>
      <c r="F188" s="1309" t="n">
        <f t="shared" si="20"/>
        <v>0</v>
      </c>
      <c r="G188" s="1309" t="n">
        <f t="shared" si="25"/>
        <v>0</v>
      </c>
      <c r="H188" s="1309" t="n">
        <f t="shared" si="25"/>
        <v>0</v>
      </c>
      <c r="I188" s="1309" t="n">
        <f t="shared" si="25"/>
        <v>0</v>
      </c>
      <c r="J188" s="1309" t="n">
        <f t="shared" si="21"/>
        <v>0</v>
      </c>
      <c r="K188" s="1309" t="n">
        <f t="shared" si="22"/>
        <v>0</v>
      </c>
      <c r="L188" s="1309" t="n">
        <f t="shared" si="22"/>
        <v>0</v>
      </c>
      <c r="M188" s="1309" t="n">
        <f t="shared" si="22"/>
        <v>0</v>
      </c>
      <c r="N188" s="1309" t="n">
        <f t="shared" si="30"/>
        <v>0</v>
      </c>
      <c r="O188" s="1309" t="n">
        <f t="shared" si="28"/>
        <v>0</v>
      </c>
      <c r="P188" s="1309" t="n">
        <f t="shared" si="26"/>
        <v>0</v>
      </c>
      <c r="Q188" s="1309" t="n">
        <f t="shared" si="26"/>
        <v>0</v>
      </c>
      <c r="R188" s="1309" t="n">
        <f t="shared" si="29"/>
        <v>0</v>
      </c>
      <c r="S188" s="1309" t="n">
        <f t="shared" si="27"/>
        <v>0</v>
      </c>
      <c r="U188" s="77"/>
    </row>
    <row r="189">
      <c r="A189" s="1305" t="s">
        <v>54</v>
      </c>
      <c r="B189" s="1305"/>
      <c r="C189" s="1309"/>
      <c r="D189" s="1309" t="n">
        <f t="shared" si="19"/>
        <v>0</v>
      </c>
      <c r="E189" s="1309" t="n">
        <f t="shared" si="24"/>
        <v>0</v>
      </c>
      <c r="F189" s="1309" t="n">
        <f t="shared" si="20"/>
        <v>0.11</v>
      </c>
      <c r="G189" s="1309" t="n">
        <f t="shared" si="25"/>
        <v>0.11</v>
      </c>
      <c r="H189" s="1309" t="n">
        <f t="shared" si="25"/>
        <v>0.11</v>
      </c>
      <c r="I189" s="1309" t="n">
        <f t="shared" si="25"/>
        <v>0.11</v>
      </c>
      <c r="J189" s="1309" t="n">
        <f t="shared" si="21"/>
        <v>0.73899999999999999</v>
      </c>
      <c r="K189" s="1309" t="n">
        <f t="shared" si="22"/>
        <v>0.73899999999999999</v>
      </c>
      <c r="L189" s="1309" t="n">
        <f t="shared" si="22"/>
        <v>0.73899999999999999</v>
      </c>
      <c r="M189" s="1309" t="n">
        <f t="shared" si="22"/>
        <v>0.73899999999999999</v>
      </c>
      <c r="N189" s="1309" t="n">
        <f t="shared" si="30"/>
        <v>1.1950000000000001</v>
      </c>
      <c r="O189" s="1309" t="n">
        <f t="shared" si="28"/>
        <v>1.1950000000000001</v>
      </c>
      <c r="P189" s="1309" t="n">
        <f t="shared" si="26"/>
        <v>1.1950000000000001</v>
      </c>
      <c r="Q189" s="1309" t="n">
        <f t="shared" si="26"/>
        <v>1.1950000000000001</v>
      </c>
      <c r="R189" s="1309" t="n">
        <f t="shared" si="29"/>
        <v>1.4970000000000001</v>
      </c>
      <c r="S189" s="1309" t="n">
        <f t="shared" si="27"/>
        <v>1.4970000000000001</v>
      </c>
      <c r="U189" s="77"/>
    </row>
    <row r="190">
      <c r="A190" s="1305" t="s">
        <v>1373</v>
      </c>
      <c r="B190" s="1305"/>
      <c r="C190" s="1309"/>
      <c r="D190" s="1309" t="n">
        <f t="shared" si="19"/>
        <v>0</v>
      </c>
      <c r="E190" s="1309" t="n">
        <f t="shared" si="24"/>
        <v>0</v>
      </c>
      <c r="F190" s="1309" t="n">
        <f t="shared" si="20"/>
        <v>-0.41499999999999998</v>
      </c>
      <c r="G190" s="1309" t="n">
        <f t="shared" si="25"/>
        <v>-0.41499999999999998</v>
      </c>
      <c r="H190" s="1309" t="n">
        <f t="shared" si="25"/>
        <v>-0.41499999999999998</v>
      </c>
      <c r="I190" s="1309" t="n">
        <f t="shared" si="25"/>
        <v>-0.41499999999999998</v>
      </c>
      <c r="J190" s="1309" t="n">
        <f t="shared" si="21"/>
        <v>2.7679999999999998</v>
      </c>
      <c r="K190" s="1309" t="n">
        <f t="shared" si="22"/>
        <v>2.7679999999999998</v>
      </c>
      <c r="L190" s="1309" t="n">
        <f t="shared" si="22"/>
        <v>2.7679999999999998</v>
      </c>
      <c r="M190" s="1309" t="n">
        <f t="shared" si="22"/>
        <v>2.7679999999999998</v>
      </c>
      <c r="N190" s="1309" t="n">
        <f t="shared" si="30"/>
        <v>-12.473000000000001</v>
      </c>
      <c r="O190" s="1309" t="n">
        <f t="shared" si="28"/>
        <v>-12.473000000000001</v>
      </c>
      <c r="P190" s="1309" t="n">
        <f t="shared" si="26"/>
        <v>-12.473000000000001</v>
      </c>
      <c r="Q190" s="1309" t="n">
        <f t="shared" si="26"/>
        <v>-12.473000000000001</v>
      </c>
      <c r="R190" s="1309" t="n">
        <f t="shared" si="29"/>
        <v>-5.3739999999999997</v>
      </c>
      <c r="S190" s="1309" t="n">
        <f t="shared" si="27"/>
        <v>-5.3739999999999997</v>
      </c>
      <c r="U190" s="77"/>
    </row>
    <row r="191">
      <c r="A191" s="1306" t="s">
        <v>57</v>
      </c>
      <c r="B191" s="1306"/>
      <c r="C191" s="1309"/>
      <c r="D191" s="1309" t="n">
        <f t="shared" si="19"/>
        <v>-0.622</v>
      </c>
      <c r="E191" s="1309" t="n">
        <f t="shared" si="24"/>
        <v>-0.622</v>
      </c>
      <c r="F191" s="1309" t="n">
        <f t="shared" si="20"/>
        <v>21.89</v>
      </c>
      <c r="G191" s="1309" t="n">
        <f t="shared" si="25"/>
        <v>21.89</v>
      </c>
      <c r="H191" s="1309" t="n">
        <f t="shared" si="25"/>
        <v>21.89</v>
      </c>
      <c r="I191" s="1309" t="n">
        <f t="shared" si="25"/>
        <v>21.89</v>
      </c>
      <c r="J191" s="1309" t="n">
        <f t="shared" si="21"/>
        <v>15.439</v>
      </c>
      <c r="K191" s="1309" t="n">
        <f t="shared" si="22"/>
        <v>15.439</v>
      </c>
      <c r="L191" s="1309" t="n">
        <f t="shared" si="22"/>
        <v>15.439</v>
      </c>
      <c r="M191" s="1309" t="n">
        <f t="shared" si="22"/>
        <v>15.439</v>
      </c>
      <c r="N191" s="1309" t="n">
        <f t="shared" si="30"/>
        <v>16.966999999999999</v>
      </c>
      <c r="O191" s="1309" t="n">
        <f t="shared" si="28"/>
        <v>16.966999999999999</v>
      </c>
      <c r="P191" s="1309" t="n">
        <f t="shared" si="26"/>
        <v>16.966999999999999</v>
      </c>
      <c r="Q191" s="1309" t="n">
        <f t="shared" si="26"/>
        <v>16.966999999999999</v>
      </c>
      <c r="R191" s="1309" t="n">
        <f t="shared" si="29"/>
        <v>0.72799999999999998</v>
      </c>
      <c r="S191" s="1309" t="n">
        <f t="shared" si="27"/>
        <v>0.72799999999999998</v>
      </c>
      <c r="U191" s="77"/>
    </row>
    <row r="192">
      <c r="A192" s="1307" t="s">
        <v>486</v>
      </c>
      <c r="B192" s="1307"/>
      <c r="C192" s="1309"/>
      <c r="D192" s="1295" t="n">
        <f t="shared" ref="D192:D194" si="31">D177</f>
        <v>0</v>
      </c>
      <c r="E192" s="1295" t="n">
        <f t="shared" ref="E192:E194" si="32">D192</f>
        <v>0</v>
      </c>
      <c r="F192" s="1295" t="n">
        <f t="shared" ref="F192:F194" si="33">E177</f>
        <v>-3.1549999999999998</v>
      </c>
      <c r="G192" s="1295" t="n">
        <f t="shared" ref="G192:G194" si="34">F192</f>
        <v>-3.1549999999999998</v>
      </c>
      <c r="H192" s="1295" t="n">
        <f t="shared" ref="H192:H194" si="35">G192</f>
        <v>-3.1549999999999998</v>
      </c>
      <c r="I192" s="1295" t="n">
        <f t="shared" ref="I192:I194" si="36">H192</f>
        <v>-3.1549999999999998</v>
      </c>
      <c r="J192" s="1295" t="n">
        <f t="shared" ref="J192:J194" si="37">F177</f>
        <v>-2.2309999999999999</v>
      </c>
      <c r="K192" s="1295" t="n">
        <f t="shared" ref="K192:K194" si="38">J192</f>
        <v>-2.2309999999999999</v>
      </c>
      <c r="L192" s="1295" t="n">
        <f t="shared" ref="L192:L194" si="39">K192</f>
        <v>-2.2309999999999999</v>
      </c>
      <c r="M192" s="1295" t="n">
        <f t="shared" ref="M192:M194" si="40">L192</f>
        <v>-2.2309999999999999</v>
      </c>
      <c r="N192" s="1295" t="n">
        <f t="shared" ref="N192:N194" si="41">G177</f>
        <v>-1.6080000000000001</v>
      </c>
      <c r="O192" s="1295" t="n">
        <f t="shared" ref="O192:O194" si="42">N192</f>
        <v>-1.6080000000000001</v>
      </c>
      <c r="P192" s="1295" t="n">
        <f t="shared" si="26"/>
        <v>-1.6080000000000001</v>
      </c>
      <c r="Q192" s="1295" t="n">
        <f t="shared" si="26"/>
        <v>-1.6080000000000001</v>
      </c>
      <c r="R192" s="1309" t="n">
        <f t="shared" si="29"/>
        <v>-0.77</v>
      </c>
      <c r="S192" s="1309" t="n">
        <f t="shared" si="27"/>
        <v>-0.77</v>
      </c>
      <c r="U192" s="77"/>
    </row>
    <row r="193">
      <c r="A193" s="1307" t="s">
        <v>484</v>
      </c>
      <c r="B193" s="1307"/>
      <c r="C193" s="1309"/>
      <c r="D193" s="1295" t="n">
        <f t="shared" si="31"/>
        <v>0</v>
      </c>
      <c r="E193" s="1295" t="n">
        <f t="shared" si="32"/>
        <v>0</v>
      </c>
      <c r="F193" s="1295" t="n">
        <f t="shared" si="33"/>
        <v>0.45200000000000001</v>
      </c>
      <c r="G193" s="1295" t="n">
        <f t="shared" si="34"/>
        <v>0.45200000000000001</v>
      </c>
      <c r="H193" s="1295" t="n">
        <f t="shared" si="35"/>
        <v>0.45200000000000001</v>
      </c>
      <c r="I193" s="1295" t="n">
        <f t="shared" si="36"/>
        <v>0.45200000000000001</v>
      </c>
      <c r="J193" s="1295" t="n">
        <f t="shared" si="37"/>
        <v>-8.67</v>
      </c>
      <c r="K193" s="1295" t="n">
        <f t="shared" si="38"/>
        <v>-8.67</v>
      </c>
      <c r="L193" s="1295" t="n">
        <f t="shared" si="39"/>
        <v>-8.67</v>
      </c>
      <c r="M193" s="1295" t="n">
        <f t="shared" si="40"/>
        <v>-8.67</v>
      </c>
      <c r="N193" s="1295" t="n">
        <f t="shared" si="41"/>
        <v>-4.5270000000000001</v>
      </c>
      <c r="O193" s="1295" t="n">
        <f t="shared" si="42"/>
        <v>-4.5270000000000001</v>
      </c>
      <c r="P193" s="1295" t="n">
        <f t="shared" si="26"/>
        <v>-4.5270000000000001</v>
      </c>
      <c r="Q193" s="1295" t="n">
        <f t="shared" si="26"/>
        <v>-4.5270000000000001</v>
      </c>
      <c r="R193" s="1309" t="n">
        <f t="shared" si="29"/>
        <v>-0.70499999999999996</v>
      </c>
      <c r="S193" s="1309" t="n">
        <f t="shared" si="27"/>
        <v>-0.70499999999999996</v>
      </c>
      <c r="U193" s="77"/>
    </row>
    <row r="194">
      <c r="A194" s="1307" t="s">
        <v>106</v>
      </c>
      <c r="B194" s="1307"/>
      <c r="C194" s="1309"/>
      <c r="D194" s="1295" t="n">
        <f t="shared" si="31"/>
        <v>0</v>
      </c>
      <c r="E194" s="1295" t="n">
        <f t="shared" si="32"/>
        <v>0</v>
      </c>
      <c r="F194" s="1295" t="n">
        <f t="shared" si="33"/>
        <v>35.317</v>
      </c>
      <c r="G194" s="1295" t="n">
        <f t="shared" si="34"/>
        <v>35.317</v>
      </c>
      <c r="H194" s="1295" t="n">
        <f t="shared" si="35"/>
        <v>35.317</v>
      </c>
      <c r="I194" s="1295" t="n">
        <f t="shared" si="36"/>
        <v>35.317</v>
      </c>
      <c r="J194" s="1295" t="n">
        <f t="shared" si="37"/>
        <v>36.033000000000001</v>
      </c>
      <c r="K194" s="1295" t="n">
        <f t="shared" si="38"/>
        <v>36.033000000000001</v>
      </c>
      <c r="L194" s="1295" t="n">
        <f t="shared" si="39"/>
        <v>36.033000000000001</v>
      </c>
      <c r="M194" s="1295" t="n">
        <f t="shared" si="40"/>
        <v>36.033000000000001</v>
      </c>
      <c r="N194" s="1295" t="n">
        <f t="shared" si="41"/>
        <v>21.076000000000001</v>
      </c>
      <c r="O194" s="1295" t="n">
        <f t="shared" si="42"/>
        <v>21.076000000000001</v>
      </c>
      <c r="P194" s="1295" t="n">
        <f t="shared" si="26"/>
        <v>21.076000000000001</v>
      </c>
      <c r="Q194" s="1295" t="n">
        <f t="shared" si="26"/>
        <v>21.076000000000001</v>
      </c>
      <c r="R194" s="1309" t="n">
        <f t="shared" si="29"/>
        <v>13.346</v>
      </c>
      <c r="S194" s="1309" t="n">
        <f t="shared" si="27"/>
        <v>13.346</v>
      </c>
      <c r="U194" s="77"/>
    </row>
    <row r="197">
      <c r="A197" s="71" t="s">
        <v>1376</v>
      </c>
    </row>
    <row r="198">
      <c r="A198" s="1303" t="s">
        <v>52</v>
      </c>
      <c r="D198" s="1310" t="n">
        <v>0</v>
      </c>
      <c r="E198" s="1310" t="n">
        <v>0</v>
      </c>
      <c r="F198" s="1310" t="n">
        <v>2.3250000000000002</v>
      </c>
      <c r="G198" s="1310" t="n">
        <v>2.3250000000000002</v>
      </c>
      <c r="H198" s="1310" t="n">
        <v>2.3250000000000002</v>
      </c>
      <c r="I198" s="1310" t="n">
        <v>2.3250000000000002</v>
      </c>
      <c r="J198" s="1310" t="n">
        <v>5.5830000000000002</v>
      </c>
      <c r="K198" s="1310" t="n">
        <v>5.5830000000000002</v>
      </c>
      <c r="L198" s="1310" t="n">
        <v>5.5830000000000002</v>
      </c>
      <c r="M198" s="1310" t="n">
        <v>5.5830000000000002</v>
      </c>
      <c r="N198" s="1310" t="n">
        <v>8.0220000000000002</v>
      </c>
      <c r="O198" s="1310" t="n">
        <v>8.0220000000000002</v>
      </c>
      <c r="P198" s="1310"/>
      <c r="Q198" s="1310"/>
      <c r="R198" s="1310"/>
      <c r="S198" s="1310"/>
    </row>
  </sheetData>
  <mergeCells count="5">
    <mergeCell ref="C2:O2"/>
    <mergeCell ref="C42:O42"/>
    <mergeCell ref="C68:O68"/>
    <mergeCell ref="C75:O75"/>
    <mergeCell ref="C82:O82"/>
  </mergeCells>
  <hyperlinks>
    <hyperlink ref="T157" r:id="rId1h"/>
    <hyperlink ref="T115" r:id="rId2h"/>
    <hyperlink ref="T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2" workbookViewId="0">
      <selection activeCell="E6" sqref="E6"/>
    </sheetView>
  </sheetViews>
  <sheetFormatPr defaultRowHeight="15.0" baseColWidth="10"/>
  <cols>
    <col min="1" max="1" width="77.81640625" hidden="0" customWidth="1"/>
    <col min="2" max="2" width="21" hidden="0" customWidth="1"/>
    <col min="5" max="5" width="37.453125" hidden="0" customWidth="1"/>
    <col min="6" max="6" width="16" hidden="0" customWidth="1"/>
  </cols>
  <sheetData>
    <row r="1">
      <c r="A1" s="297" t="s">
        <v>554</v>
      </c>
    </row>
    <row r="2" ht="20.9" customHeight="1">
      <c r="A2" s="1319" t="s">
        <v>555</v>
      </c>
      <c r="B2" s="1319" t="s">
        <v>556</v>
      </c>
      <c r="C2" s="1319" t="s">
        <v>557</v>
      </c>
      <c r="D2" s="1319" t="s">
        <v>558</v>
      </c>
    </row>
    <row r="3">
      <c r="A3" s="1320" t="s">
        <v>559</v>
      </c>
      <c r="B3" s="856" t="n">
        <f>SUM(B4:B7)</f>
        <v>325</v>
      </c>
      <c r="E3" s="1324" t="s">
        <v>560</v>
      </c>
      <c r="F3" s="1324"/>
    </row>
    <row r="4">
      <c r="A4" s="946" t="s">
        <v>561</v>
      </c>
      <c r="B4" s="856" t="n">
        <v>284</v>
      </c>
      <c r="E4" s="611" t="s">
        <v>51</v>
      </c>
      <c r="F4" s="611" t="s">
        <v>562</v>
      </c>
    </row>
    <row r="5">
      <c r="A5" s="946" t="s">
        <v>414</v>
      </c>
      <c r="B5" s="856" t="n">
        <v>20</v>
      </c>
      <c r="E5" s="297" t="s">
        <v>150</v>
      </c>
      <c r="F5" s="297" t="n">
        <f>SUM(B11:B16)</f>
        <v>82</v>
      </c>
    </row>
    <row r="6">
      <c r="A6" s="946" t="s">
        <v>421</v>
      </c>
      <c r="B6" s="856" t="n">
        <v>15</v>
      </c>
      <c r="E6" s="297" t="s">
        <v>49</v>
      </c>
      <c r="F6" s="297" t="n">
        <f>B23</f>
        <v>3</v>
      </c>
    </row>
    <row r="7">
      <c r="A7" s="946" t="s">
        <v>422</v>
      </c>
      <c r="B7" s="856" t="n">
        <v>6</v>
      </c>
      <c r="E7" s="297" t="s">
        <v>343</v>
      </c>
      <c r="F7" s="297" t="n">
        <f>B27-B28</f>
        <v>29</v>
      </c>
    </row>
    <row r="8">
      <c r="A8" s="611" t="s">
        <v>563</v>
      </c>
      <c r="B8" s="856" t="n">
        <v>121</v>
      </c>
      <c r="E8" s="297" t="s">
        <v>360</v>
      </c>
      <c r="F8" s="297" t="n">
        <f>B42</f>
        <v>2</v>
      </c>
    </row>
    <row r="9">
      <c r="A9" s="1321" t="s">
        <v>564</v>
      </c>
      <c r="B9" s="856" t="n">
        <v>166</v>
      </c>
      <c r="E9" s="297" t="s">
        <v>565</v>
      </c>
      <c r="F9" s="297" t="n">
        <f>B18+B20+B21</f>
        <v>34</v>
      </c>
    </row>
    <row r="10">
      <c r="A10" s="1318" t="s">
        <v>566</v>
      </c>
      <c r="B10" s="856" t="n">
        <v>82</v>
      </c>
      <c r="E10" s="611" t="s">
        <v>567</v>
      </c>
      <c r="F10" s="611" t="s">
        <v>568</v>
      </c>
    </row>
    <row r="11">
      <c r="A11" s="946" t="s">
        <v>569</v>
      </c>
      <c r="B11" s="856" t="n">
        <v>54</v>
      </c>
      <c r="E11" s="297" t="s">
        <v>316</v>
      </c>
      <c r="F11" s="297" t="n">
        <f>B4</f>
        <v>284</v>
      </c>
    </row>
    <row r="12">
      <c r="A12" s="946" t="s">
        <v>570</v>
      </c>
      <c r="B12" s="856" t="n">
        <v>20</v>
      </c>
      <c r="E12" s="297" t="s">
        <v>571</v>
      </c>
      <c r="F12" s="297" t="n">
        <f>B5</f>
        <v>20</v>
      </c>
    </row>
    <row r="13">
      <c r="A13" s="946" t="s">
        <v>572</v>
      </c>
      <c r="B13" s="856" t="n">
        <v>4</v>
      </c>
      <c r="E13" s="297" t="s">
        <v>421</v>
      </c>
      <c r="F13" s="297" t="n">
        <f>B6</f>
        <v>15</v>
      </c>
    </row>
    <row r="14" ht="27.65" customHeight="1">
      <c r="A14" s="946" t="s">
        <v>573</v>
      </c>
      <c r="B14" s="856" t="n">
        <v>2</v>
      </c>
      <c r="E14" s="338" t="s">
        <v>422</v>
      </c>
      <c r="F14" s="297" t="n">
        <f>B7</f>
        <v>6</v>
      </c>
    </row>
    <row r="15" ht="27.65" customHeight="1">
      <c r="A15" s="946" t="s">
        <v>574</v>
      </c>
      <c r="B15" s="856" t="n">
        <v>1</v>
      </c>
      <c r="E15" s="338" t="s">
        <v>575</v>
      </c>
      <c r="F15" s="297" t="n">
        <f>B28</f>
        <v>15</v>
      </c>
    </row>
    <row r="16">
      <c r="A16" s="946" t="s">
        <v>576</v>
      </c>
      <c r="B16" s="856" t="n">
        <v>1</v>
      </c>
      <c r="E16" s="297" t="s">
        <v>577</v>
      </c>
      <c r="F16" s="297" t="n">
        <f>B37</f>
        <v>12</v>
      </c>
    </row>
    <row r="17">
      <c r="A17" s="611" t="s">
        <v>578</v>
      </c>
      <c r="B17" s="856" t="n">
        <v>72</v>
      </c>
      <c r="E17" s="297" t="s">
        <v>579</v>
      </c>
      <c r="F17" s="297" t="n">
        <f>B38</f>
        <v>10</v>
      </c>
    </row>
    <row r="18">
      <c r="A18" s="946" t="s">
        <v>580</v>
      </c>
      <c r="B18" s="856" t="n">
        <v>22</v>
      </c>
      <c r="C18" s="297" t="s">
        <v>581</v>
      </c>
    </row>
    <row r="19">
      <c r="A19" s="946" t="s">
        <v>582</v>
      </c>
      <c r="B19" s="856" t="n">
        <v>20</v>
      </c>
      <c r="C19" s="297" t="s">
        <v>109</v>
      </c>
    </row>
    <row r="20">
      <c r="A20" s="946" t="s">
        <v>583</v>
      </c>
      <c r="B20" s="856" t="n">
        <v>8</v>
      </c>
      <c r="C20" s="297" t="s">
        <v>581</v>
      </c>
    </row>
    <row r="21">
      <c r="A21" s="946" t="s">
        <v>584</v>
      </c>
      <c r="B21" s="856" t="n">
        <v>4</v>
      </c>
      <c r="C21" s="297" t="s">
        <v>51</v>
      </c>
    </row>
    <row r="22">
      <c r="A22" s="946" t="s">
        <v>585</v>
      </c>
      <c r="B22" s="856" t="n">
        <v>4</v>
      </c>
      <c r="C22" s="297" t="s">
        <v>109</v>
      </c>
    </row>
    <row r="23">
      <c r="A23" s="946" t="s">
        <v>586</v>
      </c>
      <c r="B23" s="856" t="n">
        <v>3</v>
      </c>
      <c r="C23" s="297" t="s">
        <v>587</v>
      </c>
    </row>
    <row r="24">
      <c r="A24" s="946" t="s">
        <v>588</v>
      </c>
      <c r="B24" s="856" t="n">
        <v>3</v>
      </c>
      <c r="C24" s="297" t="s">
        <v>589</v>
      </c>
    </row>
    <row r="25">
      <c r="A25" s="1322" t="s">
        <v>590</v>
      </c>
      <c r="B25" s="856" t="n">
        <v>3</v>
      </c>
      <c r="C25" s="297" t="s">
        <v>55</v>
      </c>
    </row>
    <row r="26">
      <c r="A26" s="946" t="s">
        <v>591</v>
      </c>
      <c r="B26" s="856" t="n">
        <v>4</v>
      </c>
      <c r="C26" s="297" t="s">
        <v>592</v>
      </c>
    </row>
    <row r="27">
      <c r="A27" s="611" t="s">
        <v>343</v>
      </c>
      <c r="B27" s="856" t="n">
        <v>44</v>
      </c>
    </row>
    <row r="28">
      <c r="A28" s="1315" t="s">
        <v>575</v>
      </c>
      <c r="B28" s="1316" t="n">
        <v>15</v>
      </c>
    </row>
    <row r="29">
      <c r="A29" s="946" t="s">
        <v>593</v>
      </c>
      <c r="B29" s="856" t="n">
        <v>14</v>
      </c>
    </row>
    <row r="30">
      <c r="A30" s="946" t="s">
        <v>594</v>
      </c>
      <c r="B30" s="856" t="n">
        <v>10</v>
      </c>
    </row>
    <row r="31">
      <c r="A31" s="946" t="s">
        <v>595</v>
      </c>
      <c r="B31" s="856" t="n">
        <v>2</v>
      </c>
    </row>
    <row r="32">
      <c r="A32" s="946" t="s">
        <v>596</v>
      </c>
      <c r="B32" s="856" t="n">
        <v>2</v>
      </c>
    </row>
    <row r="33">
      <c r="A33" s="946" t="s">
        <v>597</v>
      </c>
      <c r="B33" s="856" t="n">
        <v>1</v>
      </c>
    </row>
    <row r="34">
      <c r="A34" s="611" t="s">
        <v>598</v>
      </c>
      <c r="B34" s="856" t="n">
        <v>88</v>
      </c>
    </row>
    <row r="35">
      <c r="A35" s="1322" t="s">
        <v>599</v>
      </c>
      <c r="B35" s="856" t="n">
        <v>26</v>
      </c>
    </row>
    <row r="36">
      <c r="A36" s="946" t="s">
        <v>600</v>
      </c>
      <c r="B36" s="856" t="n">
        <v>25</v>
      </c>
    </row>
    <row r="37">
      <c r="A37" s="946" t="s">
        <v>577</v>
      </c>
      <c r="B37" s="856" t="n">
        <v>12</v>
      </c>
      <c r="C37" s="297" t="s">
        <v>601</v>
      </c>
      <c r="E37" s="297" t="s">
        <v>602</v>
      </c>
      <c r="F37" s="297" t="s">
        <v>603</v>
      </c>
    </row>
    <row r="38">
      <c r="A38" s="946" t="s">
        <v>579</v>
      </c>
      <c r="B38" s="856" t="n">
        <v>10</v>
      </c>
      <c r="C38" s="297" t="s">
        <v>601</v>
      </c>
      <c r="E38" s="297" t="s">
        <v>604</v>
      </c>
      <c r="F38" s="297" t="s">
        <v>605</v>
      </c>
    </row>
    <row r="39">
      <c r="A39" s="946" t="s">
        <v>606</v>
      </c>
      <c r="B39" s="856" t="n">
        <v>7</v>
      </c>
      <c r="C39" s="297" t="s">
        <v>592</v>
      </c>
      <c r="E39" s="297" t="s">
        <v>607</v>
      </c>
      <c r="F39" s="297" t="s">
        <v>608</v>
      </c>
    </row>
    <row r="40">
      <c r="A40" s="946" t="s">
        <v>609</v>
      </c>
      <c r="B40" s="856" t="n">
        <v>5</v>
      </c>
      <c r="C40" s="297" t="s">
        <v>109</v>
      </c>
      <c r="E40" s="297" t="s">
        <v>610</v>
      </c>
    </row>
    <row r="41">
      <c r="A41" s="946" t="s">
        <v>611</v>
      </c>
      <c r="B41" s="856" t="n">
        <v>2</v>
      </c>
      <c r="C41" s="297" t="s">
        <v>592</v>
      </c>
      <c r="E41" s="297" t="s">
        <v>612</v>
      </c>
    </row>
    <row r="42">
      <c r="A42" s="946" t="s">
        <v>613</v>
      </c>
      <c r="B42" s="856" t="n">
        <v>2</v>
      </c>
      <c r="C42" s="297" t="s">
        <v>581</v>
      </c>
      <c r="E42" s="1317" t="s">
        <v>614</v>
      </c>
    </row>
    <row r="43">
      <c r="A43" s="946" t="s">
        <v>615</v>
      </c>
      <c r="B43" s="856" t="n">
        <v>0</v>
      </c>
      <c r="E43" s="297" t="s">
        <v>616</v>
      </c>
    </row>
    <row r="44">
      <c r="A44" s="611" t="s">
        <v>617</v>
      </c>
      <c r="B44" s="856" t="n">
        <v>40</v>
      </c>
    </row>
    <row r="45">
      <c r="A45" s="1322" t="s">
        <v>618</v>
      </c>
      <c r="B45" s="1323" t="n">
        <v>21</v>
      </c>
    </row>
    <row r="46">
      <c r="A46" s="946" t="s">
        <v>619</v>
      </c>
      <c r="B46" s="856" t="n">
        <v>6</v>
      </c>
    </row>
    <row r="47">
      <c r="A47" s="1322" t="s">
        <v>620</v>
      </c>
      <c r="B47" s="1323" t="n">
        <v>4</v>
      </c>
    </row>
    <row r="48">
      <c r="A48" s="946" t="s">
        <v>621</v>
      </c>
      <c r="B48" s="856" t="n">
        <v>4</v>
      </c>
    </row>
    <row r="49">
      <c r="A49" s="1322" t="s">
        <v>622</v>
      </c>
      <c r="B49" s="1323" t="n">
        <v>3</v>
      </c>
    </row>
    <row r="50">
      <c r="A50" s="946" t="s">
        <v>623</v>
      </c>
      <c r="B50" s="856"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I1" zoomScale="105" zoomScaleNormal="90" workbookViewId="0">
      <selection activeCell="T6" sqref="T6"/>
    </sheetView>
  </sheetViews>
  <sheetFormatPr defaultRowHeight="15.0" baseColWidth="10"/>
  <cols>
    <col min="1" max="1" width="6.453125" hidden="0" customWidth="1"/>
    <col min="2" max="2" width="8.1796875" hidden="0" customWidth="1"/>
    <col min="4" max="4" width="7.1796875" hidden="0" customWidth="1"/>
    <col min="5" max="5" width="8.81640625" hidden="0" customWidth="1"/>
    <col min="7" max="7" width="8.1796875" hidden="0" customWidth="1"/>
    <col min="8" max="8" width="7.1796875" hidden="0" customWidth="1"/>
    <col min="10" max="10" width="8.453125" hidden="0" customWidth="1"/>
    <col min="12" max="12" width="8.453125" hidden="0" customWidth="1"/>
    <col min="13" max="13" width="8.453125" hidden="0" customWidth="1"/>
    <col min="14" max="14" width="7.453125" hidden="0" customWidth="1"/>
    <col min="15" max="15" width="8.453125" hidden="0" customWidth="1"/>
    <col min="16" max="16" width="8.453125" hidden="0" customWidth="1"/>
    <col min="17" max="17" width="8.453125" hidden="0" customWidth="1"/>
    <col min="18" max="18" width="8.453125" hidden="0" customWidth="1"/>
    <col min="19" max="19" width="8.453125" hidden="0" customWidth="1"/>
    <col min="20" max="20" width="8.453125" hidden="0" customWidth="1"/>
    <col min="21" max="21" width="8.453125" hidden="0" customWidth="1"/>
    <col min="22" max="22" width="8.453125" hidden="0" customWidth="1"/>
    <col min="23" max="23" width="8.453125" hidden="0" customWidth="1"/>
    <col min="24" max="24" width="8.453125" hidden="0" customWidth="1"/>
    <col min="25" max="25" width="8.453125" hidden="0" customWidth="1"/>
    <col min="26" max="26" width="8.453125" hidden="0" customWidth="1"/>
    <col min="27" max="27" width="8.453125" hidden="0" customWidth="1"/>
    <col min="28" max="28" width="8.453125" hidden="0" customWidth="1"/>
    <col min="29" max="29" width="8.453125" hidden="0" customWidth="1"/>
    <col min="30" max="30" width="8.453125" hidden="0" customWidth="1"/>
    <col min="31" max="31" width="8.453125" hidden="0" customWidth="1"/>
    <col min="32" max="32" width="8.453125" hidden="0" customWidth="1"/>
    <col min="33" max="33" width="8.453125" hidden="0" customWidth="1"/>
    <col min="34" max="34" width="8.453125" hidden="0" customWidth="1"/>
    <col min="35" max="35" width="8.453125" hidden="0" customWidth="1"/>
    <col min="36" max="36" width="8.453125" hidden="0" customWidth="1"/>
    <col min="37" max="37" width="8.453125" hidden="0" customWidth="1"/>
    <col min="38" max="38" width="8.453125" hidden="0" customWidth="1"/>
    <col min="39" max="39" width="8.453125" hidden="0" customWidth="1"/>
    <col min="40" max="40" width="8.453125" hidden="0" customWidth="1"/>
    <col min="41" max="41" width="8.453125" hidden="0" customWidth="1"/>
    <col min="42" max="42" width="8.453125" hidden="0" customWidth="1"/>
    <col min="43" max="43" width="8.453125" hidden="0" customWidth="1"/>
    <col min="44" max="44" width="8.453125" hidden="0" customWidth="1"/>
    <col min="45" max="45" width="8.453125" hidden="0" customWidth="1"/>
    <col min="46" max="46" width="8.453125" hidden="0" customWidth="1"/>
    <col min="47" max="47" width="8.453125" hidden="0" customWidth="1"/>
    <col min="48" max="48" width="8.453125" hidden="0" customWidth="1"/>
    <col min="49" max="49" width="8.453125" hidden="0" customWidth="1"/>
    <col min="50" max="50" width="8.453125" hidden="0" customWidth="1"/>
    <col min="51" max="51" width="8.453125" hidden="0" customWidth="1"/>
    <col min="52" max="52" width="8.453125" hidden="0" customWidth="1"/>
    <col min="53" max="53" width="8.453125" hidden="0" customWidth="1"/>
    <col min="54" max="54" width="8.453125" hidden="0" customWidth="1"/>
    <col min="55" max="55" width="8.453125" hidden="0" customWidth="1"/>
    <col min="56" max="56" width="8.453125" hidden="0" customWidth="1"/>
    <col min="57" max="57" width="8.453125" hidden="0" customWidth="1"/>
    <col min="58" max="58" width="8.453125" hidden="0" customWidth="1"/>
    <col min="59" max="59" width="8.453125" hidden="0" customWidth="1"/>
    <col min="60" max="60" width="8.453125" hidden="0" customWidth="1"/>
    <col min="61" max="61" width="8.453125" hidden="0" customWidth="1"/>
    <col min="62" max="62" width="8.453125" hidden="0" customWidth="1"/>
  </cols>
  <sheetData>
    <row r="1">
      <c r="A1" s="85" t="s">
        <v>830</v>
      </c>
      <c r="I1" s="1373"/>
      <c r="J1" s="1373"/>
      <c r="K1" s="1373"/>
    </row>
    <row r="2" ht="13.4" customHeight="1">
      <c r="A2" s="1337"/>
      <c r="O2" s="1363" t="s">
        <v>795</v>
      </c>
      <c r="P2" s="1376" t="s">
        <v>624</v>
      </c>
      <c r="Q2" s="1376"/>
      <c r="R2" s="1376"/>
      <c r="S2" s="1376"/>
      <c r="T2" s="1366"/>
      <c r="U2" s="1366"/>
      <c r="V2" s="1366"/>
      <c r="W2" s="1366"/>
      <c r="X2" s="1366"/>
      <c r="Y2" s="1366" t="s">
        <v>625</v>
      </c>
      <c r="Z2" s="34"/>
      <c r="AA2" s="34"/>
      <c r="AB2" s="34"/>
      <c r="AC2" s="34"/>
      <c r="AD2" s="34"/>
      <c r="AE2" s="1366"/>
      <c r="AF2" s="1366"/>
      <c r="AG2" s="1374" t="s">
        <v>626</v>
      </c>
      <c r="AH2" s="34"/>
      <c r="AI2" s="34"/>
      <c r="AJ2" s="1367" t="s">
        <v>627</v>
      </c>
      <c r="AK2" s="1367"/>
      <c r="AL2" s="1367"/>
      <c r="AM2" s="1367"/>
      <c r="AN2" s="1367"/>
      <c r="AO2" s="1367"/>
      <c r="AP2" s="1367"/>
      <c r="AQ2" s="1367"/>
      <c r="AR2" s="1367"/>
      <c r="AS2" s="1367"/>
      <c r="AT2" s="1367"/>
      <c r="AU2" s="1375" t="s">
        <v>385</v>
      </c>
      <c r="AV2" s="1375"/>
      <c r="AW2" s="1375"/>
      <c r="AX2" s="1375"/>
      <c r="AY2" s="1375"/>
      <c r="AZ2" s="1375"/>
      <c r="BA2" s="1375"/>
      <c r="BB2" s="1348"/>
      <c r="BC2" s="1348"/>
      <c r="BD2" s="1348"/>
      <c r="BE2" s="1348"/>
      <c r="BF2" s="1348"/>
      <c r="BG2" s="1348"/>
      <c r="BH2" s="1348"/>
      <c r="BI2" s="1348"/>
      <c r="BJ2" s="1354" t="s">
        <v>628</v>
      </c>
    </row>
    <row r="3" ht="43.4" customHeight="1">
      <c r="A3" s="1338"/>
      <c r="B3" s="1338"/>
      <c r="C3" s="1338"/>
      <c r="D3" s="1338"/>
      <c r="E3" s="1338"/>
      <c r="F3" s="1338"/>
      <c r="G3" s="1338"/>
      <c r="H3" s="1338"/>
      <c r="I3" s="1338"/>
      <c r="J3" s="1338"/>
      <c r="K3" s="1338"/>
      <c r="L3" s="1338"/>
      <c r="M3" s="1338"/>
      <c r="N3" s="1338"/>
      <c r="O3" s="1364" t="s">
        <v>629</v>
      </c>
      <c r="P3" s="1347" t="s">
        <v>630</v>
      </c>
      <c r="Q3" s="1347" t="s">
        <v>631</v>
      </c>
      <c r="R3" s="1347" t="s">
        <v>632</v>
      </c>
      <c r="S3" s="1347" t="s">
        <v>633</v>
      </c>
      <c r="T3" s="1347" t="s">
        <v>634</v>
      </c>
      <c r="U3" s="1347" t="s">
        <v>635</v>
      </c>
      <c r="V3" s="1347" t="s">
        <v>636</v>
      </c>
      <c r="W3" s="1347" t="s">
        <v>637</v>
      </c>
      <c r="X3" s="1347" t="s">
        <v>638</v>
      </c>
      <c r="Y3" s="1347" t="s">
        <v>639</v>
      </c>
      <c r="Z3" s="1347"/>
      <c r="AA3" s="1347"/>
      <c r="AB3" s="1347"/>
      <c r="AC3" s="1347" t="s">
        <v>640</v>
      </c>
      <c r="AD3" s="1347" t="s">
        <v>641</v>
      </c>
      <c r="AE3" s="1347" t="s">
        <v>642</v>
      </c>
      <c r="AF3" s="1347" t="s">
        <v>643</v>
      </c>
      <c r="AG3" s="1347" t="s">
        <v>644</v>
      </c>
      <c r="AH3" s="1347" t="s">
        <v>645</v>
      </c>
      <c r="AI3" s="1347" t="s">
        <v>646</v>
      </c>
      <c r="AJ3" s="1347" t="s">
        <v>647</v>
      </c>
      <c r="AK3" s="1347" t="s">
        <v>648</v>
      </c>
      <c r="AL3" s="1347" t="s">
        <v>649</v>
      </c>
      <c r="AM3" s="1347" t="s">
        <v>650</v>
      </c>
      <c r="AN3" s="1347" t="s">
        <v>651</v>
      </c>
      <c r="AO3" s="1347" t="s">
        <v>652</v>
      </c>
      <c r="AP3" s="1347" t="s">
        <v>653</v>
      </c>
      <c r="AQ3" s="1360" t="s">
        <v>654</v>
      </c>
      <c r="AR3" s="1347" t="s">
        <v>655</v>
      </c>
      <c r="AS3" s="1347" t="s">
        <v>656</v>
      </c>
      <c r="AT3" s="1347" t="s">
        <v>657</v>
      </c>
      <c r="AU3" s="1347" t="s">
        <v>658</v>
      </c>
      <c r="AV3" s="1347" t="s">
        <v>659</v>
      </c>
      <c r="AW3" s="1347" t="s">
        <v>660</v>
      </c>
      <c r="AX3" s="1347" t="s">
        <v>661</v>
      </c>
      <c r="AY3" s="1347" t="s">
        <v>662</v>
      </c>
      <c r="AZ3" s="1347" t="s">
        <v>663</v>
      </c>
      <c r="BA3" s="1347" t="s">
        <v>640</v>
      </c>
      <c r="BB3" s="1355" t="s">
        <v>664</v>
      </c>
      <c r="BC3" s="1355" t="s">
        <v>665</v>
      </c>
      <c r="BD3" s="1355" t="s">
        <v>666</v>
      </c>
      <c r="BE3" s="1355" t="s">
        <v>667</v>
      </c>
      <c r="BF3" s="1355" t="s">
        <v>668</v>
      </c>
      <c r="BG3" s="1355" t="s">
        <v>669</v>
      </c>
      <c r="BH3" s="1355" t="s">
        <v>670</v>
      </c>
      <c r="BI3" s="1355" t="s">
        <v>671</v>
      </c>
      <c r="BJ3" s="1349" t="s">
        <v>672</v>
      </c>
    </row>
    <row r="4" ht="63" customHeight="1">
      <c r="A4" s="1358" t="s">
        <v>673</v>
      </c>
      <c r="B4" s="1337" t="s">
        <v>56</v>
      </c>
      <c r="C4" s="1337" t="s">
        <v>674</v>
      </c>
      <c r="D4" s="1337" t="s">
        <v>544</v>
      </c>
      <c r="E4" s="1337" t="s">
        <v>675</v>
      </c>
      <c r="F4" s="1337" t="s">
        <v>676</v>
      </c>
      <c r="G4" s="1337" t="s">
        <v>677</v>
      </c>
      <c r="H4" s="1337" t="s">
        <v>131</v>
      </c>
      <c r="I4" s="1344" t="s">
        <v>348</v>
      </c>
      <c r="J4" s="1344" t="s">
        <v>150</v>
      </c>
      <c r="K4" s="1344" t="s">
        <v>678</v>
      </c>
      <c r="L4" s="1342" t="s">
        <v>159</v>
      </c>
      <c r="M4" s="1337" t="s">
        <v>109</v>
      </c>
      <c r="N4" s="1337" t="s">
        <v>679</v>
      </c>
      <c r="O4" s="1365" t="s">
        <v>680</v>
      </c>
      <c r="P4" s="1355" t="s">
        <v>681</v>
      </c>
      <c r="Q4" s="1355" t="s">
        <v>682</v>
      </c>
      <c r="R4" s="1355" t="s">
        <v>683</v>
      </c>
      <c r="S4" s="1355" t="s">
        <v>684</v>
      </c>
      <c r="T4" s="1355" t="s">
        <v>685</v>
      </c>
      <c r="U4" s="1355" t="s">
        <v>686</v>
      </c>
      <c r="V4" s="1355" t="s">
        <v>687</v>
      </c>
      <c r="W4" s="1355" t="s">
        <v>688</v>
      </c>
      <c r="X4" s="1355" t="s">
        <v>689</v>
      </c>
      <c r="Y4" s="1355" t="s">
        <v>690</v>
      </c>
      <c r="Z4" s="1355" t="s">
        <v>691</v>
      </c>
      <c r="AA4" s="1355" t="s">
        <v>692</v>
      </c>
      <c r="AB4" s="1355" t="s">
        <v>693</v>
      </c>
      <c r="AC4" s="1355" t="s">
        <v>694</v>
      </c>
      <c r="AD4" s="1355" t="s">
        <v>695</v>
      </c>
      <c r="AE4" s="1355" t="s">
        <v>696</v>
      </c>
      <c r="AF4" s="1355" t="s">
        <v>697</v>
      </c>
      <c r="AG4" s="1355" t="s">
        <v>210</v>
      </c>
      <c r="AH4" s="1355" t="s">
        <v>211</v>
      </c>
      <c r="AI4" s="1355" t="s">
        <v>698</v>
      </c>
      <c r="AJ4" s="1355" t="s">
        <v>699</v>
      </c>
      <c r="AK4" s="1355" t="s">
        <v>700</v>
      </c>
      <c r="AL4" s="1355" t="s">
        <v>701</v>
      </c>
      <c r="AM4" s="1355" t="s">
        <v>702</v>
      </c>
      <c r="AN4" s="1355" t="s">
        <v>703</v>
      </c>
      <c r="AO4" s="1355" t="s">
        <v>704</v>
      </c>
      <c r="AP4" s="1355" t="s">
        <v>705</v>
      </c>
      <c r="AQ4" s="1356" t="s">
        <v>706</v>
      </c>
      <c r="AR4" s="1355" t="s">
        <v>707</v>
      </c>
      <c r="AS4" s="1355" t="s">
        <v>708</v>
      </c>
      <c r="AT4" s="1355" t="s">
        <v>709</v>
      </c>
      <c r="AU4" s="1355" t="s">
        <v>710</v>
      </c>
      <c r="AV4" s="1355" t="s">
        <v>711</v>
      </c>
      <c r="AW4" s="1355" t="s">
        <v>712</v>
      </c>
      <c r="AX4" s="1355" t="s">
        <v>713</v>
      </c>
      <c r="AY4" s="1355" t="s">
        <v>714</v>
      </c>
      <c r="AZ4" s="1355" t="s">
        <v>715</v>
      </c>
      <c r="BA4" s="1355"/>
      <c r="BB4" s="1355" t="s">
        <v>426</v>
      </c>
      <c r="BC4" s="1355" t="s">
        <v>716</v>
      </c>
      <c r="BD4" s="1355" t="s">
        <v>717</v>
      </c>
      <c r="BE4" s="1355" t="s">
        <v>718</v>
      </c>
      <c r="BF4" s="1355" t="s">
        <v>719</v>
      </c>
      <c r="BG4" s="1355" t="s">
        <v>720</v>
      </c>
      <c r="BH4" s="1355" t="s">
        <v>721</v>
      </c>
      <c r="BI4" s="1355" t="s">
        <v>722</v>
      </c>
      <c r="BJ4" s="1357" t="s">
        <v>723</v>
      </c>
    </row>
    <row r="5">
      <c r="A5" s="1339" t="n">
        <v>2021</v>
      </c>
      <c r="B5" s="1341" t="n">
        <f>Q5</f>
        <v>394.202</v>
      </c>
      <c r="C5" s="1341" t="n">
        <f>SUM(Y5:AB5)</f>
        <v>195.7</v>
      </c>
      <c r="D5" s="1341" t="n">
        <f>T5</f>
        <v>18.823</v>
      </c>
      <c r="E5" s="1341" t="n">
        <f>SUM(P5:S5)-B5</f>
        <v>0.77600000000001046</v>
      </c>
      <c r="F5" s="1341" t="n">
        <f>SUM(T5:AF5)-C5-L5-D5 - 28</f>
        <v>19.722000000000016</v>
      </c>
      <c r="G5" s="1341" t="n">
        <f>SUM(BB5:BI5)-BC5</f>
        <v>81.642999999999986</v>
      </c>
      <c r="H5" s="1341" t="n">
        <f>SUM(AG5:AI5)</f>
        <v>7.798</v>
      </c>
      <c r="I5" s="1341" t="n">
        <f>AJ5</f>
        <v>283.95749999999998</v>
      </c>
      <c r="J5" s="1341" t="n">
        <f>AL5</f>
        <v>12.347</v>
      </c>
      <c r="K5" s="1341" t="n">
        <f>SUM(AM5:AT5)</f>
        <v>29.628</v>
      </c>
      <c r="L5" s="1345" t="n">
        <f>103/4</f>
        <v>25.75</v>
      </c>
      <c r="M5" s="1341" t="n">
        <f t="shared" ref="M5:M16" si="0">SUM(AU5:BA5)</f>
        <v>31.939</v>
      </c>
      <c r="N5" s="1341" t="n">
        <f>AK5</f>
        <v>3.4</v>
      </c>
      <c r="O5" s="1368" t="n">
        <v>50</v>
      </c>
      <c r="P5" s="1362" t="n">
        <v>0.55000000000000004</v>
      </c>
      <c r="Q5" s="1325" t="n">
        <v>394.202</v>
      </c>
      <c r="R5" s="1370" t="n">
        <v>0.14599999999999999</v>
      </c>
      <c r="S5" s="1370" t="n">
        <v>0.08</v>
      </c>
      <c r="T5" s="1370" t="n">
        <v>18.823</v>
      </c>
      <c r="U5" s="1325" t="n">
        <v>19</v>
      </c>
      <c r="V5" s="1370" t="n">
        <v>11.481999999999999</v>
      </c>
      <c r="W5" s="885" t="n">
        <v>1.5580000000000001</v>
      </c>
      <c r="X5" s="885" t="n">
        <v>0.74</v>
      </c>
      <c r="Y5" s="1325" t="n">
        <v>0.2</v>
      </c>
      <c r="Z5" s="1325" t="n">
        <v>43.1</v>
      </c>
      <c r="AA5" s="1325" t="n">
        <v>33.9</v>
      </c>
      <c r="AB5" s="1325" t="n">
        <v>118.5</v>
      </c>
      <c r="AC5" s="1325" t="n">
        <v>28</v>
      </c>
      <c r="AD5" s="885" t="n">
        <v>-2.0379999999999998</v>
      </c>
      <c r="AE5" s="1325" t="n">
        <v>14.31</v>
      </c>
      <c r="AF5" s="1370" t="n">
        <v>0.42</v>
      </c>
      <c r="AG5" s="1370" t="n">
        <v>7.7279999999999998</v>
      </c>
      <c r="AH5" s="1325" t="n">
        <v>7.0000000000000007E-2</v>
      </c>
      <c r="AI5" s="1325" t="n">
        <v>0</v>
      </c>
      <c r="AJ5" s="1325" t="n">
        <v>283.95749999999998</v>
      </c>
      <c r="AK5" s="1361" t="n">
        <v>3.4</v>
      </c>
      <c r="AL5" s="1361" t="n">
        <v>12.347</v>
      </c>
      <c r="AM5" s="1371" t="n">
        <v>0.28599999999999998</v>
      </c>
      <c r="AN5" s="1361" t="n">
        <v>2</v>
      </c>
      <c r="AO5" s="1325" t="n">
        <v>0.81</v>
      </c>
      <c r="AP5" s="1361" t="n">
        <v>0.52100000000000002</v>
      </c>
      <c r="AQ5" s="1372" t="n">
        <v>10</v>
      </c>
      <c r="AR5" s="1361" t="n">
        <v>2.7</v>
      </c>
      <c r="AS5" s="1361" t="n">
        <v>0.751</v>
      </c>
      <c r="AT5" s="1325" t="n">
        <v>12.56</v>
      </c>
      <c r="AU5" s="1325" t="n">
        <v>0</v>
      </c>
      <c r="AV5" s="1361" t="n">
        <v>1.415</v>
      </c>
      <c r="AW5" s="1361" t="n">
        <v>10.51</v>
      </c>
      <c r="AX5" s="1361" t="n">
        <v>2.6</v>
      </c>
      <c r="AY5" s="1325" t="n">
        <v>-0.33</v>
      </c>
      <c r="AZ5" s="1361" t="n">
        <v>17.744</v>
      </c>
      <c r="BA5" s="1325" t="n">
        <v>0</v>
      </c>
      <c r="BB5" s="1361" t="n">
        <v>4.0999999999999996</v>
      </c>
      <c r="BC5" s="1361" t="n">
        <v>7.25</v>
      </c>
      <c r="BD5" s="1361" t="n">
        <v>48.4</v>
      </c>
      <c r="BE5" s="1370" t="n">
        <v>0.83</v>
      </c>
      <c r="BF5" s="885" t="n">
        <v>4.5110000000000001</v>
      </c>
      <c r="BG5" s="1325" t="n">
        <v>3.0739999999999998</v>
      </c>
      <c r="BH5" s="1326" t="n">
        <v>-0.28399999999999997</v>
      </c>
      <c r="BI5" s="1361" t="n">
        <v>21.012</v>
      </c>
      <c r="BJ5" s="1350" t="n">
        <v>1.1599999999999999</v>
      </c>
    </row>
    <row r="6">
      <c r="A6" s="1339" t="n">
        <v>2022</v>
      </c>
      <c r="B6" s="1341" t="n">
        <f t="shared" ref="B6:B15" si="1">Q6</f>
        <v>17.465</v>
      </c>
      <c r="C6" s="1341" t="n">
        <f t="shared" ref="C6:C15" si="2">SUM(Y6:AB6)</f>
        <v>10.1</v>
      </c>
      <c r="D6" s="1341" t="n">
        <f t="shared" ref="D6:D15" si="3">T6</f>
        <v>2.5950000000000002</v>
      </c>
      <c r="E6" s="1341" t="n">
        <f t="shared" ref="E6:E15" si="4">SUM(P6:S6)-B6</f>
        <v>19.719000000000005</v>
      </c>
      <c r="F6" s="1341" t="n">
        <f>SUM(T6:AF6)-C6-L6-D6</f>
        <v>52.756999999999998</v>
      </c>
      <c r="G6" s="1341" t="n">
        <f t="shared" ref="G6:G16" si="5">SUM(BB6:BI6)-BC6</f>
        <v>110.24799999999999</v>
      </c>
      <c r="H6" s="1341" t="n">
        <f t="shared" ref="H6:H15" si="6">SUM(AG6:AI6)</f>
        <v>7.9489999999999998</v>
      </c>
      <c r="I6" s="1341" t="n">
        <f t="shared" ref="I6:I15" si="7">AJ6</f>
        <v>77.092500000000001</v>
      </c>
      <c r="J6" s="1341" t="n">
        <f t="shared" ref="J6:J15" si="8">AL6</f>
        <v>46.79</v>
      </c>
      <c r="K6" s="1341" t="n">
        <f t="shared" ref="K6:K16" si="9">SUM(AM6:AT6)</f>
        <v>35.671000000000006</v>
      </c>
      <c r="L6" s="1345" t="n">
        <v>0</v>
      </c>
      <c r="M6" s="1341" t="n">
        <f t="shared" si="0"/>
        <v>56.412999999999997</v>
      </c>
      <c r="N6" s="1341" t="n">
        <f t="shared" ref="N6:N15" si="10">AK6</f>
        <v>5.0999999999999996</v>
      </c>
      <c r="O6" s="1368" t="n">
        <v>55</v>
      </c>
      <c r="P6" s="1362" t="n">
        <v>15.61</v>
      </c>
      <c r="Q6" s="1325" t="n">
        <v>17.465</v>
      </c>
      <c r="R6" s="1370" t="n">
        <v>0.317</v>
      </c>
      <c r="S6" s="1370" t="n">
        <v>3.7919999999999998</v>
      </c>
      <c r="T6" s="1325" t="n">
        <v>2.5950000000000002</v>
      </c>
      <c r="U6" s="1361" t="n">
        <v>14.5</v>
      </c>
      <c r="V6" s="1325" t="n">
        <v>25.070999999999998</v>
      </c>
      <c r="W6" s="885" t="n">
        <v>1.952</v>
      </c>
      <c r="X6" s="885" t="n">
        <v>0.61399999999999999</v>
      </c>
      <c r="Y6" s="1361" t="n">
        <v>0</v>
      </c>
      <c r="Z6" s="1361" t="n">
        <v>2.2999999999999998</v>
      </c>
      <c r="AA6" s="1361" t="n">
        <v>1.6</v>
      </c>
      <c r="AB6" s="1361" t="n">
        <v>6.2</v>
      </c>
      <c r="AC6" s="1325" t="n">
        <v>0</v>
      </c>
      <c r="AD6" s="1325" t="n">
        <v>1.31</v>
      </c>
      <c r="AE6" s="1325" t="n">
        <v>8.61</v>
      </c>
      <c r="AF6" s="1325" t="n">
        <v>0.7</v>
      </c>
      <c r="AG6" s="1370" t="n">
        <v>7.782</v>
      </c>
      <c r="AH6" s="1325" t="n">
        <v>0.12</v>
      </c>
      <c r="AI6" s="1325" t="n">
        <v>4.7E-2</v>
      </c>
      <c r="AJ6" s="1325" t="n">
        <v>77.092500000000001</v>
      </c>
      <c r="AK6" s="1361" t="n">
        <v>5.0999999999999996</v>
      </c>
      <c r="AL6" s="1361" t="n">
        <v>46.79</v>
      </c>
      <c r="AM6" s="1326" t="n">
        <v>0.30499999999999999</v>
      </c>
      <c r="AN6" s="1361" t="n">
        <v>4.3</v>
      </c>
      <c r="AO6" s="885" t="n">
        <v>1.1000000000000001</v>
      </c>
      <c r="AP6" s="1361" t="n">
        <v>1.575</v>
      </c>
      <c r="AQ6" s="1372" t="n">
        <v>10</v>
      </c>
      <c r="AR6" s="1361" t="n">
        <v>4.5</v>
      </c>
      <c r="AS6" s="1361" t="n">
        <v>1.9810000000000001</v>
      </c>
      <c r="AT6" s="1325" t="n">
        <v>11.91</v>
      </c>
      <c r="AU6" s="1325" t="n">
        <v>0</v>
      </c>
      <c r="AV6" s="1361" t="n">
        <v>3.927</v>
      </c>
      <c r="AW6" s="1361" t="n">
        <v>4.2880000000000003</v>
      </c>
      <c r="AX6" s="1361" t="n">
        <v>3.7</v>
      </c>
      <c r="AY6" s="1325" t="n">
        <v>-1.34</v>
      </c>
      <c r="AZ6" s="1361" t="n">
        <v>45.838000000000001</v>
      </c>
      <c r="BA6" s="1325" t="n">
        <v>0</v>
      </c>
      <c r="BB6" s="1361" t="n">
        <v>11.3</v>
      </c>
      <c r="BC6" s="1361" t="n">
        <v>0</v>
      </c>
      <c r="BD6" s="1361" t="n">
        <v>1.1000000000000001</v>
      </c>
      <c r="BE6" s="1370" t="n">
        <v>1.75</v>
      </c>
      <c r="BF6" s="885" t="n">
        <v>1.7330000000000001</v>
      </c>
      <c r="BG6" s="885" t="n">
        <v>7.1440000000000001</v>
      </c>
      <c r="BH6" s="1327" t="n">
        <v>81.608999999999995</v>
      </c>
      <c r="BI6" s="1361" t="n">
        <v>5.6120000000000001</v>
      </c>
      <c r="BJ6" s="1350" t="n">
        <v>4.2</v>
      </c>
    </row>
    <row r="7">
      <c r="A7" s="1339" t="n">
        <v>2023</v>
      </c>
      <c r="B7" s="1341" t="n">
        <f t="shared" si="1"/>
        <v>0.48599999999999999</v>
      </c>
      <c r="C7" s="1341" t="n">
        <f t="shared" si="2"/>
        <v>0</v>
      </c>
      <c r="D7" s="1341" t="n">
        <f t="shared" si="3"/>
        <v>0.93700000000000006</v>
      </c>
      <c r="E7" s="1341" t="n">
        <f t="shared" si="4"/>
        <v>1.4159999999999999</v>
      </c>
      <c r="F7" s="1341" t="n">
        <f t="shared" ref="F7:F15" si="11">SUM(T7:AF7)-C7-L7-D7</f>
        <v>12</v>
      </c>
      <c r="G7" s="1341" t="n">
        <f t="shared" si="5"/>
        <v>12.726000000000001</v>
      </c>
      <c r="H7" s="1341" t="n">
        <f t="shared" si="6"/>
        <v>4.7519999999999998</v>
      </c>
      <c r="I7" s="1341" t="n">
        <f t="shared" si="7"/>
        <v>1</v>
      </c>
      <c r="J7" s="1341" t="n">
        <f t="shared" si="8"/>
        <v>38.595999999999997</v>
      </c>
      <c r="K7" s="1341" t="n">
        <f t="shared" si="9"/>
        <v>24.216000000000001</v>
      </c>
      <c r="L7" s="1345" t="n">
        <v>0</v>
      </c>
      <c r="M7" s="1341" t="n">
        <f t="shared" si="0"/>
        <v>15.652999999999999</v>
      </c>
      <c r="N7" s="1341" t="n">
        <f t="shared" si="10"/>
        <v>0</v>
      </c>
      <c r="O7" s="1368" t="n">
        <v>0.7</v>
      </c>
      <c r="P7" s="1362" t="n">
        <v>0.96</v>
      </c>
      <c r="Q7" s="1325" t="n">
        <v>0.48599999999999999</v>
      </c>
      <c r="R7" s="1370" t="n">
        <v>0.45600000000000002</v>
      </c>
      <c r="S7" s="1325" t="n">
        <v>0</v>
      </c>
      <c r="T7" s="1328" t="n">
        <v>0.93700000000000006</v>
      </c>
      <c r="U7" s="1361" t="n">
        <v>3</v>
      </c>
      <c r="V7" s="1370" t="n">
        <v>7.891</v>
      </c>
      <c r="W7" s="885" t="n">
        <v>0.61699999999999999</v>
      </c>
      <c r="X7" s="885" t="n">
        <v>8.4000000000000005E-2</v>
      </c>
      <c r="Y7" s="1361" t="n">
        <v>0</v>
      </c>
      <c r="Z7" s="1361" t="n">
        <v>0</v>
      </c>
      <c r="AA7" s="1361" t="n">
        <v>0</v>
      </c>
      <c r="AB7" s="1361" t="n">
        <v>0</v>
      </c>
      <c r="AC7" s="1325" t="n">
        <v>0</v>
      </c>
      <c r="AD7" s="1325" t="n">
        <v>0.318</v>
      </c>
      <c r="AE7" s="1370" t="n">
        <v>-0.11000000000000001</v>
      </c>
      <c r="AF7" s="1325" t="n">
        <v>0.2</v>
      </c>
      <c r="AG7" s="1370" t="n">
        <v>4.6749999999999998</v>
      </c>
      <c r="AH7" s="1325" t="n">
        <v>0.06</v>
      </c>
      <c r="AI7" s="1325" t="n">
        <v>1.7000000000000001E-2</v>
      </c>
      <c r="AJ7" s="1325" t="n">
        <v>1</v>
      </c>
      <c r="AK7" s="1361" t="n">
        <v>0</v>
      </c>
      <c r="AL7" s="1361" t="n">
        <v>38.595999999999997</v>
      </c>
      <c r="AM7" s="1325" t="n">
        <v>0.14899999999999999</v>
      </c>
      <c r="AN7" s="1361" t="n">
        <v>1.2</v>
      </c>
      <c r="AO7" s="885" t="n">
        <v>0.53</v>
      </c>
      <c r="AP7" s="1361" t="n">
        <v>0.38100000000000001</v>
      </c>
      <c r="AQ7" s="1372" t="n">
        <v>8</v>
      </c>
      <c r="AR7" s="1361" t="n">
        <v>4.5</v>
      </c>
      <c r="AS7" s="1361" t="n">
        <v>0.76600000000000001</v>
      </c>
      <c r="AT7" s="1325" t="n">
        <v>8.69</v>
      </c>
      <c r="AU7" s="1325" t="n">
        <v>0</v>
      </c>
      <c r="AV7" s="1361" t="n">
        <v>1.93</v>
      </c>
      <c r="AW7" s="1361" t="n">
        <v>1.4379999999999999</v>
      </c>
      <c r="AX7" s="1361" t="n">
        <v>2.6</v>
      </c>
      <c r="AY7" s="885" t="n">
        <v>-2.48</v>
      </c>
      <c r="AZ7" s="1361" t="n">
        <v>12.164999999999999</v>
      </c>
      <c r="BA7" s="885" t="n">
        <v>0</v>
      </c>
      <c r="BB7" s="1361" t="n">
        <v>8.4</v>
      </c>
      <c r="BC7" s="1361" t="n">
        <v>0</v>
      </c>
      <c r="BD7" s="1361" t="n">
        <v>0.3</v>
      </c>
      <c r="BE7" s="1370" t="n">
        <v>1.8</v>
      </c>
      <c r="BF7" s="885" t="n">
        <v>0</v>
      </c>
      <c r="BG7" s="885" t="n">
        <v>0</v>
      </c>
      <c r="BH7" s="1326" t="n">
        <v>1.3759999999999999</v>
      </c>
      <c r="BI7" s="1361" t="n">
        <v>0.85</v>
      </c>
      <c r="BJ7" s="1350" t="n">
        <v>2.7</v>
      </c>
    </row>
    <row r="8">
      <c r="A8" s="1339" t="n">
        <v>2024</v>
      </c>
      <c r="B8" s="1341" t="n">
        <f t="shared" si="1"/>
        <v>0</v>
      </c>
      <c r="C8" s="1341" t="n">
        <f t="shared" si="2"/>
        <v>0</v>
      </c>
      <c r="D8" s="1341" t="n">
        <f t="shared" si="3"/>
        <v>0.16</v>
      </c>
      <c r="E8" s="1341" t="n">
        <f t="shared" si="4"/>
        <v>1.4790000000000001</v>
      </c>
      <c r="F8" s="1341" t="n">
        <f t="shared" si="11"/>
        <v>4.2219999999999995</v>
      </c>
      <c r="G8" s="1341" t="n">
        <f t="shared" si="5"/>
        <v>1.365</v>
      </c>
      <c r="H8" s="1341" t="n">
        <f t="shared" si="6"/>
        <v>4.637999999999999</v>
      </c>
      <c r="I8" s="1341" t="n">
        <f t="shared" si="7"/>
        <v>0</v>
      </c>
      <c r="J8" s="1341" t="n">
        <f t="shared" si="8"/>
        <v>31.911000000000001</v>
      </c>
      <c r="K8" s="1341" t="n">
        <f t="shared" si="9"/>
        <v>9.6430000000000007</v>
      </c>
      <c r="L8" s="1345" t="n">
        <v>0</v>
      </c>
      <c r="M8" s="1341" t="n">
        <f t="shared" si="0"/>
        <v>3.9320000000000004</v>
      </c>
      <c r="N8" s="1341" t="n">
        <f t="shared" si="10"/>
        <v>0</v>
      </c>
      <c r="O8" s="1368" t="n">
        <v>0.7</v>
      </c>
      <c r="P8" s="1362" t="n">
        <v>0.96</v>
      </c>
      <c r="Q8" s="1361" t="n">
        <v>0</v>
      </c>
      <c r="R8" s="1370" t="n">
        <v>0.51900000000000002</v>
      </c>
      <c r="S8" s="1325" t="n">
        <v>0</v>
      </c>
      <c r="T8" s="1329" t="n">
        <v>0.16</v>
      </c>
      <c r="U8" s="1361" t="n">
        <v>2.8</v>
      </c>
      <c r="V8" s="1325" t="n">
        <v>0.504</v>
      </c>
      <c r="W8" s="885" t="n">
        <v>0.47199999999999998</v>
      </c>
      <c r="X8" s="885" t="n">
        <v>2E-3</v>
      </c>
      <c r="Y8" s="1361" t="n">
        <v>0</v>
      </c>
      <c r="Z8" s="1361" t="n">
        <v>0</v>
      </c>
      <c r="AA8" s="1361" t="n">
        <v>0</v>
      </c>
      <c r="AB8" s="1361" t="n">
        <v>0</v>
      </c>
      <c r="AC8" s="1325" t="n">
        <v>0</v>
      </c>
      <c r="AD8" s="1325" t="n">
        <v>0.34399999999999997</v>
      </c>
      <c r="AE8" s="1370" t="n">
        <v>0</v>
      </c>
      <c r="AF8" s="1370" t="n">
        <v>0.1</v>
      </c>
      <c r="AG8" s="1370" t="n">
        <v>4.5739999999999998</v>
      </c>
      <c r="AH8" s="1325" t="n">
        <v>0.06</v>
      </c>
      <c r="AI8" s="1325" t="n">
        <v>4.0000000000000001E-3</v>
      </c>
      <c r="AJ8" s="1325" t="n">
        <v>0</v>
      </c>
      <c r="AK8" s="1361" t="n">
        <v>0</v>
      </c>
      <c r="AL8" s="1361" t="n">
        <v>31.911000000000001</v>
      </c>
      <c r="AM8" s="1325" t="n">
        <v>4.1000000000000002E-2</v>
      </c>
      <c r="AN8" s="1361" t="n">
        <v>0.4</v>
      </c>
      <c r="AO8" s="885" t="n">
        <v>0.41</v>
      </c>
      <c r="AP8" s="1361" t="n">
        <v>0.13100000000000001</v>
      </c>
      <c r="AQ8" s="1372" t="n">
        <v>0</v>
      </c>
      <c r="AR8" s="1361" t="n">
        <v>3</v>
      </c>
      <c r="AS8" s="1361" t="n">
        <v>0.30099999999999999</v>
      </c>
      <c r="AT8" s="885" t="n">
        <v>5.36</v>
      </c>
      <c r="AU8" s="1325" t="n">
        <v>0</v>
      </c>
      <c r="AV8" s="1361" t="n">
        <v>0.79600000000000004</v>
      </c>
      <c r="AW8" s="1361" t="n">
        <v>0.27500000000000002</v>
      </c>
      <c r="AX8" s="1361" t="n">
        <v>1</v>
      </c>
      <c r="AY8" s="885" t="n">
        <v>-2.6</v>
      </c>
      <c r="AZ8" s="1361" t="n">
        <v>4.4610000000000003</v>
      </c>
      <c r="BA8" s="885" t="n">
        <v>0</v>
      </c>
      <c r="BB8" s="1361" t="n">
        <v>0.2</v>
      </c>
      <c r="BC8" s="1361" t="n">
        <v>0</v>
      </c>
      <c r="BD8" s="1361" t="n">
        <v>0</v>
      </c>
      <c r="BE8" s="1370" t="n">
        <v>1.95</v>
      </c>
      <c r="BF8" s="885" t="n">
        <v>0</v>
      </c>
      <c r="BG8" s="885" t="n">
        <v>0</v>
      </c>
      <c r="BH8" s="1326" t="n">
        <v>-0.875</v>
      </c>
      <c r="BI8" s="1361" t="n">
        <v>0.09</v>
      </c>
      <c r="BJ8" s="1351" t="n">
        <v>0.87</v>
      </c>
    </row>
    <row r="9">
      <c r="A9" s="1339" t="n">
        <v>2025</v>
      </c>
      <c r="B9" s="1341" t="n">
        <f t="shared" si="1"/>
        <v>0</v>
      </c>
      <c r="C9" s="1341" t="n">
        <f t="shared" si="2"/>
        <v>0</v>
      </c>
      <c r="D9" s="1341" t="n">
        <f t="shared" si="3"/>
        <v>3.3000000000000002E-2</v>
      </c>
      <c r="E9" s="1341" t="n">
        <f t="shared" si="4"/>
        <v>1.63</v>
      </c>
      <c r="F9" s="1341" t="n">
        <f t="shared" si="11"/>
        <v>2.3719999999999999</v>
      </c>
      <c r="G9" s="1341" t="n">
        <f t="shared" si="5"/>
        <v>-0.90100000000000025</v>
      </c>
      <c r="H9" s="1341" t="n">
        <f t="shared" si="6"/>
        <v>1.8800000000000001</v>
      </c>
      <c r="I9" s="1341" t="n">
        <f t="shared" si="7"/>
        <v>0</v>
      </c>
      <c r="J9" s="1341" t="n">
        <f t="shared" si="8"/>
        <v>23.099</v>
      </c>
      <c r="K9" s="1341" t="n">
        <f t="shared" si="9"/>
        <v>4.5789999999999997</v>
      </c>
      <c r="L9" s="1345" t="n">
        <v>0</v>
      </c>
      <c r="M9" s="1341" t="n">
        <f t="shared" si="0"/>
        <v>-0.74299999999999988</v>
      </c>
      <c r="N9" s="1341" t="n">
        <f t="shared" si="10"/>
        <v>0</v>
      </c>
      <c r="O9" s="1368" t="n">
        <v>0.7</v>
      </c>
      <c r="P9" s="1362" t="n">
        <v>1.06</v>
      </c>
      <c r="Q9" s="1361" t="n">
        <v>0</v>
      </c>
      <c r="R9" s="1370" t="n">
        <v>0.56999999999999995</v>
      </c>
      <c r="S9" s="1325" t="n">
        <v>0</v>
      </c>
      <c r="T9" s="1330" t="n">
        <v>3.3000000000000002E-2</v>
      </c>
      <c r="U9" s="1361" t="n">
        <v>2</v>
      </c>
      <c r="V9" s="1330" t="n">
        <v>0</v>
      </c>
      <c r="W9" s="885" t="n">
        <v>0.21299999999999999</v>
      </c>
      <c r="X9" s="885" t="n">
        <v>2E-3</v>
      </c>
      <c r="Y9" s="1361" t="n">
        <v>0</v>
      </c>
      <c r="Z9" s="1361" t="n">
        <v>0</v>
      </c>
      <c r="AA9" s="1361" t="n">
        <v>0</v>
      </c>
      <c r="AB9" s="1361" t="n">
        <v>0</v>
      </c>
      <c r="AC9" s="1325" t="n">
        <v>0</v>
      </c>
      <c r="AD9" s="1325" t="n">
        <v>0.157</v>
      </c>
      <c r="AE9" s="1370" t="n">
        <v>0</v>
      </c>
      <c r="AF9" s="1370" t="n">
        <v>0</v>
      </c>
      <c r="AG9" s="1325" t="n">
        <v>1.81</v>
      </c>
      <c r="AH9" s="1325" t="n">
        <v>7.0000000000000007E-2</v>
      </c>
      <c r="AI9" s="1325" t="n">
        <v>0</v>
      </c>
      <c r="AJ9" s="1361" t="n">
        <v>0</v>
      </c>
      <c r="AK9" s="1361" t="n">
        <v>0</v>
      </c>
      <c r="AL9" s="1361" t="n">
        <v>23.099</v>
      </c>
      <c r="AM9" s="1325" t="n">
        <v>1.2999999999999999E-2</v>
      </c>
      <c r="AN9" s="1361" t="n">
        <v>0.3</v>
      </c>
      <c r="AO9" s="1359" t="n">
        <v>0.15</v>
      </c>
      <c r="AP9" s="1361" t="n">
        <v>0.112</v>
      </c>
      <c r="AQ9" s="1372" t="n">
        <v>0</v>
      </c>
      <c r="AR9" s="1361" t="n">
        <v>0.2</v>
      </c>
      <c r="AS9" s="1361" t="n">
        <v>7.3999999999999996E-2</v>
      </c>
      <c r="AT9" s="885" t="n">
        <v>3.73</v>
      </c>
      <c r="AU9" s="1325" t="n">
        <v>0</v>
      </c>
      <c r="AV9" s="1361" t="n">
        <v>5.3999999999999999E-2</v>
      </c>
      <c r="AW9" s="1361" t="n">
        <v>0.13100000000000001</v>
      </c>
      <c r="AX9" s="1361" t="n">
        <v>0</v>
      </c>
      <c r="AY9" s="885" t="n">
        <v>-2.71</v>
      </c>
      <c r="AZ9" s="1361" t="n">
        <v>1.782</v>
      </c>
      <c r="BA9" s="885" t="n">
        <v>0</v>
      </c>
      <c r="BB9" s="1361" t="n">
        <v>0</v>
      </c>
      <c r="BC9" s="1361" t="n">
        <v>0</v>
      </c>
      <c r="BD9" s="1361" t="n">
        <v>0</v>
      </c>
      <c r="BE9" s="1370" t="n">
        <v>1.43</v>
      </c>
      <c r="BF9" s="885" t="n">
        <v>0</v>
      </c>
      <c r="BG9" s="885" t="n">
        <v>0</v>
      </c>
      <c r="BH9" s="1326" t="n">
        <v>-2.3410000000000002</v>
      </c>
      <c r="BI9" s="1361" t="n">
        <v>0.01</v>
      </c>
      <c r="BJ9" s="1351" t="n">
        <v>0.33</v>
      </c>
    </row>
    <row r="10">
      <c r="A10" s="1339" t="n">
        <v>2026</v>
      </c>
      <c r="B10" s="1341" t="n">
        <f t="shared" si="1"/>
        <v>0</v>
      </c>
      <c r="C10" s="1341" t="n">
        <f t="shared" si="2"/>
        <v>0</v>
      </c>
      <c r="D10" s="1341" t="n">
        <f t="shared" si="3"/>
        <v>3.2000000000000001E-2</v>
      </c>
      <c r="E10" s="1341" t="n">
        <f t="shared" si="4"/>
        <v>1.671</v>
      </c>
      <c r="F10" s="1341" t="n">
        <f t="shared" si="11"/>
        <v>0.49</v>
      </c>
      <c r="G10" s="1341" t="n">
        <f t="shared" si="5"/>
        <v>-2.1500000000000004</v>
      </c>
      <c r="H10" s="1341" t="n">
        <f t="shared" si="6"/>
        <v>1.446</v>
      </c>
      <c r="I10" s="1341" t="n">
        <f t="shared" si="7"/>
        <v>0</v>
      </c>
      <c r="J10" s="1341" t="n">
        <f t="shared" si="8"/>
        <v>10.766999999999999</v>
      </c>
      <c r="K10" s="1341" t="n">
        <f t="shared" si="9"/>
        <v>2.9130000000000003</v>
      </c>
      <c r="L10" s="1345"/>
      <c r="M10" s="1341" t="n">
        <f t="shared" si="0"/>
        <v>-21.606000000000002</v>
      </c>
      <c r="N10" s="1341" t="n">
        <f t="shared" si="10"/>
        <v>0</v>
      </c>
      <c r="O10" s="1368" t="n">
        <v>0.7</v>
      </c>
      <c r="P10" s="1362" t="n">
        <v>1.07</v>
      </c>
      <c r="Q10" s="1361" t="n">
        <v>0</v>
      </c>
      <c r="R10" s="1370" t="n">
        <v>0.60099999999999998</v>
      </c>
      <c r="S10" s="1325" t="n">
        <v>0</v>
      </c>
      <c r="T10" s="1326" t="n">
        <v>3.2000000000000001E-2</v>
      </c>
      <c r="U10" s="1361" t="n">
        <v>0.3</v>
      </c>
      <c r="V10" s="1370" t="n">
        <v>0</v>
      </c>
      <c r="W10" s="885" t="n">
        <v>0.188</v>
      </c>
      <c r="X10" s="885" t="n">
        <v>2E-3</v>
      </c>
      <c r="Y10" s="1361" t="n">
        <v>0</v>
      </c>
      <c r="Z10" s="1361" t="n">
        <v>0</v>
      </c>
      <c r="AA10" s="1361" t="n">
        <v>0</v>
      </c>
      <c r="AB10" s="1361" t="n">
        <v>0</v>
      </c>
      <c r="AC10" s="1325" t="n">
        <v>0</v>
      </c>
      <c r="AD10" s="1325" t="n">
        <v>0</v>
      </c>
      <c r="AE10" s="1325" t="n">
        <v>0</v>
      </c>
      <c r="AF10" s="1370" t="n">
        <v>0</v>
      </c>
      <c r="AG10" s="1325" t="n">
        <v>1.3759999999999999</v>
      </c>
      <c r="AH10" s="1325" t="n">
        <v>7.0000000000000007E-2</v>
      </c>
      <c r="AI10" s="1325" t="n">
        <v>0</v>
      </c>
      <c r="AJ10" s="1331" t="n">
        <v>0</v>
      </c>
      <c r="AK10" s="1361" t="n">
        <v>0</v>
      </c>
      <c r="AL10" s="1361" t="n">
        <v>10.766999999999999</v>
      </c>
      <c r="AM10" s="1325" t="n">
        <v>3.0000000000000001E-3</v>
      </c>
      <c r="AN10" s="1361" t="n">
        <v>0.2</v>
      </c>
      <c r="AO10" s="1359" t="n">
        <v>0.1</v>
      </c>
      <c r="AP10" s="1361" t="n">
        <v>0.05</v>
      </c>
      <c r="AQ10" s="1372" t="n">
        <v>0</v>
      </c>
      <c r="AR10" s="1361" t="n">
        <v>0</v>
      </c>
      <c r="AS10" s="1361" t="n">
        <v>0</v>
      </c>
      <c r="AT10" s="885" t="n">
        <v>2.56</v>
      </c>
      <c r="AU10" s="1325" t="n">
        <v>0</v>
      </c>
      <c r="AV10" s="1361" t="n">
        <v>3.7999999999999999E-2</v>
      </c>
      <c r="AW10" s="1361" t="n">
        <v>2.5999999999999999E-2</v>
      </c>
      <c r="AX10" s="1361" t="n">
        <v>0</v>
      </c>
      <c r="AY10" s="885" t="n">
        <v>-2.6700000000000004</v>
      </c>
      <c r="AZ10" s="1361" t="n">
        <v>0</v>
      </c>
      <c r="BA10" s="885" t="n">
        <v>-19</v>
      </c>
      <c r="BB10" s="1361" t="n">
        <v>0</v>
      </c>
      <c r="BC10" s="1361" t="n">
        <v>0</v>
      </c>
      <c r="BD10" s="1361" t="n">
        <v>0</v>
      </c>
      <c r="BE10" s="885" t="n">
        <v>0.88</v>
      </c>
      <c r="BF10" s="885" t="n">
        <v>0</v>
      </c>
      <c r="BG10" s="885" t="n">
        <v>0</v>
      </c>
      <c r="BH10" s="1325" t="n">
        <v>-2.8200000000000003</v>
      </c>
      <c r="BI10" s="1361" t="n">
        <v>-0.21</v>
      </c>
      <c r="BJ10" s="1351" t="n">
        <v>0.17</v>
      </c>
    </row>
    <row r="11">
      <c r="A11" s="1339" t="n">
        <v>2027</v>
      </c>
      <c r="B11" s="1341" t="n">
        <f t="shared" si="1"/>
        <v>0</v>
      </c>
      <c r="C11" s="1341" t="n">
        <f t="shared" si="2"/>
        <v>0</v>
      </c>
      <c r="D11" s="1341" t="n">
        <f t="shared" si="3"/>
        <v>3.2000000000000001E-2</v>
      </c>
      <c r="E11" s="1341" t="n">
        <f t="shared" si="4"/>
        <v>1.7130000000000001</v>
      </c>
      <c r="F11" s="1341" t="n">
        <f t="shared" si="11"/>
        <v>0</v>
      </c>
      <c r="G11" s="1341" t="n">
        <f t="shared" si="5"/>
        <v>-4.8169999999999993</v>
      </c>
      <c r="H11" s="1341" t="n">
        <f t="shared" si="6"/>
        <v>0.65699999999999992</v>
      </c>
      <c r="I11" s="1341" t="n">
        <f t="shared" si="7"/>
        <v>0</v>
      </c>
      <c r="J11" s="1341" t="n">
        <f t="shared" si="8"/>
        <v>4.0789999999999997</v>
      </c>
      <c r="K11" s="1341" t="n">
        <f t="shared" si="9"/>
        <v>2.46</v>
      </c>
      <c r="L11" s="1345"/>
      <c r="M11" s="1341" t="n">
        <f t="shared" si="0"/>
        <v>-14.713000000000001</v>
      </c>
      <c r="N11" s="1341" t="n">
        <f t="shared" si="10"/>
        <v>0</v>
      </c>
      <c r="O11" s="1368" t="n">
        <v>0.3</v>
      </c>
      <c r="P11" s="1362" t="n">
        <v>1.08</v>
      </c>
      <c r="Q11" s="1361" t="n">
        <v>0</v>
      </c>
      <c r="R11" s="1370" t="n">
        <v>0.63300000000000001</v>
      </c>
      <c r="S11" s="1329" t="n">
        <v>0</v>
      </c>
      <c r="T11" s="1361" t="n">
        <v>3.2000000000000001E-2</v>
      </c>
      <c r="U11" s="1361" t="n">
        <v>0</v>
      </c>
      <c r="V11" s="1325" t="n">
        <v>0</v>
      </c>
      <c r="W11" s="885" t="n">
        <v>0</v>
      </c>
      <c r="X11" s="885" t="n">
        <v>0</v>
      </c>
      <c r="Y11" s="1361" t="n">
        <v>0</v>
      </c>
      <c r="Z11" s="1361" t="n">
        <v>0</v>
      </c>
      <c r="AA11" s="1361" t="n">
        <v>0</v>
      </c>
      <c r="AB11" s="1361" t="n">
        <v>0</v>
      </c>
      <c r="AC11" s="1325" t="n">
        <v>0</v>
      </c>
      <c r="AD11" s="1370" t="n">
        <v>0</v>
      </c>
      <c r="AE11" s="1325" t="n">
        <v>0</v>
      </c>
      <c r="AF11" s="1370" t="n">
        <v>0</v>
      </c>
      <c r="AG11" s="1325" t="n">
        <v>0.57699999999999996</v>
      </c>
      <c r="AH11" s="1325" t="n">
        <v>0.08</v>
      </c>
      <c r="AI11" s="1325" t="n">
        <v>0</v>
      </c>
      <c r="AJ11" s="1325" t="n">
        <v>0</v>
      </c>
      <c r="AK11" s="1361" t="n">
        <v>0</v>
      </c>
      <c r="AL11" s="1361" t="n">
        <v>4.0789999999999997</v>
      </c>
      <c r="AM11" s="1361" t="n">
        <v>0</v>
      </c>
      <c r="AN11" s="1361" t="n">
        <v>0.1</v>
      </c>
      <c r="AO11" s="1359" t="n">
        <v>0.1</v>
      </c>
      <c r="AP11" s="1361" t="n">
        <v>0.03</v>
      </c>
      <c r="AQ11" s="1372" t="n">
        <v>0</v>
      </c>
      <c r="AR11" s="1361" t="n">
        <v>0</v>
      </c>
      <c r="AS11" s="1361" t="n">
        <v>0</v>
      </c>
      <c r="AT11" s="1359" t="n">
        <v>2.23</v>
      </c>
      <c r="AU11" s="1325" t="n">
        <v>0</v>
      </c>
      <c r="AV11" s="1361" t="n">
        <v>1.7000000000000001E-2</v>
      </c>
      <c r="AW11" s="1361" t="n">
        <v>0</v>
      </c>
      <c r="AX11" s="1361" t="n">
        <v>0</v>
      </c>
      <c r="AY11" s="885" t="n">
        <v>-2.73</v>
      </c>
      <c r="AZ11" s="1361" t="n">
        <v>0</v>
      </c>
      <c r="BA11" s="885" t="n">
        <v>-12</v>
      </c>
      <c r="BB11" s="1361" t="n">
        <v>0</v>
      </c>
      <c r="BC11" s="1361" t="n">
        <v>0</v>
      </c>
      <c r="BD11" s="1361" t="n">
        <v>0</v>
      </c>
      <c r="BE11" s="885" t="n">
        <v>0.28000000000000003</v>
      </c>
      <c r="BF11" s="885" t="n">
        <v>0</v>
      </c>
      <c r="BG11" s="885" t="n">
        <v>0</v>
      </c>
      <c r="BH11" s="1330" t="n">
        <v>-5.0069999999999997</v>
      </c>
      <c r="BI11" s="1361" t="n">
        <v>-0.09</v>
      </c>
      <c r="BJ11" s="1352" t="n">
        <v>0.06</v>
      </c>
    </row>
    <row r="12">
      <c r="A12" s="1339" t="n">
        <v>2028</v>
      </c>
      <c r="B12" s="1341" t="n">
        <f t="shared" si="1"/>
        <v>0</v>
      </c>
      <c r="C12" s="1341" t="n">
        <f t="shared" si="2"/>
        <v>0</v>
      </c>
      <c r="D12" s="1341" t="n">
        <f t="shared" si="3"/>
        <v>3.3000000000000002E-2</v>
      </c>
      <c r="E12" s="1341" t="n">
        <f t="shared" si="4"/>
        <v>1.7130000000000001</v>
      </c>
      <c r="F12" s="1341" t="n">
        <f t="shared" si="11"/>
        <v>0</v>
      </c>
      <c r="G12" s="1341" t="n">
        <f t="shared" si="5"/>
        <v>-5.0590000000000002</v>
      </c>
      <c r="H12" s="1341" t="n">
        <f t="shared" si="6"/>
        <v>-1.071</v>
      </c>
      <c r="I12" s="1341" t="n">
        <f t="shared" si="7"/>
        <v>0</v>
      </c>
      <c r="J12" s="1341" t="n">
        <f t="shared" si="8"/>
        <v>1.635</v>
      </c>
      <c r="K12" s="1341" t="n">
        <f t="shared" si="9"/>
        <v>1.81</v>
      </c>
      <c r="L12" s="1345"/>
      <c r="M12" s="1341" t="n">
        <f t="shared" si="0"/>
        <v>-2.7690000000000001</v>
      </c>
      <c r="N12" s="1341" t="n">
        <f t="shared" si="10"/>
        <v>0</v>
      </c>
      <c r="O12" s="1368" t="n">
        <v>0.3</v>
      </c>
      <c r="P12" s="1362" t="n">
        <v>1.08</v>
      </c>
      <c r="Q12" s="1361" t="n">
        <v>0</v>
      </c>
      <c r="R12" s="1370" t="n">
        <v>0.63300000000000001</v>
      </c>
      <c r="S12" s="1329" t="n">
        <v>0</v>
      </c>
      <c r="T12" s="1332" t="n">
        <v>3.3000000000000002E-2</v>
      </c>
      <c r="U12" s="1361" t="n">
        <v>0</v>
      </c>
      <c r="V12" s="1325" t="n">
        <v>0</v>
      </c>
      <c r="W12" s="885" t="n">
        <v>0</v>
      </c>
      <c r="X12" s="885" t="n">
        <v>0</v>
      </c>
      <c r="Y12" s="1361" t="n">
        <v>0</v>
      </c>
      <c r="Z12" s="1361" t="n">
        <v>0</v>
      </c>
      <c r="AA12" s="1361" t="n">
        <v>0</v>
      </c>
      <c r="AB12" s="1361" t="n">
        <v>0</v>
      </c>
      <c r="AC12" s="1325" t="n">
        <v>0</v>
      </c>
      <c r="AD12" s="1325" t="n">
        <v>0</v>
      </c>
      <c r="AE12" s="1325" t="n">
        <v>0</v>
      </c>
      <c r="AF12" s="1325" t="n">
        <v>0</v>
      </c>
      <c r="AG12" s="1325" t="n">
        <v>-1.151</v>
      </c>
      <c r="AH12" s="1325" t="n">
        <v>0.08</v>
      </c>
      <c r="AI12" s="1325" t="n">
        <v>0</v>
      </c>
      <c r="AJ12" s="1325" t="n">
        <v>0</v>
      </c>
      <c r="AK12" s="1361" t="n">
        <v>0</v>
      </c>
      <c r="AL12" s="1361" t="n">
        <v>1.635</v>
      </c>
      <c r="AM12" s="1361" t="n">
        <v>0</v>
      </c>
      <c r="AN12" s="1361" t="n">
        <v>0.1</v>
      </c>
      <c r="AO12" s="885" t="n">
        <v>0</v>
      </c>
      <c r="AP12" s="1361" t="n">
        <v>0</v>
      </c>
      <c r="AQ12" s="1372" t="n">
        <v>0</v>
      </c>
      <c r="AR12" s="1361" t="n">
        <v>0</v>
      </c>
      <c r="AS12" s="1361" t="n">
        <v>0</v>
      </c>
      <c r="AT12" s="1359" t="n">
        <v>1.71</v>
      </c>
      <c r="AU12" s="1325" t="n">
        <v>0</v>
      </c>
      <c r="AV12" s="1361" t="n">
        <v>1E-3</v>
      </c>
      <c r="AW12" s="1361" t="n">
        <v>0</v>
      </c>
      <c r="AX12" s="1361" t="n">
        <v>0</v>
      </c>
      <c r="AY12" s="885" t="n">
        <v>-2.77</v>
      </c>
      <c r="AZ12" s="1361" t="n">
        <v>0</v>
      </c>
      <c r="BA12" s="885" t="n">
        <v>0</v>
      </c>
      <c r="BB12" s="1361" t="n">
        <v>0</v>
      </c>
      <c r="BC12" s="1361" t="n">
        <v>0</v>
      </c>
      <c r="BD12" s="1361" t="n">
        <v>0</v>
      </c>
      <c r="BE12" s="885" t="n">
        <v>0.1</v>
      </c>
      <c r="BF12" s="885" t="n">
        <v>0</v>
      </c>
      <c r="BG12" s="885" t="n">
        <v>0</v>
      </c>
      <c r="BH12" s="1330" t="n">
        <v>-5.069</v>
      </c>
      <c r="BI12" s="1361" t="n">
        <v>-0.09</v>
      </c>
      <c r="BJ12" s="1352" t="n">
        <v>0.03</v>
      </c>
    </row>
    <row r="13">
      <c r="A13" s="1339" t="n">
        <v>2029</v>
      </c>
      <c r="B13" s="1341" t="n">
        <f t="shared" si="1"/>
        <v>0</v>
      </c>
      <c r="C13" s="1341" t="n">
        <f t="shared" si="2"/>
        <v>0</v>
      </c>
      <c r="D13" s="1341" t="n">
        <f t="shared" si="3"/>
        <v>3.3000000000000002E-2</v>
      </c>
      <c r="E13" s="1341" t="n">
        <f t="shared" si="4"/>
        <v>1.7130000000000001</v>
      </c>
      <c r="F13" s="1341" t="n">
        <f t="shared" si="11"/>
        <v>0</v>
      </c>
      <c r="G13" s="1341" t="n">
        <f t="shared" si="5"/>
        <v>-5.218</v>
      </c>
      <c r="H13" s="1341" t="n">
        <f t="shared" si="6"/>
        <v>-1.964</v>
      </c>
      <c r="I13" s="1341" t="n">
        <f t="shared" si="7"/>
        <v>0</v>
      </c>
      <c r="J13" s="1341" t="n">
        <f t="shared" si="8"/>
        <v>-1.7000000000000001E-2</v>
      </c>
      <c r="K13" s="1341" t="n">
        <f t="shared" si="9"/>
        <v>1</v>
      </c>
      <c r="L13" s="1345"/>
      <c r="M13" s="1341" t="n">
        <f t="shared" si="0"/>
        <v>-2.75</v>
      </c>
      <c r="N13" s="1341" t="n">
        <f t="shared" si="10"/>
        <v>0</v>
      </c>
      <c r="O13" s="1368" t="n">
        <v>0.3</v>
      </c>
      <c r="P13" s="1362" t="n">
        <v>1.08</v>
      </c>
      <c r="Q13" s="1361" t="n">
        <v>0</v>
      </c>
      <c r="R13" s="1370" t="n">
        <v>0.63300000000000001</v>
      </c>
      <c r="S13" s="1329" t="n">
        <v>0</v>
      </c>
      <c r="T13" s="1325" t="n">
        <v>3.3000000000000002E-2</v>
      </c>
      <c r="U13" s="1361" t="n">
        <v>0</v>
      </c>
      <c r="V13" s="1325" t="n">
        <v>0</v>
      </c>
      <c r="W13" s="885" t="n">
        <v>0</v>
      </c>
      <c r="X13" s="885" t="n">
        <v>0</v>
      </c>
      <c r="Y13" s="1361" t="n">
        <v>0</v>
      </c>
      <c r="Z13" s="1361" t="n">
        <v>0</v>
      </c>
      <c r="AA13" s="1361" t="n">
        <v>0</v>
      </c>
      <c r="AB13" s="1361" t="n">
        <v>0</v>
      </c>
      <c r="AC13" s="1325" t="n">
        <v>0</v>
      </c>
      <c r="AD13" s="1325" t="n">
        <v>0</v>
      </c>
      <c r="AE13" s="1325" t="n">
        <v>0</v>
      </c>
      <c r="AF13" s="1325" t="n">
        <v>0</v>
      </c>
      <c r="AG13" s="1361" t="n">
        <v>-2.044</v>
      </c>
      <c r="AH13" s="1325" t="n">
        <v>0.08</v>
      </c>
      <c r="AI13" s="1325" t="n">
        <v>0</v>
      </c>
      <c r="AJ13" s="1333" t="n">
        <v>0</v>
      </c>
      <c r="AK13" s="1361" t="n">
        <v>0</v>
      </c>
      <c r="AL13" s="1361" t="n">
        <v>-1.7000000000000001E-2</v>
      </c>
      <c r="AM13" s="1361" t="n">
        <v>0</v>
      </c>
      <c r="AN13" s="1361" t="n">
        <v>0</v>
      </c>
      <c r="AO13" s="885" t="n">
        <v>0</v>
      </c>
      <c r="AP13" s="1361" t="n">
        <v>0</v>
      </c>
      <c r="AQ13" s="1372" t="n">
        <v>0</v>
      </c>
      <c r="AR13" s="1361" t="n">
        <v>0</v>
      </c>
      <c r="AS13" s="1361" t="n">
        <v>0</v>
      </c>
      <c r="AT13" s="1359" t="n">
        <v>1</v>
      </c>
      <c r="AU13" s="1325" t="n">
        <v>0</v>
      </c>
      <c r="AV13" s="1361" t="n">
        <v>0</v>
      </c>
      <c r="AW13" s="1361" t="n">
        <v>0</v>
      </c>
      <c r="AX13" s="1361" t="n">
        <v>0</v>
      </c>
      <c r="AY13" s="885" t="n">
        <v>-2.75</v>
      </c>
      <c r="AZ13" s="1361" t="n">
        <v>0</v>
      </c>
      <c r="BA13" s="885" t="n">
        <v>0</v>
      </c>
      <c r="BB13" s="1361" t="n">
        <v>0</v>
      </c>
      <c r="BC13" s="1361" t="n">
        <v>0</v>
      </c>
      <c r="BD13" s="1361" t="n">
        <v>0</v>
      </c>
      <c r="BE13" s="885" t="n">
        <v>0</v>
      </c>
      <c r="BF13" s="1334" t="n">
        <v>0</v>
      </c>
      <c r="BG13" s="885" t="n">
        <v>0</v>
      </c>
      <c r="BH13" s="1330" t="n">
        <v>-5.1180000000000003</v>
      </c>
      <c r="BI13" s="1361" t="n">
        <v>-0.1</v>
      </c>
      <c r="BJ13" s="1352" t="n">
        <v>0.01</v>
      </c>
    </row>
    <row r="14">
      <c r="A14" s="1339" t="n">
        <v>2030</v>
      </c>
      <c r="B14" s="1341" t="n">
        <f t="shared" si="1"/>
        <v>0</v>
      </c>
      <c r="C14" s="1341" t="n">
        <f t="shared" si="2"/>
        <v>0</v>
      </c>
      <c r="D14" s="1341" t="n">
        <f t="shared" si="3"/>
        <v>3.3000000000000002E-2</v>
      </c>
      <c r="E14" s="1341" t="n">
        <f t="shared" si="4"/>
        <v>1.8130000000000002</v>
      </c>
      <c r="F14" s="1341" t="n">
        <f t="shared" si="11"/>
        <v>0</v>
      </c>
      <c r="G14" s="1341" t="n">
        <f t="shared" si="5"/>
        <v>-5.9420000000000002</v>
      </c>
      <c r="H14" s="1341" t="n">
        <f t="shared" si="6"/>
        <v>-2.0210000000000004</v>
      </c>
      <c r="I14" s="1341" t="n">
        <f t="shared" si="7"/>
        <v>0</v>
      </c>
      <c r="J14" s="1341" t="n">
        <f t="shared" si="8"/>
        <v>-1.9E-2</v>
      </c>
      <c r="K14" s="1341" t="n">
        <f t="shared" si="9"/>
        <v>0.8</v>
      </c>
      <c r="L14" s="1345"/>
      <c r="M14" s="1341" t="n">
        <f t="shared" si="0"/>
        <v>-8.1189999999999998</v>
      </c>
      <c r="N14" s="1341" t="n">
        <f t="shared" si="10"/>
        <v>0</v>
      </c>
      <c r="O14" s="1368" t="n">
        <v>0.3</v>
      </c>
      <c r="P14" s="1362" t="n">
        <v>1.1800000000000002</v>
      </c>
      <c r="Q14" s="1361" t="n">
        <v>0</v>
      </c>
      <c r="R14" s="1370" t="n">
        <v>0.63300000000000001</v>
      </c>
      <c r="S14" s="1329" t="n">
        <v>0</v>
      </c>
      <c r="T14" s="1325" t="n">
        <v>3.3000000000000002E-2</v>
      </c>
      <c r="U14" s="1361" t="n">
        <v>0</v>
      </c>
      <c r="V14" s="1325" t="n">
        <v>0</v>
      </c>
      <c r="W14" s="885" t="n">
        <v>0</v>
      </c>
      <c r="X14" s="885" t="n">
        <v>0</v>
      </c>
      <c r="Y14" s="1361" t="n">
        <v>0</v>
      </c>
      <c r="Z14" s="1361" t="n">
        <v>0</v>
      </c>
      <c r="AA14" s="1361" t="n">
        <v>0</v>
      </c>
      <c r="AB14" s="1361" t="n">
        <v>0</v>
      </c>
      <c r="AC14" s="1325" t="n">
        <v>0</v>
      </c>
      <c r="AD14" s="1370" t="n">
        <v>0</v>
      </c>
      <c r="AE14" s="1361" t="n">
        <v>0</v>
      </c>
      <c r="AF14" s="1325" t="n">
        <v>0</v>
      </c>
      <c r="AG14" s="1325" t="n">
        <v>-2.1110000000000002</v>
      </c>
      <c r="AH14" s="1325" t="n">
        <v>0.09</v>
      </c>
      <c r="AI14" s="1325" t="n">
        <v>0</v>
      </c>
      <c r="AJ14" s="1335" t="n">
        <v>0</v>
      </c>
      <c r="AK14" s="1361" t="n">
        <v>0</v>
      </c>
      <c r="AL14" s="1361" t="n">
        <v>-1.9E-2</v>
      </c>
      <c r="AM14" s="1361" t="n">
        <v>0</v>
      </c>
      <c r="AN14" s="1361" t="n">
        <v>0</v>
      </c>
      <c r="AO14" s="885" t="n">
        <v>0</v>
      </c>
      <c r="AP14" s="1361" t="n">
        <v>0</v>
      </c>
      <c r="AQ14" s="1372" t="n">
        <v>0</v>
      </c>
      <c r="AR14" s="1361" t="n">
        <v>0</v>
      </c>
      <c r="AS14" s="1361" t="n">
        <v>0</v>
      </c>
      <c r="AT14" s="885" t="n">
        <v>0.8</v>
      </c>
      <c r="AU14" s="1325" t="n">
        <v>-5.4089999999999998</v>
      </c>
      <c r="AV14" s="1361" t="n">
        <v>0</v>
      </c>
      <c r="AW14" s="1361" t="n">
        <v>0</v>
      </c>
      <c r="AX14" s="1361" t="n">
        <v>0</v>
      </c>
      <c r="AY14" s="885" t="n">
        <v>-2.71</v>
      </c>
      <c r="AZ14" s="1361" t="n">
        <v>0</v>
      </c>
      <c r="BA14" s="885" t="n">
        <v>0</v>
      </c>
      <c r="BB14" s="1361" t="n">
        <v>0</v>
      </c>
      <c r="BC14" s="1361" t="n">
        <v>0</v>
      </c>
      <c r="BD14" s="1361" t="n">
        <v>0</v>
      </c>
      <c r="BE14" s="1361" t="n">
        <v>0</v>
      </c>
      <c r="BF14" s="885" t="n">
        <v>0</v>
      </c>
      <c r="BG14" s="885" t="n">
        <v>0</v>
      </c>
      <c r="BH14" s="1325" t="n">
        <v>-5.8319999999999999</v>
      </c>
      <c r="BI14" s="1361" t="n">
        <v>-0.11</v>
      </c>
      <c r="BJ14" s="1351" t="n">
        <v>0.01</v>
      </c>
    </row>
    <row r="15" ht="17.25" customHeight="1">
      <c r="A15" s="1339" t="n">
        <v>2031</v>
      </c>
      <c r="B15" s="1341" t="n">
        <f t="shared" si="1"/>
        <v>0</v>
      </c>
      <c r="C15" s="1341" t="n">
        <f t="shared" si="2"/>
        <v>0</v>
      </c>
      <c r="D15" s="1341" t="n">
        <f t="shared" si="3"/>
        <v>0</v>
      </c>
      <c r="E15" s="1341" t="n">
        <f t="shared" si="4"/>
        <v>1.8230000000000002</v>
      </c>
      <c r="F15" s="1341" t="n">
        <f t="shared" si="11"/>
        <v>0</v>
      </c>
      <c r="G15" s="1341" t="n">
        <f t="shared" si="5"/>
        <v>-7.7250000000000005</v>
      </c>
      <c r="H15" s="1341" t="n">
        <f t="shared" si="6"/>
        <v>-2.4630000000000001</v>
      </c>
      <c r="I15" s="1341" t="n">
        <f t="shared" si="7"/>
        <v>0</v>
      </c>
      <c r="J15" s="1341" t="n">
        <f t="shared" si="8"/>
        <v>-1.9E-2</v>
      </c>
      <c r="K15" s="1341" t="n">
        <f t="shared" si="9"/>
        <v>0</v>
      </c>
      <c r="L15" s="1345"/>
      <c r="M15" s="1341" t="n">
        <f t="shared" si="0"/>
        <v>-3.0390000000000001</v>
      </c>
      <c r="N15" s="1341" t="n">
        <f t="shared" si="10"/>
        <v>0</v>
      </c>
      <c r="O15" s="1368" t="n">
        <v>0.3</v>
      </c>
      <c r="P15" s="1362" t="n">
        <v>1.1900000000000002</v>
      </c>
      <c r="Q15" s="1361" t="n">
        <v>0</v>
      </c>
      <c r="R15" s="1370" t="n">
        <v>0.63300000000000001</v>
      </c>
      <c r="S15" s="1329" t="n">
        <v>0</v>
      </c>
      <c r="T15" s="885" t="n">
        <v>0</v>
      </c>
      <c r="U15" s="1361" t="n">
        <v>0</v>
      </c>
      <c r="V15" s="1361" t="n">
        <v>0</v>
      </c>
      <c r="W15" s="885" t="n">
        <v>0</v>
      </c>
      <c r="X15" s="885" t="n">
        <v>0</v>
      </c>
      <c r="Y15" s="1361" t="n">
        <v>0</v>
      </c>
      <c r="Z15" s="1361" t="n">
        <v>0</v>
      </c>
      <c r="AA15" s="1361" t="n">
        <v>0</v>
      </c>
      <c r="AB15" s="1361" t="n">
        <v>0</v>
      </c>
      <c r="AC15" s="1325" t="n">
        <v>0</v>
      </c>
      <c r="AD15" s="1361" t="n">
        <v>0</v>
      </c>
      <c r="AE15" s="1325" t="n">
        <v>0</v>
      </c>
      <c r="AF15" s="1325" t="n">
        <v>0</v>
      </c>
      <c r="AG15" s="1325" t="n">
        <v>-2.5529999999999999</v>
      </c>
      <c r="AH15" s="1325" t="n">
        <v>0.09</v>
      </c>
      <c r="AI15" s="1325" t="n">
        <v>0</v>
      </c>
      <c r="AJ15" s="1336" t="n">
        <v>0</v>
      </c>
      <c r="AK15" s="1361" t="n">
        <v>0</v>
      </c>
      <c r="AL15" s="1361" t="n">
        <v>-1.9E-2</v>
      </c>
      <c r="AM15" s="1361" t="n">
        <v>0</v>
      </c>
      <c r="AN15" s="1361" t="n">
        <v>0</v>
      </c>
      <c r="AO15" s="885" t="n">
        <v>0</v>
      </c>
      <c r="AP15" s="1361" t="n">
        <v>0</v>
      </c>
      <c r="AQ15" s="1372" t="n">
        <v>0</v>
      </c>
      <c r="AR15" s="1361" t="n">
        <v>0</v>
      </c>
      <c r="AS15" s="1361" t="n">
        <v>0</v>
      </c>
      <c r="AT15" s="885" t="n">
        <v>0</v>
      </c>
      <c r="AU15" s="1325" t="n">
        <v>-0.26900000000000002</v>
      </c>
      <c r="AV15" s="1361" t="n">
        <v>0</v>
      </c>
      <c r="AW15" s="1361" t="n">
        <v>0</v>
      </c>
      <c r="AX15" s="1361" t="n">
        <v>0</v>
      </c>
      <c r="AY15" s="885" t="n">
        <v>-2.77</v>
      </c>
      <c r="AZ15" s="1361" t="n">
        <v>0</v>
      </c>
      <c r="BA15" s="885" t="n">
        <v>0</v>
      </c>
      <c r="BB15" s="1361" t="n">
        <v>0</v>
      </c>
      <c r="BC15" s="1361" t="n">
        <v>0</v>
      </c>
      <c r="BD15" s="1361" t="n">
        <v>0</v>
      </c>
      <c r="BE15" s="1361" t="n">
        <v>0</v>
      </c>
      <c r="BF15" s="885" t="n">
        <v>0</v>
      </c>
      <c r="BG15" s="885" t="n">
        <v>0</v>
      </c>
      <c r="BH15" s="1325" t="n">
        <v>-5.4350000000000005</v>
      </c>
      <c r="BI15" s="1361" t="n">
        <v>-2.29</v>
      </c>
      <c r="BJ15" s="1351" t="n">
        <v>0</v>
      </c>
    </row>
    <row r="16">
      <c r="A16" s="1340" t="s">
        <v>312</v>
      </c>
      <c r="B16" s="1340" t="n">
        <f>SUM(B5:B15)</f>
        <v>412.15299999999996</v>
      </c>
      <c r="C16" s="1340" t="n">
        <f>SUM(C5:C15)</f>
        <v>205.79999999999998</v>
      </c>
      <c r="D16" s="1340" t="n">
        <f>SUM(D5:D15)</f>
        <v>22.711000000000006</v>
      </c>
      <c r="E16" s="1340" t="n">
        <f t="shared" ref="E16:H16" si="12">SUM(E5:E15)</f>
        <v>35.466000000000015</v>
      </c>
      <c r="F16" s="1340" t="n">
        <f t="shared" si="12"/>
        <v>91.563000000000002</v>
      </c>
      <c r="G16" s="1341" t="n">
        <f t="shared" si="5"/>
        <v>174.17</v>
      </c>
      <c r="H16" s="1340" t="n">
        <f t="shared" si="12"/>
        <v>21.600999999999996</v>
      </c>
      <c r="I16" s="1345" t="n">
        <f t="shared" ref="I16" si="13">SUM(I5:I15)</f>
        <v>362.04999999999995</v>
      </c>
      <c r="J16" s="1345" t="n">
        <f t="shared" ref="J16" si="14">SUM(J5:J15)</f>
        <v>169.16899999999998</v>
      </c>
      <c r="K16" s="1341" t="n">
        <f t="shared" si="9"/>
        <v>112.72</v>
      </c>
      <c r="L16" s="1345" t="n">
        <f>SUM(L5:L15)</f>
        <v>25.75</v>
      </c>
      <c r="M16" s="1341" t="n">
        <f t="shared" si="0"/>
        <v>85.197999999999993</v>
      </c>
      <c r="N16" s="1341" t="n">
        <f>AK16</f>
        <v>8.5</v>
      </c>
      <c r="O16" s="1369" t="n">
        <f t="shared" ref="O16:BI16" si="15">SUM(O5:O15)</f>
        <v>109.3</v>
      </c>
      <c r="P16" s="1361" t="n">
        <f t="shared" si="15"/>
        <v>25.819999999999997</v>
      </c>
      <c r="Q16" s="1361" t="n">
        <f t="shared" si="15"/>
        <v>412.15299999999996</v>
      </c>
      <c r="R16" s="1361" t="n">
        <f t="shared" si="15"/>
        <v>5.774</v>
      </c>
      <c r="S16" s="1361" t="n">
        <f t="shared" si="15"/>
        <v>3.8719999999999999</v>
      </c>
      <c r="T16" s="1361" t="n">
        <f t="shared" si="15"/>
        <v>22.711000000000006</v>
      </c>
      <c r="U16" s="1361" t="n">
        <f t="shared" si="15"/>
        <v>41.599999999999994</v>
      </c>
      <c r="V16" s="1361" t="n">
        <f t="shared" si="15"/>
        <v>44.947999999999993</v>
      </c>
      <c r="W16" s="1361" t="n">
        <f t="shared" si="15"/>
        <v>5</v>
      </c>
      <c r="X16" s="1361" t="n">
        <f t="shared" si="15"/>
        <v>1.4440000000000002</v>
      </c>
      <c r="Y16" s="1361" t="n">
        <f t="shared" si="15"/>
        <v>0.2</v>
      </c>
      <c r="Z16" s="1361" t="n">
        <f t="shared" si="15"/>
        <v>45.4</v>
      </c>
      <c r="AA16" s="1361" t="n">
        <f t="shared" si="15"/>
        <v>35.5</v>
      </c>
      <c r="AB16" s="1361" t="n">
        <f t="shared" si="15"/>
        <v>124.7</v>
      </c>
      <c r="AC16" s="1361" t="n">
        <f t="shared" si="15"/>
        <v>28</v>
      </c>
      <c r="AD16" s="1361" t="n">
        <f t="shared" si="15"/>
        <v>9.100000000000022E-2</v>
      </c>
      <c r="AE16" s="1361" t="n">
        <f t="shared" si="15"/>
        <v>22.810000000000002</v>
      </c>
      <c r="AF16" s="1361" t="n">
        <f t="shared" si="15"/>
        <v>1.42</v>
      </c>
      <c r="AG16" s="1361" t="n">
        <f t="shared" si="15"/>
        <v>20.662999999999997</v>
      </c>
      <c r="AH16" s="1361" t="n">
        <f t="shared" si="15"/>
        <v>0.86999999999999988</v>
      </c>
      <c r="AI16" s="1361" t="n">
        <f t="shared" si="15"/>
        <v>6.8000000000000005E-2</v>
      </c>
      <c r="AJ16" s="1361" t="n">
        <f t="shared" si="15"/>
        <v>362.04999999999995</v>
      </c>
      <c r="AK16" s="1361" t="n">
        <f t="shared" ref="AK16:AO16" si="16">SUM(AK5:AK15)</f>
        <v>8.5</v>
      </c>
      <c r="AL16" s="1361" t="n">
        <f t="shared" si="16"/>
        <v>169.16899999999998</v>
      </c>
      <c r="AM16" s="1343" t="n">
        <f t="shared" si="16"/>
        <v>0.79700000000000004</v>
      </c>
      <c r="AN16" s="1361" t="n">
        <f t="shared" si="16"/>
        <v>8.6</v>
      </c>
      <c r="AO16" s="1361" t="n">
        <f t="shared" si="16"/>
        <v>3.2000000000000006</v>
      </c>
      <c r="AP16" s="1361" t="n">
        <f t="shared" si="15"/>
        <v>2.8000000000000003</v>
      </c>
      <c r="AQ16" s="1346" t="n">
        <f>SUM(AQ5:AQ15)</f>
        <v>28</v>
      </c>
      <c r="AR16" s="1361" t="n">
        <f>SUM(AR5:AR15)</f>
        <v>14.899999999999999</v>
      </c>
      <c r="AS16" s="1361" t="n">
        <f>SUM(AS5:AS15)</f>
        <v>3.8730000000000002</v>
      </c>
      <c r="AT16" s="1361" t="n">
        <f t="shared" ref="AT16" si="17">SUM(AT5:AT15)</f>
        <v>50.54999999999999</v>
      </c>
      <c r="AU16" s="1361" t="n">
        <f t="shared" si="15"/>
        <v>-5.6779999999999999</v>
      </c>
      <c r="AV16" s="1361" t="n">
        <f t="shared" si="15"/>
        <v>8.177999999999999</v>
      </c>
      <c r="AW16" s="1361" t="n">
        <f t="shared" si="15"/>
        <v>16.667999999999999</v>
      </c>
      <c r="AX16" s="1361" t="n">
        <f t="shared" si="15"/>
        <v>9.9</v>
      </c>
      <c r="AY16" s="1361" t="n">
        <f t="shared" si="15"/>
        <v>-25.860000000000003</v>
      </c>
      <c r="AZ16" s="1361" t="n">
        <f t="shared" si="15"/>
        <v>81.99</v>
      </c>
      <c r="BA16" s="1361" t="n">
        <v>0</v>
      </c>
      <c r="BB16" s="1361" t="n">
        <f t="shared" si="15"/>
        <v>24</v>
      </c>
      <c r="BC16" s="1361" t="n">
        <f t="shared" si="15"/>
        <v>7.25</v>
      </c>
      <c r="BD16" s="1361" t="n">
        <f t="shared" si="15"/>
        <v>49.8</v>
      </c>
      <c r="BE16" s="1361" t="n">
        <f t="shared" si="15"/>
        <v>9.02</v>
      </c>
      <c r="BF16" s="1361" t="n">
        <f t="shared" si="15"/>
        <v>6.2439999999999998</v>
      </c>
      <c r="BG16" s="1361" t="n">
        <f t="shared" si="15"/>
        <v>10.218</v>
      </c>
      <c r="BH16" s="1361" t="n">
        <f t="shared" si="15"/>
        <v>50.203999999999979</v>
      </c>
      <c r="BI16" s="1361" t="n">
        <f t="shared" si="15"/>
        <v>24.684000000000005</v>
      </c>
      <c r="BJ16" s="1353" t="n">
        <f>SUM(BJ5:BJ15)</f>
        <v>9.5399999999999991</v>
      </c>
    </row>
    <row r="17">
      <c r="R17" s="1370"/>
      <c r="S17" s="1370"/>
      <c r="W17" s="1370"/>
      <c r="X17" s="1370"/>
      <c r="AE17" s="1370"/>
      <c r="AF17" s="1370"/>
      <c r="AV17" s="1370"/>
      <c r="AW17" s="1370"/>
      <c r="AX17" s="1370"/>
      <c r="AY17" s="1370"/>
      <c r="AZ17" s="1370"/>
      <c r="BA17" s="1370"/>
      <c r="BC17" s="1370"/>
      <c r="BE17" s="1370"/>
      <c r="BF17" s="1370"/>
      <c r="BG17" s="1370"/>
    </row>
    <row r="18">
      <c r="R18" s="1370"/>
      <c r="S18" s="1370"/>
      <c r="W18" s="1370"/>
      <c r="X18" s="1370"/>
      <c r="AE18" s="1370"/>
      <c r="AF18" s="1370"/>
      <c r="AV18" s="1370"/>
      <c r="AW18" s="1370"/>
      <c r="AX18" s="1370"/>
      <c r="AY18" s="1370"/>
      <c r="AZ18" s="1370"/>
      <c r="BA18" s="1370"/>
      <c r="BC18" s="1370" t="s">
        <v>724</v>
      </c>
      <c r="BD18" s="1370" t="s">
        <v>724</v>
      </c>
      <c r="BE18" s="1370"/>
      <c r="BF18" s="1370" t="s">
        <v>724</v>
      </c>
      <c r="BG18" s="1370" t="s">
        <v>724</v>
      </c>
      <c r="BI18" s="1370" t="s">
        <v>724</v>
      </c>
    </row>
    <row r="19">
      <c r="B19" s="1075"/>
      <c r="C19" s="1075"/>
      <c r="D19" s="1075"/>
      <c r="E19" s="1075"/>
      <c r="F19" s="1075"/>
      <c r="H19" s="1075"/>
      <c r="I19" s="1075"/>
      <c r="J19" s="1075"/>
      <c r="K19" s="1075"/>
      <c r="M19" s="1075"/>
      <c r="N19" s="1075"/>
      <c r="R19" s="1370"/>
      <c r="S19" s="1370"/>
      <c r="W19" s="1370"/>
      <c r="X19" s="1370"/>
      <c r="AE19" s="1370"/>
      <c r="AF19" s="1370"/>
      <c r="AV19" s="1370"/>
      <c r="AW19" s="1370"/>
      <c r="AX19" s="1370"/>
      <c r="AY19" s="1370"/>
      <c r="AZ19" s="1370"/>
      <c r="BA19" s="1370"/>
      <c r="BC19" s="1370"/>
      <c r="BD19" t="s">
        <v>725</v>
      </c>
      <c r="BE19" s="1370"/>
      <c r="BF19" s="1370"/>
      <c r="BG19" s="1370"/>
    </row>
    <row r="20">
      <c r="R20" s="1370"/>
      <c r="S20" s="1370"/>
      <c r="W20" s="1370"/>
      <c r="X20" s="1370"/>
      <c r="AE20" s="1370"/>
      <c r="AF20" s="1370"/>
      <c r="AV20" s="1370"/>
      <c r="AW20" s="1370"/>
      <c r="AX20" s="1370"/>
      <c r="AY20" s="1370"/>
      <c r="AZ20" s="1370"/>
      <c r="BA20" s="1370"/>
      <c r="BC20" s="1370"/>
      <c r="BE20" s="1370"/>
      <c r="BF20" s="1370"/>
      <c r="BG20" s="1370"/>
    </row>
    <row r="21">
      <c r="R21" s="1370"/>
      <c r="S21" s="1370"/>
      <c r="W21" s="1370"/>
      <c r="X21" s="1370"/>
      <c r="AE21" s="1370"/>
      <c r="AF21" s="1370"/>
      <c r="AV21" s="1370"/>
      <c r="AW21" s="1370"/>
      <c r="AX21" s="1370"/>
      <c r="AY21" s="1370"/>
      <c r="AZ21" s="1370"/>
      <c r="BA21" s="1370"/>
      <c r="BC21" s="1370"/>
      <c r="BE21" s="1370"/>
      <c r="BF21" s="1370"/>
      <c r="BG21" s="1370"/>
    </row>
    <row r="22">
      <c r="B22" s="1075"/>
      <c r="R22" s="1370"/>
      <c r="S22" s="1370"/>
      <c r="W22" s="1370"/>
      <c r="X22" s="1370"/>
      <c r="AE22" s="1370"/>
      <c r="AF22" s="1370"/>
      <c r="AV22" s="1370"/>
      <c r="AW22" s="1370"/>
      <c r="AX22" s="1370"/>
      <c r="AY22" s="1370"/>
      <c r="AZ22" s="1370"/>
      <c r="BA22" s="1370"/>
      <c r="BC22" s="1370"/>
      <c r="BE22" s="1370"/>
      <c r="BF22" s="1370"/>
      <c r="BG22" s="1370"/>
    </row>
    <row r="23">
      <c r="B23" s="1075"/>
      <c r="R23" s="1370"/>
      <c r="S23" s="1370"/>
      <c r="W23" s="1370"/>
      <c r="X23" s="1370"/>
      <c r="AE23" s="1370"/>
      <c r="AF23" s="1370"/>
      <c r="AV23" s="1370"/>
      <c r="AW23" s="1370"/>
      <c r="AX23" s="1370"/>
      <c r="AY23" s="1370"/>
      <c r="AZ23" s="1370"/>
      <c r="BA23" s="1370"/>
      <c r="BC23" s="1370"/>
      <c r="BE23" s="1370"/>
      <c r="BF23" s="1370"/>
      <c r="BG23" s="1370"/>
    </row>
    <row r="24">
      <c r="B24" s="1075"/>
      <c r="R24" s="1370"/>
      <c r="S24" s="1370"/>
      <c r="W24" s="1370"/>
      <c r="X24" s="1370"/>
      <c r="AE24" s="1370"/>
      <c r="AF24" s="1370"/>
      <c r="AV24" s="1370"/>
      <c r="AW24" s="1370"/>
      <c r="AX24" s="1370"/>
      <c r="AY24" s="1370"/>
      <c r="AZ24" s="1370"/>
      <c r="BA24" s="1370"/>
      <c r="BC24" s="1370"/>
      <c r="BE24" s="1370"/>
      <c r="BF24" s="1370"/>
      <c r="BG24" s="1370"/>
    </row>
    <row r="25">
      <c r="B25" s="1075"/>
      <c r="R25" s="1370"/>
      <c r="S25" s="1370"/>
      <c r="W25" s="1370"/>
      <c r="X25" s="1370"/>
      <c r="AE25" s="1370"/>
      <c r="AF25" s="1370"/>
      <c r="AV25" s="1370"/>
      <c r="AW25" s="1370"/>
      <c r="AX25" s="1370"/>
      <c r="AY25" s="1370"/>
      <c r="AZ25" s="1370"/>
      <c r="BA25" s="1370"/>
      <c r="BC25" s="1370"/>
      <c r="BE25" s="1370"/>
      <c r="BF25" s="1370"/>
      <c r="BG25" s="1370"/>
    </row>
    <row r="26">
      <c r="B26" s="1075"/>
      <c r="R26" s="1370"/>
      <c r="S26" s="1370"/>
      <c r="W26" s="1370"/>
      <c r="X26" s="1370"/>
      <c r="AE26" s="1370"/>
      <c r="AF26" s="1370"/>
      <c r="AV26" s="1370"/>
      <c r="AW26" s="1370"/>
      <c r="AX26" s="1370"/>
      <c r="AY26" s="1370"/>
      <c r="AZ26" s="1370"/>
      <c r="BA26" s="1370"/>
      <c r="BC26" s="1370"/>
      <c r="BE26" s="1370"/>
      <c r="BF26" s="1370"/>
      <c r="BG26" s="1370"/>
    </row>
    <row r="27">
      <c r="B27" s="1075"/>
      <c r="R27" s="1370"/>
      <c r="S27" s="1370"/>
      <c r="W27" s="1370"/>
      <c r="X27" s="1370"/>
      <c r="AE27" s="1370"/>
      <c r="AF27" s="1370"/>
      <c r="AV27" s="1370"/>
      <c r="AW27" s="1370"/>
      <c r="AX27" s="1370"/>
      <c r="AY27" s="1370"/>
      <c r="AZ27" s="1370"/>
      <c r="BA27" s="1370"/>
      <c r="BC27" s="1370"/>
      <c r="BE27" s="1370"/>
      <c r="BF27" s="1370"/>
      <c r="BG27" s="1370"/>
    </row>
    <row r="28">
      <c r="B28" s="1075"/>
      <c r="R28" s="1370"/>
      <c r="S28" s="1370"/>
      <c r="W28" s="1370"/>
      <c r="X28" s="1370"/>
      <c r="AE28" s="1370"/>
      <c r="AF28" s="1370"/>
      <c r="AV28" s="1370"/>
      <c r="AW28" s="1370"/>
      <c r="AX28" s="1370"/>
      <c r="AY28" s="1370"/>
      <c r="AZ28" s="1370"/>
      <c r="BA28" s="1370"/>
      <c r="BC28" s="1370"/>
      <c r="BE28" s="1370"/>
      <c r="BF28" s="1370"/>
      <c r="BG28" s="1370"/>
    </row>
    <row r="29">
      <c r="R29" s="1370"/>
      <c r="S29" s="1370"/>
      <c r="W29" s="1370"/>
      <c r="X29" s="1370"/>
      <c r="AE29" s="1370"/>
      <c r="AF29" s="1370"/>
      <c r="AV29" s="1370"/>
      <c r="AW29" s="1370"/>
      <c r="AX29" s="1370"/>
      <c r="AY29" s="1370"/>
      <c r="AZ29" s="1370"/>
      <c r="BA29" s="1370"/>
      <c r="BC29" s="1370"/>
      <c r="BE29" s="1370"/>
      <c r="BF29" s="1370"/>
      <c r="BG29" s="1370"/>
    </row>
    <row r="30">
      <c r="R30" s="1370"/>
      <c r="S30" s="1370"/>
      <c r="W30" s="1370"/>
      <c r="X30" s="1370"/>
      <c r="AE30" s="1370"/>
      <c r="AF30" s="1370"/>
      <c r="AV30" s="1370"/>
      <c r="AW30" s="1370"/>
      <c r="AX30" s="1370"/>
      <c r="AY30" s="1370"/>
      <c r="AZ30" s="1370"/>
      <c r="BA30" s="1370"/>
      <c r="BC30" s="1370"/>
      <c r="BE30" s="1370"/>
      <c r="BF30" s="1370"/>
      <c r="BG30" s="1370"/>
    </row>
    <row r="31">
      <c r="R31" s="1370"/>
      <c r="S31" s="1370"/>
      <c r="W31" s="1370"/>
      <c r="X31" s="1370"/>
      <c r="AE31" s="1370"/>
      <c r="AF31" s="1370"/>
      <c r="AV31" s="1370"/>
      <c r="AW31" s="1370"/>
      <c r="AX31" s="1370"/>
      <c r="AY31" s="1370"/>
      <c r="AZ31" s="1370"/>
      <c r="BA31" s="1370"/>
      <c r="BC31" s="1370"/>
      <c r="BE31" s="1370"/>
      <c r="BF31" s="1370"/>
      <c r="BG31" s="1370"/>
    </row>
    <row r="32">
      <c r="R32" s="1370"/>
      <c r="S32" s="1370"/>
      <c r="W32" s="1370"/>
      <c r="X32" s="1370"/>
      <c r="AE32" s="1370"/>
      <c r="AF32" s="1370"/>
      <c r="AV32" s="1370"/>
      <c r="AW32" s="1370"/>
      <c r="AX32" s="1370"/>
      <c r="AY32" s="1370"/>
      <c r="AZ32" s="1370"/>
      <c r="BA32" s="1370"/>
      <c r="BC32" s="1370"/>
      <c r="BE32" s="1370"/>
      <c r="BF32" s="1370"/>
      <c r="BG32" s="1370"/>
    </row>
    <row r="33">
      <c r="R33" s="1370"/>
      <c r="S33" s="1370"/>
      <c r="W33" s="1370"/>
      <c r="X33" s="1370"/>
      <c r="AE33" s="1370"/>
      <c r="AF33" s="1370"/>
      <c r="AV33" s="1370"/>
      <c r="AW33" s="1370"/>
      <c r="AX33" s="1370"/>
      <c r="AY33" s="1370"/>
      <c r="AZ33" s="1370"/>
      <c r="BA33" s="1370"/>
      <c r="BC33" s="1370"/>
      <c r="BE33" s="1370"/>
      <c r="BF33" s="1370"/>
      <c r="BG33" s="1370"/>
    </row>
    <row r="34">
      <c r="R34" s="1370"/>
      <c r="S34" s="1370"/>
      <c r="W34" s="1370"/>
      <c r="X34" s="1370"/>
      <c r="AE34" s="1370"/>
      <c r="AF34" s="1370"/>
      <c r="AV34" s="1370"/>
      <c r="AW34" s="1370"/>
      <c r="AX34" s="1370"/>
      <c r="AY34" s="1370"/>
      <c r="AZ34" s="1370"/>
      <c r="BA34" s="1370"/>
      <c r="BC34" s="1370"/>
      <c r="BE34" s="1370"/>
      <c r="BF34" s="1370"/>
      <c r="BG34" s="1370"/>
    </row>
    <row r="35">
      <c r="R35" s="1370"/>
      <c r="S35" s="1370"/>
      <c r="W35" s="1370"/>
      <c r="X35" s="1370"/>
      <c r="AE35" s="1370"/>
      <c r="AF35" s="1370"/>
      <c r="AV35" s="1370"/>
      <c r="AW35" s="1370"/>
      <c r="AX35" s="1370"/>
      <c r="AY35" s="1370"/>
      <c r="AZ35" s="1370"/>
      <c r="BA35" s="1370"/>
      <c r="BC35" s="1370"/>
      <c r="BE35" s="1370"/>
      <c r="BF35" s="1370"/>
      <c r="BG35" s="1370"/>
    </row>
    <row r="36">
      <c r="R36" s="1370"/>
      <c r="S36" s="1370"/>
      <c r="W36" s="1370"/>
      <c r="X36" s="1370"/>
      <c r="AE36" s="1370"/>
      <c r="AF36" s="1370"/>
      <c r="AV36" s="1370"/>
      <c r="AW36" s="1370"/>
      <c r="AX36" s="1370"/>
      <c r="AY36" s="1370"/>
      <c r="AZ36" s="1370"/>
      <c r="BA36" s="1370"/>
      <c r="BC36" s="1370"/>
      <c r="BE36" s="1370"/>
      <c r="BF36" s="1370"/>
      <c r="BG36" s="1370"/>
    </row>
    <row r="37">
      <c r="R37" s="1370"/>
      <c r="S37" s="1370"/>
      <c r="W37" s="1370"/>
      <c r="X37" s="1370"/>
      <c r="AE37" s="1370"/>
      <c r="AF37" s="1370"/>
      <c r="AV37" s="1370"/>
      <c r="AW37" s="1370"/>
      <c r="AX37" s="1370"/>
      <c r="AY37" s="1370"/>
      <c r="AZ37" s="1370"/>
      <c r="BA37" s="1370"/>
      <c r="BC37" s="1370"/>
      <c r="BE37" s="1370"/>
      <c r="BF37" s="1370"/>
      <c r="BG37" s="1370"/>
    </row>
    <row r="38">
      <c r="R38" s="1370"/>
      <c r="S38" s="1370"/>
      <c r="W38" s="1370"/>
      <c r="X38" s="1370"/>
      <c r="AE38" s="1370"/>
      <c r="AF38" s="1370"/>
      <c r="AV38" s="1370"/>
      <c r="AW38" s="1370"/>
      <c r="AX38" s="1370"/>
      <c r="AY38" s="1370"/>
      <c r="AZ38" s="1370"/>
      <c r="BA38" s="1370"/>
      <c r="BC38" s="1370"/>
      <c r="BE38" s="1370"/>
      <c r="BF38" s="1370"/>
      <c r="BG38" s="1370"/>
    </row>
    <row r="39">
      <c r="R39" s="1370"/>
      <c r="S39" s="1370"/>
      <c r="W39" s="1370"/>
      <c r="X39" s="1370"/>
      <c r="AE39" s="1370"/>
      <c r="AF39" s="1370"/>
      <c r="AV39" s="1370"/>
      <c r="AW39" s="1370"/>
      <c r="AX39" s="1370"/>
      <c r="AY39" s="1370"/>
      <c r="AZ39" s="1370"/>
      <c r="BA39" s="1370"/>
      <c r="BC39" s="1370"/>
      <c r="BE39" s="1370"/>
      <c r="BF39" s="1370"/>
      <c r="BG39" s="1370"/>
    </row>
    <row r="40">
      <c r="R40" s="1370"/>
      <c r="S40" s="1370"/>
      <c r="W40" s="1370"/>
      <c r="X40" s="1370"/>
      <c r="AE40" s="1370"/>
      <c r="AF40" s="1370"/>
      <c r="AV40" s="1370"/>
      <c r="AW40" s="1370"/>
      <c r="AX40" s="1370"/>
      <c r="AY40" s="1370"/>
      <c r="AZ40" s="1370"/>
      <c r="BA40" s="1370"/>
      <c r="BC40" s="1370"/>
      <c r="BE40" s="1370"/>
      <c r="BF40" s="1370"/>
      <c r="BG40" s="1370"/>
    </row>
    <row r="41">
      <c r="R41" s="1370"/>
      <c r="S41" s="1370"/>
      <c r="W41" s="1370"/>
      <c r="X41" s="1370"/>
      <c r="AE41" s="1370"/>
      <c r="AF41" s="1370"/>
      <c r="AV41" s="1370"/>
      <c r="AW41" s="1370"/>
      <c r="AX41" s="1370"/>
      <c r="AY41" s="1370"/>
      <c r="AZ41" s="1370"/>
      <c r="BA41" s="1370"/>
      <c r="BC41" s="1370"/>
      <c r="BE41" s="1370"/>
      <c r="BF41" s="1370"/>
      <c r="BG41" s="1370"/>
    </row>
    <row r="42">
      <c r="R42" s="1370"/>
      <c r="S42" s="1370"/>
      <c r="W42" s="1370"/>
      <c r="X42" s="1370"/>
      <c r="AE42" s="1370"/>
      <c r="AF42" s="1370"/>
      <c r="AV42" s="1370"/>
      <c r="AW42" s="1370"/>
      <c r="AX42" s="1370"/>
      <c r="AY42" s="1370"/>
      <c r="AZ42" s="1370"/>
      <c r="BA42" s="1370"/>
      <c r="BC42" s="1370"/>
      <c r="BE42" s="1370"/>
      <c r="BF42" s="1370"/>
      <c r="BG42" s="1370"/>
    </row>
    <row r="43">
      <c r="R43" s="1370"/>
      <c r="S43" s="1370"/>
      <c r="W43" s="1370"/>
      <c r="X43" s="1370"/>
      <c r="AE43" s="1370"/>
      <c r="AF43" s="1370"/>
      <c r="AV43" s="1370"/>
      <c r="AW43" s="1370"/>
      <c r="AX43" s="1370"/>
      <c r="AY43" s="1370"/>
      <c r="AZ43" s="1370"/>
      <c r="BA43" s="1370"/>
      <c r="BC43" s="1370"/>
      <c r="BE43" s="1370"/>
      <c r="BF43" s="1370"/>
      <c r="BG43" s="1370"/>
    </row>
    <row r="44">
      <c r="R44" s="1370"/>
      <c r="S44" s="1370"/>
      <c r="W44" s="1370"/>
      <c r="X44" s="1370"/>
      <c r="AE44" s="1370"/>
      <c r="AF44" s="1370"/>
      <c r="AV44" s="1370"/>
      <c r="AW44" s="1370"/>
      <c r="AX44" s="1370"/>
      <c r="AY44" s="1370"/>
      <c r="AZ44" s="1370"/>
      <c r="BA44" s="1370"/>
      <c r="BC44" s="1370"/>
      <c r="BE44" s="1370"/>
      <c r="BF44" s="1370"/>
      <c r="BG44" s="1370"/>
    </row>
    <row r="45">
      <c r="R45" s="1370"/>
      <c r="S45" s="1370"/>
      <c r="W45" s="1370"/>
      <c r="X45" s="1370"/>
      <c r="AE45" s="1370"/>
      <c r="AF45" s="1370"/>
      <c r="AV45" s="1370"/>
      <c r="AW45" s="1370"/>
      <c r="AX45" s="1370"/>
      <c r="AY45" s="1370"/>
      <c r="AZ45" s="1370"/>
      <c r="BA45" s="1370"/>
      <c r="BC45" s="1370"/>
      <c r="BE45" s="1370"/>
      <c r="BF45" s="1370"/>
      <c r="BG45" s="1370"/>
    </row>
    <row r="46">
      <c r="R46" s="1370"/>
      <c r="S46" s="1370"/>
      <c r="W46" s="1370"/>
      <c r="X46" s="1370"/>
      <c r="AE46" s="1370"/>
      <c r="AF46" s="1370"/>
      <c r="AV46" s="1370"/>
      <c r="AW46" s="1370"/>
      <c r="AX46" s="1370"/>
      <c r="AY46" s="1370"/>
      <c r="AZ46" s="1370"/>
      <c r="BA46" s="1370"/>
      <c r="BC46" s="1370"/>
      <c r="BE46" s="1370"/>
      <c r="BF46" s="1370"/>
      <c r="BG46" s="1370"/>
    </row>
    <row r="47">
      <c r="R47" s="1370"/>
      <c r="S47" s="1370"/>
      <c r="W47" s="1370"/>
      <c r="X47" s="1370"/>
      <c r="AE47" s="1370"/>
      <c r="AF47" s="1370"/>
      <c r="AV47" s="1370"/>
      <c r="AW47" s="1370"/>
      <c r="AX47" s="1370"/>
      <c r="AY47" s="1370"/>
      <c r="AZ47" s="1370"/>
      <c r="BA47" s="1370"/>
      <c r="BC47" s="1370"/>
      <c r="BE47" s="1370"/>
      <c r="BF47" s="1370"/>
      <c r="BG47" s="1370"/>
    </row>
    <row r="48">
      <c r="R48" s="1370"/>
      <c r="S48" s="1370"/>
      <c r="W48" s="1370"/>
      <c r="X48" s="1370"/>
      <c r="AE48" s="1370"/>
      <c r="AF48" s="1370"/>
      <c r="AV48" s="1370"/>
      <c r="AW48" s="1370"/>
      <c r="AX48" s="1370"/>
      <c r="AY48" s="1370"/>
      <c r="AZ48" s="1370"/>
      <c r="BA48" s="1370"/>
      <c r="BC48" s="1370"/>
      <c r="BE48" s="1370"/>
      <c r="BF48" s="1370"/>
      <c r="BG48" s="1370"/>
    </row>
    <row r="49">
      <c r="R49" s="1370"/>
      <c r="S49" s="1370"/>
      <c r="W49" s="1370"/>
      <c r="X49" s="1370"/>
      <c r="AE49" s="1370"/>
      <c r="AF49" s="1370"/>
      <c r="AV49" s="1370"/>
      <c r="AW49" s="1370"/>
      <c r="AX49" s="1370"/>
      <c r="AY49" s="1370"/>
      <c r="AZ49" s="1370"/>
      <c r="BA49" s="1370"/>
      <c r="BC49" s="1370"/>
      <c r="BE49" s="1370"/>
      <c r="BF49" s="1370"/>
      <c r="BG49" s="1370"/>
    </row>
    <row r="50">
      <c r="R50" s="1370"/>
      <c r="S50" s="1370"/>
      <c r="W50" s="1370"/>
      <c r="X50" s="1370"/>
      <c r="AE50" s="1370"/>
      <c r="AF50" s="1370"/>
      <c r="AV50" s="1370"/>
      <c r="AW50" s="1370"/>
      <c r="AX50" s="1370"/>
      <c r="AY50" s="1370"/>
      <c r="AZ50" s="1370"/>
      <c r="BA50" s="1370"/>
      <c r="BC50" s="1370"/>
      <c r="BE50" s="1370"/>
      <c r="BF50" s="1370"/>
      <c r="BG50" s="1370"/>
    </row>
    <row r="51">
      <c r="R51" s="1370"/>
      <c r="S51" s="1370"/>
      <c r="W51" s="1370"/>
      <c r="X51" s="1370"/>
      <c r="AE51" s="1370"/>
      <c r="AF51" s="1370"/>
      <c r="AV51" s="1370"/>
      <c r="AW51" s="1370"/>
      <c r="AX51" s="1370"/>
      <c r="AY51" s="1370"/>
      <c r="AZ51" s="1370"/>
      <c r="BA51" s="1370"/>
      <c r="BC51" s="1370"/>
      <c r="BE51" s="1370"/>
      <c r="BF51" s="1370"/>
      <c r="BG51" s="1370"/>
    </row>
    <row r="52">
      <c r="R52" s="1370"/>
      <c r="S52" s="1370"/>
      <c r="W52" s="1370"/>
      <c r="X52" s="1370"/>
      <c r="AE52" s="1370"/>
      <c r="AF52" s="1370"/>
      <c r="AV52" s="1370"/>
      <c r="AW52" s="1370"/>
      <c r="AX52" s="1370"/>
      <c r="AY52" s="1370"/>
      <c r="AZ52" s="1370"/>
      <c r="BA52" s="1370"/>
      <c r="BC52" s="1370"/>
      <c r="BE52" s="1370"/>
      <c r="BF52" s="1370"/>
      <c r="BG52" s="1370"/>
    </row>
    <row r="53">
      <c r="R53" s="1370"/>
      <c r="S53" s="1370"/>
      <c r="W53" s="1370"/>
      <c r="X53" s="1370"/>
      <c r="AE53" s="1370"/>
      <c r="AF53" s="1370"/>
      <c r="AV53" s="1370"/>
      <c r="AW53" s="1370"/>
      <c r="AX53" s="1370"/>
      <c r="AY53" s="1370"/>
      <c r="AZ53" s="1370"/>
      <c r="BA53" s="1370"/>
      <c r="BC53" s="1370"/>
      <c r="BE53" s="1370"/>
      <c r="BF53" s="1370"/>
      <c r="BG53" s="1370"/>
    </row>
    <row r="54">
      <c r="R54" s="1370"/>
      <c r="S54" s="1370"/>
      <c r="W54" s="1370"/>
      <c r="X54" s="1370"/>
      <c r="AE54" s="1370"/>
      <c r="AF54" s="1370"/>
      <c r="AV54" s="1370"/>
      <c r="AW54" s="1370"/>
      <c r="AX54" s="1370"/>
      <c r="AY54" s="1370"/>
      <c r="AZ54" s="1370"/>
      <c r="BA54" s="1370"/>
      <c r="BC54" s="1370"/>
      <c r="BE54" s="1370"/>
      <c r="BF54" s="1370"/>
      <c r="BG54" s="1370"/>
    </row>
    <row r="55">
      <c r="R55" s="1370"/>
      <c r="S55" s="1370"/>
      <c r="W55" s="1370"/>
      <c r="X55" s="1370"/>
      <c r="AE55" s="1370"/>
      <c r="AF55" s="1370"/>
      <c r="AV55" s="1370"/>
      <c r="AW55" s="1370"/>
      <c r="AX55" s="1370"/>
      <c r="AY55" s="1370"/>
      <c r="AZ55" s="1370"/>
      <c r="BA55" s="1370"/>
      <c r="BC55" s="1370"/>
      <c r="BE55" s="1370"/>
      <c r="BF55" s="1370"/>
      <c r="BG55" s="1370"/>
    </row>
    <row r="56">
      <c r="R56" s="1370"/>
      <c r="S56" s="1370"/>
      <c r="W56" s="1370"/>
      <c r="X56" s="1370"/>
      <c r="AE56" s="1370"/>
      <c r="AF56" s="1370"/>
      <c r="AV56" s="1370"/>
      <c r="AW56" s="1370"/>
      <c r="AX56" s="1370"/>
      <c r="AY56" s="1370"/>
      <c r="AZ56" s="1370"/>
      <c r="BA56" s="1370"/>
      <c r="BC56" s="1370"/>
      <c r="BE56" s="1370"/>
      <c r="BF56" s="1370"/>
      <c r="BG56" s="1370"/>
    </row>
    <row r="57">
      <c r="R57" s="1370"/>
      <c r="S57" s="1370"/>
      <c r="W57" s="1370"/>
      <c r="X57" s="1370"/>
      <c r="AE57" s="1370"/>
      <c r="AF57" s="1370"/>
      <c r="AV57" s="1370"/>
      <c r="AW57" s="1370"/>
      <c r="AX57" s="1370"/>
      <c r="AY57" s="1370"/>
      <c r="AZ57" s="1370"/>
      <c r="BA57" s="1370"/>
      <c r="BC57" s="1370"/>
      <c r="BE57" s="1370"/>
      <c r="BF57" s="1370"/>
      <c r="BG57" s="1370"/>
    </row>
    <row r="58">
      <c r="R58" s="1370"/>
      <c r="S58" s="1370"/>
      <c r="W58" s="1370"/>
      <c r="X58" s="1370"/>
      <c r="AE58" s="1370"/>
      <c r="AF58" s="1370"/>
      <c r="AV58" s="1370"/>
      <c r="AW58" s="1370"/>
      <c r="AX58" s="1370"/>
      <c r="AY58" s="1370"/>
      <c r="AZ58" s="1370"/>
      <c r="BA58" s="1370"/>
      <c r="BC58" s="1370"/>
      <c r="BE58" s="1370"/>
      <c r="BF58" s="1370"/>
      <c r="BG58" s="1370"/>
    </row>
    <row r="59">
      <c r="R59" s="1370"/>
      <c r="S59" s="1370"/>
      <c r="W59" s="1370"/>
      <c r="X59" s="1370"/>
      <c r="AE59" s="1370"/>
      <c r="AF59" s="1370"/>
      <c r="AV59" s="1370"/>
      <c r="AW59" s="1370"/>
      <c r="AX59" s="1370"/>
      <c r="AY59" s="1370"/>
      <c r="AZ59" s="1370"/>
      <c r="BA59" s="1370"/>
      <c r="BC59" s="1370"/>
      <c r="BE59" s="1370"/>
      <c r="BF59" s="1370"/>
      <c r="BG59" s="1370"/>
    </row>
    <row r="60">
      <c r="R60" s="1370"/>
      <c r="S60" s="1370"/>
      <c r="W60" s="1370"/>
      <c r="X60" s="1370"/>
      <c r="AE60" s="1370"/>
      <c r="AF60" s="1370"/>
      <c r="AV60" s="1370"/>
      <c r="AW60" s="1370"/>
      <c r="AX60" s="1370"/>
      <c r="AY60" s="1370"/>
      <c r="AZ60" s="1370"/>
      <c r="BA60" s="1370"/>
      <c r="BC60" s="1370"/>
      <c r="BE60" s="1370"/>
      <c r="BF60" s="1370"/>
      <c r="BG60" s="1370"/>
    </row>
    <row r="61">
      <c r="R61" s="1370"/>
      <c r="S61" s="1370"/>
      <c r="W61" s="1370"/>
      <c r="X61" s="1370"/>
      <c r="AE61" s="1370"/>
      <c r="AF61" s="1370"/>
      <c r="AV61" s="1370"/>
      <c r="AW61" s="1370"/>
      <c r="AX61" s="1370"/>
      <c r="AY61" s="1370"/>
      <c r="AZ61" s="1370"/>
      <c r="BA61" s="1370"/>
      <c r="BC61" s="1370"/>
      <c r="BE61" s="1370"/>
      <c r="BF61" s="1370"/>
      <c r="BG61" s="1370"/>
    </row>
    <row r="62">
      <c r="R62" s="1370"/>
      <c r="S62" s="1370"/>
      <c r="W62" s="1370"/>
      <c r="X62" s="1370"/>
      <c r="AE62" s="1370"/>
      <c r="AF62" s="1370"/>
      <c r="AV62" s="1370"/>
      <c r="AW62" s="1370"/>
      <c r="AX62" s="1370"/>
      <c r="AY62" s="1370"/>
      <c r="AZ62" s="1370"/>
      <c r="BA62" s="1370"/>
      <c r="BC62" s="1370"/>
      <c r="BE62" s="1370"/>
      <c r="BF62" s="1370"/>
      <c r="BG62" s="1370"/>
    </row>
    <row r="63">
      <c r="R63" s="1370"/>
      <c r="S63" s="1370"/>
      <c r="W63" s="1370"/>
      <c r="X63" s="1370"/>
      <c r="AE63" s="1370"/>
      <c r="AF63" s="1370"/>
      <c r="AV63" s="1370"/>
      <c r="AW63" s="1370"/>
      <c r="AX63" s="1370"/>
      <c r="AY63" s="1370"/>
      <c r="AZ63" s="1370"/>
      <c r="BA63" s="1370"/>
      <c r="BC63" s="1370"/>
      <c r="BE63" s="1370"/>
      <c r="BF63" s="1370"/>
      <c r="BG63" s="1370"/>
    </row>
    <row r="64">
      <c r="R64" s="1370"/>
      <c r="S64" s="1370"/>
      <c r="W64" s="1370"/>
      <c r="X64" s="1370"/>
      <c r="AE64" s="1370"/>
      <c r="AF64" s="1370"/>
      <c r="AV64" s="1370"/>
      <c r="AW64" s="1370"/>
      <c r="AX64" s="1370"/>
      <c r="AY64" s="1370"/>
      <c r="AZ64" s="1370"/>
      <c r="BA64" s="1370"/>
      <c r="BC64" s="1370"/>
      <c r="BE64" s="1370"/>
      <c r="BF64" s="1370"/>
      <c r="BG64" s="1370"/>
    </row>
    <row r="65">
      <c r="R65" s="1370"/>
      <c r="S65" s="1370"/>
      <c r="W65" s="1370"/>
      <c r="X65" s="1370"/>
      <c r="AE65" s="1370"/>
      <c r="AF65" s="1370"/>
      <c r="AV65" s="1370"/>
      <c r="AW65" s="1370"/>
      <c r="AX65" s="1370"/>
      <c r="AY65" s="1370"/>
      <c r="AZ65" s="1370"/>
      <c r="BA65" s="1370"/>
      <c r="BC65" s="1370"/>
      <c r="BE65" s="1370"/>
      <c r="BF65" s="1370"/>
      <c r="BG65" s="1370"/>
    </row>
    <row r="66">
      <c r="R66" s="1370"/>
      <c r="S66" s="1370"/>
      <c r="W66" s="1370"/>
      <c r="X66" s="1370"/>
      <c r="AE66" s="1370"/>
      <c r="AF66" s="1370"/>
      <c r="AV66" s="1370"/>
      <c r="AW66" s="1370"/>
      <c r="AX66" s="1370"/>
      <c r="AY66" s="1370"/>
      <c r="AZ66" s="1370"/>
      <c r="BA66" s="1370"/>
      <c r="BC66" s="1370"/>
      <c r="BE66" s="1370"/>
      <c r="BF66" s="1370"/>
      <c r="BG66" s="1370"/>
    </row>
    <row r="67">
      <c r="R67" s="1370"/>
      <c r="S67" s="1370"/>
      <c r="W67" s="1370"/>
      <c r="X67" s="1370"/>
      <c r="AE67" s="1370"/>
      <c r="AF67" s="1370"/>
      <c r="AV67" s="1370"/>
      <c r="AW67" s="1370"/>
      <c r="AX67" s="1370"/>
      <c r="AY67" s="1370"/>
      <c r="AZ67" s="1370"/>
      <c r="BA67" s="1370"/>
      <c r="BC67" s="1370"/>
      <c r="BE67" s="1370"/>
      <c r="BF67" s="1370"/>
      <c r="BG67" s="1370"/>
    </row>
    <row r="68">
      <c r="R68" s="1370"/>
      <c r="S68" s="1370"/>
      <c r="W68" s="1370"/>
      <c r="X68" s="1370"/>
      <c r="AE68" s="1370"/>
      <c r="AF68" s="1370"/>
      <c r="AV68" s="1370"/>
      <c r="AW68" s="1370"/>
      <c r="AX68" s="1370"/>
      <c r="AY68" s="1370"/>
      <c r="AZ68" s="1370"/>
      <c r="BA68" s="1370"/>
      <c r="BC68" s="1370"/>
      <c r="BE68" s="1370"/>
      <c r="BF68" s="1370"/>
      <c r="BG68" s="1370"/>
    </row>
    <row r="69">
      <c r="R69" s="1370"/>
      <c r="S69" s="1370"/>
      <c r="W69" s="1370"/>
      <c r="X69" s="1370"/>
      <c r="AE69" s="1370"/>
      <c r="AF69" s="1370"/>
      <c r="AV69" s="1370"/>
      <c r="AW69" s="1370"/>
      <c r="AX69" s="1370"/>
      <c r="AY69" s="1370"/>
      <c r="AZ69" s="1370"/>
      <c r="BA69" s="1370"/>
      <c r="BC69" s="1370"/>
      <c r="BE69" s="1370"/>
      <c r="BF69" s="1370"/>
      <c r="BG69" s="1370"/>
    </row>
    <row r="70">
      <c r="R70" s="1370"/>
      <c r="S70" s="1370"/>
      <c r="W70" s="1370"/>
      <c r="X70" s="1370"/>
      <c r="AE70" s="1370"/>
      <c r="AF70" s="1370"/>
      <c r="AV70" s="1370"/>
      <c r="AW70" s="1370"/>
      <c r="AX70" s="1370"/>
      <c r="AY70" s="1370"/>
      <c r="AZ70" s="1370"/>
      <c r="BA70" s="1370"/>
      <c r="BC70" s="1370"/>
      <c r="BE70" s="1370"/>
      <c r="BF70" s="1370"/>
      <c r="BG70" s="1370"/>
    </row>
    <row r="71">
      <c r="R71" s="1370"/>
      <c r="S71" s="1370"/>
      <c r="W71" s="1370"/>
      <c r="X71" s="1370"/>
      <c r="AE71" s="1370"/>
      <c r="AF71" s="1370"/>
      <c r="AV71" s="1370"/>
      <c r="AW71" s="1370"/>
      <c r="AX71" s="1370"/>
      <c r="AY71" s="1370"/>
      <c r="AZ71" s="1370"/>
      <c r="BA71" s="1370"/>
      <c r="BC71" s="1370"/>
      <c r="BE71" s="1370"/>
      <c r="BF71" s="1370"/>
      <c r="BG71" s="1370"/>
    </row>
    <row r="72">
      <c r="R72" s="1370"/>
      <c r="S72" s="1370"/>
      <c r="W72" s="1370"/>
      <c r="X72" s="1370"/>
      <c r="AE72" s="1370"/>
      <c r="AF72" s="1370"/>
      <c r="AV72" s="1370"/>
      <c r="AW72" s="1370"/>
      <c r="AX72" s="1370"/>
      <c r="AY72" s="1370"/>
      <c r="AZ72" s="1370"/>
      <c r="BA72" s="1370"/>
      <c r="BC72" s="1370"/>
      <c r="BE72" s="1370"/>
      <c r="BF72" s="1370"/>
      <c r="BG72" s="1370"/>
    </row>
    <row r="73">
      <c r="R73" s="1370"/>
      <c r="S73" s="1370"/>
      <c r="W73" s="1370"/>
      <c r="X73" s="1370"/>
      <c r="AE73" s="1370"/>
      <c r="AF73" s="1370"/>
      <c r="AV73" s="1370"/>
      <c r="AW73" s="1370"/>
      <c r="AX73" s="1370"/>
      <c r="AY73" s="1370"/>
      <c r="AZ73" s="1370"/>
      <c r="BA73" s="1370"/>
      <c r="BC73" s="1370"/>
      <c r="BE73" s="1370"/>
      <c r="BF73" s="1370"/>
      <c r="BG73" s="1370"/>
    </row>
    <row r="74">
      <c r="R74" s="1370"/>
      <c r="S74" s="1370"/>
      <c r="W74" s="1370"/>
      <c r="X74" s="1370"/>
      <c r="AE74" s="1370"/>
      <c r="AF74" s="1370"/>
      <c r="AV74" s="1370"/>
      <c r="AW74" s="1370"/>
      <c r="AX74" s="1370"/>
      <c r="AY74" s="1370"/>
      <c r="AZ74" s="1370"/>
      <c r="BA74" s="1370"/>
      <c r="BC74" s="1370"/>
      <c r="BE74" s="1370"/>
      <c r="BF74" s="1370"/>
      <c r="BG74" s="1370"/>
    </row>
    <row r="75">
      <c r="R75" s="1370"/>
      <c r="S75" s="1370"/>
      <c r="W75" s="1370"/>
      <c r="X75" s="1370"/>
      <c r="AE75" s="1370"/>
      <c r="AF75" s="1370"/>
      <c r="AV75" s="1370"/>
      <c r="AW75" s="1370"/>
      <c r="AX75" s="1370"/>
      <c r="AY75" s="1370"/>
      <c r="AZ75" s="1370"/>
      <c r="BA75" s="1370"/>
      <c r="BC75" s="1370"/>
      <c r="BE75" s="1370"/>
      <c r="BF75" s="1370"/>
      <c r="BG75" s="1370"/>
    </row>
    <row r="76">
      <c r="R76" s="1370"/>
      <c r="S76" s="1370"/>
      <c r="W76" s="1370"/>
      <c r="X76" s="1370"/>
      <c r="AE76" s="1370"/>
      <c r="AF76" s="1370"/>
      <c r="AV76" s="1370"/>
      <c r="AW76" s="1370"/>
      <c r="AX76" s="1370"/>
      <c r="AY76" s="1370"/>
      <c r="AZ76" s="1370"/>
      <c r="BA76" s="1370"/>
      <c r="BC76" s="1370"/>
      <c r="BE76" s="1370"/>
      <c r="BF76" s="1370"/>
      <c r="BG76" s="1370"/>
    </row>
    <row r="77">
      <c r="R77" s="1370"/>
      <c r="S77" s="1370"/>
      <c r="W77" s="1370"/>
      <c r="X77" s="1370"/>
      <c r="AE77" s="1370"/>
      <c r="AF77" s="1370"/>
      <c r="AV77" s="1370"/>
      <c r="AW77" s="1370"/>
      <c r="AX77" s="1370"/>
      <c r="AY77" s="1370"/>
      <c r="AZ77" s="1370"/>
      <c r="BA77" s="1370"/>
      <c r="BC77" s="1370"/>
      <c r="BE77" s="1370"/>
      <c r="BF77" s="1370"/>
      <c r="BG77" s="1370"/>
    </row>
    <row r="78">
      <c r="R78" s="1370"/>
      <c r="S78" s="1370"/>
      <c r="W78" s="1370"/>
      <c r="X78" s="1370"/>
      <c r="AE78" s="1370"/>
      <c r="AF78" s="1370"/>
      <c r="AV78" s="1370"/>
      <c r="AW78" s="1370"/>
      <c r="AX78" s="1370"/>
      <c r="AY78" s="1370"/>
      <c r="AZ78" s="1370"/>
      <c r="BA78" s="1370"/>
      <c r="BC78" s="1370"/>
      <c r="BE78" s="1370"/>
      <c r="BF78" s="1370"/>
      <c r="BG78" s="1370"/>
    </row>
    <row r="79">
      <c r="R79" s="1370"/>
      <c r="S79" s="1370"/>
      <c r="W79" s="1370"/>
      <c r="X79" s="1370"/>
      <c r="AE79" s="1370"/>
      <c r="AF79" s="1370"/>
      <c r="AV79" s="1370"/>
      <c r="AW79" s="1370"/>
      <c r="AX79" s="1370"/>
      <c r="AY79" s="1370"/>
      <c r="AZ79" s="1370"/>
      <c r="BA79" s="1370"/>
      <c r="BC79" s="1370"/>
      <c r="BE79" s="1370"/>
      <c r="BF79" s="1370"/>
      <c r="BG79" s="1370"/>
    </row>
    <row r="80">
      <c r="R80" s="1370"/>
      <c r="S80" s="1370"/>
      <c r="W80" s="1370"/>
      <c r="X80" s="1370"/>
      <c r="AE80" s="1370"/>
      <c r="AF80" s="1370"/>
      <c r="AV80" s="1370"/>
      <c r="AW80" s="1370"/>
      <c r="AX80" s="1370"/>
      <c r="AY80" s="1370"/>
      <c r="AZ80" s="1370"/>
      <c r="BA80" s="1370"/>
      <c r="BC80" s="1370"/>
      <c r="BE80" s="1370"/>
      <c r="BF80" s="1370"/>
      <c r="BG80" s="1370"/>
    </row>
    <row r="81">
      <c r="R81" s="1370"/>
      <c r="S81" s="1370"/>
      <c r="W81" s="1370"/>
      <c r="X81" s="1370"/>
      <c r="AE81" s="1370"/>
      <c r="AF81" s="1370"/>
      <c r="AV81" s="1370"/>
      <c r="AW81" s="1370"/>
      <c r="AX81" s="1370"/>
      <c r="AY81" s="1370"/>
      <c r="AZ81" s="1370"/>
      <c r="BA81" s="1370"/>
      <c r="BC81" s="1370"/>
      <c r="BE81" s="1370"/>
      <c r="BF81" s="1370"/>
      <c r="BG81" s="1370"/>
    </row>
    <row r="82">
      <c r="R82" s="1370"/>
      <c r="S82" s="1370"/>
      <c r="W82" s="1370"/>
      <c r="X82" s="1370"/>
      <c r="AE82" s="1370"/>
      <c r="AF82" s="1370"/>
      <c r="AV82" s="1370"/>
      <c r="AW82" s="1370"/>
      <c r="AX82" s="1370"/>
      <c r="AY82" s="1370"/>
      <c r="AZ82" s="1370"/>
      <c r="BA82" s="1370"/>
      <c r="BC82" s="1370"/>
      <c r="BE82" s="1370"/>
      <c r="BF82" s="1370"/>
      <c r="BG82" s="1370"/>
    </row>
    <row r="83">
      <c r="R83" s="1370"/>
      <c r="S83" s="1370"/>
      <c r="W83" s="1370"/>
      <c r="X83" s="1370"/>
      <c r="AE83" s="1370"/>
      <c r="AF83" s="1370"/>
      <c r="AV83" s="1370"/>
      <c r="AW83" s="1370"/>
      <c r="AX83" s="1370"/>
      <c r="AY83" s="1370"/>
      <c r="AZ83" s="1370"/>
      <c r="BA83" s="1370"/>
      <c r="BC83" s="1370"/>
      <c r="BE83" s="1370"/>
      <c r="BF83" s="1370"/>
      <c r="BG83" s="1370"/>
    </row>
    <row r="84">
      <c r="R84" s="1370"/>
      <c r="S84" s="1370"/>
      <c r="W84" s="1370"/>
      <c r="X84" s="1370"/>
      <c r="AE84" s="1370"/>
      <c r="AF84" s="1370"/>
      <c r="AV84" s="1370"/>
      <c r="AW84" s="1370"/>
      <c r="AX84" s="1370"/>
      <c r="AY84" s="1370"/>
      <c r="AZ84" s="1370"/>
      <c r="BA84" s="1370"/>
      <c r="BC84" s="1370"/>
      <c r="BE84" s="1370"/>
      <c r="BF84" s="1370"/>
      <c r="BG84" s="1370"/>
    </row>
    <row r="85">
      <c r="R85" s="1370"/>
      <c r="S85" s="1370"/>
      <c r="W85" s="1370"/>
      <c r="X85" s="1370"/>
      <c r="AE85" s="1370"/>
      <c r="AF85" s="1370"/>
      <c r="AV85" s="1370"/>
      <c r="AW85" s="1370"/>
      <c r="AX85" s="1370"/>
      <c r="AY85" s="1370"/>
      <c r="AZ85" s="1370"/>
      <c r="BA85" s="1370"/>
      <c r="BC85" s="1370"/>
      <c r="BE85" s="1370"/>
      <c r="BF85" s="1370"/>
      <c r="BG85" s="1370"/>
    </row>
    <row r="86">
      <c r="R86" s="1370"/>
      <c r="S86" s="1370"/>
      <c r="W86" s="1370"/>
      <c r="X86" s="1370"/>
      <c r="AE86" s="1370"/>
      <c r="AF86" s="1370"/>
      <c r="AV86" s="1370"/>
      <c r="AW86" s="1370"/>
      <c r="AX86" s="1370"/>
      <c r="AY86" s="1370"/>
      <c r="AZ86" s="1370"/>
      <c r="BA86" s="1370"/>
      <c r="BC86" s="1370"/>
      <c r="BE86" s="1370"/>
      <c r="BF86" s="1370"/>
      <c r="BG86" s="1370"/>
    </row>
    <row r="87">
      <c r="R87" s="1370"/>
      <c r="S87" s="1370"/>
      <c r="W87" s="1370"/>
      <c r="X87" s="1370"/>
      <c r="AE87" s="1370"/>
      <c r="AF87" s="1370"/>
      <c r="AV87" s="1370"/>
      <c r="AW87" s="1370"/>
      <c r="AX87" s="1370"/>
      <c r="AY87" s="1370"/>
      <c r="AZ87" s="1370"/>
      <c r="BA87" s="1370"/>
      <c r="BC87" s="1370"/>
      <c r="BE87" s="1370"/>
      <c r="BF87" s="1370"/>
      <c r="BG87" s="1370"/>
    </row>
    <row r="88">
      <c r="R88" s="1370"/>
      <c r="S88" s="1370"/>
      <c r="W88" s="1370"/>
      <c r="X88" s="1370"/>
      <c r="AE88" s="1370"/>
      <c r="AF88" s="1370"/>
      <c r="AV88" s="1370"/>
      <c r="AW88" s="1370"/>
      <c r="AX88" s="1370"/>
      <c r="AY88" s="1370"/>
      <c r="AZ88" s="1370"/>
      <c r="BA88" s="1370"/>
      <c r="BC88" s="1370"/>
      <c r="BE88" s="1370"/>
      <c r="BF88" s="1370"/>
      <c r="BG88" s="1370"/>
    </row>
    <row r="89">
      <c r="R89" s="1370"/>
      <c r="S89" s="1370"/>
      <c r="W89" s="1370"/>
      <c r="X89" s="1370"/>
      <c r="AE89" s="1370"/>
      <c r="AF89" s="1370"/>
      <c r="AV89" s="1370"/>
      <c r="AW89" s="1370"/>
      <c r="AX89" s="1370"/>
      <c r="AY89" s="1370"/>
      <c r="AZ89" s="1370"/>
      <c r="BA89" s="1370"/>
      <c r="BC89" s="1370"/>
      <c r="BE89" s="1370"/>
      <c r="BF89" s="1370"/>
      <c r="BG89" s="1370"/>
    </row>
    <row r="90">
      <c r="R90" s="1370"/>
      <c r="S90" s="1370"/>
      <c r="W90" s="1370"/>
      <c r="X90" s="1370"/>
      <c r="AE90" s="1370"/>
      <c r="AF90" s="1370"/>
      <c r="AV90" s="1370"/>
      <c r="AW90" s="1370"/>
      <c r="AX90" s="1370"/>
      <c r="AY90" s="1370"/>
      <c r="AZ90" s="1370"/>
      <c r="BA90" s="1370"/>
      <c r="BC90" s="1370"/>
      <c r="BE90" s="1370"/>
      <c r="BF90" s="1370"/>
      <c r="BG90" s="1370"/>
    </row>
    <row r="91">
      <c r="R91" s="1370"/>
      <c r="S91" s="1370"/>
      <c r="W91" s="1370"/>
      <c r="X91" s="1370"/>
      <c r="AE91" s="1370"/>
      <c r="AF91" s="1370"/>
      <c r="AV91" s="1370"/>
      <c r="AW91" s="1370"/>
      <c r="AX91" s="1370"/>
      <c r="AY91" s="1370"/>
      <c r="AZ91" s="1370"/>
      <c r="BA91" s="1370"/>
      <c r="BC91" s="1370"/>
      <c r="BE91" s="1370"/>
      <c r="BF91" s="1370"/>
      <c r="BG91" s="1370"/>
    </row>
    <row r="92">
      <c r="R92" s="1370"/>
      <c r="S92" s="1370"/>
      <c r="W92" s="1370"/>
      <c r="X92" s="1370"/>
      <c r="AE92" s="1370"/>
      <c r="AF92" s="1370"/>
      <c r="AV92" s="1370"/>
      <c r="AW92" s="1370"/>
      <c r="AX92" s="1370"/>
      <c r="AY92" s="1370"/>
      <c r="AZ92" s="1370"/>
      <c r="BA92" s="1370"/>
      <c r="BC92" s="1370"/>
      <c r="BE92" s="1370"/>
      <c r="BF92" s="1370"/>
      <c r="BG92" s="1370"/>
    </row>
    <row r="93">
      <c r="R93" s="1370"/>
      <c r="S93" s="1370"/>
      <c r="W93" s="1370"/>
      <c r="X93" s="1370"/>
      <c r="AE93" s="1370"/>
      <c r="AF93" s="1370"/>
      <c r="AV93" s="1370"/>
      <c r="AW93" s="1370"/>
      <c r="AX93" s="1370"/>
      <c r="AY93" s="1370"/>
      <c r="AZ93" s="1370"/>
      <c r="BA93" s="1370"/>
      <c r="BC93" s="1370"/>
      <c r="BE93" s="1370"/>
      <c r="BF93" s="1370"/>
      <c r="BG93" s="1370"/>
    </row>
    <row r="94">
      <c r="R94" s="1370"/>
      <c r="S94" s="1370"/>
      <c r="W94" s="1370"/>
      <c r="X94" s="1370"/>
      <c r="AE94" s="1370"/>
      <c r="AF94" s="1370"/>
      <c r="AV94" s="1370"/>
      <c r="AW94" s="1370"/>
      <c r="AX94" s="1370"/>
      <c r="AY94" s="1370"/>
      <c r="AZ94" s="1370"/>
      <c r="BA94" s="1370"/>
      <c r="BC94" s="1370"/>
      <c r="BE94" s="1370"/>
      <c r="BF94" s="1370"/>
      <c r="BG94" s="1370"/>
    </row>
    <row r="95">
      <c r="R95" s="1370"/>
      <c r="S95" s="1370"/>
      <c r="W95" s="1370"/>
      <c r="X95" s="1370"/>
      <c r="AE95" s="1370"/>
      <c r="AF95" s="1370"/>
      <c r="AV95" s="1370"/>
      <c r="AW95" s="1370"/>
      <c r="AX95" s="1370"/>
      <c r="AY95" s="1370"/>
      <c r="AZ95" s="1370"/>
      <c r="BA95" s="1370"/>
      <c r="BC95" s="1370"/>
      <c r="BE95" s="1370"/>
      <c r="BF95" s="1370"/>
      <c r="BG95" s="1370"/>
    </row>
    <row r="96">
      <c r="R96" s="1370"/>
      <c r="S96" s="1370"/>
      <c r="W96" s="1370"/>
      <c r="X96" s="1370"/>
      <c r="AE96" s="1370"/>
      <c r="AF96" s="1370"/>
      <c r="AV96" s="1370"/>
      <c r="AW96" s="1370"/>
      <c r="AX96" s="1370"/>
      <c r="AY96" s="1370"/>
      <c r="AZ96" s="1370"/>
      <c r="BA96" s="1370"/>
      <c r="BC96" s="1370"/>
      <c r="BE96" s="1370"/>
      <c r="BF96" s="1370"/>
      <c r="BG96" s="1370"/>
    </row>
    <row r="97">
      <c r="R97" s="1370"/>
      <c r="S97" s="1370"/>
      <c r="W97" s="1370"/>
      <c r="X97" s="1370"/>
      <c r="AE97" s="1370"/>
      <c r="AF97" s="1370"/>
      <c r="AV97" s="1370"/>
      <c r="AW97" s="1370"/>
      <c r="AX97" s="1370"/>
      <c r="AY97" s="1370"/>
      <c r="AZ97" s="1370"/>
      <c r="BA97" s="1370"/>
      <c r="BC97" s="1370"/>
      <c r="BE97" s="1370"/>
      <c r="BF97" s="1370"/>
      <c r="BG97" s="1370"/>
    </row>
    <row r="98">
      <c r="R98" s="1370"/>
      <c r="S98" s="1370"/>
      <c r="W98" s="1370"/>
      <c r="X98" s="1370"/>
      <c r="AE98" s="1370"/>
      <c r="AF98" s="1370"/>
      <c r="AV98" s="1370"/>
      <c r="AW98" s="1370"/>
      <c r="AX98" s="1370"/>
      <c r="AY98" s="1370"/>
      <c r="AZ98" s="1370"/>
      <c r="BA98" s="1370"/>
      <c r="BC98" s="1370"/>
      <c r="BE98" s="1370"/>
      <c r="BF98" s="1370"/>
      <c r="BG98" s="1370"/>
    </row>
    <row r="99">
      <c r="R99" s="1370"/>
      <c r="S99" s="1370"/>
      <c r="W99" s="1370"/>
      <c r="X99" s="1370"/>
      <c r="AE99" s="1370"/>
      <c r="AF99" s="1370"/>
      <c r="AV99" s="1370"/>
      <c r="AW99" s="1370"/>
      <c r="AX99" s="1370"/>
      <c r="AY99" s="1370"/>
      <c r="AZ99" s="1370"/>
      <c r="BA99" s="1370"/>
      <c r="BC99" s="1370"/>
      <c r="BE99" s="1370"/>
      <c r="BF99" s="1370"/>
      <c r="BG99" s="1370"/>
    </row>
    <row r="100">
      <c r="R100" s="1370"/>
      <c r="S100" s="1370"/>
      <c r="W100" s="1370"/>
      <c r="X100" s="1370"/>
      <c r="AE100" s="1370"/>
      <c r="AF100" s="1370"/>
      <c r="AV100" s="1370"/>
      <c r="AW100" s="1370"/>
      <c r="AX100" s="1370"/>
      <c r="AY100" s="1370"/>
      <c r="AZ100" s="1370"/>
      <c r="BA100" s="1370"/>
      <c r="BC100" s="1370"/>
      <c r="BE100" s="1370"/>
      <c r="BF100" s="1370"/>
      <c r="BG100" s="1370"/>
    </row>
    <row r="101">
      <c r="R101" s="1370"/>
      <c r="S101" s="1370"/>
      <c r="W101" s="1370"/>
      <c r="X101" s="1370"/>
      <c r="AE101" s="1370"/>
      <c r="AF101" s="1370"/>
      <c r="AV101" s="1370"/>
      <c r="AW101" s="1370"/>
      <c r="AX101" s="1370"/>
      <c r="AY101" s="1370"/>
      <c r="AZ101" s="1370"/>
      <c r="BA101" s="1370"/>
      <c r="BC101" s="1370"/>
      <c r="BE101" s="1370"/>
      <c r="BF101" s="1370"/>
      <c r="BG101" s="1370"/>
    </row>
    <row r="102">
      <c r="R102" s="1370"/>
      <c r="S102" s="1370"/>
      <c r="W102" s="1370"/>
      <c r="X102" s="1370"/>
      <c r="AE102" s="1370"/>
      <c r="AF102" s="1370"/>
      <c r="AV102" s="1370"/>
      <c r="AW102" s="1370"/>
      <c r="AX102" s="1370"/>
      <c r="AY102" s="1370"/>
      <c r="AZ102" s="1370"/>
      <c r="BA102" s="1370"/>
      <c r="BC102" s="1370"/>
      <c r="BE102" s="1370"/>
      <c r="BF102" s="1370"/>
      <c r="BG102" s="1370"/>
    </row>
    <row r="103">
      <c r="R103" s="1370"/>
      <c r="S103" s="1370"/>
      <c r="W103" s="1370"/>
      <c r="X103" s="1370"/>
      <c r="AE103" s="1370"/>
      <c r="AF103" s="1370"/>
      <c r="AV103" s="1370"/>
      <c r="AW103" s="1370"/>
      <c r="AX103" s="1370"/>
      <c r="AY103" s="1370"/>
      <c r="AZ103" s="1370"/>
      <c r="BA103" s="1370"/>
      <c r="BC103" s="1370"/>
      <c r="BE103" s="1370"/>
      <c r="BF103" s="1370"/>
      <c r="BG103" s="1370"/>
    </row>
    <row r="104">
      <c r="R104" s="1370"/>
      <c r="S104" s="1370"/>
      <c r="W104" s="1370"/>
      <c r="X104" s="1370"/>
      <c r="AE104" s="1370"/>
      <c r="AF104" s="1370"/>
      <c r="AV104" s="1370"/>
      <c r="AW104" s="1370"/>
      <c r="AX104" s="1370"/>
      <c r="AY104" s="1370"/>
      <c r="AZ104" s="1370"/>
      <c r="BA104" s="1370"/>
      <c r="BC104" s="1370"/>
      <c r="BE104" s="1370"/>
      <c r="BF104" s="1370"/>
      <c r="BG104" s="1370"/>
    </row>
    <row r="105">
      <c r="R105" s="1370"/>
      <c r="S105" s="1370"/>
      <c r="W105" s="1370"/>
      <c r="X105" s="1370"/>
      <c r="AE105" s="1370"/>
      <c r="AF105" s="1370"/>
      <c r="AV105" s="1370"/>
      <c r="AW105" s="1370"/>
      <c r="AX105" s="1370"/>
      <c r="AY105" s="1370"/>
      <c r="AZ105" s="1370"/>
      <c r="BA105" s="1370"/>
      <c r="BC105" s="1370"/>
      <c r="BE105" s="1370"/>
      <c r="BF105" s="1370"/>
      <c r="BG105" s="1370"/>
    </row>
    <row r="106">
      <c r="R106" s="1370"/>
      <c r="S106" s="1370"/>
      <c r="W106" s="1370"/>
      <c r="X106" s="1370"/>
      <c r="AE106" s="1370"/>
      <c r="AF106" s="1370"/>
      <c r="AV106" s="1370"/>
      <c r="AW106" s="1370"/>
      <c r="AX106" s="1370"/>
      <c r="AY106" s="1370"/>
      <c r="AZ106" s="1370"/>
      <c r="BA106" s="1370"/>
      <c r="BC106" s="1370"/>
      <c r="BE106" s="1370"/>
      <c r="BF106" s="1370"/>
      <c r="BG106" s="1370"/>
    </row>
    <row r="107">
      <c r="R107" s="1370"/>
      <c r="S107" s="1370"/>
      <c r="W107" s="1370"/>
      <c r="X107" s="1370"/>
      <c r="AE107" s="1370"/>
      <c r="AF107" s="1370"/>
      <c r="AV107" s="1370"/>
      <c r="AW107" s="1370"/>
      <c r="AX107" s="1370"/>
      <c r="AY107" s="1370"/>
      <c r="AZ107" s="1370"/>
      <c r="BA107" s="1370"/>
      <c r="BC107" s="1370"/>
      <c r="BE107" s="1370"/>
      <c r="BF107" s="1370"/>
      <c r="BG107" s="1370"/>
    </row>
    <row r="108">
      <c r="R108" s="1370"/>
      <c r="S108" s="1370"/>
      <c r="W108" s="1370"/>
      <c r="X108" s="1370"/>
      <c r="AE108" s="1370"/>
      <c r="AF108" s="1370"/>
      <c r="AV108" s="1370"/>
      <c r="AW108" s="1370"/>
      <c r="AX108" s="1370"/>
      <c r="AY108" s="1370"/>
      <c r="AZ108" s="1370"/>
      <c r="BA108" s="1370"/>
      <c r="BC108" s="1370"/>
      <c r="BE108" s="1370"/>
      <c r="BF108" s="1370"/>
      <c r="BG108" s="1370"/>
    </row>
    <row r="109">
      <c r="R109" s="1370"/>
      <c r="S109" s="1370"/>
      <c r="W109" s="1370"/>
      <c r="X109" s="1370"/>
      <c r="AE109" s="1370"/>
      <c r="AF109" s="1370"/>
      <c r="AV109" s="1370"/>
      <c r="AW109" s="1370"/>
      <c r="AX109" s="1370"/>
      <c r="AY109" s="1370"/>
      <c r="AZ109" s="1370"/>
      <c r="BA109" s="1370"/>
      <c r="BC109" s="1370"/>
      <c r="BE109" s="1370"/>
      <c r="BF109" s="1370"/>
      <c r="BG109" s="1370"/>
    </row>
    <row r="110">
      <c r="R110" s="1370"/>
      <c r="S110" s="1370"/>
      <c r="W110" s="1370"/>
      <c r="X110" s="1370"/>
      <c r="AE110" s="1370"/>
      <c r="AF110" s="1370"/>
      <c r="AV110" s="1370"/>
      <c r="AW110" s="1370"/>
      <c r="AX110" s="1370"/>
      <c r="AY110" s="1370"/>
      <c r="AZ110" s="1370"/>
      <c r="BA110" s="1370"/>
      <c r="BC110" s="1370"/>
      <c r="BE110" s="1370"/>
      <c r="BF110" s="1370"/>
      <c r="BG110" s="1370"/>
    </row>
    <row r="111">
      <c r="R111" s="1370"/>
      <c r="S111" s="1370"/>
      <c r="W111" s="1370"/>
      <c r="X111" s="1370"/>
      <c r="AE111" s="1370"/>
      <c r="AF111" s="1370"/>
      <c r="AV111" s="1370"/>
      <c r="AW111" s="1370"/>
      <c r="AX111" s="1370"/>
      <c r="AY111" s="1370"/>
      <c r="AZ111" s="1370"/>
      <c r="BA111" s="1370"/>
      <c r="BC111" s="1370"/>
      <c r="BE111" s="1370"/>
      <c r="BF111" s="1370"/>
      <c r="BG111" s="1370"/>
    </row>
    <row r="112">
      <c r="R112" s="1370"/>
      <c r="S112" s="1370"/>
      <c r="W112" s="1370"/>
      <c r="X112" s="1370"/>
      <c r="AE112" s="1370"/>
      <c r="AF112" s="1370"/>
      <c r="AV112" s="1370"/>
      <c r="AW112" s="1370"/>
      <c r="AX112" s="1370"/>
      <c r="AY112" s="1370"/>
      <c r="AZ112" s="1370"/>
      <c r="BA112" s="1370"/>
      <c r="BC112" s="1370"/>
      <c r="BE112" s="1370"/>
      <c r="BF112" s="1370"/>
      <c r="BG112" s="1370"/>
    </row>
    <row r="113">
      <c r="R113" s="1370"/>
      <c r="S113" s="1370"/>
      <c r="W113" s="1370"/>
      <c r="X113" s="1370"/>
      <c r="AE113" s="1370"/>
      <c r="AF113" s="1370"/>
      <c r="AV113" s="1370"/>
      <c r="AW113" s="1370"/>
      <c r="AX113" s="1370"/>
      <c r="AY113" s="1370"/>
      <c r="AZ113" s="1370"/>
      <c r="BA113" s="1370"/>
      <c r="BC113" s="1370"/>
      <c r="BE113" s="1370"/>
      <c r="BF113" s="1370"/>
      <c r="BG113" s="1370"/>
    </row>
    <row r="114">
      <c r="R114" s="1370"/>
      <c r="S114" s="1370"/>
      <c r="W114" s="1370"/>
      <c r="X114" s="1370"/>
      <c r="AE114" s="1370"/>
      <c r="AF114" s="1370"/>
      <c r="AV114" s="1370"/>
      <c r="AW114" s="1370"/>
      <c r="AX114" s="1370"/>
      <c r="AY114" s="1370"/>
      <c r="AZ114" s="1370"/>
      <c r="BA114" s="1370"/>
      <c r="BC114" s="1370"/>
      <c r="BE114" s="1370"/>
      <c r="BF114" s="1370"/>
      <c r="BG114" s="1370"/>
    </row>
    <row r="115">
      <c r="R115" s="1370"/>
      <c r="S115" s="1370"/>
      <c r="W115" s="1370"/>
      <c r="X115" s="1370"/>
      <c r="AE115" s="1370"/>
      <c r="AF115" s="1370"/>
      <c r="AV115" s="1370"/>
      <c r="AW115" s="1370"/>
      <c r="AX115" s="1370"/>
      <c r="AY115" s="1370"/>
      <c r="AZ115" s="1370"/>
      <c r="BA115" s="1370"/>
      <c r="BC115" s="1370"/>
      <c r="BE115" s="1370"/>
      <c r="BF115" s="1370"/>
      <c r="BG115" s="1370"/>
    </row>
    <row r="116">
      <c r="R116" s="1370"/>
      <c r="S116" s="1370"/>
      <c r="W116" s="1370"/>
      <c r="X116" s="1370"/>
      <c r="AE116" s="1370"/>
      <c r="AF116" s="1370"/>
      <c r="AV116" s="1370"/>
      <c r="AW116" s="1370"/>
      <c r="AX116" s="1370"/>
      <c r="AY116" s="1370"/>
      <c r="AZ116" s="1370"/>
      <c r="BA116" s="1370"/>
      <c r="BC116" s="1370"/>
      <c r="BE116" s="1370"/>
      <c r="BF116" s="1370"/>
      <c r="BG116" s="1370"/>
    </row>
    <row r="117">
      <c r="R117" s="1370"/>
      <c r="S117" s="1370"/>
      <c r="W117" s="1370"/>
      <c r="X117" s="1370"/>
      <c r="AE117" s="1370"/>
      <c r="AF117" s="1370"/>
      <c r="AV117" s="1370"/>
      <c r="AW117" s="1370"/>
      <c r="AX117" s="1370"/>
      <c r="AY117" s="1370"/>
      <c r="AZ117" s="1370"/>
      <c r="BA117" s="1370"/>
      <c r="BC117" s="1370"/>
      <c r="BE117" s="1370"/>
      <c r="BF117" s="1370"/>
      <c r="BG117" s="1370"/>
    </row>
    <row r="118">
      <c r="R118" s="1370"/>
      <c r="S118" s="1370"/>
      <c r="W118" s="1370"/>
      <c r="X118" s="1370"/>
      <c r="AE118" s="1370"/>
      <c r="AF118" s="1370"/>
      <c r="AV118" s="1370"/>
      <c r="AW118" s="1370"/>
      <c r="AX118" s="1370"/>
      <c r="AY118" s="1370"/>
      <c r="AZ118" s="1370"/>
      <c r="BA118" s="1370"/>
      <c r="BC118" s="1370"/>
      <c r="BE118" s="1370"/>
      <c r="BF118" s="1370"/>
      <c r="BG118" s="1370"/>
    </row>
    <row r="119">
      <c r="R119" s="1370"/>
      <c r="S119" s="1370"/>
      <c r="W119" s="1370"/>
      <c r="X119" s="1370"/>
      <c r="AE119" s="1370"/>
      <c r="AF119" s="1370"/>
      <c r="AV119" s="1370"/>
      <c r="AW119" s="1370"/>
      <c r="AX119" s="1370"/>
      <c r="AY119" s="1370"/>
      <c r="AZ119" s="1370"/>
      <c r="BA119" s="1370"/>
      <c r="BC119" s="1370"/>
      <c r="BE119" s="1370"/>
      <c r="BF119" s="1370"/>
      <c r="BG119" s="1370"/>
    </row>
    <row r="120">
      <c r="R120" s="1370"/>
      <c r="S120" s="1370"/>
      <c r="W120" s="1370"/>
      <c r="X120" s="1370"/>
      <c r="AE120" s="1370"/>
      <c r="AF120" s="1370"/>
      <c r="AV120" s="1370"/>
      <c r="AW120" s="1370"/>
      <c r="AX120" s="1370"/>
      <c r="AY120" s="1370"/>
      <c r="AZ120" s="1370"/>
      <c r="BA120" s="1370"/>
      <c r="BC120" s="1370"/>
      <c r="BE120" s="1370"/>
      <c r="BF120" s="1370"/>
      <c r="BG120" s="1370"/>
    </row>
    <row r="121">
      <c r="R121" s="1370"/>
      <c r="S121" s="1370"/>
      <c r="W121" s="1370"/>
      <c r="X121" s="1370"/>
      <c r="AE121" s="1370"/>
      <c r="AF121" s="1370"/>
      <c r="AV121" s="1370"/>
      <c r="AW121" s="1370"/>
      <c r="AX121" s="1370"/>
      <c r="AY121" s="1370"/>
      <c r="AZ121" s="1370"/>
      <c r="BA121" s="1370"/>
      <c r="BC121" s="1370"/>
      <c r="BE121" s="1370"/>
      <c r="BF121" s="1370"/>
      <c r="BG121" s="1370"/>
    </row>
    <row r="122">
      <c r="R122" s="1370"/>
      <c r="S122" s="1370"/>
      <c r="W122" s="1370"/>
      <c r="X122" s="1370"/>
      <c r="AE122" s="1370"/>
      <c r="AF122" s="1370"/>
      <c r="AV122" s="1370"/>
      <c r="AW122" s="1370"/>
      <c r="AX122" s="1370"/>
      <c r="AY122" s="1370"/>
      <c r="AZ122" s="1370"/>
      <c r="BA122" s="1370"/>
      <c r="BC122" s="1370"/>
      <c r="BE122" s="1370"/>
      <c r="BF122" s="1370"/>
      <c r="BG122" s="1370"/>
    </row>
    <row r="123">
      <c r="R123" s="1370"/>
      <c r="S123" s="1370"/>
      <c r="W123" s="1370"/>
      <c r="X123" s="1370"/>
      <c r="AE123" s="1370"/>
      <c r="AF123" s="1370"/>
      <c r="AV123" s="1370"/>
      <c r="AW123" s="1370"/>
      <c r="AX123" s="1370"/>
      <c r="AY123" s="1370"/>
      <c r="AZ123" s="1370"/>
      <c r="BA123" s="1370"/>
      <c r="BC123" s="1370"/>
      <c r="BE123" s="1370"/>
      <c r="BF123" s="1370"/>
      <c r="BG123" s="1370"/>
    </row>
    <row r="124">
      <c r="R124" s="1370"/>
      <c r="S124" s="1370"/>
      <c r="W124" s="1370"/>
      <c r="X124" s="1370"/>
      <c r="AE124" s="1370"/>
      <c r="AF124" s="1370"/>
      <c r="AV124" s="1370"/>
      <c r="AW124" s="1370"/>
      <c r="AX124" s="1370"/>
      <c r="AY124" s="1370"/>
      <c r="AZ124" s="1370"/>
      <c r="BA124" s="1370"/>
      <c r="BC124" s="1370"/>
      <c r="BE124" s="1370"/>
      <c r="BF124" s="1370"/>
      <c r="BG124" s="1370"/>
    </row>
    <row r="125">
      <c r="R125" s="1370"/>
      <c r="S125" s="1370"/>
      <c r="W125" s="1370"/>
      <c r="X125" s="1370"/>
      <c r="AE125" s="1370"/>
      <c r="AF125" s="1370"/>
      <c r="AV125" s="1370"/>
      <c r="AW125" s="1370"/>
      <c r="AX125" s="1370"/>
      <c r="AY125" s="1370"/>
      <c r="AZ125" s="1370"/>
      <c r="BA125" s="1370"/>
      <c r="BC125" s="1370"/>
      <c r="BE125" s="1370"/>
      <c r="BF125" s="1370"/>
      <c r="BG125" s="1370"/>
    </row>
    <row r="126">
      <c r="R126" s="1370"/>
      <c r="S126" s="1370"/>
      <c r="W126" s="1370"/>
      <c r="X126" s="1370"/>
      <c r="AE126" s="1370"/>
      <c r="AF126" s="1370"/>
      <c r="AV126" s="1370"/>
      <c r="AW126" s="1370"/>
      <c r="AX126" s="1370"/>
      <c r="AY126" s="1370"/>
      <c r="AZ126" s="1370"/>
      <c r="BA126" s="1370"/>
      <c r="BC126" s="1370"/>
      <c r="BE126" s="1370"/>
      <c r="BF126" s="1370"/>
      <c r="BG126" s="1370"/>
    </row>
    <row r="127">
      <c r="R127" s="1370"/>
      <c r="S127" s="1370"/>
      <c r="W127" s="1370"/>
      <c r="X127" s="1370"/>
      <c r="AE127" s="1370"/>
      <c r="AF127" s="1370"/>
      <c r="AV127" s="1370"/>
      <c r="AW127" s="1370"/>
      <c r="AX127" s="1370"/>
      <c r="AY127" s="1370"/>
      <c r="AZ127" s="1370"/>
      <c r="BA127" s="1370"/>
      <c r="BC127" s="1370"/>
      <c r="BE127" s="1370"/>
      <c r="BF127" s="1370"/>
      <c r="BG127" s="1370"/>
    </row>
    <row r="128">
      <c r="R128" s="1370"/>
      <c r="S128" s="1370"/>
      <c r="W128" s="1370"/>
      <c r="X128" s="1370"/>
      <c r="AE128" s="1370"/>
      <c r="AF128" s="1370"/>
      <c r="AV128" s="1370"/>
      <c r="AW128" s="1370"/>
      <c r="AX128" s="1370"/>
      <c r="AY128" s="1370"/>
      <c r="AZ128" s="1370"/>
      <c r="BA128" s="1370"/>
      <c r="BC128" s="1370"/>
      <c r="BE128" s="1370"/>
      <c r="BF128" s="1370"/>
      <c r="BG128" s="1370"/>
    </row>
    <row r="129">
      <c r="R129" s="1370"/>
      <c r="S129" s="1370"/>
      <c r="W129" s="1370"/>
      <c r="X129" s="1370"/>
      <c r="AE129" s="1370"/>
      <c r="AF129" s="1370"/>
      <c r="AV129" s="1370"/>
      <c r="AW129" s="1370"/>
      <c r="AX129" s="1370"/>
      <c r="AY129" s="1370"/>
      <c r="AZ129" s="1370"/>
      <c r="BA129" s="1370"/>
      <c r="BC129" s="1370"/>
      <c r="BE129" s="1370"/>
      <c r="BF129" s="1370"/>
      <c r="BG129" s="1370"/>
    </row>
    <row r="130">
      <c r="R130" s="1370"/>
      <c r="S130" s="1370"/>
      <c r="W130" s="1370"/>
      <c r="X130" s="1370"/>
      <c r="AE130" s="1370"/>
      <c r="AF130" s="1370"/>
      <c r="AV130" s="1370"/>
      <c r="AW130" s="1370"/>
      <c r="AX130" s="1370"/>
      <c r="AY130" s="1370"/>
      <c r="AZ130" s="1370"/>
      <c r="BA130" s="1370"/>
      <c r="BC130" s="1370"/>
      <c r="BE130" s="1370"/>
      <c r="BF130" s="1370"/>
      <c r="BG130" s="1370"/>
    </row>
    <row r="131">
      <c r="R131" s="1370"/>
      <c r="S131" s="1370"/>
      <c r="W131" s="1370"/>
      <c r="X131" s="1370"/>
      <c r="AE131" s="1370"/>
      <c r="AF131" s="1370"/>
      <c r="AV131" s="1370"/>
      <c r="AW131" s="1370"/>
      <c r="AX131" s="1370"/>
      <c r="AY131" s="1370"/>
      <c r="AZ131" s="1370"/>
      <c r="BA131" s="1370"/>
      <c r="BC131" s="1370"/>
      <c r="BE131" s="1370"/>
      <c r="BF131" s="1370"/>
      <c r="BG131" s="1370"/>
    </row>
    <row r="132">
      <c r="R132" s="1370"/>
      <c r="S132" s="1370"/>
      <c r="W132" s="1370"/>
      <c r="X132" s="1370"/>
      <c r="AE132" s="1370"/>
      <c r="AF132" s="1370"/>
      <c r="AV132" s="1370"/>
      <c r="AW132" s="1370"/>
      <c r="AX132" s="1370"/>
      <c r="AY132" s="1370"/>
      <c r="AZ132" s="1370"/>
      <c r="BA132" s="1370"/>
      <c r="BC132" s="1370"/>
      <c r="BE132" s="1370"/>
      <c r="BF132" s="1370"/>
      <c r="BG132" s="1370"/>
    </row>
    <row r="133">
      <c r="R133" s="1370"/>
      <c r="S133" s="1370"/>
      <c r="W133" s="1370"/>
      <c r="X133" s="1370"/>
      <c r="AE133" s="1370"/>
      <c r="AF133" s="1370"/>
      <c r="AV133" s="1370"/>
      <c r="AW133" s="1370"/>
      <c r="AX133" s="1370"/>
      <c r="AY133" s="1370"/>
      <c r="AZ133" s="1370"/>
      <c r="BA133" s="1370"/>
      <c r="BC133" s="1370"/>
      <c r="BE133" s="1370"/>
      <c r="BF133" s="1370"/>
      <c r="BG133" s="1370"/>
    </row>
    <row r="134">
      <c r="R134" s="1370"/>
      <c r="S134" s="1370"/>
      <c r="W134" s="1370"/>
      <c r="X134" s="1370"/>
      <c r="AE134" s="1370"/>
      <c r="AF134" s="1370"/>
      <c r="AV134" s="1370"/>
      <c r="AW134" s="1370"/>
      <c r="AX134" s="1370"/>
      <c r="AY134" s="1370"/>
      <c r="AZ134" s="1370"/>
      <c r="BA134" s="1370"/>
      <c r="BC134" s="1370"/>
      <c r="BE134" s="1370"/>
      <c r="BF134" s="1370"/>
      <c r="BG134" s="1370"/>
    </row>
    <row r="135">
      <c r="R135" s="1370"/>
      <c r="S135" s="1370"/>
      <c r="W135" s="1370"/>
      <c r="X135" s="1370"/>
      <c r="AE135" s="1370"/>
      <c r="AF135" s="1370"/>
      <c r="AV135" s="1370"/>
      <c r="AW135" s="1370"/>
      <c r="AX135" s="1370"/>
      <c r="AY135" s="1370"/>
      <c r="AZ135" s="1370"/>
      <c r="BA135" s="1370"/>
      <c r="BC135" s="1370"/>
      <c r="BE135" s="1370"/>
      <c r="BF135" s="1370"/>
      <c r="BG135" s="1370"/>
    </row>
    <row r="136">
      <c r="R136" s="1370"/>
      <c r="S136" s="1370"/>
      <c r="W136" s="1370"/>
      <c r="X136" s="1370"/>
      <c r="AE136" s="1370"/>
      <c r="AF136" s="1370"/>
      <c r="AV136" s="1370"/>
      <c r="AW136" s="1370"/>
      <c r="AX136" s="1370"/>
      <c r="AY136" s="1370"/>
      <c r="AZ136" s="1370"/>
      <c r="BA136" s="1370"/>
      <c r="BC136" s="1370"/>
      <c r="BE136" s="1370"/>
      <c r="BF136" s="1370"/>
      <c r="BG136" s="1370"/>
    </row>
    <row r="137">
      <c r="R137" s="1370"/>
      <c r="S137" s="1370"/>
      <c r="W137" s="1370"/>
      <c r="X137" s="1370"/>
      <c r="AE137" s="1370"/>
      <c r="AF137" s="1370"/>
      <c r="AV137" s="1370"/>
      <c r="AW137" s="1370"/>
      <c r="AX137" s="1370"/>
      <c r="AY137" s="1370"/>
      <c r="AZ137" s="1370"/>
      <c r="BA137" s="1370"/>
      <c r="BC137" s="1370"/>
      <c r="BE137" s="1370"/>
      <c r="BF137" s="1370"/>
      <c r="BG137" s="1370"/>
    </row>
    <row r="138">
      <c r="R138" s="1370"/>
      <c r="S138" s="1370"/>
      <c r="W138" s="1370"/>
      <c r="X138" s="1370"/>
      <c r="AE138" s="1370"/>
      <c r="AF138" s="1370"/>
      <c r="AV138" s="1370"/>
      <c r="AW138" s="1370"/>
      <c r="AX138" s="1370"/>
      <c r="AY138" s="1370"/>
      <c r="AZ138" s="1370"/>
      <c r="BA138" s="1370"/>
      <c r="BC138" s="1370"/>
      <c r="BE138" s="1370"/>
      <c r="BF138" s="1370"/>
      <c r="BG138" s="1370"/>
    </row>
    <row r="139">
      <c r="R139" s="1370"/>
      <c r="S139" s="1370"/>
      <c r="W139" s="1370"/>
      <c r="X139" s="1370"/>
      <c r="AE139" s="1370"/>
      <c r="AF139" s="1370"/>
      <c r="AV139" s="1370"/>
      <c r="AW139" s="1370"/>
      <c r="AX139" s="1370"/>
      <c r="AY139" s="1370"/>
      <c r="AZ139" s="1370"/>
      <c r="BA139" s="1370"/>
      <c r="BC139" s="1370"/>
      <c r="BE139" s="1370"/>
      <c r="BF139" s="1370"/>
      <c r="BG139" s="1370"/>
    </row>
    <row r="140">
      <c r="R140" s="1370"/>
      <c r="S140" s="1370"/>
      <c r="W140" s="1370"/>
      <c r="X140" s="1370"/>
      <c r="AE140" s="1370"/>
      <c r="AF140" s="1370"/>
      <c r="AV140" s="1370"/>
      <c r="AW140" s="1370"/>
      <c r="AX140" s="1370"/>
      <c r="AY140" s="1370"/>
      <c r="AZ140" s="1370"/>
      <c r="BA140" s="1370"/>
      <c r="BC140" s="1370"/>
      <c r="BE140" s="1370"/>
      <c r="BF140" s="1370"/>
      <c r="BG140" s="1370"/>
    </row>
    <row r="141">
      <c r="R141" s="1370"/>
      <c r="S141" s="1370"/>
      <c r="W141" s="1370"/>
      <c r="X141" s="1370"/>
      <c r="AE141" s="1370"/>
      <c r="AF141" s="1370"/>
      <c r="AV141" s="1370"/>
      <c r="AW141" s="1370"/>
      <c r="AX141" s="1370"/>
      <c r="AY141" s="1370"/>
      <c r="AZ141" s="1370"/>
      <c r="BA141" s="1370"/>
      <c r="BC141" s="1370"/>
      <c r="BE141" s="1370"/>
      <c r="BF141" s="1370"/>
      <c r="BG141" s="1370"/>
    </row>
    <row r="142">
      <c r="R142" s="1370"/>
      <c r="S142" s="1370"/>
      <c r="W142" s="1370"/>
      <c r="X142" s="1370"/>
      <c r="AE142" s="1370"/>
      <c r="AF142" s="1370"/>
      <c r="AV142" s="1370"/>
      <c r="AW142" s="1370"/>
      <c r="AX142" s="1370"/>
      <c r="AY142" s="1370"/>
      <c r="AZ142" s="1370"/>
      <c r="BA142" s="1370"/>
      <c r="BC142" s="1370"/>
      <c r="BE142" s="1370"/>
      <c r="BF142" s="1370"/>
      <c r="BG142" s="1370"/>
    </row>
    <row r="143">
      <c r="R143" s="1370"/>
      <c r="S143" s="1370"/>
      <c r="W143" s="1370"/>
      <c r="X143" s="1370"/>
      <c r="AE143" s="1370"/>
      <c r="AF143" s="1370"/>
      <c r="AV143" s="1370"/>
      <c r="AW143" s="1370"/>
      <c r="AX143" s="1370"/>
      <c r="AY143" s="1370"/>
      <c r="AZ143" s="1370"/>
      <c r="BA143" s="1370"/>
      <c r="BC143" s="1370"/>
      <c r="BE143" s="1370"/>
      <c r="BF143" s="1370"/>
      <c r="BG143" s="1370"/>
    </row>
    <row r="144">
      <c r="R144" s="1370"/>
      <c r="S144" s="1370"/>
      <c r="W144" s="1370"/>
      <c r="X144" s="1370"/>
      <c r="AE144" s="1370"/>
      <c r="AF144" s="1370"/>
      <c r="AV144" s="1370"/>
      <c r="AW144" s="1370"/>
      <c r="AX144" s="1370"/>
      <c r="AY144" s="1370"/>
      <c r="AZ144" s="1370"/>
      <c r="BA144" s="1370"/>
      <c r="BC144" s="1370"/>
      <c r="BE144" s="1370"/>
      <c r="BF144" s="1370"/>
      <c r="BG144" s="1370"/>
    </row>
    <row r="145">
      <c r="R145" s="1370"/>
      <c r="S145" s="1370"/>
      <c r="W145" s="1370"/>
      <c r="X145" s="1370"/>
      <c r="AE145" s="1370"/>
      <c r="AF145" s="1370"/>
      <c r="AV145" s="1370"/>
      <c r="AW145" s="1370"/>
      <c r="AX145" s="1370"/>
      <c r="AY145" s="1370"/>
      <c r="AZ145" s="1370"/>
      <c r="BA145" s="1370"/>
      <c r="BC145" s="1370"/>
      <c r="BE145" s="1370"/>
      <c r="BF145" s="1370"/>
      <c r="BG145" s="1370"/>
    </row>
    <row r="146">
      <c r="R146" s="1370"/>
      <c r="S146" s="1370"/>
      <c r="W146" s="1370"/>
      <c r="X146" s="1370"/>
      <c r="AE146" s="1370"/>
      <c r="AF146" s="1370"/>
      <c r="AV146" s="1370"/>
      <c r="AW146" s="1370"/>
      <c r="AX146" s="1370"/>
      <c r="AY146" s="1370"/>
      <c r="AZ146" s="1370"/>
      <c r="BA146" s="1370"/>
      <c r="BC146" s="1370"/>
      <c r="BE146" s="1370"/>
      <c r="BF146" s="1370"/>
      <c r="BG146" s="1370"/>
    </row>
    <row r="147">
      <c r="R147" s="1370"/>
      <c r="S147" s="1370"/>
      <c r="W147" s="1370"/>
      <c r="X147" s="1370"/>
      <c r="AE147" s="1370"/>
      <c r="AF147" s="1370"/>
      <c r="AV147" s="1370"/>
      <c r="AW147" s="1370"/>
      <c r="AX147" s="1370"/>
      <c r="AY147" s="1370"/>
      <c r="AZ147" s="1370"/>
      <c r="BA147" s="1370"/>
      <c r="BC147" s="1370"/>
      <c r="BE147" s="1370"/>
      <c r="BF147" s="1370"/>
      <c r="BG147" s="1370"/>
    </row>
    <row r="148">
      <c r="R148" s="1370"/>
      <c r="S148" s="1370"/>
      <c r="W148" s="1370"/>
      <c r="X148" s="1370"/>
      <c r="AE148" s="1370"/>
      <c r="AF148" s="1370"/>
      <c r="AV148" s="1370"/>
      <c r="AW148" s="1370"/>
      <c r="AX148" s="1370"/>
      <c r="AY148" s="1370"/>
      <c r="AZ148" s="1370"/>
      <c r="BA148" s="1370"/>
      <c r="BC148" s="1370"/>
      <c r="BE148" s="1370"/>
      <c r="BF148" s="1370"/>
      <c r="BG148" s="1370"/>
    </row>
    <row r="149">
      <c r="R149" s="1370"/>
      <c r="S149" s="1370"/>
      <c r="W149" s="1370"/>
      <c r="X149" s="1370"/>
      <c r="AE149" s="1370"/>
      <c r="AF149" s="1370"/>
      <c r="AV149" s="1370"/>
      <c r="AW149" s="1370"/>
      <c r="AX149" s="1370"/>
      <c r="AY149" s="1370"/>
      <c r="AZ149" s="1370"/>
      <c r="BA149" s="1370"/>
      <c r="BC149" s="1370"/>
      <c r="BE149" s="1370"/>
      <c r="BF149" s="1370"/>
      <c r="BG149" s="1370"/>
    </row>
    <row r="150">
      <c r="R150" s="1370"/>
      <c r="S150" s="1370"/>
      <c r="W150" s="1370"/>
      <c r="X150" s="1370"/>
      <c r="AE150" s="1370"/>
      <c r="AF150" s="1370"/>
      <c r="AV150" s="1370"/>
      <c r="AW150" s="1370"/>
      <c r="AX150" s="1370"/>
      <c r="AY150" s="1370"/>
      <c r="AZ150" s="1370"/>
      <c r="BA150" s="1370"/>
      <c r="BC150" s="1370"/>
      <c r="BE150" s="1370"/>
      <c r="BF150" s="1370"/>
      <c r="BG150" s="1370"/>
    </row>
    <row r="151">
      <c r="R151" s="1370"/>
      <c r="S151" s="1370"/>
      <c r="W151" s="1370"/>
      <c r="X151" s="1370"/>
      <c r="AE151" s="1370"/>
      <c r="AF151" s="1370"/>
      <c r="AV151" s="1370"/>
      <c r="AW151" s="1370"/>
      <c r="AX151" s="1370"/>
      <c r="AY151" s="1370"/>
      <c r="AZ151" s="1370"/>
      <c r="BA151" s="1370"/>
      <c r="BC151" s="1370"/>
      <c r="BE151" s="1370"/>
      <c r="BF151" s="1370"/>
      <c r="BG151" s="1370"/>
    </row>
    <row r="152">
      <c r="R152" s="1370"/>
      <c r="S152" s="1370"/>
      <c r="W152" s="1370"/>
      <c r="X152" s="1370"/>
      <c r="AE152" s="1370"/>
      <c r="AF152" s="1370"/>
      <c r="AV152" s="1370"/>
      <c r="AW152" s="1370"/>
      <c r="AX152" s="1370"/>
      <c r="AY152" s="1370"/>
      <c r="AZ152" s="1370"/>
      <c r="BA152" s="1370"/>
      <c r="BC152" s="1370"/>
      <c r="BE152" s="1370"/>
      <c r="BF152" s="1370"/>
      <c r="BG152" s="1370"/>
    </row>
    <row r="153">
      <c r="R153" s="1370"/>
      <c r="S153" s="1370"/>
      <c r="W153" s="1370"/>
      <c r="X153" s="1370"/>
      <c r="AE153" s="1370"/>
      <c r="AF153" s="1370"/>
      <c r="AV153" s="1370"/>
      <c r="AW153" s="1370"/>
      <c r="AX153" s="1370"/>
      <c r="AY153" s="1370"/>
      <c r="AZ153" s="1370"/>
      <c r="BA153" s="1370"/>
      <c r="BC153" s="1370"/>
      <c r="BE153" s="1370"/>
      <c r="BF153" s="1370"/>
      <c r="BG153" s="1370"/>
    </row>
    <row r="154">
      <c r="R154" s="1370"/>
      <c r="S154" s="1370"/>
      <c r="W154" s="1370"/>
      <c r="X154" s="1370"/>
      <c r="AE154" s="1370"/>
      <c r="AF154" s="1370"/>
      <c r="AV154" s="1370"/>
      <c r="AW154" s="1370"/>
      <c r="AX154" s="1370"/>
      <c r="AY154" s="1370"/>
      <c r="AZ154" s="1370"/>
      <c r="BA154" s="1370"/>
      <c r="BC154" s="1370"/>
      <c r="BE154" s="1370"/>
      <c r="BF154" s="1370"/>
      <c r="BG154" s="1370"/>
    </row>
    <row r="155">
      <c r="R155" s="1370"/>
      <c r="S155" s="1370"/>
      <c r="W155" s="1370"/>
      <c r="X155" s="1370"/>
      <c r="AE155" s="1370"/>
      <c r="AF155" s="1370"/>
      <c r="AV155" s="1370"/>
      <c r="AW155" s="1370"/>
      <c r="AX155" s="1370"/>
      <c r="AY155" s="1370"/>
      <c r="AZ155" s="1370"/>
      <c r="BA155" s="1370"/>
      <c r="BC155" s="1370"/>
      <c r="BE155" s="1370"/>
      <c r="BF155" s="1370"/>
      <c r="BG155" s="1370"/>
    </row>
    <row r="156">
      <c r="R156" s="1370"/>
      <c r="S156" s="1370"/>
      <c r="W156" s="1370"/>
      <c r="X156" s="1370"/>
      <c r="AE156" s="1370"/>
      <c r="AF156" s="1370"/>
      <c r="AV156" s="1370"/>
      <c r="AW156" s="1370"/>
      <c r="AX156" s="1370"/>
      <c r="AY156" s="1370"/>
      <c r="AZ156" s="1370"/>
      <c r="BA156" s="1370"/>
      <c r="BC156" s="1370"/>
      <c r="BE156" s="1370"/>
      <c r="BF156" s="1370"/>
      <c r="BG156" s="1370"/>
    </row>
    <row r="157">
      <c r="R157" s="1370"/>
      <c r="S157" s="1370"/>
      <c r="W157" s="1370"/>
      <c r="X157" s="1370"/>
      <c r="AE157" s="1370"/>
      <c r="AF157" s="1370"/>
      <c r="AV157" s="1370"/>
      <c r="AW157" s="1370"/>
      <c r="AX157" s="1370"/>
      <c r="AY157" s="1370"/>
      <c r="AZ157" s="1370"/>
      <c r="BA157" s="1370"/>
      <c r="BC157" s="1370"/>
      <c r="BE157" s="1370"/>
      <c r="BF157" s="1370"/>
      <c r="BG157" s="1370"/>
    </row>
    <row r="158">
      <c r="R158" s="1370"/>
      <c r="S158" s="1370"/>
      <c r="W158" s="1370"/>
      <c r="X158" s="1370"/>
      <c r="AE158" s="1370"/>
      <c r="AF158" s="1370"/>
      <c r="AV158" s="1370"/>
      <c r="AW158" s="1370"/>
      <c r="AX158" s="1370"/>
      <c r="AY158" s="1370"/>
      <c r="AZ158" s="1370"/>
      <c r="BA158" s="1370"/>
      <c r="BC158" s="1370"/>
      <c r="BE158" s="1370"/>
      <c r="BF158" s="1370"/>
      <c r="BG158" s="1370"/>
    </row>
    <row r="159">
      <c r="R159" s="1370"/>
      <c r="S159" s="1370"/>
      <c r="W159" s="1370"/>
      <c r="X159" s="1370"/>
      <c r="AE159" s="1370"/>
      <c r="AF159" s="1370"/>
      <c r="AV159" s="1370"/>
      <c r="AW159" s="1370"/>
      <c r="AX159" s="1370"/>
      <c r="AY159" s="1370"/>
      <c r="AZ159" s="1370"/>
      <c r="BA159" s="1370"/>
      <c r="BC159" s="1370"/>
      <c r="BE159" s="1370"/>
      <c r="BF159" s="1370"/>
      <c r="BG159" s="1370"/>
    </row>
    <row r="160">
      <c r="R160" s="1370"/>
      <c r="S160" s="1370"/>
      <c r="W160" s="1370"/>
      <c r="X160" s="1370"/>
      <c r="AE160" s="1370"/>
      <c r="AF160" s="1370"/>
      <c r="AV160" s="1370"/>
      <c r="AW160" s="1370"/>
      <c r="AX160" s="1370"/>
      <c r="AY160" s="1370"/>
      <c r="AZ160" s="1370"/>
      <c r="BA160" s="1370"/>
      <c r="BC160" s="1370"/>
      <c r="BE160" s="1370"/>
      <c r="BF160" s="1370"/>
      <c r="BG160" s="1370"/>
    </row>
    <row r="161">
      <c r="R161" s="1370"/>
      <c r="S161" s="1370"/>
      <c r="W161" s="1370"/>
      <c r="X161" s="1370"/>
      <c r="AE161" s="1370"/>
      <c r="AF161" s="1370"/>
      <c r="AV161" s="1370"/>
      <c r="AW161" s="1370"/>
      <c r="AX161" s="1370"/>
      <c r="AY161" s="1370"/>
      <c r="AZ161" s="1370"/>
      <c r="BA161" s="1370"/>
      <c r="BC161" s="1370"/>
      <c r="BE161" s="1370"/>
      <c r="BF161" s="1370"/>
      <c r="BG161" s="1370"/>
    </row>
    <row r="162">
      <c r="R162" s="1370"/>
      <c r="S162" s="1370"/>
      <c r="W162" s="1370"/>
      <c r="X162" s="1370"/>
      <c r="AE162" s="1370"/>
      <c r="AF162" s="1370"/>
      <c r="AV162" s="1370"/>
      <c r="AW162" s="1370"/>
      <c r="AX162" s="1370"/>
      <c r="AY162" s="1370"/>
      <c r="AZ162" s="1370"/>
      <c r="BA162" s="1370"/>
      <c r="BC162" s="1370"/>
      <c r="BE162" s="1370"/>
      <c r="BF162" s="1370"/>
      <c r="BG162" s="1370"/>
    </row>
    <row r="163">
      <c r="R163" s="1370"/>
      <c r="S163" s="1370"/>
      <c r="W163" s="1370"/>
      <c r="X163" s="1370"/>
      <c r="AE163" s="1370"/>
      <c r="AF163" s="1370"/>
      <c r="AV163" s="1370"/>
      <c r="AW163" s="1370"/>
      <c r="AX163" s="1370"/>
      <c r="AY163" s="1370"/>
      <c r="AZ163" s="1370"/>
      <c r="BA163" s="1370"/>
      <c r="BC163" s="1370"/>
      <c r="BE163" s="1370"/>
      <c r="BF163" s="1370"/>
      <c r="BG163" s="1370"/>
    </row>
    <row r="164">
      <c r="R164" s="1370"/>
      <c r="S164" s="1370"/>
      <c r="W164" s="1370"/>
      <c r="X164" s="1370"/>
      <c r="AE164" s="1370"/>
      <c r="AF164" s="1370"/>
      <c r="AV164" s="1370"/>
      <c r="AW164" s="1370"/>
      <c r="AX164" s="1370"/>
      <c r="AY164" s="1370"/>
      <c r="AZ164" s="1370"/>
      <c r="BA164" s="1370"/>
      <c r="BC164" s="1370"/>
      <c r="BE164" s="1370"/>
      <c r="BF164" s="1370"/>
      <c r="BG164" s="1370"/>
    </row>
    <row r="165">
      <c r="R165" s="1370"/>
      <c r="S165" s="1370"/>
      <c r="W165" s="1370"/>
      <c r="X165" s="1370"/>
      <c r="AE165" s="1370"/>
      <c r="AF165" s="1370"/>
      <c r="AV165" s="1370"/>
      <c r="AW165" s="1370"/>
      <c r="AX165" s="1370"/>
      <c r="AY165" s="1370"/>
      <c r="AZ165" s="1370"/>
      <c r="BA165" s="1370"/>
      <c r="BC165" s="1370"/>
      <c r="BE165" s="1370"/>
      <c r="BF165" s="1370"/>
      <c r="BG165" s="1370"/>
    </row>
    <row r="166">
      <c r="R166" s="1370"/>
      <c r="S166" s="1370"/>
      <c r="W166" s="1370"/>
      <c r="X166" s="1370"/>
      <c r="AE166" s="1370"/>
      <c r="AF166" s="1370"/>
      <c r="AV166" s="1370"/>
      <c r="AW166" s="1370"/>
      <c r="AX166" s="1370"/>
      <c r="AY166" s="1370"/>
      <c r="AZ166" s="1370"/>
      <c r="BA166" s="1370"/>
      <c r="BC166" s="1370"/>
      <c r="BE166" s="1370"/>
      <c r="BF166" s="1370"/>
      <c r="BG166" s="1370"/>
    </row>
    <row r="167">
      <c r="R167" s="1370"/>
      <c r="S167" s="1370"/>
      <c r="W167" s="1370"/>
      <c r="X167" s="1370"/>
      <c r="AE167" s="1370"/>
      <c r="AF167" s="1370"/>
      <c r="AV167" s="1370"/>
      <c r="AW167" s="1370"/>
      <c r="AX167" s="1370"/>
      <c r="AY167" s="1370"/>
      <c r="AZ167" s="1370"/>
      <c r="BA167" s="1370"/>
      <c r="BC167" s="1370"/>
      <c r="BE167" s="1370"/>
      <c r="BF167" s="1370"/>
      <c r="BG167" s="1370"/>
    </row>
    <row r="168">
      <c r="R168" s="1370"/>
      <c r="S168" s="1370"/>
      <c r="W168" s="1370"/>
      <c r="X168" s="1370"/>
      <c r="AE168" s="1370"/>
      <c r="AF168" s="1370"/>
      <c r="AV168" s="1370"/>
      <c r="AW168" s="1370"/>
      <c r="AX168" s="1370"/>
      <c r="AY168" s="1370"/>
      <c r="AZ168" s="1370"/>
      <c r="BA168" s="1370"/>
      <c r="BC168" s="1370"/>
      <c r="BE168" s="1370"/>
      <c r="BF168" s="1370"/>
      <c r="BG168" s="1370"/>
    </row>
    <row r="169">
      <c r="R169" s="1370"/>
      <c r="S169" s="1370"/>
      <c r="W169" s="1370"/>
      <c r="X169" s="1370"/>
      <c r="AE169" s="1370"/>
      <c r="AF169" s="1370"/>
      <c r="AV169" s="1370"/>
      <c r="AW169" s="1370"/>
      <c r="AX169" s="1370"/>
      <c r="AY169" s="1370"/>
      <c r="AZ169" s="1370"/>
      <c r="BA169" s="1370"/>
      <c r="BC169" s="1370"/>
      <c r="BE169" s="1370"/>
      <c r="BF169" s="1370"/>
      <c r="BG169" s="1370"/>
    </row>
    <row r="170">
      <c r="R170" s="1370"/>
      <c r="S170" s="1370"/>
      <c r="W170" s="1370"/>
      <c r="X170" s="1370"/>
      <c r="AE170" s="1370"/>
      <c r="AF170" s="1370"/>
      <c r="AV170" s="1370"/>
      <c r="AW170" s="1370"/>
      <c r="AX170" s="1370"/>
      <c r="AY170" s="1370"/>
      <c r="AZ170" s="1370"/>
      <c r="BA170" s="1370"/>
      <c r="BC170" s="1370"/>
      <c r="BE170" s="1370"/>
      <c r="BF170" s="1370"/>
      <c r="BG170" s="1370"/>
    </row>
    <row r="171">
      <c r="R171" s="1370"/>
      <c r="S171" s="1370"/>
      <c r="W171" s="1370"/>
      <c r="X171" s="1370"/>
      <c r="AE171" s="1370"/>
      <c r="AF171" s="1370"/>
      <c r="AV171" s="1370"/>
      <c r="AW171" s="1370"/>
      <c r="AX171" s="1370"/>
      <c r="AY171" s="1370"/>
      <c r="AZ171" s="1370"/>
      <c r="BA171" s="1370"/>
      <c r="BC171" s="1370"/>
      <c r="BE171" s="1370"/>
      <c r="BF171" s="1370"/>
      <c r="BG171" s="1370"/>
    </row>
    <row r="172">
      <c r="R172" s="1370"/>
      <c r="S172" s="1370"/>
      <c r="W172" s="1370"/>
      <c r="X172" s="1370"/>
      <c r="AE172" s="1370"/>
      <c r="AF172" s="1370"/>
      <c r="AV172" s="1370"/>
      <c r="AW172" s="1370"/>
      <c r="AX172" s="1370"/>
      <c r="AY172" s="1370"/>
      <c r="AZ172" s="1370"/>
      <c r="BA172" s="1370"/>
      <c r="BC172" s="1370"/>
      <c r="BE172" s="1370"/>
      <c r="BF172" s="1370"/>
      <c r="BG172" s="1370"/>
    </row>
    <row r="173">
      <c r="R173" s="1370"/>
      <c r="S173" s="1370"/>
      <c r="W173" s="1370"/>
      <c r="X173" s="1370"/>
      <c r="AE173" s="1370"/>
      <c r="AF173" s="1370"/>
      <c r="AV173" s="1370"/>
      <c r="AW173" s="1370"/>
      <c r="AX173" s="1370"/>
      <c r="AY173" s="1370"/>
      <c r="AZ173" s="1370"/>
      <c r="BA173" s="1370"/>
      <c r="BC173" s="1370"/>
      <c r="BE173" s="1370"/>
      <c r="BF173" s="1370"/>
      <c r="BG173" s="1370"/>
    </row>
    <row r="174">
      <c r="R174" s="1370"/>
      <c r="S174" s="1370"/>
      <c r="W174" s="1370"/>
      <c r="X174" s="1370"/>
      <c r="AE174" s="1370"/>
      <c r="AF174" s="1370"/>
      <c r="AV174" s="1370"/>
      <c r="AW174" s="1370"/>
      <c r="AX174" s="1370"/>
      <c r="AY174" s="1370"/>
      <c r="AZ174" s="1370"/>
      <c r="BA174" s="1370"/>
      <c r="BC174" s="1370"/>
      <c r="BE174" s="1370"/>
      <c r="BF174" s="1370"/>
      <c r="BG174" s="1370"/>
    </row>
    <row r="175">
      <c r="R175" s="1370"/>
      <c r="S175" s="1370"/>
      <c r="W175" s="1370"/>
      <c r="X175" s="1370"/>
      <c r="AE175" s="1370"/>
      <c r="AF175" s="1370"/>
      <c r="AV175" s="1370"/>
      <c r="AW175" s="1370"/>
      <c r="AX175" s="1370"/>
      <c r="AY175" s="1370"/>
      <c r="AZ175" s="1370"/>
      <c r="BA175" s="1370"/>
      <c r="BC175" s="1370"/>
      <c r="BE175" s="1370"/>
      <c r="BF175" s="1370"/>
      <c r="BG175" s="1370"/>
    </row>
    <row r="176">
      <c r="R176" s="1370"/>
      <c r="S176" s="1370"/>
      <c r="W176" s="1370"/>
      <c r="X176" s="1370"/>
      <c r="AE176" s="1370"/>
      <c r="AF176" s="1370"/>
      <c r="AV176" s="1370"/>
      <c r="AW176" s="1370"/>
      <c r="AX176" s="1370"/>
      <c r="AY176" s="1370"/>
      <c r="AZ176" s="1370"/>
      <c r="BA176" s="1370"/>
      <c r="BC176" s="1370"/>
      <c r="BE176" s="1370"/>
      <c r="BF176" s="1370"/>
      <c r="BG176" s="1370"/>
    </row>
    <row r="177">
      <c r="R177" s="1370"/>
      <c r="S177" s="1370"/>
      <c r="W177" s="1370"/>
      <c r="X177" s="1370"/>
      <c r="AE177" s="1370"/>
      <c r="AF177" s="1370"/>
      <c r="AV177" s="1370"/>
      <c r="AW177" s="1370"/>
      <c r="AX177" s="1370"/>
      <c r="AY177" s="1370"/>
      <c r="AZ177" s="1370"/>
      <c r="BA177" s="1370"/>
      <c r="BC177" s="1370"/>
      <c r="BE177" s="1370"/>
      <c r="BF177" s="1370"/>
      <c r="BG177" s="1370"/>
    </row>
    <row r="178">
      <c r="R178" s="1370"/>
      <c r="S178" s="1370"/>
      <c r="W178" s="1370"/>
      <c r="X178" s="1370"/>
      <c r="AE178" s="1370"/>
      <c r="AF178" s="1370"/>
      <c r="AV178" s="1370"/>
      <c r="AW178" s="1370"/>
      <c r="AX178" s="1370"/>
      <c r="AY178" s="1370"/>
      <c r="AZ178" s="1370"/>
      <c r="BA178" s="1370"/>
      <c r="BC178" s="1370"/>
      <c r="BE178" s="1370"/>
      <c r="BF178" s="1370"/>
      <c r="BG178" s="1370"/>
    </row>
    <row r="179">
      <c r="R179" s="1370"/>
      <c r="S179" s="1370"/>
      <c r="W179" s="1370"/>
      <c r="X179" s="1370"/>
      <c r="AE179" s="1370"/>
      <c r="AF179" s="1370"/>
      <c r="AV179" s="1370"/>
      <c r="AW179" s="1370"/>
      <c r="AX179" s="1370"/>
      <c r="AY179" s="1370"/>
      <c r="AZ179" s="1370"/>
      <c r="BA179" s="1370"/>
      <c r="BC179" s="1370"/>
      <c r="BE179" s="1370"/>
      <c r="BF179" s="1370"/>
      <c r="BG179" s="1370"/>
    </row>
    <row r="180">
      <c r="R180" s="1370"/>
      <c r="S180" s="1370"/>
      <c r="W180" s="1370"/>
      <c r="X180" s="1370"/>
      <c r="AE180" s="1370"/>
      <c r="AF180" s="1370"/>
      <c r="AV180" s="1370"/>
      <c r="AW180" s="1370"/>
      <c r="AX180" s="1370"/>
      <c r="AY180" s="1370"/>
      <c r="AZ180" s="1370"/>
      <c r="BA180" s="1370"/>
      <c r="BC180" s="1370"/>
      <c r="BE180" s="1370"/>
      <c r="BF180" s="1370"/>
      <c r="BG180" s="1370"/>
    </row>
    <row r="181">
      <c r="R181" s="1370"/>
      <c r="S181" s="1370"/>
      <c r="W181" s="1370"/>
      <c r="X181" s="1370"/>
      <c r="AE181" s="1370"/>
      <c r="AF181" s="1370"/>
      <c r="AV181" s="1370"/>
      <c r="AW181" s="1370"/>
      <c r="AX181" s="1370"/>
      <c r="AY181" s="1370"/>
      <c r="AZ181" s="1370"/>
      <c r="BA181" s="1370"/>
      <c r="BC181" s="1370"/>
      <c r="BE181" s="1370"/>
      <c r="BF181" s="1370"/>
      <c r="BG181" s="1370"/>
    </row>
    <row r="182">
      <c r="R182" s="1370"/>
      <c r="S182" s="1370"/>
      <c r="W182" s="1370"/>
      <c r="X182" s="1370"/>
      <c r="AE182" s="1370"/>
      <c r="AF182" s="1370"/>
      <c r="AV182" s="1370"/>
      <c r="AW182" s="1370"/>
      <c r="AX182" s="1370"/>
      <c r="AY182" s="1370"/>
      <c r="AZ182" s="1370"/>
      <c r="BA182" s="1370"/>
      <c r="BC182" s="1370"/>
      <c r="BE182" s="1370"/>
      <c r="BF182" s="1370"/>
      <c r="BG182" s="1370"/>
    </row>
    <row r="183">
      <c r="R183" s="1370"/>
      <c r="S183" s="1370"/>
      <c r="W183" s="1370"/>
      <c r="X183" s="1370"/>
      <c r="AE183" s="1370"/>
      <c r="AF183" s="1370"/>
      <c r="AV183" s="1370"/>
      <c r="AW183" s="1370"/>
      <c r="AX183" s="1370"/>
      <c r="AY183" s="1370"/>
      <c r="AZ183" s="1370"/>
      <c r="BA183" s="1370"/>
      <c r="BC183" s="1370"/>
      <c r="BE183" s="1370"/>
      <c r="BF183" s="1370"/>
      <c r="BG183" s="1370"/>
    </row>
    <row r="184">
      <c r="R184" s="1370"/>
      <c r="S184" s="1370"/>
      <c r="W184" s="1370"/>
      <c r="X184" s="1370"/>
      <c r="AE184" s="1370"/>
      <c r="AF184" s="1370"/>
      <c r="AV184" s="1370"/>
      <c r="AW184" s="1370"/>
      <c r="AX184" s="1370"/>
      <c r="AY184" s="1370"/>
      <c r="AZ184" s="1370"/>
      <c r="BA184" s="1370"/>
      <c r="BC184" s="1370"/>
      <c r="BE184" s="1370"/>
      <c r="BF184" s="1370"/>
      <c r="BG184" s="1370"/>
    </row>
    <row r="185">
      <c r="R185" s="1370"/>
      <c r="S185" s="1370"/>
      <c r="W185" s="1370"/>
      <c r="X185" s="1370"/>
      <c r="AE185" s="1370"/>
      <c r="AF185" s="1370"/>
      <c r="AV185" s="1370"/>
      <c r="AW185" s="1370"/>
      <c r="AX185" s="1370"/>
      <c r="AY185" s="1370"/>
      <c r="AZ185" s="1370"/>
      <c r="BA185" s="1370"/>
      <c r="BC185" s="1370"/>
      <c r="BE185" s="1370"/>
      <c r="BF185" s="1370"/>
      <c r="BG185" s="1370"/>
    </row>
    <row r="186">
      <c r="R186" s="1370"/>
      <c r="S186" s="1370"/>
      <c r="W186" s="1370"/>
      <c r="X186" s="1370"/>
      <c r="AE186" s="1370"/>
      <c r="AF186" s="1370"/>
      <c r="AV186" s="1370"/>
      <c r="AW186" s="1370"/>
      <c r="AX186" s="1370"/>
      <c r="AY186" s="1370"/>
      <c r="AZ186" s="1370"/>
      <c r="BA186" s="1370"/>
      <c r="BC186" s="1370"/>
      <c r="BE186" s="1370"/>
      <c r="BF186" s="1370"/>
      <c r="BG186" s="1370"/>
    </row>
    <row r="187">
      <c r="R187" s="1370"/>
      <c r="S187" s="1370"/>
      <c r="W187" s="1370"/>
      <c r="X187" s="1370"/>
      <c r="AE187" s="1370"/>
      <c r="AF187" s="1370"/>
      <c r="AV187" s="1370"/>
      <c r="AW187" s="1370"/>
      <c r="AX187" s="1370"/>
      <c r="AY187" s="1370"/>
      <c r="AZ187" s="1370"/>
      <c r="BA187" s="1370"/>
      <c r="BC187" s="1370"/>
      <c r="BE187" s="1370"/>
      <c r="BF187" s="1370"/>
      <c r="BG187" s="1370"/>
    </row>
    <row r="188">
      <c r="R188" s="1370"/>
      <c r="S188" s="1370"/>
      <c r="W188" s="1370"/>
      <c r="X188" s="1370"/>
      <c r="AE188" s="1370"/>
      <c r="AF188" s="1370"/>
      <c r="AV188" s="1370"/>
      <c r="AW188" s="1370"/>
      <c r="AX188" s="1370"/>
      <c r="AY188" s="1370"/>
      <c r="AZ188" s="1370"/>
      <c r="BA188" s="1370"/>
      <c r="BC188" s="1370"/>
      <c r="BE188" s="1370"/>
      <c r="BF188" s="1370"/>
      <c r="BG188" s="1370"/>
    </row>
    <row r="189">
      <c r="R189" s="1370"/>
      <c r="S189" s="1370"/>
      <c r="W189" s="1370"/>
      <c r="X189" s="1370"/>
      <c r="AE189" s="1370"/>
      <c r="AF189" s="1370"/>
      <c r="AV189" s="1370"/>
      <c r="AW189" s="1370"/>
      <c r="AX189" s="1370"/>
      <c r="AY189" s="1370"/>
      <c r="AZ189" s="1370"/>
      <c r="BA189" s="1370"/>
      <c r="BC189" s="1370"/>
      <c r="BE189" s="1370"/>
      <c r="BF189" s="1370"/>
      <c r="BG189" s="1370"/>
    </row>
    <row r="190">
      <c r="R190" s="1370"/>
      <c r="S190" s="1370"/>
      <c r="W190" s="1370"/>
      <c r="X190" s="1370"/>
      <c r="AE190" s="1370"/>
      <c r="AF190" s="1370"/>
      <c r="AV190" s="1370"/>
      <c r="AW190" s="1370"/>
      <c r="AX190" s="1370"/>
      <c r="AY190" s="1370"/>
      <c r="AZ190" s="1370"/>
      <c r="BA190" s="1370"/>
      <c r="BC190" s="1370"/>
      <c r="BE190" s="1370"/>
      <c r="BF190" s="1370"/>
      <c r="BG190" s="1370"/>
    </row>
    <row r="191">
      <c r="R191" s="1370"/>
      <c r="S191" s="1370"/>
      <c r="W191" s="1370"/>
      <c r="X191" s="1370"/>
      <c r="AE191" s="1370"/>
      <c r="AF191" s="1370"/>
      <c r="AV191" s="1370"/>
      <c r="AW191" s="1370"/>
      <c r="AX191" s="1370"/>
      <c r="AY191" s="1370"/>
      <c r="AZ191" s="1370"/>
      <c r="BA191" s="1370"/>
      <c r="BC191" s="1370"/>
      <c r="BE191" s="1370"/>
      <c r="BF191" s="1370"/>
      <c r="BG191" s="1370"/>
    </row>
    <row r="192">
      <c r="R192" s="1370"/>
      <c r="S192" s="1370"/>
      <c r="W192" s="1370"/>
      <c r="X192" s="1370"/>
      <c r="AE192" s="1370"/>
      <c r="AF192" s="1370"/>
      <c r="AV192" s="1370"/>
      <c r="AW192" s="1370"/>
      <c r="AX192" s="1370"/>
      <c r="AY192" s="1370"/>
      <c r="AZ192" s="1370"/>
      <c r="BA192" s="1370"/>
      <c r="BC192" s="1370"/>
      <c r="BE192" s="1370"/>
      <c r="BF192" s="1370"/>
      <c r="BG192" s="1370"/>
    </row>
    <row r="193">
      <c r="R193" s="1370"/>
      <c r="S193" s="1370"/>
      <c r="W193" s="1370"/>
      <c r="X193" s="1370"/>
      <c r="AE193" s="1370"/>
      <c r="AF193" s="1370"/>
      <c r="AV193" s="1370"/>
      <c r="AW193" s="1370"/>
      <c r="AX193" s="1370"/>
      <c r="AY193" s="1370"/>
      <c r="AZ193" s="1370"/>
      <c r="BA193" s="1370"/>
      <c r="BC193" s="1370"/>
      <c r="BE193" s="1370"/>
      <c r="BF193" s="1370"/>
      <c r="BG193" s="1370"/>
    </row>
    <row r="194">
      <c r="R194" s="1370"/>
      <c r="S194" s="1370"/>
      <c r="W194" s="1370"/>
      <c r="X194" s="1370"/>
      <c r="AE194" s="1370"/>
      <c r="AF194" s="1370"/>
      <c r="AV194" s="1370"/>
      <c r="AW194" s="1370"/>
      <c r="AX194" s="1370"/>
      <c r="AY194" s="1370"/>
      <c r="AZ194" s="1370"/>
      <c r="BA194" s="1370"/>
      <c r="BC194" s="1370"/>
      <c r="BE194" s="1370"/>
      <c r="BF194" s="1370"/>
      <c r="BG194" s="1370"/>
    </row>
    <row r="195">
      <c r="R195" s="1370"/>
      <c r="S195" s="1370"/>
      <c r="W195" s="1370"/>
      <c r="X195" s="1370"/>
      <c r="AE195" s="1370"/>
      <c r="AF195" s="1370"/>
      <c r="AV195" s="1370"/>
      <c r="AW195" s="1370"/>
      <c r="AX195" s="1370"/>
      <c r="AY195" s="1370"/>
      <c r="AZ195" s="1370"/>
      <c r="BA195" s="1370"/>
      <c r="BC195" s="1370"/>
      <c r="BE195" s="1370"/>
      <c r="BF195" s="1370"/>
      <c r="BG195" s="1370"/>
    </row>
    <row r="196">
      <c r="R196" s="1370"/>
      <c r="S196" s="1370"/>
      <c r="W196" s="1370"/>
      <c r="X196" s="1370"/>
      <c r="AE196" s="1370"/>
      <c r="AF196" s="1370"/>
      <c r="AV196" s="1370"/>
      <c r="AW196" s="1370"/>
      <c r="AX196" s="1370"/>
      <c r="AY196" s="1370"/>
      <c r="AZ196" s="1370"/>
      <c r="BA196" s="1370"/>
      <c r="BC196" s="1370"/>
      <c r="BE196" s="1370"/>
      <c r="BF196" s="1370"/>
      <c r="BG196" s="1370"/>
    </row>
    <row r="197">
      <c r="R197" s="1370"/>
      <c r="S197" s="1370"/>
      <c r="W197" s="1370"/>
      <c r="X197" s="1370"/>
      <c r="AE197" s="1370"/>
      <c r="AF197" s="1370"/>
      <c r="AV197" s="1370"/>
      <c r="AW197" s="1370"/>
      <c r="AX197" s="1370"/>
      <c r="AY197" s="1370"/>
      <c r="AZ197" s="1370"/>
      <c r="BA197" s="1370"/>
      <c r="BC197" s="1370"/>
      <c r="BE197" s="1370"/>
      <c r="BF197" s="1370"/>
      <c r="BG197" s="1370"/>
    </row>
    <row r="198">
      <c r="R198" s="1370"/>
      <c r="S198" s="1370"/>
      <c r="W198" s="1370"/>
      <c r="X198" s="1370"/>
      <c r="AE198" s="1370"/>
      <c r="AF198" s="1370"/>
      <c r="AV198" s="1370"/>
      <c r="AW198" s="1370"/>
      <c r="AX198" s="1370"/>
      <c r="AY198" s="1370"/>
      <c r="AZ198" s="1370"/>
      <c r="BA198" s="1370"/>
      <c r="BC198" s="1370"/>
      <c r="BE198" s="1370"/>
      <c r="BF198" s="1370"/>
      <c r="BG198" s="1370"/>
    </row>
    <row r="199">
      <c r="R199" s="1370"/>
      <c r="S199" s="1370"/>
      <c r="W199" s="1370"/>
      <c r="X199" s="1370"/>
      <c r="AE199" s="1370"/>
      <c r="AF199" s="1370"/>
      <c r="AV199" s="1370"/>
      <c r="AW199" s="1370"/>
      <c r="AX199" s="1370"/>
      <c r="AY199" s="1370"/>
      <c r="AZ199" s="1370"/>
      <c r="BA199" s="1370"/>
      <c r="BC199" s="1370"/>
      <c r="BE199" s="1370"/>
      <c r="BF199" s="1370"/>
      <c r="BG199" s="1370"/>
    </row>
    <row r="200">
      <c r="R200" s="1370"/>
      <c r="S200" s="1370"/>
      <c r="W200" s="1370"/>
      <c r="X200" s="1370"/>
      <c r="AE200" s="1370"/>
      <c r="AF200" s="1370"/>
      <c r="AV200" s="1370"/>
      <c r="AW200" s="1370"/>
      <c r="AX200" s="1370"/>
      <c r="AY200" s="1370"/>
      <c r="AZ200" s="1370"/>
      <c r="BA200" s="1370"/>
      <c r="BC200" s="1370"/>
      <c r="BE200" s="1370"/>
      <c r="BF200" s="1370"/>
      <c r="BG200" s="1370"/>
    </row>
    <row r="201">
      <c r="R201" s="1370"/>
      <c r="S201" s="1370"/>
      <c r="W201" s="1370"/>
      <c r="X201" s="1370"/>
      <c r="AE201" s="1370"/>
      <c r="AF201" s="1370"/>
      <c r="AV201" s="1370"/>
      <c r="AW201" s="1370"/>
      <c r="AX201" s="1370"/>
      <c r="AY201" s="1370"/>
      <c r="AZ201" s="1370"/>
      <c r="BA201" s="1370"/>
      <c r="BC201" s="1370"/>
      <c r="BE201" s="1370"/>
      <c r="BF201" s="1370"/>
      <c r="BG201" s="1370"/>
    </row>
    <row r="202">
      <c r="R202" s="1370"/>
      <c r="S202" s="1370"/>
      <c r="W202" s="1370"/>
      <c r="X202" s="1370"/>
      <c r="AE202" s="1370"/>
      <c r="AF202" s="1370"/>
      <c r="AV202" s="1370"/>
      <c r="AW202" s="1370"/>
      <c r="AX202" s="1370"/>
      <c r="AY202" s="1370"/>
      <c r="AZ202" s="1370"/>
      <c r="BA202" s="1370"/>
      <c r="BC202" s="1370"/>
      <c r="BE202" s="1370"/>
      <c r="BF202" s="1370"/>
      <c r="BG202" s="1370"/>
    </row>
    <row r="203">
      <c r="R203" s="1370"/>
      <c r="S203" s="1370"/>
      <c r="W203" s="1370"/>
      <c r="X203" s="1370"/>
      <c r="AE203" s="1370"/>
      <c r="AF203" s="1370"/>
      <c r="AV203" s="1370"/>
      <c r="AW203" s="1370"/>
      <c r="AX203" s="1370"/>
      <c r="AY203" s="1370"/>
      <c r="AZ203" s="1370"/>
      <c r="BA203" s="1370"/>
      <c r="BC203" s="1370"/>
      <c r="BE203" s="1370"/>
      <c r="BF203" s="1370"/>
      <c r="BG203" s="1370"/>
    </row>
    <row r="204">
      <c r="R204" s="1370"/>
      <c r="S204" s="1370"/>
      <c r="W204" s="1370"/>
      <c r="X204" s="1370"/>
      <c r="AE204" s="1370"/>
      <c r="AF204" s="1370"/>
      <c r="AV204" s="1370"/>
      <c r="AW204" s="1370"/>
      <c r="AX204" s="1370"/>
      <c r="AY204" s="1370"/>
      <c r="AZ204" s="1370"/>
      <c r="BA204" s="1370"/>
      <c r="BC204" s="1370"/>
      <c r="BE204" s="1370"/>
      <c r="BF204" s="1370"/>
      <c r="BG204" s="1370"/>
    </row>
    <row r="205">
      <c r="R205" s="1370"/>
      <c r="S205" s="1370"/>
      <c r="W205" s="1370"/>
      <c r="X205" s="1370"/>
      <c r="AE205" s="1370"/>
      <c r="AF205" s="1370"/>
      <c r="AV205" s="1370"/>
      <c r="AW205" s="1370"/>
      <c r="AX205" s="1370"/>
      <c r="AY205" s="1370"/>
      <c r="AZ205" s="1370"/>
      <c r="BA205" s="1370"/>
      <c r="BC205" s="1370"/>
      <c r="BE205" s="1370"/>
      <c r="BF205" s="1370"/>
      <c r="BG205" s="1370"/>
    </row>
    <row r="206">
      <c r="R206" s="1370"/>
      <c r="S206" s="1370"/>
      <c r="W206" s="1370"/>
      <c r="X206" s="1370"/>
      <c r="AE206" s="1370"/>
      <c r="AF206" s="1370"/>
      <c r="AV206" s="1370"/>
      <c r="AW206" s="1370"/>
      <c r="AX206" s="1370"/>
      <c r="AY206" s="1370"/>
      <c r="AZ206" s="1370"/>
      <c r="BA206" s="1370"/>
      <c r="BC206" s="1370"/>
      <c r="BE206" s="1370"/>
      <c r="BF206" s="1370"/>
      <c r="BG206" s="1370"/>
    </row>
    <row r="207">
      <c r="R207" s="1370"/>
      <c r="S207" s="1370"/>
      <c r="W207" s="1370"/>
      <c r="X207" s="1370"/>
      <c r="AE207" s="1370"/>
      <c r="AF207" s="1370"/>
      <c r="AV207" s="1370"/>
      <c r="AW207" s="1370"/>
      <c r="AX207" s="1370"/>
      <c r="AY207" s="1370"/>
      <c r="AZ207" s="1370"/>
      <c r="BA207" s="1370"/>
      <c r="BC207" s="1370"/>
      <c r="BE207" s="1370"/>
      <c r="BF207" s="1370"/>
      <c r="BG207" s="1370"/>
    </row>
    <row r="208">
      <c r="R208" s="1370"/>
      <c r="S208" s="1370"/>
      <c r="W208" s="1370"/>
      <c r="X208" s="1370"/>
      <c r="AE208" s="1370"/>
      <c r="AF208" s="1370"/>
      <c r="AV208" s="1370"/>
      <c r="AW208" s="1370"/>
      <c r="AX208" s="1370"/>
      <c r="AY208" s="1370"/>
      <c r="AZ208" s="1370"/>
      <c r="BA208" s="1370"/>
      <c r="BC208" s="1370"/>
      <c r="BE208" s="1370"/>
      <c r="BF208" s="1370"/>
      <c r="BG208" s="1370"/>
    </row>
    <row r="209">
      <c r="R209" s="1370"/>
      <c r="S209" s="1370"/>
      <c r="W209" s="1370"/>
      <c r="X209" s="1370"/>
      <c r="AE209" s="1370"/>
      <c r="AF209" s="1370"/>
      <c r="AV209" s="1370"/>
      <c r="AW209" s="1370"/>
      <c r="AX209" s="1370"/>
      <c r="AY209" s="1370"/>
      <c r="AZ209" s="1370"/>
      <c r="BA209" s="1370"/>
      <c r="BC209" s="1370"/>
      <c r="BE209" s="1370"/>
      <c r="BF209" s="1370"/>
      <c r="BG209" s="1370"/>
    </row>
    <row r="210">
      <c r="R210" s="1370"/>
      <c r="S210" s="1370"/>
      <c r="W210" s="1370"/>
      <c r="X210" s="1370"/>
      <c r="AE210" s="1370"/>
      <c r="AF210" s="1370"/>
      <c r="AV210" s="1370"/>
      <c r="AW210" s="1370"/>
      <c r="AX210" s="1370"/>
      <c r="AY210" s="1370"/>
      <c r="AZ210" s="1370"/>
      <c r="BA210" s="1370"/>
      <c r="BC210" s="1370"/>
      <c r="BE210" s="1370"/>
      <c r="BF210" s="1370"/>
      <c r="BG210" s="1370"/>
    </row>
    <row r="211">
      <c r="R211" s="1370"/>
      <c r="S211" s="1370"/>
      <c r="W211" s="1370"/>
      <c r="X211" s="1370"/>
      <c r="AE211" s="1370"/>
      <c r="AF211" s="1370"/>
      <c r="AV211" s="1370"/>
      <c r="AW211" s="1370"/>
      <c r="AX211" s="1370"/>
      <c r="AY211" s="1370"/>
      <c r="AZ211" s="1370"/>
      <c r="BA211" s="1370"/>
      <c r="BC211" s="1370"/>
      <c r="BE211" s="1370"/>
      <c r="BF211" s="1370"/>
      <c r="BG211" s="1370"/>
    </row>
    <row r="212">
      <c r="R212" s="1370"/>
      <c r="S212" s="1370"/>
      <c r="W212" s="1370"/>
      <c r="X212" s="1370"/>
      <c r="AE212" s="1370"/>
      <c r="AF212" s="1370"/>
      <c r="AV212" s="1370"/>
      <c r="AW212" s="1370"/>
      <c r="AX212" s="1370"/>
      <c r="AY212" s="1370"/>
      <c r="AZ212" s="1370"/>
      <c r="BA212" s="1370"/>
      <c r="BC212" s="1370"/>
      <c r="BE212" s="1370"/>
      <c r="BF212" s="1370"/>
      <c r="BG212" s="1370"/>
    </row>
    <row r="213">
      <c r="R213" s="1370"/>
      <c r="S213" s="1370"/>
      <c r="W213" s="1370"/>
      <c r="X213" s="1370"/>
      <c r="AE213" s="1370"/>
      <c r="AF213" s="1370"/>
      <c r="AV213" s="1370"/>
      <c r="AW213" s="1370"/>
      <c r="AX213" s="1370"/>
      <c r="AY213" s="1370"/>
      <c r="AZ213" s="1370"/>
      <c r="BA213" s="1370"/>
      <c r="BC213" s="1370"/>
      <c r="BE213" s="1370"/>
      <c r="BF213" s="1370"/>
      <c r="BG213" s="1370"/>
    </row>
    <row r="214">
      <c r="R214" s="1370"/>
      <c r="S214" s="1370"/>
      <c r="W214" s="1370"/>
      <c r="X214" s="1370"/>
      <c r="AE214" s="1370"/>
      <c r="AF214" s="1370"/>
      <c r="AV214" s="1370"/>
      <c r="AW214" s="1370"/>
      <c r="AX214" s="1370"/>
      <c r="AY214" s="1370"/>
      <c r="AZ214" s="1370"/>
      <c r="BA214" s="1370"/>
      <c r="BC214" s="1370"/>
      <c r="BE214" s="1370"/>
      <c r="BF214" s="1370"/>
      <c r="BG214" s="1370"/>
    </row>
    <row r="215">
      <c r="R215" s="1370"/>
      <c r="S215" s="1370"/>
      <c r="W215" s="1370"/>
      <c r="X215" s="1370"/>
      <c r="AE215" s="1370"/>
      <c r="AF215" s="1370"/>
      <c r="AV215" s="1370"/>
      <c r="AW215" s="1370"/>
      <c r="AX215" s="1370"/>
      <c r="AY215" s="1370"/>
      <c r="AZ215" s="1370"/>
      <c r="BA215" s="1370"/>
      <c r="BC215" s="1370"/>
      <c r="BE215" s="1370"/>
      <c r="BF215" s="1370"/>
      <c r="BG215" s="1370"/>
    </row>
    <row r="216">
      <c r="R216" s="1370"/>
      <c r="S216" s="1370"/>
      <c r="W216" s="1370"/>
      <c r="X216" s="1370"/>
      <c r="AE216" s="1370"/>
      <c r="AF216" s="1370"/>
      <c r="AV216" s="1370"/>
      <c r="AW216" s="1370"/>
      <c r="AX216" s="1370"/>
      <c r="AY216" s="1370"/>
      <c r="AZ216" s="1370"/>
      <c r="BA216" s="1370"/>
      <c r="BC216" s="1370"/>
      <c r="BE216" s="1370"/>
      <c r="BF216" s="1370"/>
      <c r="BG216" s="1370"/>
    </row>
    <row r="217">
      <c r="R217" s="1370"/>
      <c r="S217" s="1370"/>
      <c r="W217" s="1370"/>
      <c r="X217" s="1370"/>
      <c r="AE217" s="1370"/>
      <c r="AF217" s="1370"/>
      <c r="AV217" s="1370"/>
      <c r="AW217" s="1370"/>
      <c r="AX217" s="1370"/>
      <c r="AY217" s="1370"/>
      <c r="AZ217" s="1370"/>
      <c r="BA217" s="1370"/>
      <c r="BC217" s="1370"/>
      <c r="BE217" s="1370"/>
      <c r="BF217" s="1370"/>
      <c r="BG217" s="1370"/>
    </row>
    <row r="218">
      <c r="R218" s="1370"/>
      <c r="S218" s="1370"/>
      <c r="W218" s="1370"/>
      <c r="X218" s="1370"/>
      <c r="AE218" s="1370"/>
      <c r="AF218" s="1370"/>
      <c r="AV218" s="1370"/>
      <c r="AW218" s="1370"/>
      <c r="AX218" s="1370"/>
      <c r="AY218" s="1370"/>
      <c r="AZ218" s="1370"/>
      <c r="BA218" s="1370"/>
      <c r="BC218" s="1370"/>
      <c r="BE218" s="1370"/>
      <c r="BF218" s="1370"/>
      <c r="BG218" s="1370"/>
    </row>
    <row r="219">
      <c r="R219" s="1370"/>
      <c r="S219" s="1370"/>
      <c r="W219" s="1370"/>
      <c r="X219" s="1370"/>
      <c r="AE219" s="1370"/>
      <c r="AF219" s="1370"/>
      <c r="AV219" s="1370"/>
      <c r="AW219" s="1370"/>
      <c r="AX219" s="1370"/>
      <c r="AY219" s="1370"/>
      <c r="AZ219" s="1370"/>
      <c r="BA219" s="1370"/>
      <c r="BC219" s="1370"/>
      <c r="BE219" s="1370"/>
      <c r="BF219" s="1370"/>
      <c r="BG219" s="1370"/>
    </row>
    <row r="220">
      <c r="R220" s="1370"/>
      <c r="S220" s="1370"/>
      <c r="W220" s="1370"/>
      <c r="X220" s="1370"/>
      <c r="AE220" s="1370"/>
      <c r="AF220" s="1370"/>
      <c r="AV220" s="1370"/>
      <c r="AW220" s="1370"/>
      <c r="AX220" s="1370"/>
      <c r="AY220" s="1370"/>
      <c r="AZ220" s="1370"/>
      <c r="BA220" s="1370"/>
      <c r="BC220" s="1370"/>
      <c r="BE220" s="1370"/>
      <c r="BF220" s="1370"/>
      <c r="BG220" s="1370"/>
    </row>
    <row r="221">
      <c r="R221" s="1370"/>
      <c r="S221" s="1370"/>
      <c r="W221" s="1370"/>
      <c r="X221" s="1370"/>
      <c r="AE221" s="1370"/>
      <c r="AF221" s="1370"/>
      <c r="AV221" s="1370"/>
      <c r="AW221" s="1370"/>
      <c r="AX221" s="1370"/>
      <c r="AY221" s="1370"/>
      <c r="AZ221" s="1370"/>
      <c r="BA221" s="1370"/>
      <c r="BC221" s="1370"/>
      <c r="BE221" s="1370"/>
      <c r="BF221" s="1370"/>
      <c r="BG221" s="1370"/>
    </row>
    <row r="222">
      <c r="R222" s="1370"/>
      <c r="S222" s="1370"/>
      <c r="W222" s="1370"/>
      <c r="X222" s="1370"/>
      <c r="AE222" s="1370"/>
      <c r="AF222" s="1370"/>
      <c r="AV222" s="1370"/>
      <c r="AW222" s="1370"/>
      <c r="AX222" s="1370"/>
      <c r="AY222" s="1370"/>
      <c r="AZ222" s="1370"/>
      <c r="BA222" s="1370"/>
      <c r="BC222" s="1370"/>
      <c r="BE222" s="1370"/>
      <c r="BF222" s="1370"/>
      <c r="BG222" s="1370"/>
    </row>
    <row r="223">
      <c r="R223" s="1370"/>
      <c r="S223" s="1370"/>
      <c r="W223" s="1370"/>
      <c r="X223" s="1370"/>
      <c r="AE223" s="1370"/>
      <c r="AF223" s="1370"/>
      <c r="AV223" s="1370"/>
      <c r="AW223" s="1370"/>
      <c r="AX223" s="1370"/>
      <c r="AY223" s="1370"/>
      <c r="AZ223" s="1370"/>
      <c r="BA223" s="1370"/>
      <c r="BC223" s="1370"/>
      <c r="BE223" s="1370"/>
      <c r="BF223" s="1370"/>
      <c r="BG223" s="1370"/>
    </row>
    <row r="224">
      <c r="R224" s="1370"/>
      <c r="S224" s="1370"/>
      <c r="W224" s="1370"/>
      <c r="X224" s="1370"/>
      <c r="AE224" s="1370"/>
      <c r="AF224" s="1370"/>
      <c r="AV224" s="1370"/>
      <c r="AW224" s="1370"/>
      <c r="AX224" s="1370"/>
      <c r="AY224" s="1370"/>
      <c r="AZ224" s="1370"/>
      <c r="BA224" s="1370"/>
      <c r="BC224" s="1370"/>
      <c r="BE224" s="1370"/>
      <c r="BF224" s="1370"/>
      <c r="BG224" s="1370"/>
    </row>
    <row r="225">
      <c r="R225" s="1370"/>
      <c r="S225" s="1370"/>
      <c r="W225" s="1370"/>
      <c r="X225" s="1370"/>
      <c r="AE225" s="1370"/>
      <c r="AF225" s="1370"/>
      <c r="AV225" s="1370"/>
      <c r="AW225" s="1370"/>
      <c r="AX225" s="1370"/>
      <c r="AY225" s="1370"/>
      <c r="AZ225" s="1370"/>
      <c r="BA225" s="1370"/>
      <c r="BC225" s="1370"/>
      <c r="BE225" s="1370"/>
      <c r="BF225" s="1370"/>
      <c r="BG225" s="1370"/>
    </row>
    <row r="226">
      <c r="R226" s="1370"/>
      <c r="S226" s="1370"/>
      <c r="W226" s="1370"/>
      <c r="X226" s="1370"/>
      <c r="AE226" s="1370"/>
      <c r="AF226" s="1370"/>
      <c r="AV226" s="1370"/>
      <c r="AW226" s="1370"/>
      <c r="AX226" s="1370"/>
      <c r="AY226" s="1370"/>
      <c r="AZ226" s="1370"/>
      <c r="BA226" s="1370"/>
      <c r="BC226" s="1370"/>
      <c r="BE226" s="1370"/>
      <c r="BF226" s="1370"/>
      <c r="BG226" s="1370"/>
    </row>
    <row r="227">
      <c r="R227" s="1370"/>
      <c r="S227" s="1370"/>
      <c r="W227" s="1370"/>
      <c r="X227" s="1370"/>
      <c r="AE227" s="1370"/>
      <c r="AF227" s="1370"/>
      <c r="AV227" s="1370"/>
      <c r="AW227" s="1370"/>
      <c r="AX227" s="1370"/>
      <c r="AY227" s="1370"/>
      <c r="AZ227" s="1370"/>
      <c r="BA227" s="1370"/>
      <c r="BC227" s="1370"/>
      <c r="BE227" s="1370"/>
      <c r="BF227" s="1370"/>
      <c r="BG227" s="1370"/>
    </row>
    <row r="228">
      <c r="R228" s="1370"/>
      <c r="S228" s="1370"/>
      <c r="W228" s="1370"/>
      <c r="X228" s="1370"/>
      <c r="AE228" s="1370"/>
      <c r="AF228" s="1370"/>
      <c r="AV228" s="1370"/>
      <c r="AW228" s="1370"/>
      <c r="AX228" s="1370"/>
      <c r="AY228" s="1370"/>
      <c r="AZ228" s="1370"/>
      <c r="BA228" s="1370"/>
      <c r="BC228" s="1370"/>
      <c r="BE228" s="1370"/>
      <c r="BF228" s="1370"/>
      <c r="BG228" s="1370"/>
    </row>
    <row r="229">
      <c r="R229" s="1370"/>
      <c r="S229" s="1370"/>
      <c r="W229" s="1370"/>
      <c r="X229" s="1370"/>
      <c r="AE229" s="1370"/>
      <c r="AF229" s="1370"/>
      <c r="AV229" s="1370"/>
      <c r="AW229" s="1370"/>
      <c r="AX229" s="1370"/>
      <c r="AY229" s="1370"/>
      <c r="AZ229" s="1370"/>
      <c r="BA229" s="1370"/>
      <c r="BC229" s="1370"/>
      <c r="BE229" s="1370"/>
      <c r="BF229" s="1370"/>
      <c r="BG229" s="1370"/>
    </row>
    <row r="230">
      <c r="R230" s="1370"/>
      <c r="S230" s="1370"/>
      <c r="W230" s="1370"/>
      <c r="X230" s="1370"/>
      <c r="AE230" s="1370"/>
      <c r="AF230" s="1370"/>
      <c r="AV230" s="1370"/>
      <c r="AW230" s="1370"/>
      <c r="AX230" s="1370"/>
      <c r="AY230" s="1370"/>
      <c r="AZ230" s="1370"/>
      <c r="BA230" s="1370"/>
      <c r="BC230" s="1370"/>
      <c r="BE230" s="1370"/>
      <c r="BF230" s="1370"/>
      <c r="BG230" s="1370"/>
    </row>
    <row r="231">
      <c r="R231" s="1370"/>
      <c r="S231" s="1370"/>
      <c r="W231" s="1370"/>
      <c r="X231" s="1370"/>
      <c r="AE231" s="1370"/>
      <c r="AF231" s="1370"/>
      <c r="AV231" s="1370"/>
      <c r="AW231" s="1370"/>
      <c r="AX231" s="1370"/>
      <c r="AY231" s="1370"/>
      <c r="AZ231" s="1370"/>
      <c r="BA231" s="1370"/>
      <c r="BC231" s="1370"/>
      <c r="BE231" s="1370"/>
      <c r="BF231" s="1370"/>
      <c r="BG231" s="1370"/>
    </row>
    <row r="232">
      <c r="R232" s="1370"/>
      <c r="S232" s="1370"/>
      <c r="W232" s="1370"/>
      <c r="X232" s="1370"/>
      <c r="AE232" s="1370"/>
      <c r="AF232" s="1370"/>
      <c r="AV232" s="1370"/>
      <c r="AW232" s="1370"/>
      <c r="AX232" s="1370"/>
      <c r="AY232" s="1370"/>
      <c r="AZ232" s="1370"/>
      <c r="BA232" s="1370"/>
      <c r="BC232" s="1370"/>
      <c r="BE232" s="1370"/>
      <c r="BF232" s="1370"/>
      <c r="BG232" s="1370"/>
    </row>
    <row r="233">
      <c r="R233" s="1370"/>
      <c r="S233" s="1370"/>
      <c r="W233" s="1370"/>
      <c r="X233" s="1370"/>
      <c r="AE233" s="1370"/>
      <c r="AF233" s="1370"/>
      <c r="AV233" s="1370"/>
      <c r="AW233" s="1370"/>
      <c r="AX233" s="1370"/>
      <c r="AY233" s="1370"/>
      <c r="AZ233" s="1370"/>
      <c r="BA233" s="1370"/>
      <c r="BC233" s="1370"/>
      <c r="BE233" s="1370"/>
      <c r="BF233" s="1370"/>
      <c r="BG233" s="1370"/>
    </row>
    <row r="234">
      <c r="R234" s="1370"/>
      <c r="S234" s="1370"/>
      <c r="W234" s="1370"/>
      <c r="X234" s="1370"/>
      <c r="AE234" s="1370"/>
      <c r="AF234" s="1370"/>
      <c r="AV234" s="1370"/>
      <c r="AW234" s="1370"/>
      <c r="AX234" s="1370"/>
      <c r="AY234" s="1370"/>
      <c r="AZ234" s="1370"/>
      <c r="BA234" s="1370"/>
      <c r="BC234" s="1370"/>
      <c r="BE234" s="1370"/>
      <c r="BF234" s="1370"/>
      <c r="BG234" s="1370"/>
    </row>
    <row r="235">
      <c r="R235" s="1370"/>
      <c r="S235" s="1370"/>
      <c r="W235" s="1370"/>
      <c r="X235" s="1370"/>
      <c r="AE235" s="1370"/>
      <c r="AF235" s="1370"/>
      <c r="AV235" s="1370"/>
      <c r="AW235" s="1370"/>
      <c r="AX235" s="1370"/>
      <c r="AY235" s="1370"/>
      <c r="AZ235" s="1370"/>
      <c r="BA235" s="1370"/>
      <c r="BC235" s="1370"/>
      <c r="BE235" s="1370"/>
      <c r="BF235" s="1370"/>
      <c r="BG235" s="1370"/>
    </row>
    <row r="236">
      <c r="R236" s="1370"/>
      <c r="S236" s="1370"/>
      <c r="W236" s="1370"/>
      <c r="X236" s="1370"/>
      <c r="AE236" s="1370"/>
      <c r="AF236" s="1370"/>
      <c r="AV236" s="1370"/>
      <c r="AW236" s="1370"/>
      <c r="AX236" s="1370"/>
      <c r="AY236" s="1370"/>
      <c r="AZ236" s="1370"/>
      <c r="BA236" s="1370"/>
      <c r="BC236" s="1370"/>
      <c r="BE236" s="1370"/>
      <c r="BF236" s="1370"/>
      <c r="BG236" s="1370"/>
    </row>
    <row r="237">
      <c r="R237" s="1370"/>
      <c r="S237" s="1370"/>
      <c r="W237" s="1370"/>
      <c r="X237" s="1370"/>
      <c r="AE237" s="1370"/>
      <c r="AF237" s="1370"/>
      <c r="AV237" s="1370"/>
      <c r="AW237" s="1370"/>
      <c r="AX237" s="1370"/>
      <c r="AY237" s="1370"/>
      <c r="AZ237" s="1370"/>
      <c r="BA237" s="1370"/>
      <c r="BC237" s="1370"/>
      <c r="BE237" s="1370"/>
      <c r="BF237" s="1370"/>
      <c r="BG237" s="1370"/>
    </row>
    <row r="238">
      <c r="R238" s="1370"/>
      <c r="S238" s="1370"/>
      <c r="W238" s="1370"/>
      <c r="X238" s="1370"/>
      <c r="AE238" s="1370"/>
      <c r="AF238" s="1370"/>
      <c r="AV238" s="1370"/>
      <c r="AW238" s="1370"/>
      <c r="AX238" s="1370"/>
      <c r="AY238" s="1370"/>
      <c r="AZ238" s="1370"/>
      <c r="BA238" s="1370"/>
      <c r="BC238" s="1370"/>
      <c r="BE238" s="1370"/>
      <c r="BF238" s="1370"/>
      <c r="BG238" s="1370"/>
    </row>
    <row r="239">
      <c r="R239" s="1370"/>
      <c r="S239" s="1370"/>
      <c r="W239" s="1370"/>
      <c r="X239" s="1370"/>
      <c r="AE239" s="1370"/>
      <c r="AF239" s="1370"/>
      <c r="AV239" s="1370"/>
      <c r="AW239" s="1370"/>
      <c r="AX239" s="1370"/>
      <c r="AY239" s="1370"/>
      <c r="AZ239" s="1370"/>
      <c r="BA239" s="1370"/>
      <c r="BC239" s="1370"/>
      <c r="BE239" s="1370"/>
      <c r="BF239" s="1370"/>
      <c r="BG239" s="1370"/>
    </row>
    <row r="240">
      <c r="R240" s="1370"/>
      <c r="S240" s="1370"/>
      <c r="W240" s="1370"/>
      <c r="X240" s="1370"/>
      <c r="AE240" s="1370"/>
      <c r="AF240" s="1370"/>
      <c r="AV240" s="1370"/>
      <c r="AW240" s="1370"/>
      <c r="AX240" s="1370"/>
      <c r="AY240" s="1370"/>
      <c r="AZ240" s="1370"/>
      <c r="BA240" s="1370"/>
      <c r="BC240" s="1370"/>
      <c r="BE240" s="1370"/>
      <c r="BF240" s="1370"/>
      <c r="BG240" s="1370"/>
    </row>
    <row r="241">
      <c r="R241" s="1370"/>
      <c r="S241" s="1370"/>
      <c r="W241" s="1370"/>
      <c r="X241" s="1370"/>
      <c r="AE241" s="1370"/>
      <c r="AF241" s="1370"/>
      <c r="AV241" s="1370"/>
      <c r="AW241" s="1370"/>
      <c r="AX241" s="1370"/>
      <c r="AY241" s="1370"/>
      <c r="AZ241" s="1370"/>
      <c r="BA241" s="1370"/>
      <c r="BC241" s="1370"/>
      <c r="BE241" s="1370"/>
      <c r="BF241" s="1370"/>
      <c r="BG241" s="1370"/>
    </row>
    <row r="242">
      <c r="R242" s="1370"/>
      <c r="S242" s="1370"/>
      <c r="W242" s="1370"/>
      <c r="X242" s="1370"/>
      <c r="AE242" s="1370"/>
      <c r="AF242" s="1370"/>
      <c r="AV242" s="1370"/>
      <c r="AW242" s="1370"/>
      <c r="AX242" s="1370"/>
      <c r="AY242" s="1370"/>
      <c r="AZ242" s="1370"/>
      <c r="BA242" s="1370"/>
      <c r="BC242" s="1370"/>
      <c r="BE242" s="1370"/>
      <c r="BF242" s="1370"/>
      <c r="BG242" s="1370"/>
    </row>
    <row r="243">
      <c r="R243" s="1370"/>
      <c r="S243" s="1370"/>
      <c r="W243" s="1370"/>
      <c r="X243" s="1370"/>
      <c r="AE243" s="1370"/>
      <c r="AF243" s="1370"/>
      <c r="AV243" s="1370"/>
      <c r="AW243" s="1370"/>
      <c r="AX243" s="1370"/>
      <c r="AY243" s="1370"/>
      <c r="AZ243" s="1370"/>
      <c r="BA243" s="1370"/>
      <c r="BC243" s="1370"/>
      <c r="BE243" s="1370"/>
      <c r="BF243" s="1370"/>
      <c r="BG243" s="1370"/>
    </row>
    <row r="244">
      <c r="R244" s="1370"/>
      <c r="S244" s="1370"/>
      <c r="W244" s="1370"/>
      <c r="X244" s="1370"/>
      <c r="AE244" s="1370"/>
      <c r="AF244" s="1370"/>
      <c r="AV244" s="1370"/>
      <c r="AW244" s="1370"/>
      <c r="AX244" s="1370"/>
      <c r="AY244" s="1370"/>
      <c r="AZ244" s="1370"/>
      <c r="BA244" s="1370"/>
      <c r="BC244" s="1370"/>
      <c r="BE244" s="1370"/>
      <c r="BF244" s="1370"/>
      <c r="BG244" s="1370"/>
    </row>
    <row r="245">
      <c r="R245" s="1370"/>
      <c r="S245" s="1370"/>
      <c r="W245" s="1370"/>
      <c r="X245" s="1370"/>
      <c r="AE245" s="1370"/>
      <c r="AF245" s="1370"/>
      <c r="AV245" s="1370"/>
      <c r="AW245" s="1370"/>
      <c r="AX245" s="1370"/>
      <c r="AY245" s="1370"/>
      <c r="AZ245" s="1370"/>
      <c r="BA245" s="1370"/>
      <c r="BC245" s="1370"/>
      <c r="BE245" s="1370"/>
      <c r="BF245" s="1370"/>
      <c r="BG245" s="1370"/>
    </row>
    <row r="246">
      <c r="R246" s="1370"/>
      <c r="S246" s="1370"/>
      <c r="W246" s="1370"/>
      <c r="X246" s="1370"/>
      <c r="AE246" s="1370"/>
      <c r="AF246" s="1370"/>
      <c r="AV246" s="1370"/>
      <c r="AW246" s="1370"/>
      <c r="AX246" s="1370"/>
      <c r="AY246" s="1370"/>
      <c r="AZ246" s="1370"/>
      <c r="BA246" s="1370"/>
      <c r="BC246" s="1370"/>
      <c r="BE246" s="1370"/>
      <c r="BF246" s="1370"/>
      <c r="BG246" s="1370"/>
    </row>
    <row r="247">
      <c r="R247" s="1370"/>
      <c r="S247" s="1370"/>
      <c r="W247" s="1370"/>
      <c r="X247" s="1370"/>
      <c r="AE247" s="1370"/>
      <c r="AF247" s="1370"/>
      <c r="AV247" s="1370"/>
      <c r="AW247" s="1370"/>
      <c r="AX247" s="1370"/>
      <c r="AY247" s="1370"/>
      <c r="AZ247" s="1370"/>
      <c r="BA247" s="1370"/>
      <c r="BC247" s="1370"/>
      <c r="BE247" s="1370"/>
      <c r="BF247" s="1370"/>
      <c r="BG247" s="1370"/>
    </row>
    <row r="248">
      <c r="R248" s="1370"/>
      <c r="S248" s="1370"/>
      <c r="W248" s="1370"/>
      <c r="X248" s="1370"/>
      <c r="AE248" s="1370"/>
      <c r="AF248" s="1370"/>
      <c r="AV248" s="1370"/>
      <c r="AW248" s="1370"/>
      <c r="AX248" s="1370"/>
      <c r="AY248" s="1370"/>
      <c r="AZ248" s="1370"/>
      <c r="BA248" s="1370"/>
      <c r="BC248" s="1370"/>
      <c r="BE248" s="1370"/>
      <c r="BF248" s="1370"/>
      <c r="BG248" s="1370"/>
    </row>
    <row r="249">
      <c r="R249" s="1370"/>
      <c r="S249" s="1370"/>
      <c r="W249" s="1370"/>
      <c r="X249" s="1370"/>
      <c r="AE249" s="1370"/>
      <c r="AF249" s="1370"/>
      <c r="AV249" s="1370"/>
      <c r="AW249" s="1370"/>
      <c r="AX249" s="1370"/>
      <c r="AY249" s="1370"/>
      <c r="AZ249" s="1370"/>
      <c r="BA249" s="1370"/>
      <c r="BC249" s="1370"/>
      <c r="BE249" s="1370"/>
      <c r="BF249" s="1370"/>
      <c r="BG249" s="1370"/>
    </row>
    <row r="250">
      <c r="R250" s="1370"/>
      <c r="S250" s="1370"/>
      <c r="W250" s="1370"/>
      <c r="X250" s="1370"/>
      <c r="AE250" s="1370"/>
      <c r="AF250" s="1370"/>
      <c r="AV250" s="1370"/>
      <c r="AW250" s="1370"/>
      <c r="AX250" s="1370"/>
      <c r="AY250" s="1370"/>
      <c r="AZ250" s="1370"/>
      <c r="BA250" s="1370"/>
      <c r="BC250" s="1370"/>
      <c r="BE250" s="1370"/>
      <c r="BF250" s="1370"/>
      <c r="BG250" s="1370"/>
    </row>
    <row r="251">
      <c r="R251" s="1370"/>
      <c r="S251" s="1370"/>
      <c r="W251" s="1370"/>
      <c r="X251" s="1370"/>
      <c r="AE251" s="1370"/>
      <c r="AF251" s="1370"/>
      <c r="AV251" s="1370"/>
      <c r="AW251" s="1370"/>
      <c r="AX251" s="1370"/>
      <c r="AY251" s="1370"/>
      <c r="AZ251" s="1370"/>
      <c r="BA251" s="1370"/>
      <c r="BC251" s="1370"/>
      <c r="BE251" s="1370"/>
      <c r="BF251" s="1370"/>
      <c r="BG251" s="1370"/>
    </row>
    <row r="252">
      <c r="R252" s="1370"/>
      <c r="S252" s="1370"/>
      <c r="W252" s="1370"/>
      <c r="X252" s="1370"/>
      <c r="AE252" s="1370"/>
      <c r="AF252" s="1370"/>
      <c r="AV252" s="1370"/>
      <c r="AW252" s="1370"/>
      <c r="AX252" s="1370"/>
      <c r="AY252" s="1370"/>
      <c r="AZ252" s="1370"/>
      <c r="BA252" s="1370"/>
      <c r="BC252" s="1370"/>
      <c r="BE252" s="1370"/>
      <c r="BF252" s="1370"/>
      <c r="BG252" s="1370"/>
    </row>
    <row r="253">
      <c r="R253" s="1370"/>
      <c r="S253" s="1370"/>
      <c r="W253" s="1370"/>
      <c r="X253" s="1370"/>
      <c r="AE253" s="1370"/>
      <c r="AF253" s="1370"/>
      <c r="AV253" s="1370"/>
      <c r="AW253" s="1370"/>
      <c r="AX253" s="1370"/>
      <c r="AY253" s="1370"/>
      <c r="AZ253" s="1370"/>
      <c r="BA253" s="1370"/>
      <c r="BC253" s="1370"/>
      <c r="BE253" s="1370"/>
      <c r="BF253" s="1370"/>
      <c r="BG253" s="1370"/>
    </row>
    <row r="254">
      <c r="R254" s="1370"/>
      <c r="S254" s="1370"/>
      <c r="W254" s="1370"/>
      <c r="X254" s="1370"/>
      <c r="AE254" s="1370"/>
      <c r="AF254" s="1370"/>
      <c r="AV254" s="1370"/>
      <c r="AW254" s="1370"/>
      <c r="AX254" s="1370"/>
      <c r="AY254" s="1370"/>
      <c r="AZ254" s="1370"/>
      <c r="BA254" s="1370"/>
      <c r="BC254" s="1370"/>
      <c r="BE254" s="1370"/>
      <c r="BF254" s="1370"/>
      <c r="BG254" s="1370"/>
    </row>
    <row r="255">
      <c r="R255" s="1370"/>
      <c r="S255" s="1370"/>
      <c r="W255" s="1370"/>
      <c r="X255" s="1370"/>
      <c r="AE255" s="1370"/>
      <c r="AF255" s="1370"/>
      <c r="AV255" s="1370"/>
      <c r="AW255" s="1370"/>
      <c r="AX255" s="1370"/>
      <c r="AY255" s="1370"/>
      <c r="AZ255" s="1370"/>
      <c r="BA255" s="1370"/>
      <c r="BC255" s="1370"/>
      <c r="BE255" s="1370"/>
      <c r="BF255" s="1370"/>
      <c r="BG255" s="1370"/>
    </row>
    <row r="256">
      <c r="R256" s="1370"/>
      <c r="S256" s="1370"/>
      <c r="W256" s="1370"/>
      <c r="X256" s="1370"/>
      <c r="AE256" s="1370"/>
      <c r="AF256" s="1370"/>
      <c r="AV256" s="1370"/>
      <c r="AW256" s="1370"/>
      <c r="AX256" s="1370"/>
      <c r="AY256" s="1370"/>
      <c r="AZ256" s="1370"/>
      <c r="BA256" s="1370"/>
      <c r="BC256" s="1370"/>
      <c r="BE256" s="1370"/>
      <c r="BF256" s="1370"/>
      <c r="BG256" s="1370"/>
    </row>
    <row r="257">
      <c r="R257" s="1370"/>
      <c r="S257" s="1370"/>
      <c r="W257" s="1370"/>
      <c r="X257" s="1370"/>
      <c r="AE257" s="1370"/>
      <c r="AF257" s="1370"/>
      <c r="AV257" s="1370"/>
      <c r="AW257" s="1370"/>
      <c r="AX257" s="1370"/>
      <c r="AY257" s="1370"/>
      <c r="AZ257" s="1370"/>
      <c r="BA257" s="1370"/>
      <c r="BC257" s="1370"/>
      <c r="BE257" s="1370"/>
      <c r="BF257" s="1370"/>
      <c r="BG257" s="1370"/>
    </row>
    <row r="258">
      <c r="R258" s="1370"/>
      <c r="S258" s="1370"/>
      <c r="W258" s="1370"/>
      <c r="X258" s="1370"/>
      <c r="AE258" s="1370"/>
      <c r="AF258" s="1370"/>
      <c r="AV258" s="1370"/>
      <c r="AW258" s="1370"/>
      <c r="AX258" s="1370"/>
      <c r="AY258" s="1370"/>
      <c r="AZ258" s="1370"/>
      <c r="BA258" s="1370"/>
      <c r="BC258" s="1370"/>
      <c r="BE258" s="1370"/>
      <c r="BF258" s="1370"/>
      <c r="BG258" s="1370"/>
    </row>
    <row r="259">
      <c r="R259" s="1370"/>
      <c r="S259" s="1370"/>
      <c r="W259" s="1370"/>
      <c r="X259" s="1370"/>
      <c r="AE259" s="1370"/>
      <c r="AF259" s="1370"/>
      <c r="AV259" s="1370"/>
      <c r="AW259" s="1370"/>
      <c r="AX259" s="1370"/>
      <c r="AY259" s="1370"/>
      <c r="AZ259" s="1370"/>
      <c r="BA259" s="1370"/>
      <c r="BC259" s="1370"/>
      <c r="BE259" s="1370"/>
      <c r="BF259" s="1370"/>
      <c r="BG259" s="1370"/>
    </row>
    <row r="260">
      <c r="R260" s="1370"/>
      <c r="S260" s="1370"/>
      <c r="W260" s="1370"/>
      <c r="X260" s="1370"/>
      <c r="AE260" s="1370"/>
      <c r="AF260" s="1370"/>
      <c r="AV260" s="1370"/>
      <c r="AW260" s="1370"/>
      <c r="AX260" s="1370"/>
      <c r="AY260" s="1370"/>
      <c r="AZ260" s="1370"/>
      <c r="BA260" s="1370"/>
      <c r="BC260" s="1370"/>
      <c r="BE260" s="1370"/>
      <c r="BF260" s="1370"/>
      <c r="BG260" s="1370"/>
    </row>
    <row r="261">
      <c r="R261" s="1370"/>
      <c r="S261" s="1370"/>
      <c r="W261" s="1370"/>
      <c r="X261" s="1370"/>
      <c r="AE261" s="1370"/>
      <c r="AF261" s="1370"/>
      <c r="AV261" s="1370"/>
      <c r="AW261" s="1370"/>
      <c r="AX261" s="1370"/>
      <c r="AY261" s="1370"/>
      <c r="AZ261" s="1370"/>
      <c r="BA261" s="1370"/>
      <c r="BC261" s="1370"/>
      <c r="BE261" s="1370"/>
      <c r="BF261" s="1370"/>
      <c r="BG261" s="1370"/>
    </row>
    <row r="262">
      <c r="R262" s="1370"/>
      <c r="S262" s="1370"/>
      <c r="W262" s="1370"/>
      <c r="X262" s="1370"/>
      <c r="AE262" s="1370"/>
      <c r="AF262" s="1370"/>
      <c r="AV262" s="1370"/>
      <c r="AW262" s="1370"/>
      <c r="AX262" s="1370"/>
      <c r="AY262" s="1370"/>
      <c r="AZ262" s="1370"/>
      <c r="BA262" s="1370"/>
      <c r="BC262" s="1370"/>
      <c r="BE262" s="1370"/>
      <c r="BF262" s="1370"/>
      <c r="BG262" s="1370"/>
    </row>
    <row r="263">
      <c r="R263" s="1370"/>
      <c r="S263" s="1370"/>
      <c r="W263" s="1370"/>
      <c r="X263" s="1370"/>
      <c r="AE263" s="1370"/>
      <c r="AF263" s="1370"/>
      <c r="AV263" s="1370"/>
      <c r="AW263" s="1370"/>
      <c r="AX263" s="1370"/>
      <c r="AY263" s="1370"/>
      <c r="AZ263" s="1370"/>
      <c r="BA263" s="1370"/>
      <c r="BC263" s="1370"/>
      <c r="BE263" s="1370"/>
      <c r="BF263" s="1370"/>
      <c r="BG263" s="1370"/>
    </row>
    <row r="264">
      <c r="R264" s="1370"/>
      <c r="S264" s="1370"/>
      <c r="W264" s="1370"/>
      <c r="X264" s="1370"/>
      <c r="AE264" s="1370"/>
      <c r="AF264" s="1370"/>
      <c r="AV264" s="1370"/>
      <c r="AW264" s="1370"/>
      <c r="AX264" s="1370"/>
      <c r="AY264" s="1370"/>
      <c r="AZ264" s="1370"/>
      <c r="BA264" s="1370"/>
      <c r="BC264" s="1370"/>
      <c r="BE264" s="1370"/>
      <c r="BF264" s="1370"/>
      <c r="BG264" s="1370"/>
    </row>
    <row r="265">
      <c r="R265" s="1370"/>
      <c r="S265" s="1370"/>
      <c r="W265" s="1370"/>
      <c r="X265" s="1370"/>
      <c r="AE265" s="1370"/>
      <c r="AF265" s="1370"/>
      <c r="AV265" s="1370"/>
      <c r="AW265" s="1370"/>
      <c r="AX265" s="1370"/>
      <c r="AY265" s="1370"/>
      <c r="AZ265" s="1370"/>
      <c r="BA265" s="1370"/>
      <c r="BC265" s="1370"/>
      <c r="BE265" s="1370"/>
      <c r="BF265" s="1370"/>
      <c r="BG265" s="1370"/>
    </row>
    <row r="266">
      <c r="R266" s="1370"/>
      <c r="S266" s="1370"/>
      <c r="W266" s="1370"/>
      <c r="X266" s="1370"/>
      <c r="AE266" s="1370"/>
      <c r="AF266" s="1370"/>
      <c r="AV266" s="1370"/>
      <c r="AW266" s="1370"/>
      <c r="AX266" s="1370"/>
      <c r="AY266" s="1370"/>
      <c r="AZ266" s="1370"/>
      <c r="BA266" s="1370"/>
      <c r="BC266" s="1370"/>
      <c r="BE266" s="1370"/>
      <c r="BF266" s="1370"/>
      <c r="BG266" s="1370"/>
    </row>
    <row r="267">
      <c r="R267" s="1370"/>
      <c r="S267" s="1370"/>
      <c r="W267" s="1370"/>
      <c r="X267" s="1370"/>
      <c r="AE267" s="1370"/>
      <c r="AF267" s="1370"/>
      <c r="AV267" s="1370"/>
      <c r="AW267" s="1370"/>
      <c r="AX267" s="1370"/>
      <c r="AY267" s="1370"/>
      <c r="AZ267" s="1370"/>
      <c r="BA267" s="1370"/>
      <c r="BC267" s="1370"/>
      <c r="BE267" s="1370"/>
      <c r="BF267" s="1370"/>
      <c r="BG267" s="1370"/>
    </row>
    <row r="268">
      <c r="R268" s="1370"/>
      <c r="S268" s="1370"/>
      <c r="W268" s="1370"/>
      <c r="X268" s="1370"/>
      <c r="AE268" s="1370"/>
      <c r="AF268" s="1370"/>
      <c r="AV268" s="1370"/>
      <c r="AW268" s="1370"/>
      <c r="AX268" s="1370"/>
      <c r="AY268" s="1370"/>
      <c r="AZ268" s="1370"/>
      <c r="BA268" s="1370"/>
      <c r="BC268" s="1370"/>
      <c r="BE268" s="1370"/>
      <c r="BF268" s="1370"/>
      <c r="BG268" s="1370"/>
    </row>
    <row r="269">
      <c r="R269" s="1370"/>
      <c r="S269" s="1370"/>
      <c r="W269" s="1370"/>
      <c r="X269" s="1370"/>
      <c r="AE269" s="1370"/>
      <c r="AF269" s="1370"/>
      <c r="AV269" s="1370"/>
      <c r="AW269" s="1370"/>
      <c r="AX269" s="1370"/>
      <c r="AY269" s="1370"/>
      <c r="AZ269" s="1370"/>
      <c r="BA269" s="1370"/>
      <c r="BC269" s="1370"/>
      <c r="BE269" s="1370"/>
      <c r="BF269" s="1370"/>
      <c r="BG269" s="1370"/>
    </row>
    <row r="270">
      <c r="R270" s="1370"/>
      <c r="S270" s="1370"/>
      <c r="W270" s="1370"/>
      <c r="X270" s="1370"/>
      <c r="AE270" s="1370"/>
      <c r="AF270" s="1370"/>
      <c r="AV270" s="1370"/>
      <c r="AW270" s="1370"/>
      <c r="AX270" s="1370"/>
      <c r="AY270" s="1370"/>
      <c r="AZ270" s="1370"/>
      <c r="BA270" s="1370"/>
      <c r="BC270" s="1370"/>
      <c r="BE270" s="1370"/>
      <c r="BF270" s="1370"/>
      <c r="BG270" s="1370"/>
    </row>
    <row r="271">
      <c r="R271" s="1370"/>
      <c r="S271" s="1370"/>
      <c r="W271" s="1370"/>
      <c r="X271" s="1370"/>
      <c r="AE271" s="1370"/>
      <c r="AF271" s="1370"/>
      <c r="AV271" s="1370"/>
      <c r="AW271" s="1370"/>
      <c r="AX271" s="1370"/>
      <c r="AY271" s="1370"/>
      <c r="AZ271" s="1370"/>
      <c r="BA271" s="1370"/>
      <c r="BC271" s="1370"/>
      <c r="BE271" s="1370"/>
      <c r="BF271" s="1370"/>
      <c r="BG271" s="1370"/>
    </row>
    <row r="272">
      <c r="R272" s="1370"/>
      <c r="S272" s="1370"/>
      <c r="W272" s="1370"/>
      <c r="X272" s="1370"/>
      <c r="AE272" s="1370"/>
      <c r="AF272" s="1370"/>
      <c r="AV272" s="1370"/>
      <c r="AW272" s="1370"/>
      <c r="AX272" s="1370"/>
      <c r="AY272" s="1370"/>
      <c r="AZ272" s="1370"/>
      <c r="BA272" s="1370"/>
      <c r="BC272" s="1370"/>
      <c r="BE272" s="1370"/>
      <c r="BF272" s="1370"/>
      <c r="BG272" s="1370"/>
    </row>
    <row r="273">
      <c r="R273" s="1370"/>
      <c r="S273" s="1370"/>
      <c r="W273" s="1370"/>
      <c r="X273" s="1370"/>
      <c r="AE273" s="1370"/>
      <c r="AF273" s="1370"/>
      <c r="AV273" s="1370"/>
      <c r="AW273" s="1370"/>
      <c r="AX273" s="1370"/>
      <c r="AY273" s="1370"/>
      <c r="AZ273" s="1370"/>
      <c r="BA273" s="1370"/>
      <c r="BC273" s="1370"/>
      <c r="BE273" s="1370"/>
      <c r="BF273" s="1370"/>
      <c r="BG273" s="1370"/>
    </row>
    <row r="274">
      <c r="R274" s="1370"/>
      <c r="S274" s="1370"/>
      <c r="W274" s="1370"/>
      <c r="X274" s="1370"/>
      <c r="AE274" s="1370"/>
      <c r="AF274" s="1370"/>
      <c r="AV274" s="1370"/>
      <c r="AW274" s="1370"/>
      <c r="AX274" s="1370"/>
      <c r="AY274" s="1370"/>
      <c r="AZ274" s="1370"/>
      <c r="BA274" s="1370"/>
      <c r="BC274" s="1370"/>
      <c r="BE274" s="1370"/>
      <c r="BF274" s="1370"/>
      <c r="BG274" s="1370"/>
    </row>
    <row r="275">
      <c r="R275" s="1370"/>
      <c r="S275" s="1370"/>
      <c r="W275" s="1370"/>
      <c r="X275" s="1370"/>
      <c r="AE275" s="1370"/>
      <c r="AF275" s="1370"/>
      <c r="AV275" s="1370"/>
      <c r="AW275" s="1370"/>
      <c r="AX275" s="1370"/>
      <c r="AY275" s="1370"/>
      <c r="AZ275" s="1370"/>
      <c r="BA275" s="1370"/>
      <c r="BC275" s="1370"/>
      <c r="BE275" s="1370"/>
      <c r="BF275" s="1370"/>
      <c r="BG275" s="1370"/>
    </row>
    <row r="276">
      <c r="R276" s="1370"/>
      <c r="S276" s="1370"/>
      <c r="W276" s="1370"/>
      <c r="X276" s="1370"/>
      <c r="AE276" s="1370"/>
      <c r="AF276" s="1370"/>
      <c r="AV276" s="1370"/>
      <c r="AW276" s="1370"/>
      <c r="AX276" s="1370"/>
      <c r="AY276" s="1370"/>
      <c r="AZ276" s="1370"/>
      <c r="BA276" s="1370"/>
      <c r="BC276" s="1370"/>
      <c r="BE276" s="1370"/>
      <c r="BF276" s="1370"/>
      <c r="BG276" s="1370"/>
    </row>
    <row r="277">
      <c r="R277" s="1370"/>
      <c r="S277" s="1370"/>
      <c r="W277" s="1370"/>
      <c r="X277" s="1370"/>
      <c r="AE277" s="1370"/>
      <c r="AF277" s="1370"/>
      <c r="AV277" s="1370"/>
      <c r="AW277" s="1370"/>
      <c r="AX277" s="1370"/>
      <c r="AY277" s="1370"/>
      <c r="AZ277" s="1370"/>
      <c r="BA277" s="1370"/>
      <c r="BC277" s="1370"/>
      <c r="BE277" s="1370"/>
      <c r="BF277" s="1370"/>
      <c r="BG277" s="1370"/>
    </row>
    <row r="278">
      <c r="R278" s="1370"/>
      <c r="S278" s="1370"/>
      <c r="W278" s="1370"/>
      <c r="X278" s="1370"/>
      <c r="AE278" s="1370"/>
      <c r="AF278" s="1370"/>
      <c r="AV278" s="1370"/>
      <c r="AW278" s="1370"/>
      <c r="AX278" s="1370"/>
      <c r="AY278" s="1370"/>
      <c r="AZ278" s="1370"/>
      <c r="BA278" s="1370"/>
      <c r="BC278" s="1370"/>
      <c r="BE278" s="1370"/>
      <c r="BF278" s="1370"/>
      <c r="BG278" s="1370"/>
    </row>
    <row r="279">
      <c r="R279" s="1370"/>
      <c r="S279" s="1370"/>
      <c r="W279" s="1370"/>
      <c r="X279" s="1370"/>
      <c r="AE279" s="1370"/>
      <c r="AF279" s="1370"/>
      <c r="AV279" s="1370"/>
      <c r="AW279" s="1370"/>
      <c r="AX279" s="1370"/>
      <c r="AY279" s="1370"/>
      <c r="AZ279" s="1370"/>
      <c r="BA279" s="1370"/>
      <c r="BC279" s="1370"/>
      <c r="BE279" s="1370"/>
      <c r="BF279" s="1370"/>
      <c r="BG279" s="1370"/>
    </row>
    <row r="280">
      <c r="R280" s="1370"/>
      <c r="S280" s="1370"/>
      <c r="W280" s="1370"/>
      <c r="X280" s="1370"/>
      <c r="AE280" s="1370"/>
      <c r="AF280" s="1370"/>
      <c r="AV280" s="1370"/>
      <c r="AW280" s="1370"/>
      <c r="AX280" s="1370"/>
      <c r="AY280" s="1370"/>
      <c r="AZ280" s="1370"/>
      <c r="BA280" s="1370"/>
      <c r="BC280" s="1370"/>
      <c r="BE280" s="1370"/>
      <c r="BF280" s="1370"/>
      <c r="BG280" s="1370"/>
    </row>
    <row r="281">
      <c r="R281" s="1370"/>
      <c r="S281" s="1370"/>
      <c r="W281" s="1370"/>
      <c r="X281" s="1370"/>
      <c r="AE281" s="1370"/>
      <c r="AF281" s="1370"/>
      <c r="AV281" s="1370"/>
      <c r="AW281" s="1370"/>
      <c r="AX281" s="1370"/>
      <c r="AY281" s="1370"/>
      <c r="AZ281" s="1370"/>
      <c r="BA281" s="1370"/>
      <c r="BC281" s="1370"/>
      <c r="BE281" s="1370"/>
      <c r="BF281" s="1370"/>
      <c r="BG281" s="1370"/>
    </row>
    <row r="282">
      <c r="R282" s="1370"/>
      <c r="S282" s="1370"/>
      <c r="W282" s="1370"/>
      <c r="X282" s="1370"/>
      <c r="AE282" s="1370"/>
      <c r="AF282" s="1370"/>
      <c r="AV282" s="1370"/>
      <c r="AW282" s="1370"/>
      <c r="AX282" s="1370"/>
      <c r="AY282" s="1370"/>
      <c r="AZ282" s="1370"/>
      <c r="BA282" s="1370"/>
      <c r="BC282" s="1370"/>
      <c r="BE282" s="1370"/>
      <c r="BF282" s="1370"/>
      <c r="BG282" s="1370"/>
    </row>
    <row r="283">
      <c r="R283" s="1370"/>
      <c r="S283" s="1370"/>
      <c r="W283" s="1370"/>
      <c r="X283" s="1370"/>
      <c r="AE283" s="1370"/>
      <c r="AF283" s="1370"/>
      <c r="AV283" s="1370"/>
      <c r="AW283" s="1370"/>
      <c r="AX283" s="1370"/>
      <c r="AY283" s="1370"/>
      <c r="AZ283" s="1370"/>
      <c r="BA283" s="1370"/>
      <c r="BC283" s="1370"/>
      <c r="BE283" s="1370"/>
      <c r="BF283" s="1370"/>
      <c r="BG283" s="1370"/>
    </row>
    <row r="284">
      <c r="R284" s="1370"/>
      <c r="S284" s="1370"/>
      <c r="W284" s="1370"/>
      <c r="X284" s="1370"/>
      <c r="AE284" s="1370"/>
      <c r="AF284" s="1370"/>
      <c r="AV284" s="1370"/>
      <c r="AW284" s="1370"/>
      <c r="AX284" s="1370"/>
      <c r="AY284" s="1370"/>
      <c r="AZ284" s="1370"/>
      <c r="BA284" s="1370"/>
      <c r="BC284" s="1370"/>
      <c r="BE284" s="1370"/>
      <c r="BF284" s="1370"/>
      <c r="BG284" s="1370"/>
    </row>
    <row r="285">
      <c r="R285" s="1370"/>
      <c r="S285" s="1370"/>
      <c r="W285" s="1370"/>
      <c r="X285" s="1370"/>
      <c r="AE285" s="1370"/>
      <c r="AF285" s="1370"/>
      <c r="AV285" s="1370"/>
      <c r="AW285" s="1370"/>
      <c r="AX285" s="1370"/>
      <c r="AY285" s="1370"/>
      <c r="AZ285" s="1370"/>
      <c r="BA285" s="1370"/>
      <c r="BC285" s="1370"/>
      <c r="BE285" s="1370"/>
      <c r="BF285" s="1370"/>
      <c r="BG285" s="1370"/>
    </row>
    <row r="286">
      <c r="R286" s="1370"/>
      <c r="S286" s="1370"/>
      <c r="W286" s="1370"/>
      <c r="X286" s="1370"/>
      <c r="AE286" s="1370"/>
      <c r="AF286" s="1370"/>
      <c r="AV286" s="1370"/>
      <c r="AW286" s="1370"/>
      <c r="AX286" s="1370"/>
      <c r="AY286" s="1370"/>
      <c r="AZ286" s="1370"/>
      <c r="BA286" s="1370"/>
      <c r="BC286" s="1370"/>
      <c r="BE286" s="1370"/>
      <c r="BF286" s="1370"/>
      <c r="BG286" s="1370"/>
    </row>
    <row r="287">
      <c r="R287" s="1370"/>
      <c r="S287" s="1370"/>
      <c r="W287" s="1370"/>
      <c r="X287" s="1370"/>
      <c r="AE287" s="1370"/>
      <c r="AF287" s="1370"/>
      <c r="AV287" s="1370"/>
      <c r="AW287" s="1370"/>
      <c r="AX287" s="1370"/>
      <c r="AY287" s="1370"/>
      <c r="AZ287" s="1370"/>
      <c r="BA287" s="1370"/>
      <c r="BC287" s="1370"/>
      <c r="BE287" s="1370"/>
      <c r="BF287" s="1370"/>
      <c r="BG287" s="1370"/>
    </row>
    <row r="288">
      <c r="R288" s="1370"/>
      <c r="S288" s="1370"/>
      <c r="W288" s="1370"/>
      <c r="X288" s="1370"/>
      <c r="AE288" s="1370"/>
      <c r="AF288" s="1370"/>
      <c r="AV288" s="1370"/>
      <c r="AW288" s="1370"/>
      <c r="AX288" s="1370"/>
      <c r="AY288" s="1370"/>
      <c r="AZ288" s="1370"/>
      <c r="BA288" s="1370"/>
      <c r="BC288" s="1370"/>
      <c r="BE288" s="1370"/>
      <c r="BF288" s="1370"/>
      <c r="BG288" s="1370"/>
    </row>
    <row r="289">
      <c r="R289" s="1370"/>
      <c r="S289" s="1370"/>
      <c r="W289" s="1370"/>
      <c r="X289" s="1370"/>
      <c r="AE289" s="1370"/>
      <c r="AF289" s="1370"/>
      <c r="AV289" s="1370"/>
      <c r="AW289" s="1370"/>
      <c r="AX289" s="1370"/>
      <c r="AY289" s="1370"/>
      <c r="AZ289" s="1370"/>
      <c r="BA289" s="1370"/>
      <c r="BC289" s="1370"/>
      <c r="BE289" s="1370"/>
      <c r="BF289" s="1370"/>
      <c r="BG289" s="1370"/>
    </row>
    <row r="290">
      <c r="R290" s="1370"/>
      <c r="S290" s="1370"/>
      <c r="W290" s="1370"/>
      <c r="X290" s="1370"/>
      <c r="AE290" s="1370"/>
      <c r="AF290" s="1370"/>
      <c r="AV290" s="1370"/>
      <c r="AW290" s="1370"/>
      <c r="AX290" s="1370"/>
      <c r="AY290" s="1370"/>
      <c r="AZ290" s="1370"/>
      <c r="BA290" s="1370"/>
      <c r="BC290" s="1370"/>
      <c r="BE290" s="1370"/>
      <c r="BF290" s="1370"/>
      <c r="BG290" s="1370"/>
    </row>
    <row r="291">
      <c r="R291" s="1370"/>
      <c r="S291" s="1370"/>
      <c r="W291" s="1370"/>
      <c r="X291" s="1370"/>
      <c r="AE291" s="1370"/>
      <c r="AF291" s="1370"/>
      <c r="AV291" s="1370"/>
      <c r="AW291" s="1370"/>
      <c r="AX291" s="1370"/>
      <c r="AY291" s="1370"/>
      <c r="AZ291" s="1370"/>
      <c r="BA291" s="1370"/>
      <c r="BC291" s="1370"/>
      <c r="BE291" s="1370"/>
      <c r="BF291" s="1370"/>
      <c r="BG291" s="1370"/>
    </row>
    <row r="292">
      <c r="R292" s="1370"/>
      <c r="S292" s="1370"/>
      <c r="W292" s="1370"/>
      <c r="X292" s="1370"/>
      <c r="AE292" s="1370"/>
      <c r="AF292" s="1370"/>
      <c r="AV292" s="1370"/>
      <c r="AW292" s="1370"/>
      <c r="AX292" s="1370"/>
      <c r="AY292" s="1370"/>
      <c r="AZ292" s="1370"/>
      <c r="BA292" s="1370"/>
      <c r="BC292" s="1370"/>
      <c r="BE292" s="1370"/>
      <c r="BF292" s="1370"/>
      <c r="BG292" s="1370"/>
    </row>
    <row r="293">
      <c r="R293" s="1370"/>
      <c r="S293" s="1370"/>
      <c r="W293" s="1370"/>
      <c r="X293" s="1370"/>
      <c r="AE293" s="1370"/>
      <c r="AF293" s="1370"/>
      <c r="AV293" s="1370"/>
      <c r="AW293" s="1370"/>
      <c r="AX293" s="1370"/>
      <c r="AY293" s="1370"/>
      <c r="AZ293" s="1370"/>
      <c r="BA293" s="1370"/>
      <c r="BC293" s="1370"/>
      <c r="BE293" s="1370"/>
      <c r="BF293" s="1370"/>
      <c r="BG293" s="1370"/>
    </row>
    <row r="294">
      <c r="R294" s="1370"/>
      <c r="S294" s="1370"/>
      <c r="W294" s="1370"/>
      <c r="X294" s="1370"/>
      <c r="AE294" s="1370"/>
      <c r="AF294" s="1370"/>
      <c r="AV294" s="1370"/>
      <c r="AW294" s="1370"/>
      <c r="AX294" s="1370"/>
      <c r="AY294" s="1370"/>
      <c r="AZ294" s="1370"/>
      <c r="BA294" s="1370"/>
      <c r="BC294" s="1370"/>
      <c r="BE294" s="1370"/>
      <c r="BF294" s="1370"/>
      <c r="BG294" s="1370"/>
    </row>
    <row r="295">
      <c r="R295" s="1370"/>
      <c r="S295" s="1370"/>
      <c r="W295" s="1370"/>
      <c r="X295" s="1370"/>
      <c r="AE295" s="1370"/>
      <c r="AF295" s="1370"/>
      <c r="AV295" s="1370"/>
      <c r="AW295" s="1370"/>
      <c r="AX295" s="1370"/>
      <c r="AY295" s="1370"/>
      <c r="AZ295" s="1370"/>
      <c r="BA295" s="1370"/>
      <c r="BC295" s="1370"/>
      <c r="BE295" s="1370"/>
      <c r="BF295" s="1370"/>
      <c r="BG295" s="1370"/>
    </row>
    <row r="296">
      <c r="R296" s="1370"/>
      <c r="S296" s="1370"/>
      <c r="W296" s="1370"/>
      <c r="X296" s="1370"/>
      <c r="AE296" s="1370"/>
      <c r="AF296" s="1370"/>
      <c r="AV296" s="1370"/>
      <c r="AW296" s="1370"/>
      <c r="AX296" s="1370"/>
      <c r="AY296" s="1370"/>
      <c r="AZ296" s="1370"/>
      <c r="BA296" s="1370"/>
      <c r="BC296" s="1370"/>
      <c r="BE296" s="1370"/>
      <c r="BF296" s="1370"/>
      <c r="BG296" s="1370"/>
    </row>
    <row r="297">
      <c r="R297" s="1370"/>
      <c r="S297" s="1370"/>
      <c r="W297" s="1370"/>
      <c r="X297" s="1370"/>
      <c r="AE297" s="1370"/>
      <c r="AF297" s="1370"/>
      <c r="AV297" s="1370"/>
      <c r="AW297" s="1370"/>
      <c r="AX297" s="1370"/>
      <c r="AY297" s="1370"/>
      <c r="AZ297" s="1370"/>
      <c r="BA297" s="1370"/>
      <c r="BC297" s="1370"/>
      <c r="BE297" s="1370"/>
      <c r="BF297" s="1370"/>
      <c r="BG297" s="1370"/>
    </row>
    <row r="298">
      <c r="R298" s="1370"/>
      <c r="S298" s="1370"/>
      <c r="W298" s="1370"/>
      <c r="X298" s="1370"/>
      <c r="AE298" s="1370"/>
      <c r="AF298" s="1370"/>
      <c r="AV298" s="1370"/>
      <c r="AW298" s="1370"/>
      <c r="AX298" s="1370"/>
      <c r="AY298" s="1370"/>
      <c r="AZ298" s="1370"/>
      <c r="BA298" s="1370"/>
      <c r="BC298" s="1370"/>
      <c r="BE298" s="1370"/>
      <c r="BF298" s="1370"/>
      <c r="BG298" s="1370"/>
    </row>
    <row r="299">
      <c r="R299" s="1370"/>
      <c r="S299" s="1370"/>
      <c r="W299" s="1370"/>
      <c r="X299" s="1370"/>
      <c r="AE299" s="1370"/>
      <c r="AF299" s="1370"/>
      <c r="AV299" s="1370"/>
      <c r="AW299" s="1370"/>
      <c r="AX299" s="1370"/>
      <c r="AY299" s="1370"/>
      <c r="AZ299" s="1370"/>
      <c r="BA299" s="1370"/>
      <c r="BC299" s="1370"/>
      <c r="BE299" s="1370"/>
      <c r="BF299" s="1370"/>
      <c r="BG299" s="1370"/>
    </row>
    <row r="300">
      <c r="R300" s="1370"/>
      <c r="S300" s="1370"/>
      <c r="W300" s="1370"/>
      <c r="X300" s="1370"/>
      <c r="AE300" s="1370"/>
      <c r="AF300" s="1370"/>
      <c r="AV300" s="1370"/>
      <c r="AW300" s="1370"/>
      <c r="AX300" s="1370"/>
      <c r="AY300" s="1370"/>
      <c r="AZ300" s="1370"/>
      <c r="BA300" s="1370"/>
      <c r="BC300" s="1370"/>
      <c r="BE300" s="1370"/>
      <c r="BF300" s="1370"/>
      <c r="BG300" s="1370"/>
    </row>
    <row r="301">
      <c r="R301" s="1370"/>
      <c r="S301" s="1370"/>
      <c r="W301" s="1370"/>
      <c r="X301" s="1370"/>
      <c r="AE301" s="1370"/>
      <c r="AF301" s="1370"/>
      <c r="AV301" s="1370"/>
      <c r="AW301" s="1370"/>
      <c r="AX301" s="1370"/>
      <c r="AY301" s="1370"/>
      <c r="AZ301" s="1370"/>
      <c r="BA301" s="1370"/>
      <c r="BC301" s="1370"/>
      <c r="BE301" s="1370"/>
      <c r="BF301" s="1370"/>
      <c r="BG301" s="1370"/>
    </row>
    <row r="302">
      <c r="R302" s="1370"/>
      <c r="S302" s="1370"/>
      <c r="W302" s="1370"/>
      <c r="X302" s="1370"/>
      <c r="AE302" s="1370"/>
      <c r="AF302" s="1370"/>
      <c r="AV302" s="1370"/>
      <c r="AW302" s="1370"/>
      <c r="AX302" s="1370"/>
      <c r="AY302" s="1370"/>
      <c r="AZ302" s="1370"/>
      <c r="BA302" s="1370"/>
      <c r="BC302" s="1370"/>
      <c r="BE302" s="1370"/>
      <c r="BF302" s="1370"/>
      <c r="BG302" s="1370"/>
    </row>
    <row r="303">
      <c r="R303" s="1370"/>
      <c r="S303" s="1370"/>
      <c r="W303" s="1370"/>
      <c r="X303" s="1370"/>
      <c r="AE303" s="1370"/>
      <c r="AF303" s="1370"/>
      <c r="AV303" s="1370"/>
      <c r="AW303" s="1370"/>
      <c r="AX303" s="1370"/>
      <c r="AY303" s="1370"/>
      <c r="AZ303" s="1370"/>
      <c r="BA303" s="1370"/>
      <c r="BC303" s="1370"/>
      <c r="BE303" s="1370"/>
      <c r="BF303" s="1370"/>
      <c r="BG303" s="1370"/>
    </row>
    <row r="304">
      <c r="R304" s="1370"/>
      <c r="S304" s="1370"/>
      <c r="W304" s="1370"/>
      <c r="X304" s="1370"/>
      <c r="AE304" s="1370"/>
      <c r="AF304" s="1370"/>
      <c r="AV304" s="1370"/>
      <c r="AW304" s="1370"/>
      <c r="AX304" s="1370"/>
      <c r="AY304" s="1370"/>
      <c r="AZ304" s="1370"/>
      <c r="BA304" s="1370"/>
      <c r="BC304" s="1370"/>
      <c r="BE304" s="1370"/>
      <c r="BF304" s="1370"/>
      <c r="BG304" s="1370"/>
    </row>
    <row r="305">
      <c r="R305" s="1370"/>
      <c r="S305" s="1370"/>
      <c r="W305" s="1370"/>
      <c r="X305" s="1370"/>
      <c r="AE305" s="1370"/>
      <c r="AF305" s="1370"/>
      <c r="AV305" s="1370"/>
      <c r="AW305" s="1370"/>
      <c r="AX305" s="1370"/>
      <c r="AY305" s="1370"/>
      <c r="AZ305" s="1370"/>
      <c r="BA305" s="1370"/>
      <c r="BC305" s="1370"/>
      <c r="BE305" s="1370"/>
      <c r="BF305" s="1370"/>
      <c r="BG305" s="1370"/>
    </row>
    <row r="306">
      <c r="R306" s="1370"/>
      <c r="S306" s="1370"/>
      <c r="W306" s="1370"/>
      <c r="X306" s="1370"/>
      <c r="AE306" s="1370"/>
      <c r="AF306" s="1370"/>
      <c r="AV306" s="1370"/>
      <c r="AW306" s="1370"/>
      <c r="AX306" s="1370"/>
      <c r="AY306" s="1370"/>
      <c r="AZ306" s="1370"/>
      <c r="BA306" s="1370"/>
      <c r="BC306" s="1370"/>
      <c r="BE306" s="1370"/>
      <c r="BF306" s="1370"/>
      <c r="BG306" s="1370"/>
    </row>
    <row r="307">
      <c r="R307" s="1370"/>
      <c r="S307" s="1370"/>
      <c r="W307" s="1370"/>
      <c r="X307" s="1370"/>
      <c r="AE307" s="1370"/>
      <c r="AF307" s="1370"/>
      <c r="AV307" s="1370"/>
      <c r="AW307" s="1370"/>
      <c r="AX307" s="1370"/>
      <c r="AY307" s="1370"/>
      <c r="AZ307" s="1370"/>
      <c r="BA307" s="1370"/>
      <c r="BC307" s="1370"/>
      <c r="BE307" s="1370"/>
      <c r="BF307" s="1370"/>
      <c r="BG307" s="1370"/>
    </row>
    <row r="308">
      <c r="R308" s="1370"/>
      <c r="S308" s="1370"/>
      <c r="W308" s="1370"/>
      <c r="X308" s="1370"/>
      <c r="AE308" s="1370"/>
      <c r="AF308" s="1370"/>
      <c r="AV308" s="1370"/>
      <c r="AW308" s="1370"/>
      <c r="AX308" s="1370"/>
      <c r="AY308" s="1370"/>
      <c r="AZ308" s="1370"/>
      <c r="BA308" s="1370"/>
      <c r="BC308" s="1370"/>
      <c r="BE308" s="1370"/>
      <c r="BF308" s="1370"/>
      <c r="BG308" s="1370"/>
    </row>
    <row r="309">
      <c r="R309" s="1370"/>
      <c r="S309" s="1370"/>
      <c r="W309" s="1370"/>
      <c r="X309" s="1370"/>
      <c r="AE309" s="1370"/>
      <c r="AF309" s="1370"/>
      <c r="AV309" s="1370"/>
      <c r="AW309" s="1370"/>
      <c r="AX309" s="1370"/>
      <c r="AY309" s="1370"/>
      <c r="AZ309" s="1370"/>
      <c r="BA309" s="1370"/>
      <c r="BC309" s="1370"/>
      <c r="BE309" s="1370"/>
      <c r="BF309" s="1370"/>
      <c r="BG309" s="1370"/>
    </row>
    <row r="310">
      <c r="R310" s="1370"/>
      <c r="S310" s="1370"/>
      <c r="W310" s="1370"/>
      <c r="X310" s="1370"/>
      <c r="AE310" s="1370"/>
      <c r="AF310" s="1370"/>
      <c r="AV310" s="1370"/>
      <c r="AW310" s="1370"/>
      <c r="AX310" s="1370"/>
      <c r="AY310" s="1370"/>
      <c r="AZ310" s="1370"/>
      <c r="BA310" s="1370"/>
      <c r="BC310" s="1370"/>
      <c r="BE310" s="1370"/>
      <c r="BF310" s="1370"/>
      <c r="BG310" s="1370"/>
    </row>
    <row r="311">
      <c r="R311" s="1370"/>
      <c r="S311" s="1370"/>
      <c r="W311" s="1370"/>
      <c r="X311" s="1370"/>
      <c r="AE311" s="1370"/>
      <c r="AF311" s="1370"/>
      <c r="AV311" s="1370"/>
      <c r="AW311" s="1370"/>
      <c r="AX311" s="1370"/>
      <c r="AY311" s="1370"/>
      <c r="AZ311" s="1370"/>
      <c r="BA311" s="1370"/>
      <c r="BC311" s="1370"/>
      <c r="BE311" s="1370"/>
      <c r="BF311" s="1370"/>
      <c r="BG311" s="1370"/>
    </row>
    <row r="312">
      <c r="R312" s="1370"/>
      <c r="S312" s="1370"/>
      <c r="W312" s="1370"/>
      <c r="X312" s="1370"/>
      <c r="AE312" s="1370"/>
      <c r="AF312" s="1370"/>
      <c r="AV312" s="1370"/>
      <c r="AW312" s="1370"/>
      <c r="AX312" s="1370"/>
      <c r="AY312" s="1370"/>
      <c r="AZ312" s="1370"/>
      <c r="BA312" s="1370"/>
      <c r="BC312" s="1370"/>
      <c r="BE312" s="1370"/>
      <c r="BF312" s="1370"/>
      <c r="BG312" s="1370"/>
    </row>
    <row r="313">
      <c r="R313" s="1370"/>
      <c r="S313" s="1370"/>
      <c r="W313" s="1370"/>
      <c r="X313" s="1370"/>
      <c r="AE313" s="1370"/>
      <c r="AF313" s="1370"/>
      <c r="AV313" s="1370"/>
      <c r="AW313" s="1370"/>
      <c r="AX313" s="1370"/>
      <c r="AY313" s="1370"/>
      <c r="AZ313" s="1370"/>
      <c r="BA313" s="1370"/>
      <c r="BC313" s="1370"/>
      <c r="BE313" s="1370"/>
      <c r="BF313" s="1370"/>
      <c r="BG313" s="1370"/>
    </row>
    <row r="314">
      <c r="R314" s="1370"/>
      <c r="S314" s="1370"/>
      <c r="W314" s="1370"/>
      <c r="X314" s="1370"/>
      <c r="AE314" s="1370"/>
      <c r="AF314" s="1370"/>
      <c r="AV314" s="1370"/>
      <c r="AW314" s="1370"/>
      <c r="AX314" s="1370"/>
      <c r="AY314" s="1370"/>
      <c r="AZ314" s="1370"/>
      <c r="BA314" s="1370"/>
      <c r="BC314" s="1370"/>
      <c r="BE314" s="1370"/>
      <c r="BF314" s="1370"/>
      <c r="BG314" s="1370"/>
    </row>
    <row r="315">
      <c r="R315" s="1370"/>
      <c r="S315" s="1370"/>
      <c r="W315" s="1370"/>
      <c r="X315" s="1370"/>
      <c r="AE315" s="1370"/>
      <c r="AF315" s="1370"/>
      <c r="AV315" s="1370"/>
      <c r="AW315" s="1370"/>
      <c r="AX315" s="1370"/>
      <c r="AY315" s="1370"/>
      <c r="AZ315" s="1370"/>
      <c r="BA315" s="1370"/>
      <c r="BC315" s="1370"/>
      <c r="BE315" s="1370"/>
      <c r="BF315" s="1370"/>
      <c r="BG315" s="1370"/>
    </row>
    <row r="316">
      <c r="R316" s="1370"/>
      <c r="S316" s="1370"/>
      <c r="W316" s="1370"/>
      <c r="X316" s="1370"/>
      <c r="AE316" s="1370"/>
      <c r="AF316" s="1370"/>
      <c r="AV316" s="1370"/>
      <c r="AW316" s="1370"/>
      <c r="AX316" s="1370"/>
      <c r="AY316" s="1370"/>
      <c r="AZ316" s="1370"/>
      <c r="BA316" s="1370"/>
      <c r="BC316" s="1370"/>
      <c r="BE316" s="1370"/>
      <c r="BF316" s="1370"/>
      <c r="BG316" s="1370"/>
    </row>
    <row r="317">
      <c r="R317" s="1370"/>
      <c r="S317" s="1370"/>
      <c r="W317" s="1370"/>
      <c r="X317" s="1370"/>
      <c r="AE317" s="1370"/>
      <c r="AF317" s="1370"/>
      <c r="AV317" s="1370"/>
      <c r="AW317" s="1370"/>
      <c r="AX317" s="1370"/>
      <c r="AY317" s="1370"/>
      <c r="AZ317" s="1370"/>
      <c r="BA317" s="1370"/>
      <c r="BC317" s="1370"/>
      <c r="BE317" s="1370"/>
      <c r="BF317" s="1370"/>
      <c r="BG317" s="1370"/>
    </row>
    <row r="318">
      <c r="R318" s="1370"/>
      <c r="S318" s="1370"/>
      <c r="W318" s="1370"/>
      <c r="X318" s="1370"/>
      <c r="AE318" s="1370"/>
      <c r="AF318" s="1370"/>
      <c r="AV318" s="1370"/>
      <c r="AW318" s="1370"/>
      <c r="AX318" s="1370"/>
      <c r="AY318" s="1370"/>
      <c r="AZ318" s="1370"/>
      <c r="BA318" s="1370"/>
      <c r="BC318" s="1370"/>
      <c r="BE318" s="1370"/>
      <c r="BF318" s="1370"/>
      <c r="BG318" s="1370"/>
    </row>
    <row r="319">
      <c r="R319" s="1370"/>
      <c r="S319" s="1370"/>
      <c r="W319" s="1370"/>
      <c r="X319" s="1370"/>
      <c r="AE319" s="1370"/>
      <c r="AF319" s="1370"/>
      <c r="AV319" s="1370"/>
      <c r="AW319" s="1370"/>
      <c r="AX319" s="1370"/>
      <c r="AY319" s="1370"/>
      <c r="AZ319" s="1370"/>
      <c r="BA319" s="1370"/>
      <c r="BC319" s="1370"/>
      <c r="BE319" s="1370"/>
      <c r="BF319" s="1370"/>
      <c r="BG319" s="1370"/>
    </row>
    <row r="320">
      <c r="R320" s="1370"/>
      <c r="S320" s="1370"/>
      <c r="W320" s="1370"/>
      <c r="X320" s="1370"/>
      <c r="AE320" s="1370"/>
      <c r="AF320" s="1370"/>
      <c r="AV320" s="1370"/>
      <c r="AW320" s="1370"/>
      <c r="AX320" s="1370"/>
      <c r="AY320" s="1370"/>
      <c r="AZ320" s="1370"/>
      <c r="BA320" s="1370"/>
      <c r="BC320" s="1370"/>
      <c r="BE320" s="1370"/>
      <c r="BF320" s="1370"/>
      <c r="BG320" s="1370"/>
    </row>
    <row r="321">
      <c r="R321" s="1370"/>
      <c r="S321" s="1370"/>
      <c r="W321" s="1370"/>
      <c r="X321" s="1370"/>
      <c r="AE321" s="1370"/>
      <c r="AF321" s="1370"/>
      <c r="AV321" s="1370"/>
      <c r="AW321" s="1370"/>
      <c r="AX321" s="1370"/>
      <c r="AY321" s="1370"/>
      <c r="AZ321" s="1370"/>
      <c r="BA321" s="1370"/>
      <c r="BC321" s="1370"/>
      <c r="BE321" s="1370"/>
      <c r="BF321" s="1370"/>
      <c r="BG321" s="1370"/>
    </row>
    <row r="322">
      <c r="R322" s="1370"/>
      <c r="S322" s="1370"/>
      <c r="W322" s="1370"/>
      <c r="X322" s="1370"/>
      <c r="AE322" s="1370"/>
      <c r="AF322" s="1370"/>
      <c r="AV322" s="1370"/>
      <c r="AW322" s="1370"/>
      <c r="AX322" s="1370"/>
      <c r="AY322" s="1370"/>
      <c r="AZ322" s="1370"/>
      <c r="BA322" s="1370"/>
      <c r="BC322" s="1370"/>
      <c r="BE322" s="1370"/>
      <c r="BF322" s="1370"/>
      <c r="BG322" s="1370"/>
    </row>
    <row r="323">
      <c r="R323" s="1370"/>
      <c r="S323" s="1370"/>
      <c r="W323" s="1370"/>
      <c r="X323" s="1370"/>
      <c r="AE323" s="1370"/>
      <c r="AF323" s="1370"/>
      <c r="AV323" s="1370"/>
      <c r="AW323" s="1370"/>
      <c r="AX323" s="1370"/>
      <c r="AY323" s="1370"/>
      <c r="AZ323" s="1370"/>
      <c r="BA323" s="1370"/>
      <c r="BC323" s="1370"/>
      <c r="BE323" s="1370"/>
      <c r="BF323" s="1370"/>
      <c r="BG323" s="1370"/>
    </row>
    <row r="324">
      <c r="R324" s="1370"/>
      <c r="S324" s="1370"/>
      <c r="W324" s="1370"/>
      <c r="X324" s="1370"/>
      <c r="AE324" s="1370"/>
      <c r="AF324" s="1370"/>
      <c r="AV324" s="1370"/>
      <c r="AW324" s="1370"/>
      <c r="AX324" s="1370"/>
      <c r="AY324" s="1370"/>
      <c r="AZ324" s="1370"/>
      <c r="BA324" s="1370"/>
      <c r="BC324" s="1370"/>
      <c r="BE324" s="1370"/>
      <c r="BF324" s="1370"/>
      <c r="BG324" s="1370"/>
    </row>
    <row r="325">
      <c r="R325" s="1370"/>
      <c r="S325" s="1370"/>
      <c r="W325" s="1370"/>
      <c r="X325" s="1370"/>
      <c r="AE325" s="1370"/>
      <c r="AF325" s="1370"/>
      <c r="AV325" s="1370"/>
      <c r="AW325" s="1370"/>
      <c r="AX325" s="1370"/>
      <c r="AY325" s="1370"/>
      <c r="AZ325" s="1370"/>
      <c r="BA325" s="1370"/>
      <c r="BC325" s="1370"/>
      <c r="BE325" s="1370"/>
      <c r="BF325" s="1370"/>
      <c r="BG325" s="1370"/>
    </row>
    <row r="326">
      <c r="R326" s="1370"/>
      <c r="S326" s="1370"/>
      <c r="W326" s="1370"/>
      <c r="X326" s="1370"/>
      <c r="AE326" s="1370"/>
      <c r="AF326" s="1370"/>
      <c r="AV326" s="1370"/>
      <c r="AW326" s="1370"/>
      <c r="AX326" s="1370"/>
      <c r="AY326" s="1370"/>
      <c r="AZ326" s="1370"/>
      <c r="BA326" s="1370"/>
      <c r="BC326" s="1370"/>
      <c r="BE326" s="1370"/>
      <c r="BF326" s="1370"/>
      <c r="BG326" s="1370"/>
    </row>
    <row r="327">
      <c r="R327" s="1370"/>
      <c r="S327" s="1370"/>
      <c r="W327" s="1370"/>
      <c r="X327" s="1370"/>
      <c r="AE327" s="1370"/>
      <c r="AF327" s="1370"/>
      <c r="AV327" s="1370"/>
      <c r="AW327" s="1370"/>
      <c r="AX327" s="1370"/>
      <c r="AY327" s="1370"/>
      <c r="AZ327" s="1370"/>
      <c r="BA327" s="1370"/>
      <c r="BC327" s="1370"/>
      <c r="BE327" s="1370"/>
      <c r="BF327" s="1370"/>
      <c r="BG327" s="1370"/>
    </row>
    <row r="328">
      <c r="R328" s="1370"/>
      <c r="S328" s="1370"/>
      <c r="W328" s="1370"/>
      <c r="X328" s="1370"/>
      <c r="AE328" s="1370"/>
      <c r="AF328" s="1370"/>
      <c r="AV328" s="1370"/>
      <c r="AW328" s="1370"/>
      <c r="AX328" s="1370"/>
      <c r="AY328" s="1370"/>
      <c r="AZ328" s="1370"/>
      <c r="BA328" s="1370"/>
      <c r="BC328" s="1370"/>
      <c r="BE328" s="1370"/>
      <c r="BF328" s="1370"/>
      <c r="BG328" s="1370"/>
    </row>
    <row r="329">
      <c r="R329" s="1370"/>
      <c r="S329" s="1370"/>
      <c r="W329" s="1370"/>
      <c r="X329" s="1370"/>
      <c r="AE329" s="1370"/>
      <c r="AF329" s="1370"/>
      <c r="AV329" s="1370"/>
      <c r="AW329" s="1370"/>
      <c r="AX329" s="1370"/>
      <c r="AY329" s="1370"/>
      <c r="AZ329" s="1370"/>
      <c r="BA329" s="1370"/>
      <c r="BC329" s="1370"/>
      <c r="BE329" s="1370"/>
      <c r="BF329" s="1370"/>
      <c r="BG329" s="1370"/>
    </row>
    <row r="330">
      <c r="R330" s="1370"/>
      <c r="S330" s="1370"/>
      <c r="W330" s="1370"/>
      <c r="X330" s="1370"/>
      <c r="AE330" s="1370"/>
      <c r="AF330" s="1370"/>
      <c r="AV330" s="1370"/>
      <c r="AW330" s="1370"/>
      <c r="AX330" s="1370"/>
      <c r="AY330" s="1370"/>
      <c r="AZ330" s="1370"/>
      <c r="BA330" s="1370"/>
      <c r="BC330" s="1370"/>
      <c r="BE330" s="1370"/>
      <c r="BF330" s="1370"/>
      <c r="BG330" s="1370"/>
    </row>
    <row r="331">
      <c r="R331" s="1370"/>
      <c r="S331" s="1370"/>
      <c r="W331" s="1370"/>
      <c r="X331" s="1370"/>
      <c r="AE331" s="1370"/>
      <c r="AF331" s="1370"/>
      <c r="AV331" s="1370"/>
      <c r="AW331" s="1370"/>
      <c r="AX331" s="1370"/>
      <c r="AY331" s="1370"/>
      <c r="AZ331" s="1370"/>
      <c r="BA331" s="1370"/>
      <c r="BC331" s="1370"/>
      <c r="BE331" s="1370"/>
      <c r="BF331" s="1370"/>
      <c r="BG331" s="1370"/>
    </row>
    <row r="332">
      <c r="R332" s="1370"/>
      <c r="S332" s="1370"/>
      <c r="W332" s="1370"/>
      <c r="X332" s="1370"/>
      <c r="AE332" s="1370"/>
      <c r="AF332" s="1370"/>
      <c r="AV332" s="1370"/>
      <c r="AW332" s="1370"/>
      <c r="AX332" s="1370"/>
      <c r="AY332" s="1370"/>
      <c r="AZ332" s="1370"/>
      <c r="BA332" s="1370"/>
      <c r="BC332" s="1370"/>
      <c r="BE332" s="1370"/>
      <c r="BF332" s="1370"/>
      <c r="BG332" s="1370"/>
    </row>
    <row r="333">
      <c r="R333" s="1370"/>
      <c r="S333" s="1370"/>
      <c r="W333" s="1370"/>
      <c r="X333" s="1370"/>
      <c r="AE333" s="1370"/>
      <c r="AF333" s="1370"/>
      <c r="AV333" s="1370"/>
      <c r="AW333" s="1370"/>
      <c r="AX333" s="1370"/>
      <c r="AY333" s="1370"/>
      <c r="AZ333" s="1370"/>
      <c r="BA333" s="1370"/>
      <c r="BC333" s="1370"/>
      <c r="BE333" s="1370"/>
      <c r="BF333" s="1370"/>
      <c r="BG333" s="1370"/>
    </row>
    <row r="334">
      <c r="R334" s="1370"/>
      <c r="S334" s="1370"/>
      <c r="W334" s="1370"/>
      <c r="X334" s="1370"/>
      <c r="AE334" s="1370"/>
      <c r="AF334" s="1370"/>
      <c r="AV334" s="1370"/>
      <c r="AW334" s="1370"/>
      <c r="AX334" s="1370"/>
      <c r="AY334" s="1370"/>
      <c r="AZ334" s="1370"/>
      <c r="BA334" s="1370"/>
      <c r="BC334" s="1370"/>
      <c r="BE334" s="1370"/>
      <c r="BF334" s="1370"/>
      <c r="BG334" s="1370"/>
    </row>
    <row r="335">
      <c r="R335" s="1370"/>
      <c r="S335" s="1370"/>
      <c r="W335" s="1370"/>
      <c r="X335" s="1370"/>
      <c r="AE335" s="1370"/>
      <c r="AF335" s="1370"/>
      <c r="AV335" s="1370"/>
      <c r="AW335" s="1370"/>
      <c r="AX335" s="1370"/>
      <c r="AY335" s="1370"/>
      <c r="AZ335" s="1370"/>
      <c r="BA335" s="1370"/>
      <c r="BC335" s="1370"/>
      <c r="BE335" s="1370"/>
      <c r="BF335" s="1370"/>
      <c r="BG335" s="1370"/>
    </row>
    <row r="336">
      <c r="R336" s="1370"/>
      <c r="S336" s="1370"/>
      <c r="W336" s="1370"/>
      <c r="X336" s="1370"/>
      <c r="AE336" s="1370"/>
      <c r="AF336" s="1370"/>
      <c r="AV336" s="1370"/>
      <c r="AW336" s="1370"/>
      <c r="AX336" s="1370"/>
      <c r="AY336" s="1370"/>
      <c r="AZ336" s="1370"/>
      <c r="BA336" s="1370"/>
      <c r="BC336" s="1370"/>
      <c r="BE336" s="1370"/>
      <c r="BF336" s="1370"/>
      <c r="BG336" s="1370"/>
    </row>
    <row r="337">
      <c r="R337" s="1370"/>
      <c r="S337" s="1370"/>
      <c r="W337" s="1370"/>
      <c r="X337" s="1370"/>
      <c r="AE337" s="1370"/>
      <c r="AF337" s="1370"/>
      <c r="AV337" s="1370"/>
      <c r="AW337" s="1370"/>
      <c r="AX337" s="1370"/>
      <c r="AY337" s="1370"/>
      <c r="AZ337" s="1370"/>
      <c r="BA337" s="1370"/>
      <c r="BC337" s="1370"/>
      <c r="BE337" s="1370"/>
      <c r="BF337" s="1370"/>
      <c r="BG337" s="1370"/>
    </row>
    <row r="338">
      <c r="R338" s="1370"/>
      <c r="S338" s="1370"/>
      <c r="W338" s="1370"/>
      <c r="X338" s="1370"/>
      <c r="AE338" s="1370"/>
      <c r="AF338" s="1370"/>
      <c r="AV338" s="1370"/>
      <c r="AW338" s="1370"/>
      <c r="AX338" s="1370"/>
      <c r="AY338" s="1370"/>
      <c r="AZ338" s="1370"/>
      <c r="BA338" s="1370"/>
      <c r="BC338" s="1370"/>
      <c r="BE338" s="1370"/>
      <c r="BF338" s="1370"/>
      <c r="BG338" s="1370"/>
    </row>
    <row r="339">
      <c r="R339" s="1370"/>
      <c r="S339" s="1370"/>
      <c r="W339" s="1370"/>
      <c r="X339" s="1370"/>
      <c r="AE339" s="1370"/>
      <c r="AF339" s="1370"/>
      <c r="AV339" s="1370"/>
      <c r="AW339" s="1370"/>
      <c r="AX339" s="1370"/>
      <c r="AY339" s="1370"/>
      <c r="AZ339" s="1370"/>
      <c r="BA339" s="1370"/>
      <c r="BC339" s="1370"/>
      <c r="BE339" s="1370"/>
      <c r="BF339" s="1370"/>
      <c r="BG339" s="1370"/>
    </row>
    <row r="340">
      <c r="R340" s="1370"/>
      <c r="S340" s="1370"/>
      <c r="W340" s="1370"/>
      <c r="X340" s="1370"/>
      <c r="AE340" s="1370"/>
      <c r="AF340" s="1370"/>
      <c r="AV340" s="1370"/>
      <c r="AW340" s="1370"/>
      <c r="AX340" s="1370"/>
      <c r="AY340" s="1370"/>
      <c r="AZ340" s="1370"/>
      <c r="BA340" s="1370"/>
      <c r="BC340" s="1370"/>
      <c r="BE340" s="1370"/>
      <c r="BF340" s="1370"/>
      <c r="BG340" s="1370"/>
    </row>
    <row r="341">
      <c r="R341" s="1370"/>
      <c r="S341" s="1370"/>
      <c r="W341" s="1370"/>
      <c r="X341" s="1370"/>
      <c r="AE341" s="1370"/>
      <c r="AF341" s="1370"/>
      <c r="AV341" s="1370"/>
      <c r="AW341" s="1370"/>
      <c r="AX341" s="1370"/>
      <c r="AY341" s="1370"/>
      <c r="AZ341" s="1370"/>
      <c r="BA341" s="1370"/>
      <c r="BC341" s="1370"/>
      <c r="BE341" s="1370"/>
      <c r="BF341" s="1370"/>
      <c r="BG341" s="1370"/>
    </row>
    <row r="342">
      <c r="R342" s="1370"/>
      <c r="S342" s="1370"/>
      <c r="W342" s="1370"/>
      <c r="X342" s="1370"/>
      <c r="AE342" s="1370"/>
      <c r="AF342" s="1370"/>
      <c r="AV342" s="1370"/>
      <c r="AW342" s="1370"/>
      <c r="AX342" s="1370"/>
      <c r="AY342" s="1370"/>
      <c r="AZ342" s="1370"/>
      <c r="BA342" s="1370"/>
      <c r="BC342" s="1370"/>
      <c r="BE342" s="1370"/>
      <c r="BF342" s="1370"/>
      <c r="BG342" s="1370"/>
    </row>
    <row r="343">
      <c r="R343" s="1370"/>
      <c r="S343" s="1370"/>
      <c r="W343" s="1370"/>
      <c r="X343" s="1370"/>
      <c r="AE343" s="1370"/>
      <c r="AF343" s="1370"/>
      <c r="AV343" s="1370"/>
      <c r="AW343" s="1370"/>
      <c r="AX343" s="1370"/>
      <c r="AY343" s="1370"/>
      <c r="AZ343" s="1370"/>
      <c r="BA343" s="1370"/>
      <c r="BC343" s="1370"/>
      <c r="BE343" s="1370"/>
      <c r="BF343" s="1370"/>
      <c r="BG343" s="1370"/>
    </row>
    <row r="344">
      <c r="R344" s="1370"/>
      <c r="S344" s="1370"/>
      <c r="W344" s="1370"/>
      <c r="X344" s="1370"/>
      <c r="AE344" s="1370"/>
      <c r="AF344" s="1370"/>
      <c r="AV344" s="1370"/>
      <c r="AW344" s="1370"/>
      <c r="AX344" s="1370"/>
      <c r="AY344" s="1370"/>
      <c r="AZ344" s="1370"/>
      <c r="BA344" s="1370"/>
      <c r="BC344" s="1370"/>
      <c r="BE344" s="1370"/>
      <c r="BF344" s="1370"/>
      <c r="BG344" s="1370"/>
    </row>
    <row r="345">
      <c r="R345" s="1370"/>
      <c r="S345" s="1370"/>
      <c r="W345" s="1370"/>
      <c r="X345" s="1370"/>
      <c r="AE345" s="1370"/>
      <c r="AF345" s="1370"/>
      <c r="AV345" s="1370"/>
      <c r="AW345" s="1370"/>
      <c r="AX345" s="1370"/>
      <c r="AY345" s="1370"/>
      <c r="AZ345" s="1370"/>
      <c r="BA345" s="1370"/>
      <c r="BC345" s="1370"/>
      <c r="BE345" s="1370"/>
      <c r="BF345" s="1370"/>
      <c r="BG345" s="1370"/>
    </row>
    <row r="346">
      <c r="R346" s="1370"/>
      <c r="S346" s="1370"/>
      <c r="W346" s="1370"/>
      <c r="X346" s="1370"/>
      <c r="AE346" s="1370"/>
      <c r="AF346" s="1370"/>
      <c r="AV346" s="1370"/>
      <c r="AW346" s="1370"/>
      <c r="AX346" s="1370"/>
      <c r="AY346" s="1370"/>
      <c r="AZ346" s="1370"/>
      <c r="BA346" s="1370"/>
      <c r="BC346" s="1370"/>
      <c r="BE346" s="1370"/>
      <c r="BF346" s="1370"/>
      <c r="BG346" s="1370"/>
    </row>
    <row r="347">
      <c r="R347" s="1370"/>
      <c r="S347" s="1370"/>
      <c r="W347" s="1370"/>
      <c r="X347" s="1370"/>
      <c r="AE347" s="1370"/>
      <c r="AF347" s="1370"/>
      <c r="AV347" s="1370"/>
      <c r="AW347" s="1370"/>
      <c r="AX347" s="1370"/>
      <c r="AY347" s="1370"/>
      <c r="AZ347" s="1370"/>
      <c r="BA347" s="1370"/>
      <c r="BC347" s="1370"/>
      <c r="BE347" s="1370"/>
      <c r="BF347" s="1370"/>
      <c r="BG347" s="1370"/>
    </row>
    <row r="348">
      <c r="R348" s="1370"/>
      <c r="S348" s="1370"/>
      <c r="W348" s="1370"/>
      <c r="X348" s="1370"/>
      <c r="AE348" s="1370"/>
      <c r="AF348" s="1370"/>
      <c r="AV348" s="1370"/>
      <c r="AW348" s="1370"/>
      <c r="AX348" s="1370"/>
      <c r="AY348" s="1370"/>
      <c r="AZ348" s="1370"/>
      <c r="BA348" s="1370"/>
      <c r="BC348" s="1370"/>
      <c r="BE348" s="1370"/>
      <c r="BF348" s="1370"/>
      <c r="BG348" s="1370"/>
    </row>
    <row r="349">
      <c r="R349" s="1370"/>
      <c r="S349" s="1370"/>
      <c r="W349" s="1370"/>
      <c r="X349" s="1370"/>
      <c r="AE349" s="1370"/>
      <c r="AF349" s="1370"/>
      <c r="AV349" s="1370"/>
      <c r="AW349" s="1370"/>
      <c r="AX349" s="1370"/>
      <c r="AY349" s="1370"/>
      <c r="AZ349" s="1370"/>
      <c r="BA349" s="1370"/>
      <c r="BC349" s="1370"/>
      <c r="BE349" s="1370"/>
      <c r="BF349" s="1370"/>
      <c r="BG349" s="1370"/>
    </row>
    <row r="350">
      <c r="R350" s="1370"/>
      <c r="S350" s="1370"/>
      <c r="W350" s="1370"/>
      <c r="X350" s="1370"/>
      <c r="AE350" s="1370"/>
      <c r="AF350" s="1370"/>
      <c r="AV350" s="1370"/>
      <c r="AW350" s="1370"/>
      <c r="AX350" s="1370"/>
      <c r="AY350" s="1370"/>
      <c r="AZ350" s="1370"/>
      <c r="BA350" s="1370"/>
      <c r="BC350" s="1370"/>
      <c r="BE350" s="1370"/>
      <c r="BF350" s="1370"/>
      <c r="BG350" s="1370"/>
    </row>
    <row r="351">
      <c r="R351" s="1370"/>
      <c r="S351" s="1370"/>
      <c r="W351" s="1370"/>
      <c r="X351" s="1370"/>
      <c r="AE351" s="1370"/>
      <c r="AF351" s="1370"/>
      <c r="AV351" s="1370"/>
      <c r="AW351" s="1370"/>
      <c r="AX351" s="1370"/>
      <c r="AY351" s="1370"/>
      <c r="AZ351" s="1370"/>
      <c r="BA351" s="1370"/>
      <c r="BC351" s="1370"/>
      <c r="BE351" s="1370"/>
      <c r="BF351" s="1370"/>
      <c r="BG351" s="1370"/>
    </row>
    <row r="352">
      <c r="R352" s="1370"/>
      <c r="S352" s="1370"/>
      <c r="W352" s="1370"/>
      <c r="X352" s="1370"/>
      <c r="AE352" s="1370"/>
      <c r="AF352" s="1370"/>
      <c r="AV352" s="1370"/>
      <c r="AW352" s="1370"/>
      <c r="AX352" s="1370"/>
      <c r="AY352" s="1370"/>
      <c r="AZ352" s="1370"/>
      <c r="BA352" s="1370"/>
      <c r="BC352" s="1370"/>
      <c r="BE352" s="1370"/>
      <c r="BF352" s="1370"/>
      <c r="BG352" s="1370"/>
    </row>
    <row r="353">
      <c r="R353" s="1370"/>
      <c r="S353" s="1370"/>
      <c r="W353" s="1370"/>
      <c r="X353" s="1370"/>
      <c r="AE353" s="1370"/>
      <c r="AF353" s="1370"/>
      <c r="AV353" s="1370"/>
      <c r="AW353" s="1370"/>
      <c r="AX353" s="1370"/>
      <c r="AY353" s="1370"/>
      <c r="AZ353" s="1370"/>
      <c r="BA353" s="1370"/>
      <c r="BC353" s="1370"/>
      <c r="BE353" s="1370"/>
      <c r="BF353" s="1370"/>
      <c r="BG353" s="1370"/>
    </row>
    <row r="354">
      <c r="R354" s="1370"/>
      <c r="S354" s="1370"/>
      <c r="W354" s="1370"/>
      <c r="X354" s="1370"/>
      <c r="AE354" s="1370"/>
      <c r="AF354" s="1370"/>
      <c r="AV354" s="1370"/>
      <c r="AW354" s="1370"/>
      <c r="AX354" s="1370"/>
      <c r="AY354" s="1370"/>
      <c r="AZ354" s="1370"/>
      <c r="BA354" s="1370"/>
      <c r="BC354" s="1370"/>
      <c r="BE354" s="1370"/>
      <c r="BF354" s="1370"/>
      <c r="BG354" s="1370"/>
    </row>
    <row r="355">
      <c r="R355" s="1370"/>
      <c r="S355" s="1370"/>
      <c r="W355" s="1370"/>
      <c r="X355" s="1370"/>
      <c r="AE355" s="1370"/>
      <c r="AF355" s="1370"/>
      <c r="AV355" s="1370"/>
      <c r="AW355" s="1370"/>
      <c r="AX355" s="1370"/>
      <c r="AY355" s="1370"/>
      <c r="AZ355" s="1370"/>
      <c r="BA355" s="1370"/>
      <c r="BC355" s="1370"/>
      <c r="BE355" s="1370"/>
      <c r="BF355" s="1370"/>
      <c r="BG355" s="1370"/>
    </row>
    <row r="356">
      <c r="R356" s="1370"/>
      <c r="S356" s="1370"/>
      <c r="W356" s="1370"/>
      <c r="X356" s="1370"/>
      <c r="AE356" s="1370"/>
      <c r="AF356" s="1370"/>
      <c r="AV356" s="1370"/>
      <c r="AW356" s="1370"/>
      <c r="AX356" s="1370"/>
      <c r="AY356" s="1370"/>
      <c r="AZ356" s="1370"/>
      <c r="BA356" s="1370"/>
      <c r="BC356" s="1370"/>
      <c r="BE356" s="1370"/>
      <c r="BF356" s="1370"/>
      <c r="BG356" s="1370"/>
    </row>
    <row r="357">
      <c r="R357" s="1370"/>
      <c r="S357" s="1370"/>
      <c r="W357" s="1370"/>
      <c r="X357" s="1370"/>
      <c r="AE357" s="1370"/>
      <c r="AF357" s="1370"/>
      <c r="AV357" s="1370"/>
      <c r="AW357" s="1370"/>
      <c r="AX357" s="1370"/>
      <c r="AY357" s="1370"/>
      <c r="AZ357" s="1370"/>
      <c r="BA357" s="1370"/>
      <c r="BC357" s="1370"/>
      <c r="BE357" s="1370"/>
      <c r="BF357" s="1370"/>
      <c r="BG357" s="1370"/>
    </row>
    <row r="358">
      <c r="R358" s="1370"/>
      <c r="S358" s="1370"/>
      <c r="W358" s="1370"/>
      <c r="X358" s="1370"/>
      <c r="AE358" s="1370"/>
      <c r="AF358" s="1370"/>
      <c r="AV358" s="1370"/>
      <c r="AW358" s="1370"/>
      <c r="AX358" s="1370"/>
      <c r="AY358" s="1370"/>
      <c r="AZ358" s="1370"/>
      <c r="BA358" s="1370"/>
      <c r="BC358" s="1370"/>
      <c r="BE358" s="1370"/>
      <c r="BF358" s="1370"/>
      <c r="BG358" s="1370"/>
    </row>
    <row r="359">
      <c r="R359" s="1370"/>
      <c r="S359" s="1370"/>
      <c r="W359" s="1370"/>
      <c r="X359" s="1370"/>
      <c r="AE359" s="1370"/>
      <c r="AF359" s="1370"/>
      <c r="AV359" s="1370"/>
      <c r="AW359" s="1370"/>
      <c r="AX359" s="1370"/>
      <c r="AY359" s="1370"/>
      <c r="AZ359" s="1370"/>
      <c r="BA359" s="1370"/>
      <c r="BC359" s="1370"/>
      <c r="BE359" s="1370"/>
      <c r="BF359" s="1370"/>
      <c r="BG359" s="1370"/>
    </row>
    <row r="360">
      <c r="R360" s="1370"/>
      <c r="S360" s="1370"/>
      <c r="W360" s="1370"/>
      <c r="X360" s="1370"/>
      <c r="AE360" s="1370"/>
      <c r="AF360" s="1370"/>
      <c r="AV360" s="1370"/>
      <c r="AW360" s="1370"/>
      <c r="AX360" s="1370"/>
      <c r="AY360" s="1370"/>
      <c r="AZ360" s="1370"/>
      <c r="BA360" s="1370"/>
      <c r="BC360" s="1370"/>
      <c r="BE360" s="1370"/>
      <c r="BF360" s="1370"/>
      <c r="BG360" s="1370"/>
    </row>
    <row r="361">
      <c r="R361" s="1370"/>
      <c r="S361" s="1370"/>
      <c r="W361" s="1370"/>
      <c r="X361" s="1370"/>
      <c r="AE361" s="1370"/>
      <c r="AF361" s="1370"/>
      <c r="AV361" s="1370"/>
      <c r="AW361" s="1370"/>
      <c r="AX361" s="1370"/>
      <c r="AY361" s="1370"/>
      <c r="AZ361" s="1370"/>
      <c r="BA361" s="1370"/>
      <c r="BC361" s="1370"/>
      <c r="BE361" s="1370"/>
      <c r="BF361" s="1370"/>
      <c r="BG361" s="1370"/>
    </row>
    <row r="362">
      <c r="R362" s="1370"/>
      <c r="S362" s="1370"/>
      <c r="W362" s="1370"/>
      <c r="X362" s="1370"/>
      <c r="AE362" s="1370"/>
      <c r="AF362" s="1370"/>
      <c r="AV362" s="1370"/>
      <c r="AW362" s="1370"/>
      <c r="AX362" s="1370"/>
      <c r="AY362" s="1370"/>
      <c r="AZ362" s="1370"/>
      <c r="BA362" s="1370"/>
      <c r="BC362" s="1370"/>
      <c r="BE362" s="1370"/>
      <c r="BF362" s="1370"/>
      <c r="BG362" s="1370"/>
    </row>
    <row r="363">
      <c r="R363" s="1370"/>
      <c r="S363" s="1370"/>
      <c r="W363" s="1370"/>
      <c r="X363" s="1370"/>
      <c r="AE363" s="1370"/>
      <c r="AF363" s="1370"/>
      <c r="AV363" s="1370"/>
      <c r="AW363" s="1370"/>
      <c r="AX363" s="1370"/>
      <c r="AY363" s="1370"/>
      <c r="AZ363" s="1370"/>
      <c r="BA363" s="1370"/>
      <c r="BC363" s="1370"/>
      <c r="BE363" s="1370"/>
      <c r="BF363" s="1370"/>
      <c r="BG363" s="1370"/>
    </row>
    <row r="364">
      <c r="R364" s="1370"/>
      <c r="S364" s="1370"/>
      <c r="W364" s="1370"/>
      <c r="X364" s="1370"/>
      <c r="AE364" s="1370"/>
      <c r="AF364" s="1370"/>
      <c r="AV364" s="1370"/>
      <c r="AW364" s="1370"/>
      <c r="AX364" s="1370"/>
      <c r="AY364" s="1370"/>
      <c r="AZ364" s="1370"/>
      <c r="BA364" s="1370"/>
      <c r="BC364" s="1370"/>
      <c r="BE364" s="1370"/>
      <c r="BF364" s="1370"/>
      <c r="BG364" s="1370"/>
    </row>
    <row r="365">
      <c r="R365" s="1370"/>
      <c r="S365" s="1370"/>
      <c r="W365" s="1370"/>
      <c r="X365" s="1370"/>
      <c r="AE365" s="1370"/>
      <c r="AF365" s="1370"/>
      <c r="AV365" s="1370"/>
      <c r="AW365" s="1370"/>
      <c r="AX365" s="1370"/>
      <c r="AY365" s="1370"/>
      <c r="AZ365" s="1370"/>
      <c r="BA365" s="1370"/>
      <c r="BC365" s="1370"/>
      <c r="BE365" s="1370"/>
      <c r="BF365" s="1370"/>
      <c r="BG365" s="1370"/>
    </row>
    <row r="366">
      <c r="R366" s="1370"/>
      <c r="S366" s="1370"/>
      <c r="W366" s="1370"/>
      <c r="X366" s="1370"/>
      <c r="AE366" s="1370"/>
      <c r="AF366" s="1370"/>
      <c r="AV366" s="1370"/>
      <c r="AW366" s="1370"/>
      <c r="AX366" s="1370"/>
      <c r="AY366" s="1370"/>
      <c r="AZ366" s="1370"/>
      <c r="BA366" s="1370"/>
      <c r="BC366" s="1370"/>
      <c r="BE366" s="1370"/>
      <c r="BF366" s="1370"/>
      <c r="BG366" s="1370"/>
    </row>
    <row r="367">
      <c r="R367" s="1370"/>
      <c r="S367" s="1370"/>
      <c r="W367" s="1370"/>
      <c r="X367" s="1370"/>
      <c r="AE367" s="1370"/>
      <c r="AF367" s="1370"/>
      <c r="AV367" s="1370"/>
      <c r="AW367" s="1370"/>
      <c r="AX367" s="1370"/>
      <c r="AY367" s="1370"/>
      <c r="AZ367" s="1370"/>
      <c r="BA367" s="1370"/>
      <c r="BC367" s="1370"/>
      <c r="BE367" s="1370"/>
      <c r="BF367" s="1370"/>
      <c r="BG367" s="1370"/>
    </row>
    <row r="368">
      <c r="R368" s="1370"/>
      <c r="S368" s="1370"/>
      <c r="W368" s="1370"/>
      <c r="X368" s="1370"/>
      <c r="AE368" s="1370"/>
      <c r="AF368" s="1370"/>
      <c r="AV368" s="1370"/>
      <c r="AW368" s="1370"/>
      <c r="AX368" s="1370"/>
      <c r="AY368" s="1370"/>
      <c r="AZ368" s="1370"/>
      <c r="BA368" s="1370"/>
      <c r="BC368" s="1370"/>
      <c r="BE368" s="1370"/>
      <c r="BF368" s="1370"/>
      <c r="BG368" s="1370"/>
    </row>
    <row r="369">
      <c r="R369" s="1370"/>
      <c r="S369" s="1370"/>
      <c r="W369" s="1370"/>
      <c r="X369" s="1370"/>
      <c r="AE369" s="1370"/>
      <c r="AF369" s="1370"/>
      <c r="AV369" s="1370"/>
      <c r="AW369" s="1370"/>
      <c r="AX369" s="1370"/>
      <c r="AY369" s="1370"/>
      <c r="AZ369" s="1370"/>
      <c r="BA369" s="1370"/>
      <c r="BC369" s="1370"/>
      <c r="BE369" s="1370"/>
      <c r="BF369" s="1370"/>
      <c r="BG369" s="1370"/>
    </row>
    <row r="370">
      <c r="R370" s="1370"/>
      <c r="S370" s="1370"/>
      <c r="W370" s="1370"/>
      <c r="X370" s="1370"/>
      <c r="AE370" s="1370"/>
      <c r="AF370" s="1370"/>
      <c r="AV370" s="1370"/>
      <c r="AW370" s="1370"/>
      <c r="AX370" s="1370"/>
      <c r="AY370" s="1370"/>
      <c r="AZ370" s="1370"/>
      <c r="BA370" s="1370"/>
      <c r="BC370" s="1370"/>
      <c r="BE370" s="1370"/>
      <c r="BF370" s="1370"/>
      <c r="BG370" s="1370"/>
    </row>
    <row r="371">
      <c r="R371" s="1370"/>
      <c r="S371" s="1370"/>
      <c r="W371" s="1370"/>
      <c r="X371" s="1370"/>
      <c r="AE371" s="1370"/>
      <c r="AF371" s="1370"/>
      <c r="AV371" s="1370"/>
      <c r="AW371" s="1370"/>
      <c r="AX371" s="1370"/>
      <c r="AY371" s="1370"/>
      <c r="AZ371" s="1370"/>
      <c r="BA371" s="1370"/>
      <c r="BC371" s="1370"/>
      <c r="BE371" s="1370"/>
      <c r="BF371" s="1370"/>
      <c r="BG371" s="1370"/>
    </row>
    <row r="372">
      <c r="R372" s="1370"/>
      <c r="S372" s="1370"/>
      <c r="W372" s="1370"/>
      <c r="X372" s="1370"/>
      <c r="AE372" s="1370"/>
      <c r="AF372" s="1370"/>
      <c r="AV372" s="1370"/>
      <c r="AW372" s="1370"/>
      <c r="AX372" s="1370"/>
      <c r="AY372" s="1370"/>
      <c r="AZ372" s="1370"/>
      <c r="BA372" s="1370"/>
      <c r="BC372" s="1370"/>
      <c r="BE372" s="1370"/>
      <c r="BF372" s="1370"/>
      <c r="BG372" s="1370"/>
    </row>
    <row r="373">
      <c r="R373" s="1370"/>
      <c r="S373" s="1370"/>
      <c r="W373" s="1370"/>
      <c r="X373" s="1370"/>
      <c r="AE373" s="1370"/>
      <c r="AF373" s="1370"/>
      <c r="AV373" s="1370"/>
      <c r="AW373" s="1370"/>
      <c r="AX373" s="1370"/>
      <c r="AY373" s="1370"/>
      <c r="AZ373" s="1370"/>
      <c r="BA373" s="1370"/>
      <c r="BC373" s="1370"/>
      <c r="BE373" s="1370"/>
      <c r="BF373" s="1370"/>
      <c r="BG373" s="1370"/>
    </row>
    <row r="374">
      <c r="R374" s="1370"/>
      <c r="S374" s="1370"/>
      <c r="W374" s="1370"/>
      <c r="X374" s="1370"/>
      <c r="AE374" s="1370"/>
      <c r="AF374" s="1370"/>
      <c r="AV374" s="1370"/>
      <c r="AW374" s="1370"/>
      <c r="AX374" s="1370"/>
      <c r="AY374" s="1370"/>
      <c r="AZ374" s="1370"/>
      <c r="BA374" s="1370"/>
      <c r="BC374" s="1370"/>
      <c r="BE374" s="1370"/>
      <c r="BF374" s="1370"/>
      <c r="BG374" s="1370"/>
    </row>
    <row r="375">
      <c r="R375" s="1370"/>
      <c r="S375" s="1370"/>
      <c r="W375" s="1370"/>
      <c r="X375" s="1370"/>
      <c r="AE375" s="1370"/>
      <c r="AF375" s="1370"/>
      <c r="AV375" s="1370"/>
      <c r="AW375" s="1370"/>
      <c r="AX375" s="1370"/>
      <c r="AY375" s="1370"/>
      <c r="AZ375" s="1370"/>
      <c r="BA375" s="1370"/>
      <c r="BC375" s="1370"/>
      <c r="BE375" s="1370"/>
      <c r="BF375" s="1370"/>
      <c r="BG375" s="1370"/>
    </row>
    <row r="376">
      <c r="R376" s="1370"/>
      <c r="S376" s="1370"/>
      <c r="W376" s="1370"/>
      <c r="X376" s="1370"/>
      <c r="AE376" s="1370"/>
      <c r="AF376" s="1370"/>
      <c r="AV376" s="1370"/>
      <c r="AW376" s="1370"/>
      <c r="AX376" s="1370"/>
      <c r="AY376" s="1370"/>
      <c r="AZ376" s="1370"/>
      <c r="BA376" s="1370"/>
      <c r="BC376" s="1370"/>
      <c r="BE376" s="1370"/>
      <c r="BF376" s="1370"/>
      <c r="BG376" s="1370"/>
    </row>
    <row r="377">
      <c r="R377" s="1370"/>
      <c r="S377" s="1370"/>
      <c r="W377" s="1370"/>
      <c r="X377" s="1370"/>
      <c r="AE377" s="1370"/>
      <c r="AF377" s="1370"/>
      <c r="AV377" s="1370"/>
      <c r="AW377" s="1370"/>
      <c r="AX377" s="1370"/>
      <c r="AY377" s="1370"/>
      <c r="AZ377" s="1370"/>
      <c r="BA377" s="1370"/>
      <c r="BC377" s="1370"/>
      <c r="BE377" s="1370"/>
      <c r="BF377" s="1370"/>
      <c r="BG377" s="1370"/>
    </row>
    <row r="378">
      <c r="R378" s="1370"/>
      <c r="S378" s="1370"/>
      <c r="W378" s="1370"/>
      <c r="X378" s="1370"/>
      <c r="AE378" s="1370"/>
      <c r="AF378" s="1370"/>
      <c r="AV378" s="1370"/>
      <c r="AW378" s="1370"/>
      <c r="AX378" s="1370"/>
      <c r="AY378" s="1370"/>
      <c r="AZ378" s="1370"/>
      <c r="BA378" s="1370"/>
      <c r="BC378" s="1370"/>
      <c r="BE378" s="1370"/>
      <c r="BF378" s="1370"/>
      <c r="BG378" s="1370"/>
    </row>
    <row r="379">
      <c r="R379" s="1370"/>
      <c r="S379" s="1370"/>
      <c r="W379" s="1370"/>
      <c r="X379" s="1370"/>
      <c r="AE379" s="1370"/>
      <c r="AF379" s="1370"/>
      <c r="AV379" s="1370"/>
      <c r="AW379" s="1370"/>
      <c r="AX379" s="1370"/>
      <c r="AY379" s="1370"/>
      <c r="AZ379" s="1370"/>
      <c r="BA379" s="1370"/>
      <c r="BC379" s="1370"/>
      <c r="BE379" s="1370"/>
      <c r="BF379" s="1370"/>
      <c r="BG379" s="1370"/>
    </row>
    <row r="380">
      <c r="R380" s="1370"/>
      <c r="S380" s="1370"/>
      <c r="W380" s="1370"/>
      <c r="X380" s="1370"/>
      <c r="AE380" s="1370"/>
      <c r="AF380" s="1370"/>
      <c r="AV380" s="1370"/>
      <c r="AW380" s="1370"/>
      <c r="AX380" s="1370"/>
      <c r="AY380" s="1370"/>
      <c r="AZ380" s="1370"/>
      <c r="BA380" s="1370"/>
      <c r="BC380" s="1370"/>
      <c r="BE380" s="1370"/>
      <c r="BF380" s="1370"/>
      <c r="BG380" s="1370"/>
    </row>
    <row r="381">
      <c r="R381" s="1370"/>
      <c r="S381" s="1370"/>
      <c r="W381" s="1370"/>
      <c r="X381" s="1370"/>
      <c r="AE381" s="1370"/>
      <c r="AF381" s="1370"/>
      <c r="AV381" s="1370"/>
      <c r="AW381" s="1370"/>
      <c r="AX381" s="1370"/>
      <c r="AY381" s="1370"/>
      <c r="AZ381" s="1370"/>
      <c r="BA381" s="1370"/>
      <c r="BC381" s="1370"/>
      <c r="BE381" s="1370"/>
      <c r="BF381" s="1370"/>
      <c r="BG381" s="1370"/>
    </row>
    <row r="382">
      <c r="R382" s="1370"/>
      <c r="S382" s="1370"/>
      <c r="W382" s="1370"/>
      <c r="X382" s="1370"/>
      <c r="AE382" s="1370"/>
      <c r="AF382" s="1370"/>
      <c r="AV382" s="1370"/>
      <c r="AW382" s="1370"/>
      <c r="AX382" s="1370"/>
      <c r="AY382" s="1370"/>
      <c r="AZ382" s="1370"/>
      <c r="BA382" s="1370"/>
      <c r="BC382" s="1370"/>
      <c r="BE382" s="1370"/>
      <c r="BF382" s="1370"/>
      <c r="BG382" s="1370"/>
    </row>
    <row r="383">
      <c r="R383" s="1370"/>
      <c r="S383" s="1370"/>
      <c r="W383" s="1370"/>
      <c r="X383" s="1370"/>
      <c r="AE383" s="1370"/>
      <c r="AF383" s="1370"/>
      <c r="AV383" s="1370"/>
      <c r="AW383" s="1370"/>
      <c r="AX383" s="1370"/>
      <c r="AY383" s="1370"/>
      <c r="AZ383" s="1370"/>
      <c r="BA383" s="1370"/>
      <c r="BC383" s="1370"/>
      <c r="BE383" s="1370"/>
      <c r="BF383" s="1370"/>
      <c r="BG383" s="1370"/>
    </row>
    <row r="384">
      <c r="R384" s="1370"/>
      <c r="S384" s="1370"/>
      <c r="W384" s="1370"/>
      <c r="X384" s="1370"/>
      <c r="AE384" s="1370"/>
      <c r="AF384" s="1370"/>
      <c r="AV384" s="1370"/>
      <c r="AW384" s="1370"/>
      <c r="AX384" s="1370"/>
      <c r="AY384" s="1370"/>
      <c r="AZ384" s="1370"/>
      <c r="BA384" s="1370"/>
      <c r="BC384" s="1370"/>
      <c r="BE384" s="1370"/>
      <c r="BF384" s="1370"/>
      <c r="BG384" s="1370"/>
    </row>
    <row r="385">
      <c r="R385" s="1370"/>
      <c r="S385" s="1370"/>
      <c r="W385" s="1370"/>
      <c r="X385" s="1370"/>
      <c r="AE385" s="1370"/>
      <c r="AF385" s="1370"/>
      <c r="AV385" s="1370"/>
      <c r="AW385" s="1370"/>
      <c r="AX385" s="1370"/>
      <c r="AY385" s="1370"/>
      <c r="AZ385" s="1370"/>
      <c r="BA385" s="1370"/>
      <c r="BC385" s="1370"/>
      <c r="BE385" s="1370"/>
      <c r="BF385" s="1370"/>
      <c r="BG385" s="1370"/>
    </row>
    <row r="386">
      <c r="R386" s="1370"/>
      <c r="S386" s="1370"/>
      <c r="W386" s="1370"/>
      <c r="X386" s="1370"/>
      <c r="AE386" s="1370"/>
      <c r="AF386" s="1370"/>
      <c r="AV386" s="1370"/>
      <c r="AW386" s="1370"/>
      <c r="AX386" s="1370"/>
      <c r="AY386" s="1370"/>
      <c r="AZ386" s="1370"/>
      <c r="BA386" s="1370"/>
      <c r="BC386" s="1370"/>
      <c r="BE386" s="1370"/>
      <c r="BF386" s="1370"/>
      <c r="BG386" s="1370"/>
    </row>
    <row r="387">
      <c r="R387" s="1370"/>
      <c r="S387" s="1370"/>
      <c r="W387" s="1370"/>
      <c r="X387" s="1370"/>
      <c r="AE387" s="1370"/>
      <c r="AF387" s="1370"/>
      <c r="AV387" s="1370"/>
      <c r="AW387" s="1370"/>
      <c r="AX387" s="1370"/>
      <c r="AY387" s="1370"/>
      <c r="AZ387" s="1370"/>
      <c r="BA387" s="1370"/>
      <c r="BC387" s="1370"/>
      <c r="BE387" s="1370"/>
      <c r="BF387" s="1370"/>
      <c r="BG387" s="1370"/>
    </row>
    <row r="388">
      <c r="R388" s="1370"/>
      <c r="S388" s="1370"/>
      <c r="W388" s="1370"/>
      <c r="X388" s="1370"/>
      <c r="AE388" s="1370"/>
      <c r="AF388" s="1370"/>
      <c r="AV388" s="1370"/>
      <c r="AW388" s="1370"/>
      <c r="AX388" s="1370"/>
      <c r="AY388" s="1370"/>
      <c r="AZ388" s="1370"/>
      <c r="BA388" s="1370"/>
      <c r="BC388" s="1370"/>
      <c r="BE388" s="1370"/>
      <c r="BF388" s="1370"/>
      <c r="BG388" s="1370"/>
    </row>
    <row r="389">
      <c r="R389" s="1370"/>
      <c r="S389" s="1370"/>
      <c r="W389" s="1370"/>
      <c r="X389" s="1370"/>
      <c r="AE389" s="1370"/>
      <c r="AF389" s="1370"/>
      <c r="AV389" s="1370"/>
      <c r="AW389" s="1370"/>
      <c r="AX389" s="1370"/>
      <c r="AY389" s="1370"/>
      <c r="AZ389" s="1370"/>
      <c r="BA389" s="1370"/>
      <c r="BC389" s="1370"/>
      <c r="BE389" s="1370"/>
      <c r="BF389" s="1370"/>
      <c r="BG389" s="1370"/>
    </row>
    <row r="390">
      <c r="R390" s="1370"/>
      <c r="S390" s="1370"/>
      <c r="W390" s="1370"/>
      <c r="X390" s="1370"/>
      <c r="AE390" s="1370"/>
      <c r="AF390" s="1370"/>
      <c r="AV390" s="1370"/>
      <c r="AW390" s="1370"/>
      <c r="AX390" s="1370"/>
      <c r="AY390" s="1370"/>
      <c r="AZ390" s="1370"/>
      <c r="BA390" s="1370"/>
      <c r="BC390" s="1370"/>
      <c r="BE390" s="1370"/>
      <c r="BF390" s="1370"/>
      <c r="BG390" s="1370"/>
    </row>
    <row r="391">
      <c r="R391" s="1370"/>
      <c r="S391" s="1370"/>
      <c r="W391" s="1370"/>
      <c r="X391" s="1370"/>
      <c r="AE391" s="1370"/>
      <c r="AF391" s="1370"/>
      <c r="AV391" s="1370"/>
      <c r="AW391" s="1370"/>
      <c r="AX391" s="1370"/>
      <c r="AY391" s="1370"/>
      <c r="AZ391" s="1370"/>
      <c r="BA391" s="1370"/>
      <c r="BC391" s="1370"/>
      <c r="BE391" s="1370"/>
      <c r="BF391" s="1370"/>
      <c r="BG391" s="1370"/>
    </row>
    <row r="392">
      <c r="R392" s="1370"/>
      <c r="S392" s="1370"/>
      <c r="W392" s="1370"/>
      <c r="X392" s="1370"/>
      <c r="AE392" s="1370"/>
      <c r="AF392" s="1370"/>
      <c r="AV392" s="1370"/>
      <c r="AW392" s="1370"/>
      <c r="AX392" s="1370"/>
      <c r="AY392" s="1370"/>
      <c r="AZ392" s="1370"/>
      <c r="BA392" s="1370"/>
      <c r="BC392" s="1370"/>
      <c r="BE392" s="1370"/>
      <c r="BF392" s="1370"/>
      <c r="BG392" s="1370"/>
    </row>
    <row r="393">
      <c r="R393" s="1370"/>
      <c r="S393" s="1370"/>
      <c r="W393" s="1370"/>
      <c r="X393" s="1370"/>
      <c r="AE393" s="1370"/>
      <c r="AF393" s="1370"/>
      <c r="AV393" s="1370"/>
      <c r="AW393" s="1370"/>
      <c r="AX393" s="1370"/>
      <c r="AY393" s="1370"/>
      <c r="AZ393" s="1370"/>
      <c r="BA393" s="1370"/>
      <c r="BC393" s="1370"/>
      <c r="BE393" s="1370"/>
      <c r="BF393" s="1370"/>
      <c r="BG393" s="1370"/>
    </row>
    <row r="394">
      <c r="R394" s="1370"/>
      <c r="S394" s="1370"/>
      <c r="W394" s="1370"/>
      <c r="X394" s="1370"/>
      <c r="AE394" s="1370"/>
      <c r="AF394" s="1370"/>
      <c r="AV394" s="1370"/>
      <c r="AW394" s="1370"/>
      <c r="AX394" s="1370"/>
      <c r="AY394" s="1370"/>
      <c r="AZ394" s="1370"/>
      <c r="BA394" s="1370"/>
      <c r="BC394" s="1370"/>
      <c r="BE394" s="1370"/>
      <c r="BF394" s="1370"/>
      <c r="BG394" s="1370"/>
    </row>
    <row r="395">
      <c r="R395" s="1370"/>
      <c r="S395" s="1370"/>
      <c r="W395" s="1370"/>
      <c r="X395" s="1370"/>
      <c r="AE395" s="1370"/>
      <c r="AF395" s="1370"/>
      <c r="AV395" s="1370"/>
      <c r="AW395" s="1370"/>
      <c r="AX395" s="1370"/>
      <c r="AY395" s="1370"/>
      <c r="AZ395" s="1370"/>
      <c r="BA395" s="1370"/>
      <c r="BC395" s="1370"/>
      <c r="BE395" s="1370"/>
      <c r="BF395" s="1370"/>
      <c r="BG395" s="1370"/>
    </row>
    <row r="396">
      <c r="R396" s="1370"/>
      <c r="S396" s="1370"/>
      <c r="W396" s="1370"/>
      <c r="X396" s="1370"/>
      <c r="AE396" s="1370"/>
      <c r="AF396" s="1370"/>
      <c r="AV396" s="1370"/>
      <c r="AW396" s="1370"/>
      <c r="AX396" s="1370"/>
      <c r="AY396" s="1370"/>
      <c r="AZ396" s="1370"/>
      <c r="BA396" s="1370"/>
      <c r="BC396" s="1370"/>
      <c r="BE396" s="1370"/>
      <c r="BF396" s="1370"/>
      <c r="BG396" s="1370"/>
    </row>
    <row r="397">
      <c r="R397" s="1370"/>
      <c r="S397" s="1370"/>
      <c r="W397" s="1370"/>
      <c r="X397" s="1370"/>
      <c r="AE397" s="1370"/>
      <c r="AF397" s="1370"/>
      <c r="AV397" s="1370"/>
      <c r="AW397" s="1370"/>
      <c r="AX397" s="1370"/>
      <c r="AY397" s="1370"/>
      <c r="AZ397" s="1370"/>
      <c r="BA397" s="1370"/>
      <c r="BC397" s="1370"/>
      <c r="BE397" s="1370"/>
      <c r="BF397" s="1370"/>
      <c r="BG397" s="1370"/>
    </row>
    <row r="398">
      <c r="R398" s="1370"/>
      <c r="S398" s="1370"/>
      <c r="W398" s="1370"/>
      <c r="X398" s="1370"/>
      <c r="AE398" s="1370"/>
      <c r="AF398" s="1370"/>
      <c r="AV398" s="1370"/>
      <c r="AW398" s="1370"/>
      <c r="AX398" s="1370"/>
      <c r="AY398" s="1370"/>
      <c r="AZ398" s="1370"/>
      <c r="BA398" s="1370"/>
      <c r="BC398" s="1370"/>
      <c r="BE398" s="1370"/>
      <c r="BF398" s="1370"/>
      <c r="BG398" s="1370"/>
    </row>
    <row r="399">
      <c r="R399" s="1370"/>
      <c r="S399" s="1370"/>
      <c r="W399" s="1370"/>
      <c r="X399" s="1370"/>
      <c r="AE399" s="1370"/>
      <c r="AF399" s="1370"/>
      <c r="AV399" s="1370"/>
      <c r="AW399" s="1370"/>
      <c r="AX399" s="1370"/>
      <c r="AY399" s="1370"/>
      <c r="AZ399" s="1370"/>
      <c r="BA399" s="1370"/>
      <c r="BC399" s="1370"/>
      <c r="BE399" s="1370"/>
      <c r="BF399" s="1370"/>
      <c r="BG399" s="1370"/>
    </row>
    <row r="400">
      <c r="R400" s="1370"/>
      <c r="S400" s="1370"/>
      <c r="W400" s="1370"/>
      <c r="X400" s="1370"/>
      <c r="AE400" s="1370"/>
      <c r="AF400" s="1370"/>
      <c r="AV400" s="1370"/>
      <c r="AW400" s="1370"/>
      <c r="AX400" s="1370"/>
      <c r="AY400" s="1370"/>
      <c r="AZ400" s="1370"/>
      <c r="BA400" s="1370"/>
      <c r="BC400" s="1370"/>
      <c r="BE400" s="1370"/>
      <c r="BF400" s="1370"/>
      <c r="BG400" s="1370"/>
    </row>
    <row r="401">
      <c r="R401" s="1370"/>
      <c r="S401" s="1370"/>
      <c r="W401" s="1370"/>
      <c r="X401" s="1370"/>
      <c r="AE401" s="1370"/>
      <c r="AF401" s="1370"/>
      <c r="AV401" s="1370"/>
      <c r="AW401" s="1370"/>
      <c r="AX401" s="1370"/>
      <c r="AY401" s="1370"/>
      <c r="AZ401" s="1370"/>
      <c r="BA401" s="1370"/>
      <c r="BC401" s="1370"/>
      <c r="BE401" s="1370"/>
      <c r="BF401" s="1370"/>
      <c r="BG401" s="1370"/>
    </row>
    <row r="402">
      <c r="R402" s="1370"/>
      <c r="S402" s="1370"/>
      <c r="W402" s="1370"/>
      <c r="X402" s="1370"/>
      <c r="AE402" s="1370"/>
      <c r="AF402" s="1370"/>
      <c r="AV402" s="1370"/>
      <c r="AW402" s="1370"/>
      <c r="AX402" s="1370"/>
      <c r="AY402" s="1370"/>
      <c r="AZ402" s="1370"/>
      <c r="BA402" s="1370"/>
      <c r="BC402" s="1370"/>
      <c r="BE402" s="1370"/>
      <c r="BF402" s="1370"/>
      <c r="BG402" s="1370"/>
    </row>
    <row r="403">
      <c r="R403" s="1370"/>
      <c r="S403" s="1370"/>
      <c r="W403" s="1370"/>
      <c r="X403" s="1370"/>
      <c r="AE403" s="1370"/>
      <c r="AF403" s="1370"/>
      <c r="AV403" s="1370"/>
      <c r="AW403" s="1370"/>
      <c r="AX403" s="1370"/>
      <c r="AY403" s="1370"/>
      <c r="AZ403" s="1370"/>
      <c r="BA403" s="1370"/>
      <c r="BC403" s="1370"/>
      <c r="BE403" s="1370"/>
      <c r="BF403" s="1370"/>
      <c r="BG403" s="1370"/>
    </row>
    <row r="404">
      <c r="R404" s="1370"/>
      <c r="S404" s="1370"/>
      <c r="W404" s="1370"/>
      <c r="X404" s="1370"/>
      <c r="AE404" s="1370"/>
      <c r="AF404" s="1370"/>
      <c r="AV404" s="1370"/>
      <c r="AW404" s="1370"/>
      <c r="AX404" s="1370"/>
      <c r="AY404" s="1370"/>
      <c r="AZ404" s="1370"/>
      <c r="BA404" s="1370"/>
      <c r="BC404" s="1370"/>
      <c r="BE404" s="1370"/>
      <c r="BF404" s="1370"/>
      <c r="BG404" s="1370"/>
    </row>
    <row r="405">
      <c r="R405" s="1370"/>
      <c r="S405" s="1370"/>
      <c r="W405" s="1370"/>
      <c r="X405" s="1370"/>
      <c r="AE405" s="1370"/>
      <c r="AF405" s="1370"/>
      <c r="AV405" s="1370"/>
      <c r="AW405" s="1370"/>
      <c r="AX405" s="1370"/>
      <c r="AY405" s="1370"/>
      <c r="AZ405" s="1370"/>
      <c r="BA405" s="1370"/>
      <c r="BC405" s="1370"/>
      <c r="BE405" s="1370"/>
      <c r="BF405" s="1370"/>
      <c r="BG405" s="1370"/>
    </row>
    <row r="406">
      <c r="R406" s="1370"/>
      <c r="S406" s="1370"/>
      <c r="W406" s="1370"/>
      <c r="X406" s="1370"/>
      <c r="AE406" s="1370"/>
      <c r="AF406" s="1370"/>
      <c r="AV406" s="1370"/>
      <c r="AW406" s="1370"/>
      <c r="AX406" s="1370"/>
      <c r="AY406" s="1370"/>
      <c r="AZ406" s="1370"/>
      <c r="BA406" s="1370"/>
      <c r="BC406" s="1370"/>
      <c r="BE406" s="1370"/>
      <c r="BF406" s="1370"/>
      <c r="BG406" s="1370"/>
    </row>
    <row r="407">
      <c r="R407" s="1370"/>
      <c r="S407" s="1370"/>
      <c r="W407" s="1370"/>
      <c r="X407" s="1370"/>
      <c r="AE407" s="1370"/>
      <c r="AF407" s="1370"/>
      <c r="AV407" s="1370"/>
      <c r="AW407" s="1370"/>
      <c r="AX407" s="1370"/>
      <c r="AY407" s="1370"/>
      <c r="AZ407" s="1370"/>
      <c r="BA407" s="1370"/>
      <c r="BC407" s="1370"/>
      <c r="BE407" s="1370"/>
      <c r="BF407" s="1370"/>
      <c r="BG407" s="1370"/>
    </row>
    <row r="408">
      <c r="R408" s="1370"/>
      <c r="S408" s="1370"/>
      <c r="W408" s="1370"/>
      <c r="X408" s="1370"/>
      <c r="AE408" s="1370"/>
      <c r="AF408" s="1370"/>
      <c r="AV408" s="1370"/>
      <c r="AW408" s="1370"/>
      <c r="AX408" s="1370"/>
      <c r="AY408" s="1370"/>
      <c r="AZ408" s="1370"/>
      <c r="BA408" s="1370"/>
      <c r="BC408" s="1370"/>
      <c r="BE408" s="1370"/>
      <c r="BF408" s="1370"/>
      <c r="BG408" s="1370"/>
    </row>
    <row r="409">
      <c r="R409" s="1370"/>
      <c r="S409" s="1370"/>
      <c r="W409" s="1370"/>
      <c r="X409" s="1370"/>
      <c r="AE409" s="1370"/>
      <c r="AF409" s="1370"/>
      <c r="AV409" s="1370"/>
      <c r="AW409" s="1370"/>
      <c r="AX409" s="1370"/>
      <c r="AY409" s="1370"/>
      <c r="AZ409" s="1370"/>
      <c r="BA409" s="1370"/>
      <c r="BC409" s="1370"/>
      <c r="BE409" s="1370"/>
      <c r="BF409" s="1370"/>
      <c r="BG409" s="1370"/>
    </row>
    <row r="410">
      <c r="R410" s="1370"/>
      <c r="S410" s="1370"/>
      <c r="W410" s="1370"/>
      <c r="X410" s="1370"/>
      <c r="AE410" s="1370"/>
      <c r="AF410" s="1370"/>
      <c r="AV410" s="1370"/>
      <c r="AW410" s="1370"/>
      <c r="AX410" s="1370"/>
      <c r="AY410" s="1370"/>
      <c r="AZ410" s="1370"/>
      <c r="BA410" s="1370"/>
      <c r="BC410" s="1370"/>
      <c r="BE410" s="1370"/>
      <c r="BF410" s="1370"/>
      <c r="BG410" s="1370"/>
    </row>
    <row r="411">
      <c r="R411" s="1370"/>
      <c r="S411" s="1370"/>
      <c r="W411" s="1370"/>
      <c r="X411" s="1370"/>
      <c r="AE411" s="1370"/>
      <c r="AF411" s="1370"/>
      <c r="AV411" s="1370"/>
      <c r="AW411" s="1370"/>
      <c r="AX411" s="1370"/>
      <c r="AY411" s="1370"/>
      <c r="AZ411" s="1370"/>
      <c r="BA411" s="1370"/>
      <c r="BC411" s="1370"/>
      <c r="BE411" s="1370"/>
      <c r="BF411" s="1370"/>
      <c r="BG411" s="1370"/>
    </row>
    <row r="412">
      <c r="R412" s="1370"/>
      <c r="S412" s="1370"/>
      <c r="W412" s="1370"/>
      <c r="X412" s="1370"/>
      <c r="AE412" s="1370"/>
      <c r="AF412" s="1370"/>
      <c r="AV412" s="1370"/>
      <c r="AW412" s="1370"/>
      <c r="AX412" s="1370"/>
      <c r="AY412" s="1370"/>
      <c r="AZ412" s="1370"/>
      <c r="BA412" s="1370"/>
      <c r="BC412" s="1370"/>
      <c r="BE412" s="1370"/>
      <c r="BF412" s="1370"/>
      <c r="BG412" s="1370"/>
    </row>
    <row r="413">
      <c r="R413" s="1370"/>
      <c r="S413" s="1370"/>
      <c r="W413" s="1370"/>
      <c r="X413" s="1370"/>
      <c r="AE413" s="1370"/>
      <c r="AF413" s="1370"/>
      <c r="AV413" s="1370"/>
      <c r="AW413" s="1370"/>
      <c r="AX413" s="1370"/>
      <c r="AY413" s="1370"/>
      <c r="AZ413" s="1370"/>
      <c r="BA413" s="1370"/>
      <c r="BC413" s="1370"/>
      <c r="BE413" s="1370"/>
      <c r="BF413" s="1370"/>
      <c r="BG413" s="1370"/>
    </row>
    <row r="414">
      <c r="R414" s="1370"/>
      <c r="S414" s="1370"/>
      <c r="W414" s="1370"/>
      <c r="X414" s="1370"/>
      <c r="AE414" s="1370"/>
      <c r="AF414" s="1370"/>
      <c r="AV414" s="1370"/>
      <c r="AW414" s="1370"/>
      <c r="AX414" s="1370"/>
      <c r="AY414" s="1370"/>
      <c r="AZ414" s="1370"/>
      <c r="BA414" s="1370"/>
      <c r="BC414" s="1370"/>
      <c r="BE414" s="1370"/>
      <c r="BF414" s="1370"/>
      <c r="BG414" s="1370"/>
    </row>
    <row r="415">
      <c r="R415" s="1370"/>
      <c r="S415" s="1370"/>
      <c r="W415" s="1370"/>
      <c r="X415" s="1370"/>
      <c r="AE415" s="1370"/>
      <c r="AF415" s="1370"/>
      <c r="AV415" s="1370"/>
      <c r="AW415" s="1370"/>
      <c r="AX415" s="1370"/>
      <c r="AY415" s="1370"/>
      <c r="AZ415" s="1370"/>
      <c r="BA415" s="1370"/>
      <c r="BC415" s="1370"/>
      <c r="BE415" s="1370"/>
      <c r="BF415" s="1370"/>
      <c r="BG415" s="1370"/>
    </row>
    <row r="416">
      <c r="R416" s="1370"/>
      <c r="S416" s="1370"/>
      <c r="W416" s="1370"/>
      <c r="X416" s="1370"/>
      <c r="AE416" s="1370"/>
      <c r="AF416" s="1370"/>
      <c r="AV416" s="1370"/>
      <c r="AW416" s="1370"/>
      <c r="AX416" s="1370"/>
      <c r="AY416" s="1370"/>
      <c r="AZ416" s="1370"/>
      <c r="BA416" s="1370"/>
      <c r="BC416" s="1370"/>
      <c r="BE416" s="1370"/>
      <c r="BF416" s="1370"/>
      <c r="BG416" s="1370"/>
    </row>
    <row r="417">
      <c r="R417" s="1370"/>
      <c r="S417" s="1370"/>
      <c r="W417" s="1370"/>
      <c r="X417" s="1370"/>
      <c r="AE417" s="1370"/>
      <c r="AF417" s="1370"/>
      <c r="AV417" s="1370"/>
      <c r="AW417" s="1370"/>
      <c r="AX417" s="1370"/>
      <c r="AY417" s="1370"/>
      <c r="AZ417" s="1370"/>
      <c r="BA417" s="1370"/>
      <c r="BC417" s="1370"/>
      <c r="BE417" s="1370"/>
      <c r="BF417" s="1370"/>
      <c r="BG417" s="1370"/>
    </row>
    <row r="418">
      <c r="R418" s="1370"/>
      <c r="S418" s="1370"/>
      <c r="W418" s="1370"/>
      <c r="X418" s="1370"/>
      <c r="AE418" s="1370"/>
      <c r="AF418" s="1370"/>
      <c r="AV418" s="1370"/>
      <c r="AW418" s="1370"/>
      <c r="AX418" s="1370"/>
      <c r="AY418" s="1370"/>
      <c r="AZ418" s="1370"/>
      <c r="BA418" s="1370"/>
      <c r="BC418" s="1370"/>
      <c r="BE418" s="1370"/>
      <c r="BF418" s="1370"/>
      <c r="BG418" s="1370"/>
    </row>
    <row r="419">
      <c r="R419" s="1370"/>
      <c r="S419" s="1370"/>
      <c r="W419" s="1370"/>
      <c r="X419" s="1370"/>
      <c r="AE419" s="1370"/>
      <c r="AF419" s="1370"/>
      <c r="AV419" s="1370"/>
      <c r="AW419" s="1370"/>
      <c r="AX419" s="1370"/>
      <c r="AY419" s="1370"/>
      <c r="AZ419" s="1370"/>
      <c r="BA419" s="1370"/>
      <c r="BC419" s="1370"/>
      <c r="BE419" s="1370"/>
      <c r="BF419" s="1370"/>
      <c r="BG419" s="1370"/>
    </row>
    <row r="420">
      <c r="R420" s="1370"/>
      <c r="S420" s="1370"/>
      <c r="W420" s="1370"/>
      <c r="X420" s="1370"/>
      <c r="AE420" s="1370"/>
      <c r="AF420" s="1370"/>
      <c r="AV420" s="1370"/>
      <c r="AW420" s="1370"/>
      <c r="AX420" s="1370"/>
      <c r="AY420" s="1370"/>
      <c r="AZ420" s="1370"/>
      <c r="BA420" s="1370"/>
      <c r="BC420" s="1370"/>
      <c r="BE420" s="1370"/>
      <c r="BF420" s="1370"/>
      <c r="BG420" s="1370"/>
    </row>
    <row r="421">
      <c r="R421" s="1370"/>
      <c r="S421" s="1370"/>
      <c r="W421" s="1370"/>
      <c r="X421" s="1370"/>
      <c r="AE421" s="1370"/>
      <c r="AF421" s="1370"/>
      <c r="AV421" s="1370"/>
      <c r="AW421" s="1370"/>
      <c r="AX421" s="1370"/>
      <c r="AY421" s="1370"/>
      <c r="AZ421" s="1370"/>
      <c r="BA421" s="1370"/>
      <c r="BC421" s="1370"/>
      <c r="BE421" s="1370"/>
      <c r="BF421" s="1370"/>
      <c r="BG421" s="1370"/>
    </row>
    <row r="422">
      <c r="R422" s="1370"/>
      <c r="S422" s="1370"/>
      <c r="W422" s="1370"/>
      <c r="X422" s="1370"/>
      <c r="AE422" s="1370"/>
      <c r="AF422" s="1370"/>
      <c r="AV422" s="1370"/>
      <c r="AW422" s="1370"/>
      <c r="AX422" s="1370"/>
      <c r="AY422" s="1370"/>
      <c r="AZ422" s="1370"/>
      <c r="BA422" s="1370"/>
      <c r="BC422" s="1370"/>
      <c r="BE422" s="1370"/>
      <c r="BF422" s="1370"/>
      <c r="BG422" s="1370"/>
    </row>
    <row r="423">
      <c r="R423" s="1370"/>
      <c r="S423" s="1370"/>
      <c r="W423" s="1370"/>
      <c r="X423" s="1370"/>
      <c r="AE423" s="1370"/>
      <c r="AF423" s="1370"/>
      <c r="AV423" s="1370"/>
      <c r="AW423" s="1370"/>
      <c r="AX423" s="1370"/>
      <c r="AY423" s="1370"/>
      <c r="AZ423" s="1370"/>
      <c r="BA423" s="1370"/>
      <c r="BC423" s="1370"/>
      <c r="BE423" s="1370"/>
      <c r="BF423" s="1370"/>
      <c r="BG423" s="1370"/>
    </row>
    <row r="424">
      <c r="R424" s="1370"/>
      <c r="S424" s="1370"/>
      <c r="W424" s="1370"/>
      <c r="X424" s="1370"/>
      <c r="AE424" s="1370"/>
      <c r="AF424" s="1370"/>
      <c r="AV424" s="1370"/>
      <c r="AW424" s="1370"/>
      <c r="AX424" s="1370"/>
      <c r="AY424" s="1370"/>
      <c r="AZ424" s="1370"/>
      <c r="BA424" s="1370"/>
      <c r="BC424" s="1370"/>
      <c r="BE424" s="1370"/>
      <c r="BF424" s="1370"/>
      <c r="BG424" s="1370"/>
    </row>
    <row r="425">
      <c r="R425" s="1370"/>
      <c r="S425" s="1370"/>
      <c r="W425" s="1370"/>
      <c r="X425" s="1370"/>
      <c r="AE425" s="1370"/>
      <c r="AF425" s="1370"/>
      <c r="AV425" s="1370"/>
      <c r="AW425" s="1370"/>
      <c r="AX425" s="1370"/>
      <c r="AY425" s="1370"/>
      <c r="AZ425" s="1370"/>
      <c r="BA425" s="1370"/>
      <c r="BC425" s="1370"/>
      <c r="BE425" s="1370"/>
      <c r="BF425" s="1370"/>
      <c r="BG425" s="1370"/>
    </row>
    <row r="426">
      <c r="R426" s="1370"/>
      <c r="S426" s="1370"/>
      <c r="W426" s="1370"/>
      <c r="X426" s="1370"/>
      <c r="AE426" s="1370"/>
      <c r="AF426" s="1370"/>
      <c r="AV426" s="1370"/>
      <c r="AW426" s="1370"/>
      <c r="AX426" s="1370"/>
      <c r="AY426" s="1370"/>
      <c r="AZ426" s="1370"/>
      <c r="BA426" s="1370"/>
      <c r="BC426" s="1370"/>
      <c r="BE426" s="1370"/>
      <c r="BF426" s="1370"/>
      <c r="BG426" s="1370"/>
    </row>
    <row r="427">
      <c r="R427" s="1370"/>
      <c r="S427" s="1370"/>
      <c r="W427" s="1370"/>
      <c r="X427" s="1370"/>
      <c r="AE427" s="1370"/>
      <c r="AF427" s="1370"/>
      <c r="AV427" s="1370"/>
      <c r="AW427" s="1370"/>
      <c r="AX427" s="1370"/>
      <c r="AY427" s="1370"/>
      <c r="AZ427" s="1370"/>
      <c r="BA427" s="1370"/>
      <c r="BC427" s="1370"/>
      <c r="BE427" s="1370"/>
      <c r="BF427" s="1370"/>
      <c r="BG427" s="1370"/>
    </row>
    <row r="428">
      <c r="R428" s="1370"/>
      <c r="S428" s="1370"/>
      <c r="W428" s="1370"/>
      <c r="X428" s="1370"/>
      <c r="AE428" s="1370"/>
      <c r="AF428" s="1370"/>
      <c r="AV428" s="1370"/>
      <c r="AW428" s="1370"/>
      <c r="AX428" s="1370"/>
      <c r="AY428" s="1370"/>
      <c r="AZ428" s="1370"/>
      <c r="BA428" s="1370"/>
      <c r="BC428" s="1370"/>
      <c r="BE428" s="1370"/>
      <c r="BF428" s="1370"/>
      <c r="BG428" s="1370"/>
    </row>
    <row r="429">
      <c r="R429" s="1370"/>
      <c r="S429" s="1370"/>
      <c r="W429" s="1370"/>
      <c r="X429" s="1370"/>
      <c r="AE429" s="1370"/>
      <c r="AF429" s="1370"/>
      <c r="AV429" s="1370"/>
      <c r="AW429" s="1370"/>
      <c r="AX429" s="1370"/>
      <c r="AY429" s="1370"/>
      <c r="AZ429" s="1370"/>
      <c r="BA429" s="1370"/>
      <c r="BC429" s="1370"/>
      <c r="BE429" s="1370"/>
      <c r="BF429" s="1370"/>
      <c r="BG429" s="1370"/>
    </row>
    <row r="430">
      <c r="R430" s="1370"/>
      <c r="S430" s="1370"/>
      <c r="W430" s="1370"/>
      <c r="X430" s="1370"/>
      <c r="AE430" s="1370"/>
      <c r="AF430" s="1370"/>
      <c r="AV430" s="1370"/>
      <c r="AW430" s="1370"/>
      <c r="AX430" s="1370"/>
      <c r="AY430" s="1370"/>
      <c r="AZ430" s="1370"/>
      <c r="BA430" s="1370"/>
      <c r="BC430" s="1370"/>
      <c r="BE430" s="1370"/>
      <c r="BF430" s="1370"/>
      <c r="BG430" s="1370"/>
    </row>
    <row r="431">
      <c r="R431" s="1370"/>
      <c r="S431" s="1370"/>
      <c r="W431" s="1370"/>
      <c r="X431" s="1370"/>
      <c r="AE431" s="1370"/>
      <c r="AF431" s="1370"/>
      <c r="AV431" s="1370"/>
      <c r="AW431" s="1370"/>
      <c r="AX431" s="1370"/>
      <c r="AY431" s="1370"/>
      <c r="AZ431" s="1370"/>
      <c r="BA431" s="1370"/>
      <c r="BC431" s="1370"/>
      <c r="BE431" s="1370"/>
      <c r="BF431" s="1370"/>
      <c r="BG431" s="1370"/>
    </row>
    <row r="432">
      <c r="R432" s="1370"/>
      <c r="S432" s="1370"/>
      <c r="W432" s="1370"/>
      <c r="X432" s="1370"/>
      <c r="AE432" s="1370"/>
      <c r="AF432" s="1370"/>
      <c r="AV432" s="1370"/>
      <c r="AW432" s="1370"/>
      <c r="AX432" s="1370"/>
      <c r="AY432" s="1370"/>
      <c r="AZ432" s="1370"/>
      <c r="BA432" s="1370"/>
      <c r="BC432" s="1370"/>
      <c r="BE432" s="1370"/>
      <c r="BF432" s="1370"/>
      <c r="BG432" s="1370"/>
    </row>
    <row r="433">
      <c r="R433" s="1370"/>
      <c r="S433" s="1370"/>
      <c r="W433" s="1370"/>
      <c r="X433" s="1370"/>
      <c r="AE433" s="1370"/>
      <c r="AF433" s="1370"/>
      <c r="AV433" s="1370"/>
      <c r="AW433" s="1370"/>
      <c r="AX433" s="1370"/>
      <c r="AY433" s="1370"/>
      <c r="AZ433" s="1370"/>
      <c r="BA433" s="1370"/>
      <c r="BC433" s="1370"/>
      <c r="BE433" s="1370"/>
      <c r="BF433" s="1370"/>
      <c r="BG433" s="1370"/>
    </row>
    <row r="434">
      <c r="R434" s="1370"/>
      <c r="S434" s="1370"/>
      <c r="W434" s="1370"/>
      <c r="X434" s="1370"/>
      <c r="AE434" s="1370"/>
      <c r="AF434" s="1370"/>
      <c r="AV434" s="1370"/>
      <c r="AW434" s="1370"/>
      <c r="AX434" s="1370"/>
      <c r="AY434" s="1370"/>
      <c r="AZ434" s="1370"/>
      <c r="BA434" s="1370"/>
      <c r="BC434" s="1370"/>
      <c r="BE434" s="1370"/>
      <c r="BF434" s="1370"/>
      <c r="BG434" s="1370"/>
    </row>
    <row r="435">
      <c r="R435" s="1370"/>
      <c r="S435" s="1370"/>
      <c r="W435" s="1370"/>
      <c r="X435" s="1370"/>
      <c r="AE435" s="1370"/>
      <c r="AF435" s="1370"/>
      <c r="AV435" s="1370"/>
      <c r="AW435" s="1370"/>
      <c r="AX435" s="1370"/>
      <c r="AY435" s="1370"/>
      <c r="AZ435" s="1370"/>
      <c r="BA435" s="1370"/>
      <c r="BC435" s="1370"/>
      <c r="BE435" s="1370"/>
      <c r="BF435" s="1370"/>
      <c r="BG435" s="1370"/>
    </row>
    <row r="436">
      <c r="R436" s="1370"/>
      <c r="S436" s="1370"/>
      <c r="W436" s="1370"/>
      <c r="X436" s="1370"/>
      <c r="AE436" s="1370"/>
      <c r="AF436" s="1370"/>
      <c r="AV436" s="1370"/>
      <c r="AW436" s="1370"/>
      <c r="AX436" s="1370"/>
      <c r="AY436" s="1370"/>
      <c r="AZ436" s="1370"/>
      <c r="BA436" s="1370"/>
      <c r="BC436" s="1370"/>
      <c r="BE436" s="1370"/>
      <c r="BF436" s="1370"/>
      <c r="BG436" s="1370"/>
    </row>
    <row r="437">
      <c r="R437" s="1370"/>
      <c r="S437" s="1370"/>
      <c r="W437" s="1370"/>
      <c r="X437" s="1370"/>
      <c r="AE437" s="1370"/>
      <c r="AF437" s="1370"/>
      <c r="AV437" s="1370"/>
      <c r="AW437" s="1370"/>
      <c r="AX437" s="1370"/>
      <c r="AY437" s="1370"/>
      <c r="AZ437" s="1370"/>
      <c r="BA437" s="1370"/>
      <c r="BC437" s="1370"/>
      <c r="BE437" s="1370"/>
      <c r="BF437" s="1370"/>
      <c r="BG437" s="1370"/>
    </row>
    <row r="438">
      <c r="R438" s="1370"/>
      <c r="S438" s="1370"/>
      <c r="W438" s="1370"/>
      <c r="X438" s="1370"/>
      <c r="AE438" s="1370"/>
      <c r="AF438" s="1370"/>
      <c r="AV438" s="1370"/>
      <c r="AW438" s="1370"/>
      <c r="AX438" s="1370"/>
      <c r="AY438" s="1370"/>
      <c r="AZ438" s="1370"/>
      <c r="BA438" s="1370"/>
      <c r="BC438" s="1370"/>
      <c r="BE438" s="1370"/>
      <c r="BF438" s="1370"/>
      <c r="BG438" s="1370"/>
    </row>
    <row r="439">
      <c r="R439" s="1370"/>
      <c r="S439" s="1370"/>
      <c r="W439" s="1370"/>
      <c r="X439" s="1370"/>
      <c r="AE439" s="1370"/>
      <c r="AF439" s="1370"/>
      <c r="AV439" s="1370"/>
      <c r="AW439" s="1370"/>
      <c r="AX439" s="1370"/>
      <c r="AY439" s="1370"/>
      <c r="AZ439" s="1370"/>
      <c r="BA439" s="1370"/>
      <c r="BC439" s="1370"/>
      <c r="BE439" s="1370"/>
      <c r="BF439" s="1370"/>
      <c r="BG439" s="1370"/>
    </row>
    <row r="440">
      <c r="R440" s="1370"/>
      <c r="S440" s="1370"/>
      <c r="W440" s="1370"/>
      <c r="X440" s="1370"/>
      <c r="AE440" s="1370"/>
      <c r="AF440" s="1370"/>
      <c r="AV440" s="1370"/>
      <c r="AW440" s="1370"/>
      <c r="AX440" s="1370"/>
      <c r="AY440" s="1370"/>
      <c r="AZ440" s="1370"/>
      <c r="BA440" s="1370"/>
      <c r="BC440" s="1370"/>
      <c r="BE440" s="1370"/>
      <c r="BF440" s="1370"/>
      <c r="BG440" s="1370"/>
    </row>
    <row r="441">
      <c r="R441" s="1370"/>
      <c r="S441" s="1370"/>
      <c r="W441" s="1370"/>
      <c r="X441" s="1370"/>
      <c r="AE441" s="1370"/>
      <c r="AF441" s="1370"/>
      <c r="AV441" s="1370"/>
      <c r="AW441" s="1370"/>
      <c r="AX441" s="1370"/>
      <c r="AY441" s="1370"/>
      <c r="AZ441" s="1370"/>
      <c r="BA441" s="1370"/>
      <c r="BC441" s="1370"/>
      <c r="BE441" s="1370"/>
      <c r="BF441" s="1370"/>
      <c r="BG441" s="1370"/>
    </row>
    <row r="442">
      <c r="R442" s="1370"/>
      <c r="S442" s="1370"/>
      <c r="W442" s="1370"/>
      <c r="X442" s="1370"/>
      <c r="AE442" s="1370"/>
      <c r="AF442" s="1370"/>
      <c r="AV442" s="1370"/>
      <c r="AW442" s="1370"/>
      <c r="AX442" s="1370"/>
      <c r="AY442" s="1370"/>
      <c r="AZ442" s="1370"/>
      <c r="BA442" s="1370"/>
      <c r="BC442" s="1370"/>
      <c r="BE442" s="1370"/>
      <c r="BF442" s="1370"/>
      <c r="BG442" s="1370"/>
    </row>
    <row r="443">
      <c r="R443" s="1370"/>
      <c r="S443" s="1370"/>
      <c r="W443" s="1370"/>
      <c r="X443" s="1370"/>
      <c r="AE443" s="1370"/>
      <c r="AF443" s="1370"/>
      <c r="AV443" s="1370"/>
      <c r="AW443" s="1370"/>
      <c r="AX443" s="1370"/>
      <c r="AY443" s="1370"/>
      <c r="AZ443" s="1370"/>
      <c r="BA443" s="1370"/>
      <c r="BC443" s="1370"/>
      <c r="BE443" s="1370"/>
      <c r="BF443" s="1370"/>
      <c r="BG443" s="1370"/>
    </row>
    <row r="444">
      <c r="R444" s="1370"/>
      <c r="S444" s="1370"/>
      <c r="W444" s="1370"/>
      <c r="X444" s="1370"/>
      <c r="AE444" s="1370"/>
      <c r="AF444" s="1370"/>
      <c r="AV444" s="1370"/>
      <c r="AW444" s="1370"/>
      <c r="AX444" s="1370"/>
      <c r="AY444" s="1370"/>
      <c r="AZ444" s="1370"/>
      <c r="BA444" s="1370"/>
      <c r="BC444" s="1370"/>
      <c r="BE444" s="1370"/>
      <c r="BF444" s="1370"/>
      <c r="BG444" s="1370"/>
    </row>
    <row r="445">
      <c r="R445" s="1370"/>
      <c r="S445" s="1370"/>
      <c r="W445" s="1370"/>
      <c r="X445" s="1370"/>
      <c r="AE445" s="1370"/>
      <c r="AF445" s="1370"/>
      <c r="AV445" s="1370"/>
      <c r="AW445" s="1370"/>
      <c r="AX445" s="1370"/>
      <c r="AY445" s="1370"/>
      <c r="AZ445" s="1370"/>
      <c r="BA445" s="1370"/>
      <c r="BC445" s="1370"/>
      <c r="BE445" s="1370"/>
      <c r="BF445" s="1370"/>
      <c r="BG445" s="1370"/>
    </row>
    <row r="446">
      <c r="R446" s="1370"/>
      <c r="S446" s="1370"/>
      <c r="W446" s="1370"/>
      <c r="X446" s="1370"/>
      <c r="AE446" s="1370"/>
      <c r="AF446" s="1370"/>
      <c r="AV446" s="1370"/>
      <c r="AW446" s="1370"/>
      <c r="AX446" s="1370"/>
      <c r="AY446" s="1370"/>
      <c r="AZ446" s="1370"/>
      <c r="BA446" s="1370"/>
      <c r="BC446" s="1370"/>
      <c r="BE446" s="1370"/>
      <c r="BF446" s="1370"/>
      <c r="BG446" s="1370"/>
    </row>
    <row r="447">
      <c r="R447" s="1370"/>
      <c r="S447" s="1370"/>
      <c r="W447" s="1370"/>
      <c r="X447" s="1370"/>
      <c r="AE447" s="1370"/>
      <c r="AF447" s="1370"/>
      <c r="AV447" s="1370"/>
      <c r="AW447" s="1370"/>
      <c r="AX447" s="1370"/>
      <c r="AY447" s="1370"/>
      <c r="AZ447" s="1370"/>
      <c r="BA447" s="1370"/>
      <c r="BC447" s="1370"/>
      <c r="BE447" s="1370"/>
      <c r="BF447" s="1370"/>
      <c r="BG447" s="1370"/>
    </row>
    <row r="448">
      <c r="R448" s="1370"/>
      <c r="S448" s="1370"/>
      <c r="W448" s="1370"/>
      <c r="X448" s="1370"/>
      <c r="AE448" s="1370"/>
      <c r="AF448" s="1370"/>
      <c r="AV448" s="1370"/>
      <c r="AW448" s="1370"/>
      <c r="AX448" s="1370"/>
      <c r="AY448" s="1370"/>
      <c r="AZ448" s="1370"/>
      <c r="BA448" s="1370"/>
      <c r="BC448" s="1370"/>
      <c r="BE448" s="1370"/>
      <c r="BF448" s="1370"/>
      <c r="BG448" s="1370"/>
    </row>
    <row r="449">
      <c r="R449" s="1370"/>
      <c r="S449" s="1370"/>
      <c r="W449" s="1370"/>
      <c r="X449" s="1370"/>
      <c r="AE449" s="1370"/>
      <c r="AF449" s="1370"/>
      <c r="AV449" s="1370"/>
      <c r="AW449" s="1370"/>
      <c r="AX449" s="1370"/>
      <c r="AY449" s="1370"/>
      <c r="AZ449" s="1370"/>
      <c r="BA449" s="1370"/>
      <c r="BC449" s="1370"/>
      <c r="BE449" s="1370"/>
      <c r="BF449" s="1370"/>
      <c r="BG449" s="1370"/>
    </row>
    <row r="450">
      <c r="R450" s="1370"/>
      <c r="S450" s="1370"/>
      <c r="W450" s="1370"/>
      <c r="X450" s="1370"/>
      <c r="AE450" s="1370"/>
      <c r="AF450" s="1370"/>
      <c r="AV450" s="1370"/>
      <c r="AW450" s="1370"/>
      <c r="AX450" s="1370"/>
      <c r="AY450" s="1370"/>
      <c r="AZ450" s="1370"/>
      <c r="BA450" s="1370"/>
      <c r="BC450" s="1370"/>
      <c r="BE450" s="1370"/>
      <c r="BF450" s="1370"/>
      <c r="BG450" s="1370"/>
    </row>
    <row r="451">
      <c r="R451" s="1370"/>
      <c r="S451" s="1370"/>
      <c r="W451" s="1370"/>
      <c r="X451" s="1370"/>
      <c r="AE451" s="1370"/>
      <c r="AF451" s="1370"/>
      <c r="AV451" s="1370"/>
      <c r="AW451" s="1370"/>
      <c r="AX451" s="1370"/>
      <c r="AY451" s="1370"/>
      <c r="AZ451" s="1370"/>
      <c r="BA451" s="1370"/>
      <c r="BC451" s="1370"/>
      <c r="BE451" s="1370"/>
      <c r="BF451" s="1370"/>
      <c r="BG451" s="1370"/>
    </row>
    <row r="452">
      <c r="R452" s="1370"/>
      <c r="S452" s="1370"/>
      <c r="W452" s="1370"/>
      <c r="X452" s="1370"/>
      <c r="AE452" s="1370"/>
      <c r="AF452" s="1370"/>
      <c r="AV452" s="1370"/>
      <c r="AW452" s="1370"/>
      <c r="AX452" s="1370"/>
      <c r="AY452" s="1370"/>
      <c r="AZ452" s="1370"/>
      <c r="BA452" s="1370"/>
      <c r="BC452" s="1370"/>
      <c r="BE452" s="1370"/>
      <c r="BF452" s="1370"/>
      <c r="BG452" s="1370"/>
    </row>
    <row r="453">
      <c r="R453" s="1370"/>
      <c r="S453" s="1370"/>
      <c r="W453" s="1370"/>
      <c r="X453" s="1370"/>
      <c r="AE453" s="1370"/>
      <c r="AF453" s="1370"/>
      <c r="AV453" s="1370"/>
      <c r="AW453" s="1370"/>
      <c r="AX453" s="1370"/>
      <c r="AY453" s="1370"/>
      <c r="AZ453" s="1370"/>
      <c r="BA453" s="1370"/>
      <c r="BC453" s="1370"/>
      <c r="BE453" s="1370"/>
      <c r="BF453" s="1370"/>
      <c r="BG453" s="1370"/>
    </row>
    <row r="454">
      <c r="R454" s="1370"/>
      <c r="S454" s="1370"/>
      <c r="W454" s="1370"/>
      <c r="X454" s="1370"/>
      <c r="AE454" s="1370"/>
      <c r="AF454" s="1370"/>
      <c r="AV454" s="1370"/>
      <c r="AW454" s="1370"/>
      <c r="AX454" s="1370"/>
      <c r="AY454" s="1370"/>
      <c r="AZ454" s="1370"/>
      <c r="BA454" s="1370"/>
      <c r="BC454" s="1370"/>
      <c r="BE454" s="1370"/>
      <c r="BF454" s="1370"/>
      <c r="BG454" s="1370"/>
    </row>
    <row r="455">
      <c r="R455" s="1370"/>
      <c r="S455" s="1370"/>
      <c r="W455" s="1370"/>
      <c r="X455" s="1370"/>
      <c r="AE455" s="1370"/>
      <c r="AF455" s="1370"/>
      <c r="AV455" s="1370"/>
      <c r="AW455" s="1370"/>
      <c r="AX455" s="1370"/>
      <c r="AY455" s="1370"/>
      <c r="AZ455" s="1370"/>
      <c r="BA455" s="1370"/>
      <c r="BC455" s="1370"/>
      <c r="BE455" s="1370"/>
      <c r="BF455" s="1370"/>
      <c r="BG455" s="1370"/>
    </row>
    <row r="456">
      <c r="R456" s="1370"/>
      <c r="S456" s="1370"/>
      <c r="W456" s="1370"/>
      <c r="X456" s="1370"/>
      <c r="AE456" s="1370"/>
      <c r="AF456" s="1370"/>
      <c r="AV456" s="1370"/>
      <c r="AW456" s="1370"/>
      <c r="AX456" s="1370"/>
      <c r="AY456" s="1370"/>
      <c r="AZ456" s="1370"/>
      <c r="BA456" s="1370"/>
      <c r="BC456" s="1370"/>
      <c r="BE456" s="1370"/>
      <c r="BF456" s="1370"/>
      <c r="BG456" s="1370"/>
    </row>
    <row r="457">
      <c r="R457" s="1370"/>
      <c r="S457" s="1370"/>
      <c r="W457" s="1370"/>
      <c r="X457" s="1370"/>
      <c r="AE457" s="1370"/>
      <c r="AF457" s="1370"/>
      <c r="AV457" s="1370"/>
      <c r="AW457" s="1370"/>
      <c r="AX457" s="1370"/>
      <c r="AY457" s="1370"/>
      <c r="AZ457" s="1370"/>
      <c r="BA457" s="1370"/>
      <c r="BC457" s="1370"/>
      <c r="BE457" s="1370"/>
      <c r="BF457" s="1370"/>
      <c r="BG457" s="1370"/>
    </row>
    <row r="458">
      <c r="R458" s="1370"/>
      <c r="S458" s="1370"/>
      <c r="W458" s="1370"/>
      <c r="X458" s="1370"/>
      <c r="AE458" s="1370"/>
      <c r="AF458" s="1370"/>
      <c r="AV458" s="1370"/>
      <c r="AW458" s="1370"/>
      <c r="AX458" s="1370"/>
      <c r="AY458" s="1370"/>
      <c r="AZ458" s="1370"/>
      <c r="BA458" s="1370"/>
      <c r="BC458" s="1370"/>
      <c r="BE458" s="1370"/>
      <c r="BF458" s="1370"/>
      <c r="BG458" s="1370"/>
    </row>
    <row r="459">
      <c r="R459" s="1370"/>
      <c r="S459" s="1370"/>
      <c r="W459" s="1370"/>
      <c r="X459" s="1370"/>
      <c r="AE459" s="1370"/>
      <c r="AF459" s="1370"/>
      <c r="AV459" s="1370"/>
      <c r="AW459" s="1370"/>
      <c r="AX459" s="1370"/>
      <c r="AY459" s="1370"/>
      <c r="AZ459" s="1370"/>
      <c r="BA459" s="1370"/>
      <c r="BC459" s="1370"/>
      <c r="BE459" s="1370"/>
      <c r="BF459" s="1370"/>
      <c r="BG459" s="1370"/>
    </row>
    <row r="460">
      <c r="R460" s="1370"/>
      <c r="S460" s="1370"/>
      <c r="W460" s="1370"/>
      <c r="X460" s="1370"/>
      <c r="AE460" s="1370"/>
      <c r="AF460" s="1370"/>
      <c r="AV460" s="1370"/>
      <c r="AW460" s="1370"/>
      <c r="AX460" s="1370"/>
      <c r="AY460" s="1370"/>
      <c r="AZ460" s="1370"/>
      <c r="BA460" s="1370"/>
      <c r="BC460" s="1370"/>
      <c r="BE460" s="1370"/>
      <c r="BF460" s="1370"/>
      <c r="BG460" s="1370"/>
    </row>
    <row r="461">
      <c r="R461" s="1370"/>
      <c r="S461" s="1370"/>
      <c r="W461" s="1370"/>
      <c r="X461" s="1370"/>
      <c r="AE461" s="1370"/>
      <c r="AF461" s="1370"/>
      <c r="AV461" s="1370"/>
      <c r="AW461" s="1370"/>
      <c r="AX461" s="1370"/>
      <c r="AY461" s="1370"/>
      <c r="AZ461" s="1370"/>
      <c r="BA461" s="1370"/>
      <c r="BC461" s="1370"/>
      <c r="BE461" s="1370"/>
      <c r="BF461" s="1370"/>
      <c r="BG461" s="1370"/>
    </row>
    <row r="462">
      <c r="R462" s="1370"/>
      <c r="S462" s="1370"/>
      <c r="W462" s="1370"/>
      <c r="X462" s="1370"/>
      <c r="AE462" s="1370"/>
      <c r="AF462" s="1370"/>
      <c r="AV462" s="1370"/>
      <c r="AW462" s="1370"/>
      <c r="AX462" s="1370"/>
      <c r="AY462" s="1370"/>
      <c r="AZ462" s="1370"/>
      <c r="BA462" s="1370"/>
      <c r="BC462" s="1370"/>
      <c r="BE462" s="1370"/>
      <c r="BF462" s="1370"/>
      <c r="BG462" s="1370"/>
    </row>
    <row r="463">
      <c r="R463" s="1370"/>
      <c r="S463" s="1370"/>
      <c r="W463" s="1370"/>
      <c r="X463" s="1370"/>
      <c r="AE463" s="1370"/>
      <c r="AF463" s="1370"/>
      <c r="AV463" s="1370"/>
      <c r="AW463" s="1370"/>
      <c r="AX463" s="1370"/>
      <c r="AY463" s="1370"/>
      <c r="AZ463" s="1370"/>
      <c r="BA463" s="1370"/>
      <c r="BC463" s="1370"/>
      <c r="BE463" s="1370"/>
      <c r="BF463" s="1370"/>
      <c r="BG463" s="1370"/>
    </row>
    <row r="464">
      <c r="R464" s="1370"/>
      <c r="S464" s="1370"/>
      <c r="W464" s="1370"/>
      <c r="X464" s="1370"/>
      <c r="AE464" s="1370"/>
      <c r="AF464" s="1370"/>
      <c r="AV464" s="1370"/>
      <c r="AW464" s="1370"/>
      <c r="AX464" s="1370"/>
      <c r="AY464" s="1370"/>
      <c r="AZ464" s="1370"/>
      <c r="BA464" s="1370"/>
      <c r="BC464" s="1370"/>
      <c r="BE464" s="1370"/>
      <c r="BF464" s="1370"/>
      <c r="BG464" s="1370"/>
    </row>
    <row r="465">
      <c r="R465" s="1370"/>
      <c r="S465" s="1370"/>
      <c r="W465" s="1370"/>
      <c r="X465" s="1370"/>
      <c r="AE465" s="1370"/>
      <c r="AF465" s="1370"/>
      <c r="AV465" s="1370"/>
      <c r="AW465" s="1370"/>
      <c r="AX465" s="1370"/>
      <c r="AY465" s="1370"/>
      <c r="AZ465" s="1370"/>
      <c r="BA465" s="1370"/>
      <c r="BC465" s="1370"/>
      <c r="BE465" s="1370"/>
      <c r="BF465" s="1370"/>
      <c r="BG465" s="1370"/>
    </row>
    <row r="466">
      <c r="R466" s="1370"/>
      <c r="S466" s="1370"/>
      <c r="W466" s="1370"/>
      <c r="X466" s="1370"/>
      <c r="AE466" s="1370"/>
      <c r="AF466" s="1370"/>
      <c r="AV466" s="1370"/>
      <c r="AW466" s="1370"/>
      <c r="AX466" s="1370"/>
      <c r="AY466" s="1370"/>
      <c r="AZ466" s="1370"/>
      <c r="BA466" s="1370"/>
      <c r="BC466" s="1370"/>
      <c r="BE466" s="1370"/>
      <c r="BF466" s="1370"/>
      <c r="BG466" s="1370"/>
    </row>
    <row r="467">
      <c r="R467" s="1370"/>
      <c r="S467" s="1370"/>
      <c r="W467" s="1370"/>
      <c r="X467" s="1370"/>
      <c r="AE467" s="1370"/>
      <c r="AF467" s="1370"/>
      <c r="AV467" s="1370"/>
      <c r="AW467" s="1370"/>
      <c r="AX467" s="1370"/>
      <c r="AY467" s="1370"/>
      <c r="AZ467" s="1370"/>
      <c r="BA467" s="1370"/>
      <c r="BC467" s="1370"/>
      <c r="BE467" s="1370"/>
      <c r="BF467" s="1370"/>
      <c r="BG467" s="1370"/>
    </row>
    <row r="468">
      <c r="R468" s="1370"/>
      <c r="S468" s="1370"/>
      <c r="W468" s="1370"/>
      <c r="X468" s="1370"/>
      <c r="AE468" s="1370"/>
      <c r="AF468" s="1370"/>
      <c r="AV468" s="1370"/>
      <c r="AW468" s="1370"/>
      <c r="AX468" s="1370"/>
      <c r="AY468" s="1370"/>
      <c r="AZ468" s="1370"/>
      <c r="BA468" s="1370"/>
      <c r="BC468" s="1370"/>
      <c r="BE468" s="1370"/>
      <c r="BF468" s="1370"/>
      <c r="BG468" s="1370"/>
    </row>
    <row r="469">
      <c r="R469" s="1370"/>
      <c r="S469" s="1370"/>
      <c r="W469" s="1370"/>
      <c r="X469" s="1370"/>
      <c r="AE469" s="1370"/>
      <c r="AF469" s="1370"/>
      <c r="AV469" s="1370"/>
      <c r="AW469" s="1370"/>
      <c r="AX469" s="1370"/>
      <c r="AY469" s="1370"/>
      <c r="AZ469" s="1370"/>
      <c r="BA469" s="1370"/>
      <c r="BC469" s="1370"/>
      <c r="BE469" s="1370"/>
      <c r="BF469" s="1370"/>
      <c r="BG469" s="1370"/>
    </row>
    <row r="470">
      <c r="R470" s="1370"/>
      <c r="S470" s="1370"/>
      <c r="W470" s="1370"/>
      <c r="X470" s="1370"/>
      <c r="AE470" s="1370"/>
      <c r="AF470" s="1370"/>
      <c r="AV470" s="1370"/>
      <c r="AW470" s="1370"/>
      <c r="AX470" s="1370"/>
      <c r="AY470" s="1370"/>
      <c r="AZ470" s="1370"/>
      <c r="BA470" s="1370"/>
      <c r="BC470" s="1370"/>
      <c r="BE470" s="1370"/>
      <c r="BF470" s="1370"/>
      <c r="BG470" s="1370"/>
    </row>
    <row r="471">
      <c r="R471" s="1370"/>
      <c r="S471" s="1370"/>
      <c r="W471" s="1370"/>
      <c r="X471" s="1370"/>
      <c r="AE471" s="1370"/>
      <c r="AF471" s="1370"/>
      <c r="AV471" s="1370"/>
      <c r="AW471" s="1370"/>
      <c r="AX471" s="1370"/>
      <c r="AY471" s="1370"/>
      <c r="AZ471" s="1370"/>
      <c r="BA471" s="1370"/>
      <c r="BC471" s="1370"/>
      <c r="BE471" s="1370"/>
      <c r="BF471" s="1370"/>
      <c r="BG471" s="1370"/>
    </row>
    <row r="472">
      <c r="R472" s="1370"/>
      <c r="S472" s="1370"/>
      <c r="W472" s="1370"/>
      <c r="X472" s="1370"/>
      <c r="AE472" s="1370"/>
      <c r="AF472" s="1370"/>
      <c r="AV472" s="1370"/>
      <c r="AW472" s="1370"/>
      <c r="AX472" s="1370"/>
      <c r="AY472" s="1370"/>
      <c r="AZ472" s="1370"/>
      <c r="BA472" s="1370"/>
      <c r="BC472" s="1370"/>
      <c r="BE472" s="1370"/>
      <c r="BF472" s="1370"/>
      <c r="BG472" s="1370"/>
    </row>
    <row r="473">
      <c r="R473" s="1370"/>
      <c r="S473" s="1370"/>
      <c r="W473" s="1370"/>
      <c r="X473" s="1370"/>
      <c r="AE473" s="1370"/>
      <c r="AF473" s="1370"/>
      <c r="AV473" s="1370"/>
      <c r="AW473" s="1370"/>
      <c r="AX473" s="1370"/>
      <c r="AY473" s="1370"/>
      <c r="AZ473" s="1370"/>
      <c r="BA473" s="1370"/>
      <c r="BC473" s="1370"/>
      <c r="BE473" s="1370"/>
      <c r="BF473" s="1370"/>
      <c r="BG473" s="1370"/>
    </row>
    <row r="474">
      <c r="R474" s="1370"/>
      <c r="S474" s="1370"/>
      <c r="W474" s="1370"/>
      <c r="X474" s="1370"/>
      <c r="AE474" s="1370"/>
      <c r="AF474" s="1370"/>
      <c r="AV474" s="1370"/>
      <c r="AW474" s="1370"/>
      <c r="AX474" s="1370"/>
      <c r="AY474" s="1370"/>
      <c r="AZ474" s="1370"/>
      <c r="BA474" s="1370"/>
      <c r="BC474" s="1370"/>
      <c r="BE474" s="1370"/>
      <c r="BF474" s="1370"/>
      <c r="BG474" s="1370"/>
    </row>
    <row r="475">
      <c r="R475" s="1370"/>
      <c r="S475" s="1370"/>
      <c r="W475" s="1370"/>
      <c r="X475" s="1370"/>
      <c r="AE475" s="1370"/>
      <c r="AF475" s="1370"/>
      <c r="AV475" s="1370"/>
      <c r="AW475" s="1370"/>
      <c r="AX475" s="1370"/>
      <c r="AY475" s="1370"/>
      <c r="AZ475" s="1370"/>
      <c r="BA475" s="1370"/>
      <c r="BC475" s="1370"/>
      <c r="BE475" s="1370"/>
      <c r="BF475" s="1370"/>
      <c r="BG475" s="1370"/>
    </row>
    <row r="476">
      <c r="R476" s="1370"/>
      <c r="S476" s="1370"/>
      <c r="W476" s="1370"/>
      <c r="X476" s="1370"/>
      <c r="AE476" s="1370"/>
      <c r="AF476" s="1370"/>
      <c r="AV476" s="1370"/>
      <c r="AW476" s="1370"/>
      <c r="AX476" s="1370"/>
      <c r="AY476" s="1370"/>
      <c r="AZ476" s="1370"/>
      <c r="BA476" s="1370"/>
      <c r="BC476" s="1370"/>
      <c r="BE476" s="1370"/>
      <c r="BF476" s="1370"/>
      <c r="BG476" s="1370"/>
    </row>
    <row r="477">
      <c r="R477" s="1370"/>
      <c r="S477" s="1370"/>
      <c r="W477" s="1370"/>
      <c r="X477" s="1370"/>
      <c r="AE477" s="1370"/>
      <c r="AF477" s="1370"/>
      <c r="AV477" s="1370"/>
      <c r="AW477" s="1370"/>
      <c r="AX477" s="1370"/>
      <c r="AY477" s="1370"/>
      <c r="AZ477" s="1370"/>
      <c r="BA477" s="1370"/>
      <c r="BC477" s="1370"/>
      <c r="BE477" s="1370"/>
      <c r="BF477" s="1370"/>
      <c r="BG477" s="1370"/>
    </row>
    <row r="478">
      <c r="R478" s="1370"/>
      <c r="S478" s="1370"/>
      <c r="W478" s="1370"/>
      <c r="X478" s="1370"/>
      <c r="AE478" s="1370"/>
      <c r="AF478" s="1370"/>
      <c r="AV478" s="1370"/>
      <c r="AW478" s="1370"/>
      <c r="AX478" s="1370"/>
      <c r="AY478" s="1370"/>
      <c r="AZ478" s="1370"/>
      <c r="BA478" s="1370"/>
      <c r="BC478" s="1370"/>
      <c r="BE478" s="1370"/>
      <c r="BF478" s="1370"/>
      <c r="BG478" s="1370"/>
    </row>
    <row r="479">
      <c r="R479" s="1370"/>
      <c r="S479" s="1370"/>
      <c r="W479" s="1370"/>
      <c r="X479" s="1370"/>
      <c r="AE479" s="1370"/>
      <c r="AF479" s="1370"/>
      <c r="AV479" s="1370"/>
      <c r="AW479" s="1370"/>
      <c r="AX479" s="1370"/>
      <c r="AY479" s="1370"/>
      <c r="AZ479" s="1370"/>
      <c r="BA479" s="1370"/>
      <c r="BC479" s="1370"/>
      <c r="BE479" s="1370"/>
      <c r="BF479" s="1370"/>
      <c r="BG479" s="1370"/>
    </row>
    <row r="480">
      <c r="R480" s="1370"/>
      <c r="S480" s="1370"/>
      <c r="W480" s="1370"/>
      <c r="X480" s="1370"/>
      <c r="AE480" s="1370"/>
      <c r="AF480" s="1370"/>
      <c r="AV480" s="1370"/>
      <c r="AW480" s="1370"/>
      <c r="AX480" s="1370"/>
      <c r="AY480" s="1370"/>
      <c r="AZ480" s="1370"/>
      <c r="BA480" s="1370"/>
      <c r="BC480" s="1370"/>
      <c r="BE480" s="1370"/>
      <c r="BF480" s="1370"/>
      <c r="BG480" s="1370"/>
    </row>
    <row r="481">
      <c r="R481" s="1370"/>
      <c r="S481" s="1370"/>
      <c r="W481" s="1370"/>
      <c r="X481" s="1370"/>
      <c r="AE481" s="1370"/>
      <c r="AF481" s="1370"/>
      <c r="AV481" s="1370"/>
      <c r="AW481" s="1370"/>
      <c r="AX481" s="1370"/>
      <c r="AY481" s="1370"/>
      <c r="AZ481" s="1370"/>
      <c r="BA481" s="1370"/>
      <c r="BC481" s="1370"/>
      <c r="BE481" s="1370"/>
      <c r="BF481" s="1370"/>
      <c r="BG481" s="1370"/>
    </row>
    <row r="482">
      <c r="R482" s="1370"/>
      <c r="S482" s="1370"/>
      <c r="W482" s="1370"/>
      <c r="X482" s="1370"/>
      <c r="AE482" s="1370"/>
      <c r="AF482" s="1370"/>
      <c r="AV482" s="1370"/>
      <c r="AW482" s="1370"/>
      <c r="AX482" s="1370"/>
      <c r="AY482" s="1370"/>
      <c r="AZ482" s="1370"/>
      <c r="BA482" s="1370"/>
      <c r="BC482" s="1370"/>
      <c r="BE482" s="1370"/>
      <c r="BF482" s="1370"/>
      <c r="BG482" s="1370"/>
    </row>
    <row r="483">
      <c r="R483" s="1370"/>
      <c r="S483" s="1370"/>
      <c r="W483" s="1370"/>
      <c r="X483" s="1370"/>
      <c r="AE483" s="1370"/>
      <c r="AF483" s="1370"/>
      <c r="AV483" s="1370"/>
      <c r="AW483" s="1370"/>
      <c r="AX483" s="1370"/>
      <c r="AY483" s="1370"/>
      <c r="AZ483" s="1370"/>
      <c r="BA483" s="1370"/>
      <c r="BC483" s="1370"/>
      <c r="BE483" s="1370"/>
      <c r="BF483" s="1370"/>
      <c r="BG483" s="1370"/>
    </row>
    <row r="484">
      <c r="R484" s="1370"/>
      <c r="S484" s="1370"/>
      <c r="W484" s="1370"/>
      <c r="X484" s="1370"/>
      <c r="AE484" s="1370"/>
      <c r="AF484" s="1370"/>
      <c r="AV484" s="1370"/>
      <c r="AW484" s="1370"/>
      <c r="AX484" s="1370"/>
      <c r="AY484" s="1370"/>
      <c r="AZ484" s="1370"/>
      <c r="BA484" s="1370"/>
      <c r="BC484" s="1370"/>
      <c r="BE484" s="1370"/>
      <c r="BF484" s="1370"/>
      <c r="BG484" s="1370"/>
    </row>
    <row r="485">
      <c r="R485" s="1370"/>
      <c r="S485" s="1370"/>
      <c r="W485" s="1370"/>
      <c r="X485" s="1370"/>
      <c r="AE485" s="1370"/>
      <c r="AF485" s="1370"/>
      <c r="AV485" s="1370"/>
      <c r="AW485" s="1370"/>
      <c r="AX485" s="1370"/>
      <c r="AY485" s="1370"/>
      <c r="AZ485" s="1370"/>
      <c r="BA485" s="1370"/>
      <c r="BC485" s="1370"/>
      <c r="BE485" s="1370"/>
      <c r="BF485" s="1370"/>
      <c r="BG485" s="1370"/>
    </row>
    <row r="486">
      <c r="R486" s="1370"/>
      <c r="S486" s="1370"/>
      <c r="W486" s="1370"/>
      <c r="X486" s="1370"/>
      <c r="AE486" s="1370"/>
      <c r="AF486" s="1370"/>
      <c r="AV486" s="1370"/>
      <c r="AW486" s="1370"/>
      <c r="AX486" s="1370"/>
      <c r="AY486" s="1370"/>
      <c r="AZ486" s="1370"/>
      <c r="BA486" s="1370"/>
      <c r="BC486" s="1370"/>
      <c r="BE486" s="1370"/>
      <c r="BF486" s="1370"/>
      <c r="BG486" s="1370"/>
    </row>
    <row r="487">
      <c r="R487" s="1370"/>
      <c r="S487" s="1370"/>
      <c r="W487" s="1370"/>
      <c r="X487" s="1370"/>
      <c r="AE487" s="1370"/>
      <c r="AF487" s="1370"/>
      <c r="AV487" s="1370"/>
      <c r="AW487" s="1370"/>
      <c r="AX487" s="1370"/>
      <c r="AY487" s="1370"/>
      <c r="AZ487" s="1370"/>
      <c r="BA487" s="1370"/>
      <c r="BC487" s="1370"/>
      <c r="BE487" s="1370"/>
      <c r="BF487" s="1370"/>
      <c r="BG487" s="1370"/>
    </row>
    <row r="488">
      <c r="R488" s="1370"/>
      <c r="S488" s="1370"/>
      <c r="W488" s="1370"/>
      <c r="X488" s="1370"/>
      <c r="AE488" s="1370"/>
      <c r="AF488" s="1370"/>
      <c r="AV488" s="1370"/>
      <c r="AW488" s="1370"/>
      <c r="AX488" s="1370"/>
      <c r="AY488" s="1370"/>
      <c r="AZ488" s="1370"/>
      <c r="BA488" s="1370"/>
      <c r="BC488" s="1370"/>
      <c r="BE488" s="1370"/>
      <c r="BF488" s="1370"/>
      <c r="BG488" s="1370"/>
    </row>
    <row r="489">
      <c r="R489" s="1370"/>
      <c r="S489" s="1370"/>
      <c r="W489" s="1370"/>
      <c r="X489" s="1370"/>
      <c r="AE489" s="1370"/>
      <c r="AF489" s="1370"/>
      <c r="AV489" s="1370"/>
      <c r="AW489" s="1370"/>
      <c r="AX489" s="1370"/>
      <c r="AY489" s="1370"/>
      <c r="AZ489" s="1370"/>
      <c r="BA489" s="1370"/>
      <c r="BC489" s="1370"/>
      <c r="BE489" s="1370"/>
      <c r="BF489" s="1370"/>
      <c r="BG489" s="1370"/>
    </row>
    <row r="490">
      <c r="R490" s="1370"/>
      <c r="S490" s="1370"/>
      <c r="W490" s="1370"/>
      <c r="X490" s="1370"/>
      <c r="AE490" s="1370"/>
      <c r="AF490" s="1370"/>
      <c r="AV490" s="1370"/>
      <c r="AW490" s="1370"/>
      <c r="AX490" s="1370"/>
      <c r="AY490" s="1370"/>
      <c r="AZ490" s="1370"/>
      <c r="BA490" s="1370"/>
      <c r="BC490" s="1370"/>
      <c r="BE490" s="1370"/>
      <c r="BF490" s="1370"/>
      <c r="BG490" s="1370"/>
    </row>
    <row r="491">
      <c r="R491" s="1370"/>
      <c r="S491" s="1370"/>
      <c r="W491" s="1370"/>
      <c r="X491" s="1370"/>
      <c r="AE491" s="1370"/>
      <c r="AF491" s="1370"/>
      <c r="AV491" s="1370"/>
      <c r="AW491" s="1370"/>
      <c r="AX491" s="1370"/>
      <c r="AY491" s="1370"/>
      <c r="AZ491" s="1370"/>
      <c r="BA491" s="1370"/>
      <c r="BC491" s="1370"/>
      <c r="BE491" s="1370"/>
      <c r="BF491" s="1370"/>
      <c r="BG491" s="1370"/>
    </row>
    <row r="492">
      <c r="R492" s="1370"/>
      <c r="S492" s="1370"/>
      <c r="W492" s="1370"/>
      <c r="X492" s="1370"/>
      <c r="AE492" s="1370"/>
      <c r="AF492" s="1370"/>
      <c r="AV492" s="1370"/>
      <c r="AW492" s="1370"/>
      <c r="AX492" s="1370"/>
      <c r="AY492" s="1370"/>
      <c r="AZ492" s="1370"/>
      <c r="BA492" s="1370"/>
      <c r="BC492" s="1370"/>
      <c r="BE492" s="1370"/>
      <c r="BF492" s="1370"/>
      <c r="BG492" s="1370"/>
    </row>
    <row r="493">
      <c r="R493" s="1370"/>
      <c r="S493" s="1370"/>
      <c r="W493" s="1370"/>
      <c r="X493" s="1370"/>
      <c r="AE493" s="1370"/>
      <c r="AF493" s="1370"/>
      <c r="AV493" s="1370"/>
      <c r="AW493" s="1370"/>
      <c r="AX493" s="1370"/>
      <c r="AY493" s="1370"/>
      <c r="AZ493" s="1370"/>
      <c r="BA493" s="1370"/>
      <c r="BC493" s="1370"/>
      <c r="BE493" s="1370"/>
      <c r="BF493" s="1370"/>
      <c r="BG493" s="1370"/>
    </row>
    <row r="494">
      <c r="R494" s="1370"/>
      <c r="S494" s="1370"/>
      <c r="W494" s="1370"/>
      <c r="X494" s="1370"/>
      <c r="AE494" s="1370"/>
      <c r="AF494" s="1370"/>
      <c r="AV494" s="1370"/>
      <c r="AW494" s="1370"/>
      <c r="AX494" s="1370"/>
      <c r="AY494" s="1370"/>
      <c r="AZ494" s="1370"/>
      <c r="BA494" s="1370"/>
      <c r="BC494" s="1370"/>
      <c r="BE494" s="1370"/>
      <c r="BF494" s="1370"/>
      <c r="BG494" s="1370"/>
    </row>
    <row r="495">
      <c r="R495" s="1370"/>
      <c r="S495" s="1370"/>
      <c r="W495" s="1370"/>
      <c r="X495" s="1370"/>
      <c r="AE495" s="1370"/>
      <c r="AF495" s="1370"/>
      <c r="AV495" s="1370"/>
      <c r="AW495" s="1370"/>
      <c r="AX495" s="1370"/>
      <c r="AY495" s="1370"/>
      <c r="AZ495" s="1370"/>
      <c r="BA495" s="1370"/>
      <c r="BC495" s="1370"/>
      <c r="BE495" s="1370"/>
      <c r="BF495" s="1370"/>
      <c r="BG495" s="1370"/>
    </row>
    <row r="496">
      <c r="R496" s="1370"/>
      <c r="S496" s="1370"/>
      <c r="W496" s="1370"/>
      <c r="X496" s="1370"/>
      <c r="AE496" s="1370"/>
      <c r="AF496" s="1370"/>
      <c r="AV496" s="1370"/>
      <c r="AW496" s="1370"/>
      <c r="AX496" s="1370"/>
      <c r="AY496" s="1370"/>
      <c r="AZ496" s="1370"/>
      <c r="BA496" s="1370"/>
      <c r="BC496" s="1370"/>
      <c r="BE496" s="1370"/>
      <c r="BF496" s="1370"/>
      <c r="BG496" s="1370"/>
    </row>
    <row r="497">
      <c r="R497" s="1370"/>
      <c r="S497" s="1370"/>
      <c r="W497" s="1370"/>
      <c r="X497" s="1370"/>
      <c r="AE497" s="1370"/>
      <c r="AF497" s="1370"/>
      <c r="AV497" s="1370"/>
      <c r="AW497" s="1370"/>
      <c r="AX497" s="1370"/>
      <c r="AY497" s="1370"/>
      <c r="AZ497" s="1370"/>
      <c r="BA497" s="1370"/>
      <c r="BC497" s="1370"/>
      <c r="BE497" s="1370"/>
      <c r="BF497" s="1370"/>
      <c r="BG497" s="1370"/>
    </row>
    <row r="498">
      <c r="R498" s="1370"/>
      <c r="S498" s="1370"/>
      <c r="W498" s="1370"/>
      <c r="X498" s="1370"/>
      <c r="AE498" s="1370"/>
      <c r="AF498" s="1370"/>
      <c r="AV498" s="1370"/>
      <c r="AW498" s="1370"/>
      <c r="AX498" s="1370"/>
      <c r="AY498" s="1370"/>
      <c r="AZ498" s="1370"/>
      <c r="BA498" s="1370"/>
      <c r="BC498" s="1370"/>
      <c r="BE498" s="1370"/>
      <c r="BF498" s="1370"/>
      <c r="BG498" s="1370"/>
    </row>
    <row r="499">
      <c r="R499" s="1370"/>
      <c r="S499" s="1370"/>
      <c r="W499" s="1370"/>
      <c r="X499" s="1370"/>
      <c r="AE499" s="1370"/>
      <c r="AF499" s="1370"/>
      <c r="AV499" s="1370"/>
      <c r="AW499" s="1370"/>
      <c r="AX499" s="1370"/>
      <c r="AY499" s="1370"/>
      <c r="AZ499" s="1370"/>
      <c r="BA499" s="1370"/>
      <c r="BC499" s="1370"/>
      <c r="BE499" s="1370"/>
      <c r="BF499" s="1370"/>
      <c r="BG499" s="1370"/>
    </row>
    <row r="500">
      <c r="R500" s="1370"/>
      <c r="S500" s="1370"/>
      <c r="W500" s="1370"/>
      <c r="X500" s="1370"/>
      <c r="AE500" s="1370"/>
      <c r="AF500" s="1370"/>
      <c r="AV500" s="1370"/>
      <c r="AW500" s="1370"/>
      <c r="AX500" s="1370"/>
      <c r="AY500" s="1370"/>
      <c r="AZ500" s="1370"/>
      <c r="BA500" s="1370"/>
      <c r="BC500" s="1370"/>
      <c r="BE500" s="1370"/>
      <c r="BF500" s="1370"/>
      <c r="BG500" s="1370"/>
    </row>
    <row r="501">
      <c r="R501" s="1370"/>
      <c r="S501" s="1370"/>
      <c r="W501" s="1370"/>
      <c r="X501" s="1370"/>
      <c r="AE501" s="1370"/>
      <c r="AF501" s="1370"/>
      <c r="AV501" s="1370"/>
      <c r="AW501" s="1370"/>
      <c r="AX501" s="1370"/>
      <c r="AY501" s="1370"/>
      <c r="AZ501" s="1370"/>
      <c r="BA501" s="1370"/>
      <c r="BC501" s="1370"/>
      <c r="BE501" s="1370"/>
      <c r="BF501" s="1370"/>
      <c r="BG501" s="1370"/>
    </row>
    <row r="502">
      <c r="R502" s="1370"/>
      <c r="S502" s="1370"/>
      <c r="W502" s="1370"/>
      <c r="X502" s="1370"/>
      <c r="AE502" s="1370"/>
      <c r="AF502" s="1370"/>
      <c r="AV502" s="1370"/>
      <c r="AW502" s="1370"/>
      <c r="AX502" s="1370"/>
      <c r="AY502" s="1370"/>
      <c r="AZ502" s="1370"/>
      <c r="BA502" s="1370"/>
      <c r="BC502" s="1370"/>
      <c r="BE502" s="1370"/>
      <c r="BF502" s="1370"/>
      <c r="BG502" s="1370"/>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V2" sqref="V2"/>
    </sheetView>
  </sheetViews>
  <sheetFormatPr defaultRowHeight="15.0" baseColWidth="10"/>
  <cols>
    <col min="1" max="1" width="23.1796875" hidden="0" customWidth="1"/>
  </cols>
  <sheetData>
    <row r="1">
      <c r="A1" s="1378" t="s">
        <v>726</v>
      </c>
      <c r="B1" s="1378"/>
      <c r="C1" s="1378"/>
      <c r="D1" s="1378"/>
    </row>
    <row r="2">
      <c r="A2" t="s">
        <v>727</v>
      </c>
      <c r="B2" s="742" t="n">
        <v>2021</v>
      </c>
      <c r="C2" s="742" t="n">
        <v>2021</v>
      </c>
      <c r="D2" s="742" t="n">
        <v>2021</v>
      </c>
      <c r="E2" s="742" t="n">
        <v>2022</v>
      </c>
      <c r="F2" s="742" t="n">
        <v>2022</v>
      </c>
      <c r="G2" s="742" t="n">
        <v>2022</v>
      </c>
      <c r="H2" s="742" t="n">
        <v>2022</v>
      </c>
      <c r="I2" s="742" t="n">
        <v>2023</v>
      </c>
      <c r="J2" s="742" t="n">
        <v>2023</v>
      </c>
      <c r="K2" s="742" t="n">
        <v>2023</v>
      </c>
      <c r="L2" s="742" t="n">
        <v>2023</v>
      </c>
      <c r="M2" s="742" t="n">
        <v>2024</v>
      </c>
      <c r="N2" s="742" t="n">
        <v>2024</v>
      </c>
      <c r="O2" s="742" t="n">
        <v>2024</v>
      </c>
      <c r="P2" s="742" t="n">
        <v>2024</v>
      </c>
      <c r="Q2" s="742" t="n">
        <v>2025</v>
      </c>
      <c r="R2" s="742" t="n">
        <v>2025</v>
      </c>
      <c r="S2" s="742" t="n">
        <v>2025</v>
      </c>
      <c r="T2" s="742" t="n">
        <v>2025</v>
      </c>
      <c r="U2" s="742" t="n">
        <v>2026</v>
      </c>
    </row>
    <row r="3">
      <c r="A3" s="1075" t="s">
        <v>728</v>
      </c>
      <c r="B3" s="869" t="s">
        <v>729</v>
      </c>
      <c r="C3" s="869" t="s">
        <v>730</v>
      </c>
      <c r="D3" s="869" t="s">
        <v>731</v>
      </c>
      <c r="E3" s="869" t="s">
        <v>732</v>
      </c>
      <c r="F3" s="869" t="s">
        <v>733</v>
      </c>
      <c r="G3" s="869" t="s">
        <v>734</v>
      </c>
      <c r="H3" s="869" t="s">
        <v>735</v>
      </c>
      <c r="I3" s="869" t="s">
        <v>736</v>
      </c>
      <c r="J3" s="869" t="s">
        <v>737</v>
      </c>
      <c r="K3" s="869" t="s">
        <v>738</v>
      </c>
      <c r="L3" s="869" t="s">
        <v>739</v>
      </c>
      <c r="M3" s="869" t="s">
        <v>740</v>
      </c>
      <c r="N3" s="869" t="s">
        <v>741</v>
      </c>
      <c r="O3" s="869" t="s">
        <v>742</v>
      </c>
      <c r="P3" s="869" t="s">
        <v>743</v>
      </c>
      <c r="Q3" s="869" t="s">
        <v>744</v>
      </c>
      <c r="R3" s="869" t="s">
        <v>745</v>
      </c>
      <c r="S3" s="869" t="s">
        <v>746</v>
      </c>
      <c r="T3" s="869" t="s">
        <v>747</v>
      </c>
      <c r="U3" s="869" t="s">
        <v>748</v>
      </c>
    </row>
    <row r="4">
      <c r="A4" s="1075" t="s">
        <v>749</v>
      </c>
      <c r="B4" s="869"/>
      <c r="C4" s="869"/>
      <c r="D4" s="869" t="n">
        <v>0</v>
      </c>
      <c r="E4" s="869" t="n">
        <v>0</v>
      </c>
      <c r="F4" s="869" t="n">
        <v>0.5</v>
      </c>
      <c r="G4" s="869" t="n">
        <v>0.5</v>
      </c>
      <c r="H4" s="869" t="n">
        <v>0</v>
      </c>
      <c r="I4" s="869" t="n">
        <v>0</v>
      </c>
      <c r="J4" s="869" t="n">
        <v>0</v>
      </c>
      <c r="K4" s="869" t="n">
        <v>0</v>
      </c>
      <c r="L4" s="869" t="n">
        <v>0</v>
      </c>
      <c r="M4" s="869" t="n">
        <v>0</v>
      </c>
      <c r="N4" s="869" t="n">
        <v>0</v>
      </c>
      <c r="O4" s="869" t="n">
        <v>0</v>
      </c>
      <c r="P4" s="869" t="n">
        <v>0</v>
      </c>
      <c r="Q4" s="869" t="n">
        <v>0</v>
      </c>
      <c r="R4" s="869" t="n">
        <v>0</v>
      </c>
      <c r="S4" s="869" t="n">
        <v>0</v>
      </c>
      <c r="T4" s="869" t="n">
        <v>0</v>
      </c>
      <c r="U4" s="869" t="n">
        <v>0</v>
      </c>
    </row>
    <row r="5">
      <c r="A5" s="1075" t="s">
        <v>750</v>
      </c>
      <c r="B5" s="869" t="n">
        <v>0.04</v>
      </c>
      <c r="C5" s="869" t="n">
        <v>0.48</v>
      </c>
      <c r="D5" s="869" t="n">
        <v>0.48</v>
      </c>
      <c r="E5" s="869" t="n">
        <v>0</v>
      </c>
      <c r="F5" s="869" t="n">
        <v>0</v>
      </c>
      <c r="G5" s="869" t="n">
        <v>0</v>
      </c>
      <c r="H5" s="869" t="n">
        <v>0</v>
      </c>
      <c r="I5" s="869" t="n">
        <v>0</v>
      </c>
      <c r="J5" s="869" t="n">
        <v>0</v>
      </c>
      <c r="K5" s="869" t="n">
        <v>0</v>
      </c>
      <c r="L5" s="869" t="n">
        <v>0</v>
      </c>
      <c r="M5" s="869" t="n">
        <v>0</v>
      </c>
      <c r="N5" s="869" t="n">
        <v>0</v>
      </c>
      <c r="O5" s="869" t="n">
        <v>0</v>
      </c>
      <c r="P5" s="869" t="n">
        <v>0</v>
      </c>
      <c r="Q5" s="869" t="n">
        <v>0</v>
      </c>
      <c r="R5" s="869" t="n">
        <v>0</v>
      </c>
      <c r="S5" s="869" t="n">
        <v>0</v>
      </c>
      <c r="T5" s="869" t="n">
        <v>0</v>
      </c>
      <c r="U5" s="869" t="n">
        <v>0</v>
      </c>
    </row>
    <row r="6">
      <c r="A6" s="1075" t="s">
        <v>751</v>
      </c>
      <c r="B6" s="869" t="n">
        <f>B8</f>
        <v>0</v>
      </c>
      <c r="C6" s="869" t="n">
        <f>C8</f>
        <v>0.43</v>
      </c>
      <c r="D6" s="869" t="n">
        <f t="shared" ref="D6:U6" si="0">D8</f>
        <v>0.56999999999999995</v>
      </c>
      <c r="E6" s="869" t="n">
        <f t="shared" si="0"/>
        <v>0.25</v>
      </c>
      <c r="F6" s="869" t="n">
        <f t="shared" si="0"/>
        <v>0.25</v>
      </c>
      <c r="G6" s="869" t="n">
        <f t="shared" si="0"/>
        <v>0.25</v>
      </c>
      <c r="H6" s="869" t="n">
        <f t="shared" si="0"/>
        <v>0.25</v>
      </c>
      <c r="I6" s="869" t="n">
        <f t="shared" si="0"/>
        <v>0.25</v>
      </c>
      <c r="J6" s="869" t="n">
        <f t="shared" si="0"/>
        <v>0.25</v>
      </c>
      <c r="K6" s="869" t="n">
        <f t="shared" si="0"/>
        <v>0.25</v>
      </c>
      <c r="L6" s="869" t="n">
        <f t="shared" si="0"/>
        <v>0.25</v>
      </c>
      <c r="M6" s="869" t="n">
        <f t="shared" si="0"/>
        <v>0.25</v>
      </c>
      <c r="N6" s="869" t="n">
        <f t="shared" si="0"/>
        <v>0.25</v>
      </c>
      <c r="O6" s="869" t="n">
        <f t="shared" si="0"/>
        <v>0.25</v>
      </c>
      <c r="P6" s="869" t="n">
        <f t="shared" si="0"/>
        <v>0.25</v>
      </c>
      <c r="Q6" s="869" t="n">
        <f t="shared" si="0"/>
        <v>0.25</v>
      </c>
      <c r="R6" s="869" t="n">
        <f t="shared" si="0"/>
        <v>0.25</v>
      </c>
      <c r="S6" s="869" t="n">
        <f t="shared" si="0"/>
        <v>0.25</v>
      </c>
      <c r="T6" s="869" t="n">
        <f t="shared" si="0"/>
        <v>0.25</v>
      </c>
      <c r="U6" s="869" t="n">
        <f t="shared" si="0"/>
        <v>0.25</v>
      </c>
    </row>
    <row r="7">
      <c r="A7" s="1075" t="s">
        <v>752</v>
      </c>
      <c r="B7" s="869" t="n">
        <v>0</v>
      </c>
      <c r="C7" s="869" t="n">
        <v>0</v>
      </c>
      <c r="D7" s="869" t="n">
        <v>1</v>
      </c>
      <c r="E7" s="869" t="n">
        <v>0.25</v>
      </c>
      <c r="F7" s="869" t="n">
        <v>0.25</v>
      </c>
      <c r="G7" s="869" t="n">
        <v>0.25</v>
      </c>
      <c r="H7" s="869" t="n">
        <v>0.25</v>
      </c>
      <c r="I7" s="869" t="n">
        <v>0.25</v>
      </c>
      <c r="J7" s="869" t="n">
        <v>0.25</v>
      </c>
      <c r="K7" s="869" t="n">
        <v>0.25</v>
      </c>
      <c r="L7" s="869" t="n">
        <v>0.25</v>
      </c>
      <c r="M7" s="869" t="n">
        <v>0.25</v>
      </c>
      <c r="N7" s="869" t="n">
        <v>0.25</v>
      </c>
      <c r="O7" s="869" t="n">
        <v>0.25</v>
      </c>
      <c r="P7" s="869" t="n">
        <v>0.25</v>
      </c>
      <c r="Q7" s="869" t="n">
        <v>0.25</v>
      </c>
      <c r="R7" s="869" t="n">
        <v>0.25</v>
      </c>
      <c r="S7" s="869" t="n">
        <v>0.25</v>
      </c>
      <c r="T7" s="869" t="n">
        <v>0.25</v>
      </c>
      <c r="U7" s="869" t="n">
        <v>0.25</v>
      </c>
    </row>
    <row r="8">
      <c r="A8" s="1075" t="s">
        <v>753</v>
      </c>
      <c r="B8" s="869" t="n">
        <v>0</v>
      </c>
      <c r="C8" s="869" t="n">
        <v>0.43</v>
      </c>
      <c r="D8" s="869" t="n">
        <v>0.56999999999999995</v>
      </c>
      <c r="E8" s="869" t="n">
        <v>0.25</v>
      </c>
      <c r="F8" s="869" t="n">
        <v>0.25</v>
      </c>
      <c r="G8" s="869" t="n">
        <v>0.25</v>
      </c>
      <c r="H8" s="869" t="n">
        <v>0.25</v>
      </c>
      <c r="I8" s="869" t="n">
        <v>0.25</v>
      </c>
      <c r="J8" s="869" t="n">
        <v>0.25</v>
      </c>
      <c r="K8" s="869" t="n">
        <v>0.25</v>
      </c>
      <c r="L8" s="869" t="n">
        <v>0.25</v>
      </c>
      <c r="M8" s="869" t="n">
        <v>0.25</v>
      </c>
      <c r="N8" s="869" t="n">
        <v>0.25</v>
      </c>
      <c r="O8" s="869" t="n">
        <v>0.25</v>
      </c>
      <c r="P8" s="869" t="n">
        <v>0.25</v>
      </c>
      <c r="Q8" s="869" t="n">
        <v>0.25</v>
      </c>
      <c r="R8" s="869" t="n">
        <v>0.25</v>
      </c>
      <c r="S8" s="869" t="n">
        <v>0.25</v>
      </c>
      <c r="T8" s="869" t="n">
        <v>0.25</v>
      </c>
      <c r="U8" s="869" t="n">
        <v>0.25</v>
      </c>
    </row>
    <row r="9" ht="27" customHeight="1">
      <c r="A9" s="1075" t="s">
        <v>754</v>
      </c>
      <c r="B9" s="869" t="n">
        <v>0</v>
      </c>
      <c r="C9" s="869" t="n">
        <f>0.18</f>
        <v>0.18</v>
      </c>
      <c r="D9" s="869" t="n">
        <f>1-C9</f>
        <v>0.82000000000000006</v>
      </c>
      <c r="E9" s="869" t="n">
        <v>0.25</v>
      </c>
      <c r="F9" s="869" t="n">
        <v>0.25</v>
      </c>
      <c r="G9" s="869" t="n">
        <v>0.25</v>
      </c>
      <c r="H9" s="869" t="n">
        <v>0.25</v>
      </c>
      <c r="I9" s="869" t="n">
        <v>0.25</v>
      </c>
      <c r="J9" s="869" t="n">
        <v>0.25</v>
      </c>
      <c r="K9" s="869" t="n">
        <v>0.25</v>
      </c>
      <c r="L9" s="869" t="n">
        <v>0.25</v>
      </c>
      <c r="M9" s="869" t="n">
        <v>0.25</v>
      </c>
      <c r="N9" s="869" t="n">
        <v>0.25</v>
      </c>
      <c r="O9" s="869" t="n">
        <v>0.25</v>
      </c>
      <c r="P9" s="869" t="n">
        <v>0.25</v>
      </c>
      <c r="Q9" s="869" t="n">
        <v>0.25</v>
      </c>
      <c r="R9" s="869" t="n">
        <v>0.25</v>
      </c>
      <c r="S9" s="869" t="n">
        <v>0.25</v>
      </c>
      <c r="T9" s="869" t="n">
        <v>0.25</v>
      </c>
      <c r="U9" s="869" t="n">
        <v>0.25</v>
      </c>
    </row>
    <row r="10">
      <c r="A10" s="1075" t="s">
        <v>755</v>
      </c>
      <c r="B10" s="869" t="n">
        <v>0</v>
      </c>
      <c r="C10" s="869" t="n">
        <v>0.5</v>
      </c>
      <c r="D10" s="869" t="n">
        <v>0.5</v>
      </c>
      <c r="E10" s="869" t="n">
        <v>0.25</v>
      </c>
      <c r="F10" s="869" t="n">
        <v>0.25</v>
      </c>
      <c r="G10" s="869" t="n">
        <v>0.25</v>
      </c>
      <c r="H10" s="869" t="n">
        <v>0.25</v>
      </c>
      <c r="I10" s="869" t="n">
        <v>0.25</v>
      </c>
      <c r="J10" s="869" t="n">
        <v>0.25</v>
      </c>
      <c r="K10" s="869" t="n">
        <v>0.25</v>
      </c>
      <c r="L10" s="869" t="n">
        <v>0.25</v>
      </c>
      <c r="M10" s="869" t="n">
        <v>0.25</v>
      </c>
      <c r="N10" s="869" t="n">
        <v>0.25</v>
      </c>
      <c r="O10" s="869" t="n">
        <v>0.25</v>
      </c>
      <c r="P10" s="869" t="n">
        <v>0.25</v>
      </c>
      <c r="Q10" s="869" t="n">
        <v>0.25</v>
      </c>
      <c r="R10" s="869" t="n">
        <v>0.25</v>
      </c>
      <c r="S10" s="869" t="n">
        <v>0.25</v>
      </c>
      <c r="T10" s="869" t="n">
        <v>0.25</v>
      </c>
      <c r="U10" s="869" t="n">
        <v>0.25</v>
      </c>
    </row>
    <row r="11">
      <c r="A11" s="1075" t="s">
        <v>756</v>
      </c>
      <c r="B11" s="869" t="n">
        <v>0</v>
      </c>
      <c r="C11" s="869" t="n">
        <v>0.5</v>
      </c>
      <c r="D11" s="869" t="n">
        <v>0.5</v>
      </c>
      <c r="E11" s="869" t="n">
        <v>0.25</v>
      </c>
      <c r="F11" s="869" t="n">
        <v>0.25</v>
      </c>
      <c r="G11" s="869" t="n">
        <v>0.25</v>
      </c>
      <c r="H11" s="869" t="n">
        <v>0.25</v>
      </c>
      <c r="I11" s="869" t="n">
        <v>0.25</v>
      </c>
      <c r="J11" s="869" t="n">
        <v>0.25</v>
      </c>
      <c r="K11" s="869" t="n">
        <v>0.25</v>
      </c>
      <c r="L11" s="869" t="n">
        <v>0.25</v>
      </c>
      <c r="M11" s="869" t="n">
        <v>0.25</v>
      </c>
      <c r="N11" s="869" t="n">
        <v>0.25</v>
      </c>
      <c r="O11" s="869" t="n">
        <v>0.25</v>
      </c>
      <c r="P11" s="869" t="n">
        <v>0.25</v>
      </c>
      <c r="Q11" s="869" t="n">
        <v>0.25</v>
      </c>
      <c r="R11" s="869" t="n">
        <v>0.25</v>
      </c>
      <c r="S11" s="869" t="n">
        <v>0.25</v>
      </c>
      <c r="T11" s="869" t="n">
        <v>0.25</v>
      </c>
      <c r="U11" s="869" t="n">
        <v>0.25</v>
      </c>
    </row>
    <row r="12" ht="14.25" customHeight="1">
      <c r="A12" s="1075" t="s">
        <v>757</v>
      </c>
      <c r="B12" s="869" t="n">
        <v>1</v>
      </c>
      <c r="C12" s="869"/>
      <c r="D12" s="869"/>
      <c r="E12" s="869"/>
      <c r="F12" s="869"/>
      <c r="G12" s="869"/>
      <c r="H12" s="869"/>
      <c r="I12" s="869"/>
      <c r="J12" s="869"/>
      <c r="K12" s="869"/>
      <c r="L12" s="869"/>
      <c r="M12" s="869"/>
      <c r="N12" s="869"/>
      <c r="O12" s="869"/>
      <c r="P12" s="869"/>
      <c r="Q12" s="869"/>
      <c r="R12" s="869"/>
      <c r="S12" s="869"/>
      <c r="T12" s="869"/>
      <c r="U12" s="869"/>
    </row>
    <row r="13">
      <c r="A13" s="1075" t="s">
        <v>758</v>
      </c>
      <c r="B13" s="869" t="n">
        <v>0</v>
      </c>
      <c r="C13" s="869" t="n">
        <v>0.4</v>
      </c>
      <c r="D13" s="869" t="n">
        <v>0.6</v>
      </c>
      <c r="E13" s="869" t="n">
        <v>0.4</v>
      </c>
      <c r="F13" s="869" t="n">
        <v>0.3</v>
      </c>
      <c r="G13" s="869" t="n">
        <v>0.2</v>
      </c>
      <c r="H13" s="869" t="n">
        <v>0.1</v>
      </c>
      <c r="I13" s="869" t="n">
        <v>0.25</v>
      </c>
      <c r="J13" s="869" t="n">
        <v>0.25</v>
      </c>
      <c r="K13" s="869" t="n">
        <v>0.25</v>
      </c>
      <c r="L13" s="869" t="n">
        <v>0.25</v>
      </c>
      <c r="M13" s="869" t="n">
        <v>0.25</v>
      </c>
      <c r="N13" s="869" t="n">
        <v>0.25</v>
      </c>
      <c r="O13" s="869" t="n">
        <v>0.25</v>
      </c>
      <c r="P13" s="869" t="n">
        <v>0.25</v>
      </c>
      <c r="Q13" s="869" t="n">
        <v>0.25</v>
      </c>
      <c r="R13" s="869" t="n">
        <v>0.25</v>
      </c>
      <c r="S13" s="869" t="n">
        <v>0.25</v>
      </c>
      <c r="T13" s="869" t="n">
        <v>0.25</v>
      </c>
      <c r="U13" s="869" t="n">
        <v>0.25</v>
      </c>
    </row>
    <row r="14">
      <c r="A14" s="1075"/>
      <c r="B14" s="869"/>
      <c r="C14" s="869"/>
      <c r="D14" s="869"/>
      <c r="E14" s="869"/>
      <c r="F14" s="869"/>
      <c r="G14" s="869"/>
      <c r="H14" s="869"/>
      <c r="I14" s="869"/>
      <c r="J14" s="869"/>
      <c r="K14" s="869"/>
      <c r="L14" s="869"/>
      <c r="M14" s="869"/>
      <c r="N14" s="869"/>
      <c r="O14" s="869"/>
      <c r="P14" s="869"/>
      <c r="Q14" s="869"/>
      <c r="R14" s="869"/>
      <c r="S14" s="869"/>
      <c r="T14" s="869"/>
      <c r="U14" s="869"/>
    </row>
    <row r="15" ht="27" customHeight="1">
      <c r="A15" s="1377" t="s">
        <v>759</v>
      </c>
      <c r="B15" s="869" t="n">
        <v>1</v>
      </c>
      <c r="C15" s="869" t="n">
        <v>2</v>
      </c>
      <c r="D15" s="869" t="n">
        <v>3</v>
      </c>
      <c r="E15" s="869" t="n">
        <v>4</v>
      </c>
      <c r="F15" s="869" t="n">
        <v>5</v>
      </c>
      <c r="G15" s="869" t="n">
        <v>6</v>
      </c>
      <c r="H15" s="869" t="n">
        <v>7</v>
      </c>
      <c r="I15" s="869" t="n">
        <v>8</v>
      </c>
      <c r="J15" s="869" t="n">
        <v>9</v>
      </c>
      <c r="K15" s="869" t="n">
        <v>10</v>
      </c>
      <c r="L15" s="869" t="n">
        <v>11</v>
      </c>
      <c r="M15" s="869" t="n">
        <v>12</v>
      </c>
      <c r="N15" s="869" t="n">
        <v>13</v>
      </c>
      <c r="O15" s="869" t="n">
        <v>14</v>
      </c>
      <c r="P15" s="869" t="n">
        <v>15</v>
      </c>
      <c r="Q15" s="869" t="n">
        <v>16</v>
      </c>
      <c r="R15" s="869" t="n">
        <v>17</v>
      </c>
      <c r="S15" s="869" t="n">
        <v>18</v>
      </c>
      <c r="T15" s="869" t="n">
        <v>19</v>
      </c>
      <c r="U15" s="869" t="n">
        <v>20</v>
      </c>
    </row>
    <row r="16">
      <c r="A16" s="1075" t="s">
        <v>760</v>
      </c>
      <c r="B16" s="869" t="n">
        <v>7.0000000000000007E-2</v>
      </c>
      <c r="C16" s="869" t="n">
        <v>7.0000000000000007E-2</v>
      </c>
      <c r="D16" s="869" t="n">
        <v>4.9000000000000002E-2</v>
      </c>
      <c r="E16" s="869" t="n">
        <v>4.9000000000000002E-2</v>
      </c>
      <c r="F16" s="869" t="n">
        <v>4.9000000000000002E-2</v>
      </c>
      <c r="G16" s="869" t="n">
        <v>4.9000000000000002E-2</v>
      </c>
      <c r="H16" s="869" t="n">
        <v>4.9000000000000002E-2</v>
      </c>
      <c r="I16" s="869" t="n">
        <v>4.9000000000000002E-2</v>
      </c>
      <c r="J16" s="869" t="n">
        <v>4.9000000000000002E-2</v>
      </c>
      <c r="K16" s="869" t="n">
        <v>4.9000000000000002E-2</v>
      </c>
      <c r="L16" s="869" t="n">
        <v>4.9000000000000002E-2</v>
      </c>
      <c r="M16" s="869" t="n">
        <v>4.9000000000000002E-2</v>
      </c>
      <c r="N16" s="869" t="n">
        <f t="shared" ref="N16:T16" si="1">0.0475</f>
        <v>4.7500000000000001E-2</v>
      </c>
      <c r="O16" s="869" t="n">
        <f t="shared" si="1"/>
        <v>4.7500000000000001E-2</v>
      </c>
      <c r="P16" s="869" t="n">
        <f t="shared" si="1"/>
        <v>4.7500000000000001E-2</v>
      </c>
      <c r="Q16" s="869" t="n">
        <f t="shared" si="1"/>
        <v>4.7500000000000001E-2</v>
      </c>
      <c r="R16" s="869" t="n">
        <f t="shared" si="1"/>
        <v>4.7500000000000001E-2</v>
      </c>
      <c r="S16" s="869" t="n">
        <f t="shared" si="1"/>
        <v>4.7500000000000001E-2</v>
      </c>
      <c r="T16" s="869" t="n">
        <f t="shared" si="1"/>
        <v>4.7500000000000001E-2</v>
      </c>
      <c r="U16" s="869" t="n">
        <f>0.0375</f>
        <v>3.7499999999999999E-2</v>
      </c>
      <c r="V16" s="869" t="n">
        <f>SUM(B16:U16)</f>
        <v>0.99999999999999989</v>
      </c>
    </row>
    <row r="17" ht="27" customHeight="1">
      <c r="A17" s="1075" t="s">
        <v>761</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869" t="n">
        <f>SUM(B17:U17)</f>
        <v>0.94000000000000006</v>
      </c>
      <c r="W17" t="s">
        <v>762</v>
      </c>
    </row>
    <row r="19">
      <c r="B19" s="995" t="e">
        <f>'Federal and State Purchases'!#REF!</f>
        <v>#REF!</v>
      </c>
      <c r="C19" s="995" t="e">
        <f>'Federal and State Purchases'!#REF!</f>
        <v>#REF!</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98" zoomScaleNormal="80" workbookViewId="0">
      <selection activeCell="P28" sqref="P28"/>
    </sheetView>
  </sheetViews>
  <sheetFormatPr defaultRowHeight="15.0" baseColWidth="10"/>
  <cols>
    <col min="1" max="1" width="15.453125" hidden="0" customWidth="1"/>
    <col min="2" max="2" width="32.453125" hidden="0" customWidth="1"/>
  </cols>
  <sheetData>
    <row r="1">
      <c r="A1" s="885" t="s">
        <v>763</v>
      </c>
      <c r="B1" s="885" t="s">
        <v>673</v>
      </c>
      <c r="C1" s="1380" t="n">
        <v>2021</v>
      </c>
      <c r="D1" s="1380" t="n">
        <f>C1</f>
        <v>2021</v>
      </c>
      <c r="E1" s="1380" t="n">
        <f>D1</f>
        <v>2021</v>
      </c>
      <c r="F1" s="1380" t="n">
        <v>2022</v>
      </c>
      <c r="G1" s="1380" t="n">
        <v>2022</v>
      </c>
      <c r="H1" s="1380" t="n">
        <v>2022</v>
      </c>
      <c r="I1" s="1380" t="n">
        <v>2022</v>
      </c>
      <c r="J1" s="1380" t="n">
        <v>2023</v>
      </c>
      <c r="K1" s="1380" t="n">
        <v>2023</v>
      </c>
      <c r="L1" s="1380" t="n">
        <v>2023</v>
      </c>
      <c r="M1" s="1380" t="n">
        <v>2023</v>
      </c>
      <c r="N1" s="1380" t="n">
        <v>2024</v>
      </c>
      <c r="O1" s="1380" t="n">
        <v>2024</v>
      </c>
      <c r="P1" s="1380" t="n">
        <v>2024</v>
      </c>
      <c r="Q1" s="1380" t="n">
        <v>2024</v>
      </c>
      <c r="R1" s="1380" t="n">
        <v>2025</v>
      </c>
      <c r="S1" s="1380" t="n">
        <v>2025</v>
      </c>
      <c r="T1" s="1380" t="n">
        <v>2025</v>
      </c>
      <c r="U1" s="1380" t="n">
        <v>2025</v>
      </c>
      <c r="V1" s="1380" t="n">
        <v>2026</v>
      </c>
    </row>
    <row r="2">
      <c r="B2" s="885" t="s">
        <v>764</v>
      </c>
      <c r="C2" s="742" t="s">
        <v>250</v>
      </c>
      <c r="D2" s="742" t="s">
        <v>251</v>
      </c>
      <c r="E2" s="742" t="s">
        <v>180</v>
      </c>
      <c r="F2" s="742" t="s">
        <v>181</v>
      </c>
      <c r="G2" s="742" t="s">
        <v>182</v>
      </c>
      <c r="H2" s="742" t="s">
        <v>183</v>
      </c>
      <c r="I2" s="742" t="s">
        <v>184</v>
      </c>
      <c r="J2" s="742" t="s">
        <v>185</v>
      </c>
      <c r="K2" s="742" t="s">
        <v>186</v>
      </c>
      <c r="L2" s="742" t="s">
        <v>187</v>
      </c>
      <c r="M2" s="742" t="s">
        <v>188</v>
      </c>
      <c r="N2" s="742" t="s">
        <v>189</v>
      </c>
      <c r="O2" s="742" t="s">
        <v>190</v>
      </c>
      <c r="P2" s="742" t="s">
        <v>191</v>
      </c>
      <c r="Q2" s="742" t="s">
        <v>175</v>
      </c>
      <c r="R2" s="742" t="s">
        <v>176</v>
      </c>
      <c r="S2" s="742" t="s">
        <v>177</v>
      </c>
      <c r="T2" s="742" t="s">
        <v>765</v>
      </c>
      <c r="U2" s="742" t="s">
        <v>766</v>
      </c>
      <c r="V2" s="742" t="s">
        <v>767</v>
      </c>
    </row>
    <row r="3">
      <c r="A3" s="885" t="n">
        <v>3</v>
      </c>
      <c r="B3" s="885" t="s">
        <v>528</v>
      </c>
      <c r="C3" s="1381" t="n">
        <f>4*'ARP Timing'!B6*VLOOKUP(C$1,'ARP Score'!$A$5:$M14,$A3)</f>
        <v>0</v>
      </c>
      <c r="D3" s="1381" t="n">
        <f>4*'ARP Timing'!C6*VLOOKUP(D$1,'ARP Score'!$A$5:$M14,$A3)</f>
        <v>336.60399999999998</v>
      </c>
      <c r="E3" s="1381" t="n">
        <f>4*'ARP Timing'!D6*VLOOKUP(E$1,'ARP Score'!$A$5:$M14,$A3)</f>
        <v>446.19599999999991</v>
      </c>
      <c r="F3" s="1381" t="n">
        <f>4*'ARP Timing'!E6*VLOOKUP(F$1,'ARP Score'!$A$5:$M14,$A3)</f>
        <v>10.1</v>
      </c>
      <c r="G3" s="1381" t="n">
        <f>4*'ARP Timing'!F6*VLOOKUP(G$1,'ARP Score'!$A$5:$M14,$A3)</f>
        <v>10.1</v>
      </c>
      <c r="H3" s="1381" t="n">
        <f>4*'ARP Timing'!G6*VLOOKUP(H$1,'ARP Score'!$A$5:$M14,$A3)</f>
        <v>10.1</v>
      </c>
      <c r="I3" s="1381" t="n">
        <f>4*'ARP Timing'!H6*VLOOKUP(I$1,'ARP Score'!$A$5:$M14,$A3)</f>
        <v>10.1</v>
      </c>
      <c r="J3" s="1381" t="n">
        <f>4*'ARP Timing'!I6*VLOOKUP(J$1,'ARP Score'!$A$5:$M14,$A3)</f>
        <v>0</v>
      </c>
      <c r="K3" s="1381" t="n">
        <f>4*'ARP Timing'!J6*VLOOKUP(K$1,'ARP Score'!$A$5:$M14,$A3)</f>
        <v>0</v>
      </c>
      <c r="L3" s="1381" t="n">
        <f>4*'ARP Timing'!K6*VLOOKUP(L$1,'ARP Score'!$A$5:$M14,$A3)</f>
        <v>0</v>
      </c>
      <c r="M3" s="1381" t="n">
        <f>4*'ARP Timing'!L6*VLOOKUP(M$1,'ARP Score'!$A$5:$M14,$A3)</f>
        <v>0</v>
      </c>
      <c r="N3" s="1381" t="n">
        <f>4*'ARP Timing'!M6*VLOOKUP(N$1,'ARP Score'!$A$5:$M14,$A3)</f>
        <v>0</v>
      </c>
      <c r="O3" s="1381" t="n">
        <f>4*'ARP Timing'!N6*VLOOKUP(O$1,'ARP Score'!$A$5:$M14,$A3)</f>
        <v>0</v>
      </c>
      <c r="P3" s="1381" t="n">
        <f>4*'ARP Timing'!O6*VLOOKUP(P$1,'ARP Score'!$A$5:$M14,$A3)</f>
        <v>0</v>
      </c>
      <c r="Q3" s="1381" t="n">
        <f>4*'ARP Timing'!P6*VLOOKUP(Q$1,'ARP Score'!$A$5:$M14,$A3)</f>
        <v>0</v>
      </c>
      <c r="R3" s="1381" t="n">
        <f>4*'ARP Timing'!Q6*VLOOKUP(R$1,'ARP Score'!$A$5:$M14,$A3)</f>
        <v>0</v>
      </c>
      <c r="S3" s="1381" t="n">
        <f>4*'ARP Timing'!R6*VLOOKUP(S$1,'ARP Score'!$A$5:$M14,$A3)</f>
        <v>0</v>
      </c>
      <c r="T3" s="1381" t="n">
        <f>4*'ARP Timing'!S6*VLOOKUP(T$1,'ARP Score'!$A$5:$M14,$A3)</f>
        <v>0</v>
      </c>
      <c r="U3" s="1381" t="n">
        <f>4*'ARP Timing'!T6*VLOOKUP(U$1,'ARP Score'!$A$5:$M14,$A3)</f>
        <v>0</v>
      </c>
      <c r="V3" s="1381" t="n">
        <f>4*'ARP Timing'!U6*VLOOKUP(V$1,'ARP Score'!$A$5:$M14,$A3)</f>
        <v>0</v>
      </c>
      <c r="W3" s="1381" t="n">
        <f>SUM(C3:U3)/4</f>
        <v>205.8</v>
      </c>
    </row>
    <row r="4">
      <c r="A4" s="885" t="n">
        <v>5</v>
      </c>
      <c r="B4" s="61" t="s">
        <v>675</v>
      </c>
      <c r="C4" s="1381" t="n">
        <f>4*'ARP Timing'!B7*VLOOKUP(C$1,'ARP Score'!$A$5:$M15,$A4)</f>
        <v>0</v>
      </c>
      <c r="D4" s="1381" t="n">
        <f>4*'ARP Timing'!C7*VLOOKUP(D$1,'ARP Score'!$A$5:$M15,$A4)</f>
        <v>0</v>
      </c>
      <c r="E4" s="1381" t="n">
        <f>4*'ARP Timing'!D7*VLOOKUP(E$1,'ARP Score'!$A$5:$M15,$A4)</f>
        <v>3.1040000000000418</v>
      </c>
      <c r="F4" s="1381" t="n">
        <f>4*'ARP Timing'!E7*VLOOKUP(F$1,'ARP Score'!$A$5:$M15,$A4)</f>
        <v>19.719000000000005</v>
      </c>
      <c r="G4" s="1381" t="n">
        <f>4*'ARP Timing'!F7*VLOOKUP(G$1,'ARP Score'!$A$5:$M15,$A4)</f>
        <v>19.719000000000005</v>
      </c>
      <c r="H4" s="1381" t="n">
        <f>4*'ARP Timing'!G7*VLOOKUP(H$1,'ARP Score'!$A$5:$M15,$A4)</f>
        <v>19.719000000000005</v>
      </c>
      <c r="I4" s="1381" t="n">
        <f>4*'ARP Timing'!H7*VLOOKUP(I$1,'ARP Score'!$A$5:$M15,$A4)</f>
        <v>19.719000000000005</v>
      </c>
      <c r="J4" s="1381" t="n">
        <f>4*'ARP Timing'!I7*VLOOKUP(J$1,'ARP Score'!$A$5:$M15,$A4)</f>
        <v>1.4159999999999999</v>
      </c>
      <c r="K4" s="1381" t="n">
        <f>4*'ARP Timing'!J7*VLOOKUP(K$1,'ARP Score'!$A$5:$M15,$A4)</f>
        <v>1.4159999999999999</v>
      </c>
      <c r="L4" s="1381" t="n">
        <f>4*'ARP Timing'!K7*VLOOKUP(L$1,'ARP Score'!$A$5:$M15,$A4)</f>
        <v>1.4159999999999999</v>
      </c>
      <c r="M4" s="1381" t="n">
        <f>4*'ARP Timing'!L7*VLOOKUP(M$1,'ARP Score'!$A$5:$M15,$A4)</f>
        <v>1.4159999999999999</v>
      </c>
      <c r="N4" s="1381" t="n">
        <f>4*'ARP Timing'!M7*VLOOKUP(N$1,'ARP Score'!$A$5:$M15,$A4)</f>
        <v>1.4790000000000001</v>
      </c>
      <c r="O4" s="1381" t="n">
        <f>4*'ARP Timing'!N7*VLOOKUP(O$1,'ARP Score'!$A$5:$M15,$A4)</f>
        <v>1.4790000000000001</v>
      </c>
      <c r="P4" s="1381" t="n">
        <f>4*'ARP Timing'!O7*VLOOKUP(P$1,'ARP Score'!$A$5:$M15,$A4)</f>
        <v>1.4790000000000001</v>
      </c>
      <c r="Q4" s="1381" t="n">
        <f>4*'ARP Timing'!P7*VLOOKUP(Q$1,'ARP Score'!$A$5:$M15,$A4)</f>
        <v>1.4790000000000001</v>
      </c>
      <c r="R4" s="1381" t="n">
        <f>4*'ARP Timing'!Q7*VLOOKUP(R$1,'ARP Score'!$A$5:$M15,$A4)</f>
        <v>1.63</v>
      </c>
      <c r="S4" s="1381" t="n">
        <f>4*'ARP Timing'!R7*VLOOKUP(S$1,'ARP Score'!$A$5:$M15,$A4)</f>
        <v>1.63</v>
      </c>
      <c r="T4" s="1381" t="n">
        <f>4*'ARP Timing'!S7*VLOOKUP(T$1,'ARP Score'!$A$5:$M15,$A4)</f>
        <v>1.63</v>
      </c>
      <c r="U4" s="1381" t="n">
        <f>4*'ARP Timing'!T7*VLOOKUP(U$1,'ARP Score'!$A$5:$M15,$A4)</f>
        <v>1.63</v>
      </c>
      <c r="V4" s="1381" t="n">
        <f>4*'ARP Timing'!U7*VLOOKUP(V$1,'ARP Score'!$A$5:$M15,$A4)</f>
        <v>1.671</v>
      </c>
      <c r="W4" s="1381" t="n">
        <f>SUM(C4:U4)/4</f>
        <v>25.020000000000007</v>
      </c>
    </row>
    <row r="5">
      <c r="A5" s="885" t="n">
        <v>6</v>
      </c>
      <c r="B5" s="61" t="s">
        <v>676</v>
      </c>
      <c r="C5" s="1381" t="n">
        <f>4*'ARP Timing'!B8*VLOOKUP(C$1,'ARP Score'!$A$5:$M16,$A5)</f>
        <v>0</v>
      </c>
      <c r="D5" s="1381" t="n">
        <f>4*'ARP Timing'!C8*VLOOKUP(D$1,'ARP Score'!$A$5:$M16,$A5)</f>
        <v>33.921840000000024</v>
      </c>
      <c r="E5" s="1381" t="n">
        <f>4*'ARP Timing'!D8*VLOOKUP(E$1,'ARP Score'!$A$5:$M16,$A5)</f>
        <v>44.966160000000031</v>
      </c>
      <c r="F5" s="1381" t="n">
        <f>4*'ARP Timing'!E8*VLOOKUP(F$1,'ARP Score'!$A$5:$M16,$A5)</f>
        <v>52.756999999999998</v>
      </c>
      <c r="G5" s="1381" t="n">
        <f>4*'ARP Timing'!F8*VLOOKUP(G$1,'ARP Score'!$A$5:$M16,$A5)</f>
        <v>52.756999999999998</v>
      </c>
      <c r="H5" s="1381" t="n">
        <f>4*'ARP Timing'!G8*VLOOKUP(H$1,'ARP Score'!$A$5:$M16,$A5)</f>
        <v>52.756999999999998</v>
      </c>
      <c r="I5" s="1381" t="n">
        <f>4*'ARP Timing'!H8*VLOOKUP(I$1,'ARP Score'!$A$5:$M16,$A5)</f>
        <v>52.756999999999998</v>
      </c>
      <c r="J5" s="1381" t="n">
        <f>4*'ARP Timing'!I8*VLOOKUP(J$1,'ARP Score'!$A$5:$M16,$A5)</f>
        <v>12</v>
      </c>
      <c r="K5" s="1381" t="n">
        <f>4*'ARP Timing'!J8*VLOOKUP(K$1,'ARP Score'!$A$5:$M16,$A5)</f>
        <v>12</v>
      </c>
      <c r="L5" s="1381" t="n">
        <f>4*'ARP Timing'!K8*VLOOKUP(L$1,'ARP Score'!$A$5:$M16,$A5)</f>
        <v>12</v>
      </c>
      <c r="M5" s="1381" t="n">
        <f>4*'ARP Timing'!L8*VLOOKUP(M$1,'ARP Score'!$A$5:$M16,$A5)</f>
        <v>12</v>
      </c>
      <c r="N5" s="1381" t="n">
        <f>4*'ARP Timing'!M8*VLOOKUP(N$1,'ARP Score'!$A$5:$M16,$A5)</f>
        <v>4.2219999999999995</v>
      </c>
      <c r="O5" s="1381" t="n">
        <f>4*'ARP Timing'!N8*VLOOKUP(O$1,'ARP Score'!$A$5:$M16,$A5)</f>
        <v>4.2219999999999995</v>
      </c>
      <c r="P5" s="1381" t="n">
        <f>4*'ARP Timing'!O8*VLOOKUP(P$1,'ARP Score'!$A$5:$M16,$A5)</f>
        <v>4.2219999999999995</v>
      </c>
      <c r="Q5" s="1381" t="n">
        <f>4*'ARP Timing'!P8*VLOOKUP(Q$1,'ARP Score'!$A$5:$M16,$A5)</f>
        <v>4.2219999999999995</v>
      </c>
      <c r="R5" s="1381" t="n">
        <f>4*'ARP Timing'!Q8*VLOOKUP(R$1,'ARP Score'!$A$5:$M16,$A5)</f>
        <v>2.3719999999999999</v>
      </c>
      <c r="S5" s="1381" t="n">
        <f>4*'ARP Timing'!R8*VLOOKUP(S$1,'ARP Score'!$A$5:$M16,$A5)</f>
        <v>2.3719999999999999</v>
      </c>
      <c r="T5" s="1381" t="n">
        <f>4*'ARP Timing'!S8*VLOOKUP(T$1,'ARP Score'!$A$5:$M16,$A5)</f>
        <v>2.3719999999999999</v>
      </c>
      <c r="U5" s="1381" t="n">
        <f>4*'ARP Timing'!T8*VLOOKUP(U$1,'ARP Score'!$A$5:$M16,$A5)</f>
        <v>2.3719999999999999</v>
      </c>
      <c r="V5" s="1381" t="n">
        <f>4*'ARP Timing'!U8*VLOOKUP(V$1,'ARP Score'!$A$5:$M16,$A5)</f>
        <v>0.49</v>
      </c>
      <c r="W5" s="1381" t="n">
        <f t="shared" ref="W5:W15" si="0">SUM(C5:U5)/4</f>
        <v>91.073000000000008</v>
      </c>
    </row>
    <row r="6">
      <c r="A6" s="885" t="n">
        <v>7</v>
      </c>
      <c r="B6" s="61" t="s">
        <v>768</v>
      </c>
      <c r="C6" s="1381" t="n">
        <f>4*'ARP Timing'!B9*VLOOKUP(C$1,'ARP Score'!$A$5:$M17,$A6)</f>
        <v>0</v>
      </c>
      <c r="D6" s="1381" t="n">
        <f>4*'ARP Timing'!C9*VLOOKUP(D$1,'ARP Score'!$A$5:$M17,$A6)</f>
        <v>58.782959999999989</v>
      </c>
      <c r="E6" s="1381" t="n">
        <f>4*'ARP Timing'!D9*VLOOKUP(E$1,'ARP Score'!$A$5:$M17,$A6)</f>
        <v>267.78904</v>
      </c>
      <c r="F6" s="1381" t="n">
        <f>4*'ARP Timing'!E9*VLOOKUP(F$1,'ARP Score'!$A$5:$M17,$A6)</f>
        <v>110.24799999999999</v>
      </c>
      <c r="G6" s="1381" t="n">
        <f>4*'ARP Timing'!F9*VLOOKUP(G$1,'ARP Score'!$A$5:$M17,$A6)</f>
        <v>110.24799999999999</v>
      </c>
      <c r="H6" s="1381" t="n">
        <f>4*'ARP Timing'!G9*VLOOKUP(H$1,'ARP Score'!$A$5:$M17,$A6)</f>
        <v>110.24799999999999</v>
      </c>
      <c r="I6" s="1381" t="n">
        <f>4*'ARP Timing'!H9*VLOOKUP(I$1,'ARP Score'!$A$5:$M17,$A6)</f>
        <v>110.24799999999999</v>
      </c>
      <c r="J6" s="1381" t="n">
        <f>4*'ARP Timing'!I9*VLOOKUP(J$1,'ARP Score'!$A$5:$M17,$A6)</f>
        <v>12.726000000000001</v>
      </c>
      <c r="K6" s="1381" t="n">
        <f>4*'ARP Timing'!J9*VLOOKUP(K$1,'ARP Score'!$A$5:$M17,$A6)</f>
        <v>12.726000000000001</v>
      </c>
      <c r="L6" s="1381" t="n">
        <f>4*'ARP Timing'!K9*VLOOKUP(L$1,'ARP Score'!$A$5:$M17,$A6)</f>
        <v>12.726000000000001</v>
      </c>
      <c r="M6" s="1381" t="n">
        <f>4*'ARP Timing'!L9*VLOOKUP(M$1,'ARP Score'!$A$5:$M17,$A6)</f>
        <v>12.726000000000001</v>
      </c>
      <c r="N6" s="1381" t="n">
        <f>4*'ARP Timing'!M9*VLOOKUP(N$1,'ARP Score'!$A$5:$M17,$A6)</f>
        <v>1.365</v>
      </c>
      <c r="O6" s="1381" t="n">
        <f>4*'ARP Timing'!N9*VLOOKUP(O$1,'ARP Score'!$A$5:$M17,$A6)</f>
        <v>1.365</v>
      </c>
      <c r="P6" s="1381" t="n">
        <f>4*'ARP Timing'!O9*VLOOKUP(P$1,'ARP Score'!$A$5:$M17,$A6)</f>
        <v>1.365</v>
      </c>
      <c r="Q6" s="1381" t="n">
        <f>4*'ARP Timing'!P9*VLOOKUP(Q$1,'ARP Score'!$A$5:$M17,$A6)</f>
        <v>1.365</v>
      </c>
      <c r="R6" s="1381" t="n">
        <f>4*'ARP Timing'!Q9*VLOOKUP(R$1,'ARP Score'!$A$5:$M17,$A6)</f>
        <v>-0.90100000000000025</v>
      </c>
      <c r="S6" s="1381" t="n">
        <f>4*'ARP Timing'!R9*VLOOKUP(S$1,'ARP Score'!$A$5:$M17,$A6)</f>
        <v>-0.90100000000000025</v>
      </c>
      <c r="T6" s="1381" t="n">
        <f>4*'ARP Timing'!S9*VLOOKUP(T$1,'ARP Score'!$A$5:$M17,$A6)</f>
        <v>-0.90100000000000025</v>
      </c>
      <c r="U6" s="1381" t="n">
        <f>4*'ARP Timing'!T9*VLOOKUP(U$1,'ARP Score'!$A$5:$M17,$A6)</f>
        <v>-0.90100000000000025</v>
      </c>
      <c r="V6" s="1381" t="n">
        <f>4*'ARP Timing'!U9*VLOOKUP(V$1,'ARP Score'!$A$5:$M17,$A6)</f>
        <v>-2.1500000000000004</v>
      </c>
      <c r="W6" s="1381" t="n">
        <f t="shared" si="0"/>
        <v>205.08100000000007</v>
      </c>
    </row>
    <row r="7">
      <c r="A7" s="885" t="n">
        <v>8</v>
      </c>
      <c r="B7" s="61" t="s">
        <v>131</v>
      </c>
      <c r="C7" s="1381" t="n">
        <f>4*'ARP Timing'!B10*VLOOKUP(C$1,'ARP Score'!$A$5:$M18,$A7)</f>
        <v>0</v>
      </c>
      <c r="D7" s="1381" t="n">
        <f>4*'ARP Timing'!C10*VLOOKUP(D$1,'ARP Score'!$A$5:$M18,$A7)</f>
        <v>15.596</v>
      </c>
      <c r="E7" s="1381" t="n">
        <f>4*'ARP Timing'!D10*VLOOKUP(E$1,'ARP Score'!$A$5:$M18,$A7)</f>
        <v>15.596</v>
      </c>
      <c r="F7" s="1381" t="n">
        <f>4*'ARP Timing'!E10*VLOOKUP(F$1,'ARP Score'!$A$5:$M18,$A7)</f>
        <v>7.9489999999999998</v>
      </c>
      <c r="G7" s="1381" t="n">
        <f>4*'ARP Timing'!F10*VLOOKUP(G$1,'ARP Score'!$A$5:$M18,$A7)</f>
        <v>7.9489999999999998</v>
      </c>
      <c r="H7" s="1381" t="n">
        <f>4*'ARP Timing'!G10*VLOOKUP(H$1,'ARP Score'!$A$5:$M18,$A7)</f>
        <v>7.9489999999999998</v>
      </c>
      <c r="I7" s="1381" t="n">
        <f>4*'ARP Timing'!H10*VLOOKUP(I$1,'ARP Score'!$A$5:$M18,$A7)</f>
        <v>7.9489999999999998</v>
      </c>
      <c r="J7" s="1381" t="n">
        <f>4*'ARP Timing'!I10*VLOOKUP(J$1,'ARP Score'!$A$5:$M18,$A7)</f>
        <v>4.7519999999999998</v>
      </c>
      <c r="K7" s="1381" t="n">
        <f>4*'ARP Timing'!J10*VLOOKUP(K$1,'ARP Score'!$A$5:$M18,$A7)</f>
        <v>4.7519999999999998</v>
      </c>
      <c r="L7" s="1381" t="n">
        <f>4*'ARP Timing'!K10*VLOOKUP(L$1,'ARP Score'!$A$5:$M18,$A7)</f>
        <v>4.7519999999999998</v>
      </c>
      <c r="M7" s="1381" t="n">
        <f>4*'ARP Timing'!L10*VLOOKUP(M$1,'ARP Score'!$A$5:$M18,$A7)</f>
        <v>4.7519999999999998</v>
      </c>
      <c r="N7" s="1381" t="n">
        <f>4*'ARP Timing'!M10*VLOOKUP(N$1,'ARP Score'!$A$5:$M18,$A7)</f>
        <v>4.637999999999999</v>
      </c>
      <c r="O7" s="1381" t="n">
        <f>4*'ARP Timing'!N10*VLOOKUP(O$1,'ARP Score'!$A$5:$M18,$A7)</f>
        <v>4.637999999999999</v>
      </c>
      <c r="P7" s="1381" t="n">
        <f>4*'ARP Timing'!O10*VLOOKUP(P$1,'ARP Score'!$A$5:$M18,$A7)</f>
        <v>4.637999999999999</v>
      </c>
      <c r="Q7" s="1381" t="n">
        <f>4*'ARP Timing'!P10*VLOOKUP(Q$1,'ARP Score'!$A$5:$M18,$A7)</f>
        <v>4.637999999999999</v>
      </c>
      <c r="R7" s="1381" t="n">
        <f>4*'ARP Timing'!Q10*VLOOKUP(R$1,'ARP Score'!$A$5:$M18,$A7)</f>
        <v>1.8800000000000001</v>
      </c>
      <c r="S7" s="1381" t="n">
        <f>4*'ARP Timing'!R10*VLOOKUP(S$1,'ARP Score'!$A$5:$M18,$A7)</f>
        <v>1.8800000000000001</v>
      </c>
      <c r="T7" s="1381" t="n">
        <f>4*'ARP Timing'!S10*VLOOKUP(T$1,'ARP Score'!$A$5:$M18,$A7)</f>
        <v>1.8800000000000001</v>
      </c>
      <c r="U7" s="1381" t="n">
        <f>4*'ARP Timing'!T10*VLOOKUP(U$1,'ARP Score'!$A$5:$M18,$A7)</f>
        <v>1.8800000000000001</v>
      </c>
      <c r="V7" s="1381" t="n">
        <f>4*'ARP Timing'!U10*VLOOKUP(V$1,'ARP Score'!$A$5:$M18,$A7)</f>
        <v>1.446</v>
      </c>
      <c r="W7" s="1381" t="n">
        <f t="shared" si="0"/>
        <v>27.016999999999996</v>
      </c>
    </row>
    <row r="8">
      <c r="A8" s="885" t="n">
        <v>9</v>
      </c>
      <c r="B8" s="1382" t="s">
        <v>348</v>
      </c>
      <c r="C8" s="1381" t="n">
        <f>4*'ARP Timing'!B$11*VLOOKUP(C$1,'ARP Score'!$A$5:$M19,$A8)</f>
        <v>0</v>
      </c>
      <c r="D8" s="1381" t="n">
        <f>0.6*SUM('ARP Score'!B5:B7)*4</f>
        <v>989.16719999999987</v>
      </c>
      <c r="E8" s="1380" t="n">
        <v>0</v>
      </c>
      <c r="F8" s="1381" t="n">
        <v>0</v>
      </c>
      <c r="G8" s="1381" t="n">
        <v>0</v>
      </c>
      <c r="H8" s="1381" t="n">
        <f>D8*0.4/0.6</f>
        <v>659.44479999999999</v>
      </c>
      <c r="I8" s="1381" t="n">
        <v>0</v>
      </c>
      <c r="J8" s="885" t="n">
        <v>0</v>
      </c>
      <c r="K8" s="1381" t="n">
        <v>0</v>
      </c>
      <c r="L8" s="1381" t="n">
        <v>0</v>
      </c>
      <c r="M8" s="1381" t="n">
        <v>0</v>
      </c>
      <c r="N8" s="1381" t="n">
        <v>0</v>
      </c>
      <c r="O8" s="1381" t="n">
        <v>0</v>
      </c>
      <c r="P8" s="1381" t="n">
        <v>0</v>
      </c>
      <c r="Q8" s="1381" t="n">
        <v>0</v>
      </c>
      <c r="R8" s="1381" t="n">
        <v>0</v>
      </c>
      <c r="S8" s="1381" t="n">
        <v>0</v>
      </c>
      <c r="T8" s="1381" t="n">
        <v>0</v>
      </c>
      <c r="U8" s="1381" t="n">
        <v>0</v>
      </c>
      <c r="V8" s="1381" t="n">
        <v>0</v>
      </c>
      <c r="W8" s="1381" t="n">
        <f t="shared" si="0"/>
        <v>412.15299999999996</v>
      </c>
    </row>
    <row r="9">
      <c r="A9" s="885" t="n">
        <v>10</v>
      </c>
      <c r="B9" s="1382" t="s">
        <v>150</v>
      </c>
      <c r="C9" s="1381" t="n">
        <f>4*'ARP Timing'!B$11*VLOOKUP(C$1,'ARP Score'!$A$5:$M20,$A9)</f>
        <v>0</v>
      </c>
      <c r="D9" s="1381" t="n">
        <f>4*'ARP Timing'!C$11*VLOOKUP(D$1,'ARP Score'!$A$5:$M20,$A9)</f>
        <v>24.693999999999999</v>
      </c>
      <c r="E9" s="1381" t="n">
        <f>4*'ARP Timing'!D$11*VLOOKUP(E$1,'ARP Score'!$A$5:$M20,$A9)</f>
        <v>24.693999999999999</v>
      </c>
      <c r="F9" s="1381" t="n">
        <f>4*'ARP Timing'!E$11*VLOOKUP(F$1,'ARP Score'!$A$5:$M20,$A9)</f>
        <v>46.79</v>
      </c>
      <c r="G9" s="1381" t="n">
        <f>4*'ARP Timing'!F$11*VLOOKUP(G$1,'ARP Score'!$A$5:$M20,$A9)</f>
        <v>46.79</v>
      </c>
      <c r="H9" s="1381" t="n">
        <f>4*'ARP Timing'!G$11*VLOOKUP(H$1,'ARP Score'!$A$5:$M20,$A9)</f>
        <v>46.79</v>
      </c>
      <c r="I9" s="1381" t="n">
        <f>4*'ARP Timing'!H$11*VLOOKUP(I$1,'ARP Score'!$A$5:$M20,$A9)</f>
        <v>46.79</v>
      </c>
      <c r="J9" s="1381" t="n">
        <f>4*'ARP Timing'!I$11*VLOOKUP(J$1,'ARP Score'!$A$5:$M20,$A9)</f>
        <v>38.595999999999997</v>
      </c>
      <c r="K9" s="1381" t="n">
        <f>4*'ARP Timing'!J$11*VLOOKUP(K$1,'ARP Score'!$A$5:$M20,$A9)</f>
        <v>38.595999999999997</v>
      </c>
      <c r="L9" s="1381" t="n">
        <f>4*'ARP Timing'!K$11*VLOOKUP(L$1,'ARP Score'!$A$5:$M20,$A9)</f>
        <v>38.595999999999997</v>
      </c>
      <c r="M9" s="1381" t="n">
        <f>4*'ARP Timing'!L$11*VLOOKUP(M$1,'ARP Score'!$A$5:$M20,$A9)</f>
        <v>38.595999999999997</v>
      </c>
      <c r="N9" s="1381" t="n">
        <f>4*'ARP Timing'!M$11*VLOOKUP(N$1,'ARP Score'!$A$5:$M20,$A9)</f>
        <v>31.911000000000001</v>
      </c>
      <c r="O9" s="1381" t="n">
        <f>4*'ARP Timing'!N$11*VLOOKUP(O$1,'ARP Score'!$A$5:$M20,$A9)</f>
        <v>31.911000000000001</v>
      </c>
      <c r="P9" s="1381" t="n">
        <f>4*'ARP Timing'!O$11*VLOOKUP(P$1,'ARP Score'!$A$5:$M20,$A9)</f>
        <v>31.911000000000001</v>
      </c>
      <c r="Q9" s="1381" t="n">
        <f>4*'ARP Timing'!P$11*VLOOKUP(Q$1,'ARP Score'!$A$5:$M20,$A9)</f>
        <v>31.911000000000001</v>
      </c>
      <c r="R9" s="1381" t="n">
        <f>4*'ARP Timing'!Q$11*VLOOKUP(R$1,'ARP Score'!$A$5:$M20,$A9)</f>
        <v>23.099</v>
      </c>
      <c r="S9" s="1381" t="n">
        <f>4*'ARP Timing'!R$11*VLOOKUP(S$1,'ARP Score'!$A$5:$M20,$A9)</f>
        <v>23.099</v>
      </c>
      <c r="T9" s="1381" t="n">
        <f>4*'ARP Timing'!S$11*VLOOKUP(T$1,'ARP Score'!$A$5:$M20,$A9)</f>
        <v>23.099</v>
      </c>
      <c r="U9" s="1381" t="n">
        <f>4*'ARP Timing'!T$11*VLOOKUP(U$1,'ARP Score'!$A$5:$M20,$A9)</f>
        <v>23.099</v>
      </c>
      <c r="V9" s="1381" t="n">
        <f>4*'ARP Timing'!U$11*VLOOKUP(V$1,'ARP Score'!$A$5:$M20,$A9)</f>
        <v>10.766999999999999</v>
      </c>
      <c r="W9" s="1381" t="n">
        <f t="shared" si="0"/>
        <v>152.74300000000005</v>
      </c>
    </row>
    <row r="10">
      <c r="A10" s="1386" t="n">
        <v>11</v>
      </c>
      <c r="B10" s="1382" t="s">
        <v>364</v>
      </c>
      <c r="C10" s="1381" t="n">
        <f>4*'ARP Timing'!B$11*VLOOKUP(C$1,'ARP Score'!$A$5:$M22,$A10)</f>
        <v>0</v>
      </c>
      <c r="D10" s="1381" t="n">
        <f>4*'ARP Timing'!C$11*VLOOKUP(D$1,'ARP Score'!$A$5:$M22,$A10)</f>
        <v>59.256</v>
      </c>
      <c r="E10" s="1381" t="n">
        <f>4*'ARP Timing'!D$11*VLOOKUP(E$1,'ARP Score'!$A$5:$M22,$A10)</f>
        <v>59.256</v>
      </c>
      <c r="F10" s="1381" t="n">
        <f>4*'ARP Timing'!E$11*VLOOKUP(F$1,'ARP Score'!$A$5:$M22,$A10)</f>
        <v>35.671000000000006</v>
      </c>
      <c r="G10" s="1381" t="n">
        <f>4*'ARP Timing'!F$11*VLOOKUP(G$1,'ARP Score'!$A$5:$M22,$A10)</f>
        <v>35.671000000000006</v>
      </c>
      <c r="H10" s="1381" t="n">
        <f>4*'ARP Timing'!G$11*VLOOKUP(H$1,'ARP Score'!$A$5:$M22,$A10)</f>
        <v>35.671000000000006</v>
      </c>
      <c r="I10" s="1381" t="n">
        <f>4*'ARP Timing'!H$11*VLOOKUP(I$1,'ARP Score'!$A$5:$M22,$A10)</f>
        <v>35.671000000000006</v>
      </c>
      <c r="J10" s="1381" t="n">
        <f>4*'ARP Timing'!I$11*VLOOKUP(J$1,'ARP Score'!$A$5:$M22,$A10)</f>
        <v>24.216000000000001</v>
      </c>
      <c r="K10" s="1381" t="n">
        <f>4*'ARP Timing'!J$11*VLOOKUP(K$1,'ARP Score'!$A$5:$M22,$A10)</f>
        <v>24.216000000000001</v>
      </c>
      <c r="L10" s="1381" t="n">
        <f>4*'ARP Timing'!K$11*VLOOKUP(L$1,'ARP Score'!$A$5:$M22,$A10)</f>
        <v>24.216000000000001</v>
      </c>
      <c r="M10" s="1381" t="n">
        <f>4*'ARP Timing'!L$11*VLOOKUP(M$1,'ARP Score'!$A$5:$M22,$A10)</f>
        <v>24.216000000000001</v>
      </c>
      <c r="N10" s="1381" t="n">
        <f>4*'ARP Timing'!M$11*VLOOKUP(N$1,'ARP Score'!$A$5:$M22,$A10)</f>
        <v>9.6430000000000007</v>
      </c>
      <c r="O10" s="1381" t="n">
        <f>4*'ARP Timing'!N$11*VLOOKUP(O$1,'ARP Score'!$A$5:$M22,$A10)</f>
        <v>9.6430000000000007</v>
      </c>
      <c r="P10" s="1381" t="n">
        <f>4*'ARP Timing'!O$11*VLOOKUP(P$1,'ARP Score'!$A$5:$M22,$A10)</f>
        <v>9.6430000000000007</v>
      </c>
      <c r="Q10" s="1381" t="n">
        <f>4*'ARP Timing'!P$11*VLOOKUP(Q$1,'ARP Score'!$A$5:$M22,$A10)</f>
        <v>9.6430000000000007</v>
      </c>
      <c r="R10" s="1381" t="n">
        <f>4*'ARP Timing'!Q$11*VLOOKUP(R$1,'ARP Score'!$A$5:$M22,$A10)</f>
        <v>4.5789999999999997</v>
      </c>
      <c r="S10" s="1381" t="n">
        <f>4*'ARP Timing'!R$11*VLOOKUP(S$1,'ARP Score'!$A$5:$M22,$A10)</f>
        <v>4.5789999999999997</v>
      </c>
      <c r="T10" s="1381" t="n">
        <f>4*'ARP Timing'!S$11*VLOOKUP(T$1,'ARP Score'!$A$5:$M22,$A10)</f>
        <v>4.5789999999999997</v>
      </c>
      <c r="U10" s="1381" t="n">
        <f>4*'ARP Timing'!T$11*VLOOKUP(U$1,'ARP Score'!$A$5:$M22,$A10)</f>
        <v>4.5789999999999997</v>
      </c>
      <c r="V10" s="1381" t="n">
        <f>4*'ARP Timing'!U$11*VLOOKUP(V$1,'ARP Score'!$A$5:$M22,$A10)</f>
        <v>2.9130000000000003</v>
      </c>
      <c r="W10" s="1381" t="n">
        <f t="shared" si="0"/>
        <v>103.73700000000002</v>
      </c>
    </row>
    <row r="11">
      <c r="A11" s="885" t="n">
        <v>12</v>
      </c>
      <c r="B11" s="34" t="s">
        <v>159</v>
      </c>
      <c r="C11" s="1381" t="n">
        <f>4*'ARP Timing'!B12*VLOOKUP(C$1,'ARP Score'!$A$5:$M20,$A11)</f>
        <v>103</v>
      </c>
      <c r="D11" s="1381" t="n">
        <f>4*'ARP Timing'!C12*VLOOKUP(D$1,'ARP Score'!$A$5:$M20,$A11)</f>
        <v>0</v>
      </c>
      <c r="E11" s="1381" t="n">
        <f>4*'ARP Timing'!D12*VLOOKUP(E$1,'ARP Score'!$A$5:$M20,$A11)</f>
        <v>0</v>
      </c>
      <c r="F11" s="1381" t="n">
        <f>4*'ARP Timing'!E12*VLOOKUP(F$1,'ARP Score'!$A$5:$M20,$A11)</f>
        <v>0</v>
      </c>
      <c r="G11" s="1381" t="n">
        <f>4*'ARP Timing'!F12*VLOOKUP(G$1,'ARP Score'!$A$5:$M20,$A11)</f>
        <v>0</v>
      </c>
      <c r="H11" s="1381" t="n">
        <f>4*'ARP Timing'!G12*VLOOKUP(H$1,'ARP Score'!$A$5:$M20,$A11)</f>
        <v>0</v>
      </c>
      <c r="I11" s="1381" t="n">
        <f>4*'ARP Timing'!H12*VLOOKUP(I$1,'ARP Score'!$A$5:$M20,$A11)</f>
        <v>0</v>
      </c>
      <c r="J11" s="1381" t="n">
        <f>4*'ARP Timing'!I12*VLOOKUP(J$1,'ARP Score'!$A$5:$M20,$A11)</f>
        <v>0</v>
      </c>
      <c r="K11" s="1381" t="n">
        <f>4*'ARP Timing'!J12*VLOOKUP(K$1,'ARP Score'!$A$5:$M20,$A11)</f>
        <v>0</v>
      </c>
      <c r="L11" s="1381" t="n">
        <f>4*'ARP Timing'!K12*VLOOKUP(L$1,'ARP Score'!$A$5:$M20,$A11)</f>
        <v>0</v>
      </c>
      <c r="M11" s="1381" t="n">
        <f>4*'ARP Timing'!L12*VLOOKUP(M$1,'ARP Score'!$A$5:$M20,$A11)</f>
        <v>0</v>
      </c>
      <c r="N11" s="1381" t="n">
        <f>4*'ARP Timing'!M12*VLOOKUP(N$1,'ARP Score'!$A$5:$M20,$A11)</f>
        <v>0</v>
      </c>
      <c r="O11" s="1381" t="n">
        <f>4*'ARP Timing'!N12*VLOOKUP(O$1,'ARP Score'!$A$5:$M20,$A11)</f>
        <v>0</v>
      </c>
      <c r="P11" s="1381" t="n">
        <f>4*'ARP Timing'!O12*VLOOKUP(P$1,'ARP Score'!$A$5:$M20,$A11)</f>
        <v>0</v>
      </c>
      <c r="Q11" s="1381" t="n">
        <f>4*'ARP Timing'!P12*VLOOKUP(Q$1,'ARP Score'!$A$5:$M20,$A11)</f>
        <v>0</v>
      </c>
      <c r="R11" s="1381" t="n">
        <f>4*'ARP Timing'!Q12*VLOOKUP(R$1,'ARP Score'!$A$5:$M20,$A11)</f>
        <v>0</v>
      </c>
      <c r="S11" s="1381" t="n">
        <f>4*'ARP Timing'!R12*VLOOKUP(S$1,'ARP Score'!$A$5:$M20,$A11)</f>
        <v>0</v>
      </c>
      <c r="T11" s="1381" t="n">
        <f>4*'ARP Timing'!S12*VLOOKUP(T$1,'ARP Score'!$A$5:$M20,$A11)</f>
        <v>0</v>
      </c>
      <c r="U11" s="1381" t="n">
        <f>4*'ARP Timing'!T12*VLOOKUP(U$1,'ARP Score'!$A$5:$M20,$A11)</f>
        <v>0</v>
      </c>
      <c r="V11" s="1381" t="n">
        <f>4*'ARP Timing'!U12*VLOOKUP(V$1,'ARP Score'!$A$5:$M20,$A11)</f>
        <v>0</v>
      </c>
      <c r="W11" s="1381" t="n">
        <f t="shared" si="0"/>
        <v>25.75</v>
      </c>
    </row>
    <row r="12">
      <c r="A12" s="885" t="n">
        <v>13</v>
      </c>
      <c r="B12" s="61" t="s">
        <v>109</v>
      </c>
      <c r="C12" s="1381" t="n">
        <f>4*'ARP Timing'!B13*VLOOKUP(C$1,'ARP Score'!$A$5:$M21,$A12)</f>
        <v>0</v>
      </c>
      <c r="D12" s="1381" t="n">
        <f>4*'ARP Timing'!C13*VLOOKUP(D$1,'ARP Score'!$A$5:$M21,$A12)</f>
        <v>51.102400000000003</v>
      </c>
      <c r="E12" s="1381" t="n">
        <f>4*'ARP Timing'!D13*VLOOKUP(E$1,'ARP Score'!$A$5:$M21,$A12)</f>
        <v>76.653599999999997</v>
      </c>
      <c r="F12" s="1381" t="n">
        <f>4*'ARP Timing'!E13*VLOOKUP(F$1,'ARP Score'!$A$5:$M21,$A12)</f>
        <v>90.260800000000003</v>
      </c>
      <c r="G12" s="1381" t="n">
        <f>4*'ARP Timing'!F13*VLOOKUP(G$1,'ARP Score'!$A$5:$M21,$A12)</f>
        <v>67.695599999999999</v>
      </c>
      <c r="H12" s="1381" t="n">
        <f>4*'ARP Timing'!G13*VLOOKUP(H$1,'ARP Score'!$A$5:$M21,$A12)</f>
        <v>45.130400000000002</v>
      </c>
      <c r="I12" s="1381" t="n">
        <f>4*'ARP Timing'!H13*VLOOKUP(I$1,'ARP Score'!$A$5:$M21,$A12)</f>
        <v>22.565200000000001</v>
      </c>
      <c r="J12" s="1381" t="n">
        <f>4*'ARP Timing'!I13*VLOOKUP(J$1,'ARP Score'!$A$5:$M21,$A12)</f>
        <v>15.652999999999999</v>
      </c>
      <c r="K12" s="1381" t="n">
        <f>4*'ARP Timing'!J13*VLOOKUP(K$1,'ARP Score'!$A$5:$M21,$A12)</f>
        <v>15.652999999999999</v>
      </c>
      <c r="L12" s="1381" t="n">
        <f>4*'ARP Timing'!K13*VLOOKUP(L$1,'ARP Score'!$A$5:$M21,$A12)</f>
        <v>15.652999999999999</v>
      </c>
      <c r="M12" s="1381" t="n">
        <f>4*'ARP Timing'!L13*VLOOKUP(M$1,'ARP Score'!$A$5:$M21,$A12)</f>
        <v>15.652999999999999</v>
      </c>
      <c r="N12" s="1381" t="n">
        <f>4*'ARP Timing'!M13*VLOOKUP(N$1,'ARP Score'!$A$5:$M21,$A12)</f>
        <v>3.9320000000000004</v>
      </c>
      <c r="O12" s="1381" t="n">
        <f>4*'ARP Timing'!N13*VLOOKUP(O$1,'ARP Score'!$A$5:$M21,$A12)</f>
        <v>3.9320000000000004</v>
      </c>
      <c r="P12" s="1381" t="n">
        <f>4*'ARP Timing'!O13*VLOOKUP(P$1,'ARP Score'!$A$5:$M21,$A12)</f>
        <v>3.9320000000000004</v>
      </c>
      <c r="Q12" s="1381" t="n">
        <f>4*'ARP Timing'!P13*VLOOKUP(Q$1,'ARP Score'!$A$5:$M21,$A12)</f>
        <v>3.9320000000000004</v>
      </c>
      <c r="R12" s="1381" t="n">
        <f>4*'ARP Timing'!Q13*VLOOKUP(R$1,'ARP Score'!$A$5:$M21,$A12)</f>
        <v>-0.74299999999999988</v>
      </c>
      <c r="S12" s="1381" t="n">
        <f>4*'ARP Timing'!R13*VLOOKUP(S$1,'ARP Score'!$A$5:$M21,$A12)</f>
        <v>-0.74299999999999988</v>
      </c>
      <c r="T12" s="1381" t="n">
        <f>4*'ARP Timing'!S13*VLOOKUP(T$1,'ARP Score'!$A$5:$M21,$A12)</f>
        <v>-0.74299999999999988</v>
      </c>
      <c r="U12" s="1381" t="n">
        <f>4*'ARP Timing'!T13*VLOOKUP(U$1,'ARP Score'!$A$5:$M21,$A12)</f>
        <v>-0.74299999999999988</v>
      </c>
      <c r="V12" s="1381" t="n">
        <f>4*'ARP Timing'!U13*VLOOKUP(V$1,'ARP Score'!$A$5:$M21,$A12)</f>
        <v>-21.606000000000002</v>
      </c>
      <c r="W12" s="1381" t="n">
        <f t="shared" si="0"/>
        <v>107.19400000000005</v>
      </c>
    </row>
    <row r="13">
      <c r="A13" s="885" t="n">
        <v>15</v>
      </c>
      <c r="B13" s="885" t="s">
        <v>769</v>
      </c>
      <c r="C13" s="1381" t="n">
        <f>0.3*'ARP Score'!$N5*4*'ARP Timing'!B6</f>
        <v>0</v>
      </c>
      <c r="D13" s="1381" t="n">
        <f>0.3*'ARP Score'!$N5*4*'ARP Timing'!C6</f>
        <v>1.7544</v>
      </c>
      <c r="E13" s="1381" t="n">
        <f>0.3*'ARP Score'!$N5*4*'ARP Timing'!D6</f>
        <v>2.3255999999999997</v>
      </c>
      <c r="F13" s="1381" t="n">
        <f>0.3*'ARP Score'!$N6*4*'ARP Timing'!E6</f>
        <v>1.5299999999999998</v>
      </c>
      <c r="G13" s="1381" t="n">
        <f>0.3*'ARP Score'!$N6*4*'ARP Timing'!F6</f>
        <v>1.5299999999999998</v>
      </c>
      <c r="H13" s="1381" t="n">
        <f>0.3*'ARP Score'!$N6*4*'ARP Timing'!G6</f>
        <v>1.5299999999999998</v>
      </c>
      <c r="I13" s="1381" t="n">
        <f>0.3*'ARP Score'!$N6*4*'ARP Timing'!H6</f>
        <v>1.5299999999999998</v>
      </c>
      <c r="J13" s="1381" t="n">
        <f>0.3*'ARP Score'!$N7*4*'ARP Timing'!I6</f>
        <v>0</v>
      </c>
      <c r="K13" s="1381" t="n">
        <f>0.3*'ARP Score'!$N7*4*'ARP Timing'!J6</f>
        <v>0</v>
      </c>
      <c r="L13" s="1381" t="n">
        <f>0.3*'ARP Score'!$N7*4*'ARP Timing'!K6</f>
        <v>0</v>
      </c>
      <c r="M13" s="1381" t="n">
        <f>0.3*'ARP Score'!$N7*4*'ARP Timing'!L6</f>
        <v>0</v>
      </c>
      <c r="N13" s="1381" t="n">
        <f>0.3*'ARP Score'!$N7*4*'ARP Timing'!M6</f>
        <v>0</v>
      </c>
      <c r="O13" s="1381" t="n">
        <f>0.3*'ARP Score'!$N7*4*'ARP Timing'!N6</f>
        <v>0</v>
      </c>
      <c r="P13" s="1381" t="n">
        <f>0.3*'ARP Score'!$N7*4*'ARP Timing'!O6</f>
        <v>0</v>
      </c>
      <c r="Q13" s="1381" t="n">
        <f>0.3*'ARP Score'!$N7*4*'ARP Timing'!P6</f>
        <v>0</v>
      </c>
      <c r="R13" s="1381" t="n">
        <f>0.3*'ARP Score'!$N7*4*'ARP Timing'!Q6</f>
        <v>0</v>
      </c>
      <c r="S13" s="1381" t="n">
        <f>0.3*'ARP Score'!$N7*4*'ARP Timing'!R6</f>
        <v>0</v>
      </c>
      <c r="T13" s="1381" t="n">
        <f>0.3*'ARP Score'!$N7*4*'ARP Timing'!S6</f>
        <v>0</v>
      </c>
      <c r="U13" s="1381" t="n">
        <f>0.3*'ARP Score'!$N7*4*'ARP Timing'!T6</f>
        <v>0</v>
      </c>
      <c r="V13" s="1381" t="n">
        <f>0.3*'ARP Score'!$N7*4*'ARP Timing'!U6</f>
        <v>0</v>
      </c>
      <c r="W13" s="1381" t="n">
        <f t="shared" si="0"/>
        <v>2.5499999999999994</v>
      </c>
    </row>
    <row r="14">
      <c r="A14" s="885" t="n">
        <v>14</v>
      </c>
      <c r="B14" s="885" t="s">
        <v>770</v>
      </c>
      <c r="C14" s="1381" t="n">
        <f>C13/0.3*0.2</f>
        <v>0</v>
      </c>
      <c r="D14" s="1381" t="n">
        <f t="shared" ref="D14:F14" si="1">D13/0.3*0.2</f>
        <v>1.1696</v>
      </c>
      <c r="E14" s="1381" t="n">
        <f t="shared" si="1"/>
        <v>1.5503999999999998</v>
      </c>
      <c r="F14" s="1381" t="n">
        <f t="shared" si="1"/>
        <v>1.02</v>
      </c>
      <c r="G14" s="1381" t="n">
        <f t="shared" ref="G14" si="2">G13/0.3*0.2</f>
        <v>1.02</v>
      </c>
      <c r="H14" s="1381" t="n">
        <f t="shared" ref="H14" si="3">H13/0.3*0.2</f>
        <v>1.02</v>
      </c>
      <c r="I14" s="1381" t="n">
        <f t="shared" ref="I14" si="4">I13/0.3*0.2</f>
        <v>1.02</v>
      </c>
      <c r="J14" s="1381" t="n">
        <f t="shared" ref="J14" si="5">J13/0.3*0.2</f>
        <v>0</v>
      </c>
      <c r="K14" s="1381" t="n">
        <f t="shared" ref="K14" si="6">K13/0.3*0.2</f>
        <v>0</v>
      </c>
      <c r="L14" s="1381" t="n">
        <f t="shared" ref="L14" si="7">L13/0.3*0.2</f>
        <v>0</v>
      </c>
      <c r="M14" s="1381" t="n">
        <f t="shared" ref="M14" si="8">M13/0.3*0.2</f>
        <v>0</v>
      </c>
      <c r="N14" s="1381" t="n">
        <f t="shared" ref="N14" si="9">N13/0.3*0.2</f>
        <v>0</v>
      </c>
      <c r="O14" s="1381" t="n">
        <f t="shared" ref="O14" si="10">O13/0.3*0.2</f>
        <v>0</v>
      </c>
      <c r="P14" s="1381" t="n">
        <f t="shared" ref="P14" si="11">P13/0.3*0.2</f>
        <v>0</v>
      </c>
      <c r="Q14" s="1381" t="n">
        <f t="shared" ref="Q14" si="12">Q13/0.3*0.2</f>
        <v>0</v>
      </c>
      <c r="R14" s="1381" t="n">
        <f t="shared" ref="R14" si="13">R13/0.3*0.2</f>
        <v>0</v>
      </c>
      <c r="S14" s="1381" t="n">
        <f t="shared" ref="S14" si="14">S13/0.3*0.2</f>
        <v>0</v>
      </c>
      <c r="T14" s="1381" t="n">
        <f t="shared" ref="T14" si="15">T13/0.3*0.2</f>
        <v>0</v>
      </c>
      <c r="U14" s="1381" t="n">
        <f t="shared" ref="U14" si="16">U13/0.3*0.2</f>
        <v>0</v>
      </c>
      <c r="V14" s="1381" t="n">
        <f t="shared" ref="V14" si="17">V13/0.3*0.2</f>
        <v>0</v>
      </c>
      <c r="W14" s="1381" t="n">
        <f t="shared" si="0"/>
        <v>1.6999999999999997</v>
      </c>
    </row>
    <row r="15">
      <c r="A15" s="885" t="n">
        <v>14</v>
      </c>
      <c r="B15" s="885" t="s">
        <v>471</v>
      </c>
      <c r="C15" s="1381" t="n">
        <f>C14/0.2*0.5</f>
        <v>0</v>
      </c>
      <c r="D15" s="1381" t="n">
        <f t="shared" ref="D15:F15" si="18">D14/0.2*0.5</f>
        <v>2.9239999999999999</v>
      </c>
      <c r="E15" s="1381" t="n">
        <f t="shared" si="18"/>
        <v>3.8759999999999994</v>
      </c>
      <c r="F15" s="1381" t="n">
        <f t="shared" si="18"/>
        <v>2.5499999999999998</v>
      </c>
      <c r="G15" s="1381" t="n">
        <f t="shared" ref="G15" si="19">G14/0.2*0.5</f>
        <v>2.5499999999999998</v>
      </c>
      <c r="H15" s="1381" t="n">
        <f t="shared" ref="H15" si="20">H14/0.2*0.5</f>
        <v>2.5499999999999998</v>
      </c>
      <c r="I15" s="1381" t="n">
        <f t="shared" ref="I15" si="21">I14/0.2*0.5</f>
        <v>2.5499999999999998</v>
      </c>
      <c r="J15" s="1381" t="n">
        <f t="shared" ref="J15" si="22">J14/0.2*0.5</f>
        <v>0</v>
      </c>
      <c r="K15" s="1381" t="n">
        <f t="shared" ref="K15" si="23">K14/0.2*0.5</f>
        <v>0</v>
      </c>
      <c r="L15" s="1381" t="n">
        <f t="shared" ref="L15" si="24">L14/0.2*0.5</f>
        <v>0</v>
      </c>
      <c r="M15" s="1381" t="n">
        <f t="shared" ref="M15" si="25">M14/0.2*0.5</f>
        <v>0</v>
      </c>
      <c r="N15" s="1381" t="n">
        <f t="shared" ref="N15" si="26">N14/0.2*0.5</f>
        <v>0</v>
      </c>
      <c r="O15" s="1381" t="n">
        <f t="shared" ref="O15" si="27">O14/0.2*0.5</f>
        <v>0</v>
      </c>
      <c r="P15" s="1381" t="n">
        <f t="shared" ref="P15" si="28">P14/0.2*0.5</f>
        <v>0</v>
      </c>
      <c r="Q15" s="1381" t="n">
        <f t="shared" ref="Q15" si="29">Q14/0.2*0.5</f>
        <v>0</v>
      </c>
      <c r="R15" s="1381" t="n">
        <f t="shared" ref="R15" si="30">R14/0.2*0.5</f>
        <v>0</v>
      </c>
      <c r="S15" s="1381" t="n">
        <f t="shared" ref="S15" si="31">S14/0.2*0.5</f>
        <v>0</v>
      </c>
      <c r="T15" s="1381" t="n">
        <f t="shared" ref="T15" si="32">T14/0.2*0.5</f>
        <v>0</v>
      </c>
      <c r="U15" s="1381" t="n">
        <f t="shared" ref="U15" si="33">U14/0.2*0.5</f>
        <v>0</v>
      </c>
      <c r="V15" s="1381" t="n">
        <f t="shared" ref="V15" si="34">V14/0.2*0.5</f>
        <v>0</v>
      </c>
      <c r="W15" s="1381" t="n">
        <f t="shared" si="0"/>
        <v>4.25</v>
      </c>
    </row>
    <row r="16">
      <c r="C16" s="1381"/>
      <c r="D16" s="1381"/>
      <c r="E16" s="1381"/>
      <c r="F16" s="1381"/>
      <c r="G16" s="1381"/>
      <c r="H16" s="1381"/>
      <c r="I16" s="1381"/>
      <c r="J16" s="1381"/>
      <c r="K16" s="1381"/>
      <c r="L16" s="1381"/>
      <c r="M16" s="1381"/>
      <c r="N16" s="1381"/>
      <c r="O16" s="1381"/>
      <c r="P16" s="1381"/>
      <c r="Q16" s="1381"/>
      <c r="R16" s="1381"/>
      <c r="S16" s="1381"/>
      <c r="T16" s="1381"/>
      <c r="U16" s="1381"/>
      <c r="V16" s="1381"/>
      <c r="W16" s="1381"/>
    </row>
    <row r="17">
      <c r="A17" s="885" t="s">
        <v>771</v>
      </c>
      <c r="C17" s="1381"/>
      <c r="D17" s="1381"/>
      <c r="E17" s="1381"/>
      <c r="F17" s="1381"/>
      <c r="G17" s="1381"/>
      <c r="H17" s="1381"/>
      <c r="I17" s="1381"/>
      <c r="J17" s="1381"/>
      <c r="K17" s="1381"/>
      <c r="L17" s="1381"/>
      <c r="M17" s="1381"/>
      <c r="N17" s="1381"/>
      <c r="O17" s="1381"/>
      <c r="P17" s="1381"/>
      <c r="Q17" s="1381"/>
      <c r="R17" s="1381"/>
      <c r="S17" s="1381"/>
      <c r="T17" s="1381"/>
      <c r="U17" s="1381"/>
      <c r="V17" s="1381"/>
      <c r="W17" s="1381"/>
    </row>
    <row r="18">
      <c r="B18" s="618" t="s">
        <v>143</v>
      </c>
      <c r="C18" s="1381" t="n">
        <f>'ARP Score'!$BG5/'ARP Score'!$G5*C6</f>
        <v>0</v>
      </c>
      <c r="D18" s="1381" t="n">
        <f>'ARP Score'!$BG5/'ARP Score'!$G5*D6</f>
        <v>2.2132800000000001</v>
      </c>
      <c r="E18" s="1381" t="n">
        <f>'ARP Score'!$BG5/'ARP Score'!$G5*E6</f>
        <v>10.082720000000002</v>
      </c>
      <c r="F18" s="1381" t="n">
        <f>'ARP Score'!$BG6/'ARP Score'!$G6*F6</f>
        <v>7.1439999999999992</v>
      </c>
      <c r="G18" s="1381" t="n">
        <f>'ARP Score'!$BG6/'ARP Score'!$G6*G6</f>
        <v>7.1439999999999992</v>
      </c>
      <c r="H18" s="1381" t="n">
        <f>'ARP Score'!$BG6/'ARP Score'!$G6*H6</f>
        <v>7.1439999999999992</v>
      </c>
      <c r="I18" s="1381" t="n">
        <f>'ARP Score'!$BG6/'ARP Score'!$G6*I6</f>
        <v>7.1439999999999992</v>
      </c>
      <c r="J18" s="1381" t="n">
        <f>'ARP Score'!$BG7/'ARP Score'!$G7*J6</f>
        <v>0</v>
      </c>
      <c r="K18" s="1381" t="n">
        <f>'ARP Score'!$BG7/'ARP Score'!$G7*K6</f>
        <v>0</v>
      </c>
      <c r="L18" s="1381" t="n">
        <f>'ARP Score'!$BG7/'ARP Score'!$G7*L6</f>
        <v>0</v>
      </c>
      <c r="M18" s="1381" t="n">
        <f>'ARP Score'!$BG7/'ARP Score'!$G7*M6</f>
        <v>0</v>
      </c>
      <c r="N18" s="1381"/>
      <c r="O18" s="1381"/>
      <c r="P18" s="1381"/>
      <c r="Q18" s="1381"/>
      <c r="R18" s="1381"/>
      <c r="S18" s="1381"/>
      <c r="T18" s="1381"/>
      <c r="U18" s="1381"/>
      <c r="V18" s="1381"/>
      <c r="W18" s="1381"/>
    </row>
    <row r="19">
      <c r="B19" s="618" t="s">
        <v>772</v>
      </c>
      <c r="C19" s="1381" t="n">
        <f>'ARP Score'!$BI5/'ARP Score'!$G5*C6</f>
        <v>0</v>
      </c>
      <c r="D19" s="1381" t="n">
        <f>'ARP Score'!$BI5/'ARP Score'!$G5*D6</f>
        <v>15.128640000000001</v>
      </c>
      <c r="E19" s="1381" t="n">
        <f>'ARP Score'!$BI5/'ARP Score'!$G5*E6</f>
        <v>68.919360000000012</v>
      </c>
      <c r="F19" s="1381" t="n">
        <f>'ARP Score'!$BI6/'ARP Score'!$G6*F6</f>
        <v>5.6120000000000001</v>
      </c>
      <c r="G19" s="1381" t="n">
        <f>'ARP Score'!$BI6/'ARP Score'!$G6*G6</f>
        <v>5.6120000000000001</v>
      </c>
      <c r="H19" s="1381" t="n">
        <f>'ARP Score'!$BI6/'ARP Score'!$G6*H6</f>
        <v>5.6120000000000001</v>
      </c>
      <c r="I19" s="1381" t="n">
        <f>'ARP Score'!$BI6/'ARP Score'!$G6*I6</f>
        <v>5.6120000000000001</v>
      </c>
      <c r="J19" s="1381" t="n">
        <f>'ARP Score'!$B7/'ARP Score'!$G7*J6</f>
        <v>0.48599999999999993</v>
      </c>
      <c r="K19" s="1381" t="n">
        <f>'ARP Score'!$B7/'ARP Score'!$G7*K6</f>
        <v>0.48599999999999993</v>
      </c>
      <c r="L19" s="1381" t="n">
        <f>'ARP Score'!$B7/'ARP Score'!$G7*L6</f>
        <v>0.48599999999999993</v>
      </c>
      <c r="M19" s="1381" t="n">
        <f>'ARP Score'!$B7/'ARP Score'!$G7*M6</f>
        <v>0.48599999999999993</v>
      </c>
      <c r="N19" s="1381" t="n">
        <f>'ARP Score'!$B8/'ARP Score'!$G8*N6</f>
        <v>0</v>
      </c>
      <c r="O19" s="1381"/>
      <c r="P19" s="1381"/>
      <c r="Q19" s="1381"/>
      <c r="R19" s="1381"/>
      <c r="S19" s="1381"/>
      <c r="T19" s="1381"/>
      <c r="U19" s="1381"/>
      <c r="V19" s="1381"/>
      <c r="W19" s="1381"/>
    </row>
    <row r="20">
      <c r="B20" s="618" t="s">
        <v>148</v>
      </c>
      <c r="C20" s="1381" t="n">
        <f>'ARP Score'!$BF5/'ARP Score'!$G5*C6</f>
        <v>0</v>
      </c>
      <c r="D20" s="1381" t="n">
        <f>'ARP Score'!$BF5/'ARP Score'!$G5*D6</f>
        <v>3.2479199999999997</v>
      </c>
      <c r="E20" s="1381" t="n">
        <f>'ARP Score'!$BF5/'ARP Score'!$G5*E6</f>
        <v>14.796080000000002</v>
      </c>
      <c r="F20" s="1381" t="n">
        <f>'ARP Score'!$BF6/'ARP Score'!$G6*F6</f>
        <v>1.7329999999999999</v>
      </c>
      <c r="G20" s="1381" t="n">
        <f>'ARP Score'!$BF6/'ARP Score'!$G6*G6</f>
        <v>1.7329999999999999</v>
      </c>
      <c r="H20" s="1381" t="n">
        <f>'ARP Score'!$BF6/'ARP Score'!$G6*H6</f>
        <v>1.7329999999999999</v>
      </c>
      <c r="I20" s="1381" t="n">
        <f>'ARP Score'!$BF6/'ARP Score'!$G6*I6</f>
        <v>1.7329999999999999</v>
      </c>
      <c r="J20" s="1381" t="n">
        <f>'ARP Score'!$BF7/'ARP Score'!$G7*J6</f>
        <v>0</v>
      </c>
      <c r="K20" s="1381" t="n">
        <f>'ARP Score'!$BF7/'ARP Score'!$G7*K6</f>
        <v>0</v>
      </c>
      <c r="L20" s="1381" t="n">
        <f>'ARP Score'!$BF7/'ARP Score'!$G7*L6</f>
        <v>0</v>
      </c>
      <c r="M20" s="1381" t="n">
        <f>'ARP Score'!$BF7/'ARP Score'!$G7*M6</f>
        <v>0</v>
      </c>
      <c r="N20" s="1381"/>
      <c r="O20" s="1381"/>
      <c r="P20" s="1381"/>
      <c r="Q20" s="1381"/>
      <c r="R20" s="1381"/>
      <c r="S20" s="1381"/>
      <c r="T20" s="1381"/>
      <c r="U20" s="1381"/>
      <c r="V20" s="1381"/>
      <c r="W20" s="1381"/>
    </row>
    <row r="21">
      <c r="B21" s="1387" t="s">
        <v>414</v>
      </c>
      <c r="C21" s="1381" t="n">
        <f>15/40*(C6*'ARP Score'!$BD5/'ARP Score'!$G5)</f>
        <v>0</v>
      </c>
      <c r="D21" s="1381" t="n">
        <f>15/40*(D6*('ARP Score'!$BD5+'ARP Score'!$BE5)/'ARP Score'!$G5)</f>
        <v>13.2921</v>
      </c>
      <c r="E21" s="1381" t="n">
        <f>15/40*(E6*('ARP Score'!$BD5+'ARP Score'!$BE5)/'ARP Score'!$G5)</f>
        <v>60.552900000000008</v>
      </c>
      <c r="F21" s="1381" t="n">
        <f>15/40*(F6*('ARP Score'!$BD6+'ARP Score'!$BE6)/'ARP Score'!$G6)</f>
        <v>1.0687500000000001</v>
      </c>
      <c r="G21" s="1381" t="n">
        <f>15/40*(G6*('ARP Score'!$BD6+'ARP Score'!$BE6)/'ARP Score'!$G6)</f>
        <v>1.0687500000000001</v>
      </c>
      <c r="H21" s="1381" t="n">
        <f>15/40*(H6*('ARP Score'!$BD6+'ARP Score'!$BE6)/'ARP Score'!$G6)</f>
        <v>1.0687500000000001</v>
      </c>
      <c r="I21" s="1381" t="n">
        <f>15/40*(I6*('ARP Score'!$BD6+'ARP Score'!$BE6)/'ARP Score'!$G6)</f>
        <v>1.0687500000000001</v>
      </c>
      <c r="J21" s="1381" t="n">
        <f>15/40*(J6*('ARP Score'!$BD7+'ARP Score'!$BE7)/'ARP Score'!$G7)</f>
        <v>0.78750000000000009</v>
      </c>
      <c r="K21" s="1381" t="n">
        <f>15/40*(K6*('ARP Score'!$BD7+'ARP Score'!$BE7)/'ARP Score'!$G7)</f>
        <v>0.78750000000000009</v>
      </c>
      <c r="L21" s="1381" t="n">
        <f>15/40*(L6*('ARP Score'!$BD7+'ARP Score'!$BE7)/'ARP Score'!$G7)</f>
        <v>0.78750000000000009</v>
      </c>
      <c r="M21" s="1381" t="n">
        <f>15/40*(M6*('ARP Score'!$BD7+'ARP Score'!$BE7)/'ARP Score'!$G7)</f>
        <v>0.78750000000000009</v>
      </c>
      <c r="N21" s="1381"/>
      <c r="O21" s="1381"/>
      <c r="P21" s="1381"/>
      <c r="Q21" s="1381"/>
      <c r="R21" s="1381"/>
      <c r="S21" s="1381"/>
      <c r="T21" s="1381"/>
      <c r="U21" s="1381"/>
      <c r="V21" s="1381"/>
      <c r="W21" s="1381"/>
    </row>
    <row r="22">
      <c r="B22" s="1387" t="s">
        <v>773</v>
      </c>
      <c r="C22" s="1381"/>
      <c r="D22" s="1381" t="n">
        <f>D21/15*25</f>
        <v>22.153499999999998</v>
      </c>
      <c r="E22" s="1381" t="n">
        <f>E21/15*25</f>
        <v>100.92150000000002</v>
      </c>
      <c r="F22" s="1381" t="n">
        <f>F21/15*25</f>
        <v>1.7812500000000002</v>
      </c>
      <c r="G22" s="1381" t="n">
        <f>G21/15*25</f>
        <v>1.7812500000000002</v>
      </c>
      <c r="H22" s="1381" t="n">
        <f t="shared" ref="H22:J22" si="35">H21/15*25</f>
        <v>1.7812500000000002</v>
      </c>
      <c r="I22" s="1381" t="n">
        <f t="shared" si="35"/>
        <v>1.7812500000000002</v>
      </c>
      <c r="J22" s="1381" t="n">
        <f t="shared" si="35"/>
        <v>1.3125000000000002</v>
      </c>
      <c r="K22" s="1381" t="n">
        <f t="shared" ref="K22" si="36">K21/15*25</f>
        <v>1.3125000000000002</v>
      </c>
      <c r="L22" s="1381" t="n">
        <f t="shared" ref="L22" si="37">L21/15*25</f>
        <v>1.3125000000000002</v>
      </c>
      <c r="M22" s="1381" t="n">
        <f t="shared" ref="M22" si="38">M21/15*25</f>
        <v>1.3125000000000002</v>
      </c>
      <c r="N22" s="1381"/>
      <c r="O22" s="1381"/>
      <c r="P22" s="1381"/>
      <c r="Q22" s="1381"/>
      <c r="R22" s="1381"/>
      <c r="S22" s="1381"/>
      <c r="T22" s="1381"/>
      <c r="U22" s="1381"/>
      <c r="V22" s="1381"/>
      <c r="W22" s="1381"/>
    </row>
    <row r="23">
      <c r="B23" s="618" t="s">
        <v>426</v>
      </c>
      <c r="C23" s="1381" t="n">
        <f>'ARP Score'!$BB5/'ARP Score'!$G5*C6</f>
        <v>0</v>
      </c>
      <c r="D23" s="1381" t="n">
        <f>'ARP Score'!$BB5/'ARP Score'!$G5*D6</f>
        <v>2.9519999999999995</v>
      </c>
      <c r="E23" s="1381" t="n">
        <f>'ARP Score'!$BB5/'ARP Score'!$G5*E6</f>
        <v>13.448</v>
      </c>
      <c r="F23" s="1381" t="n">
        <f>'ARP Score'!$BB6/'ARP Score'!$G6*F6</f>
        <v>11.3</v>
      </c>
      <c r="G23" s="1381" t="n">
        <f>'ARP Score'!$BB6/'ARP Score'!$G6*G6</f>
        <v>11.3</v>
      </c>
      <c r="H23" s="1381" t="n">
        <f>'ARP Score'!$BB6/'ARP Score'!$G6*H6</f>
        <v>11.3</v>
      </c>
      <c r="I23" s="1381" t="n">
        <f>'ARP Score'!$BB6/'ARP Score'!$G6*I6</f>
        <v>11.3</v>
      </c>
      <c r="J23" s="1381" t="n">
        <f>'ARP Score'!$BB7/'ARP Score'!$G7*J6</f>
        <v>8.4</v>
      </c>
      <c r="K23" s="1381" t="n">
        <f>'ARP Score'!$BB7/'ARP Score'!$G7*K6</f>
        <v>8.4</v>
      </c>
      <c r="L23" s="1381" t="n">
        <f>'ARP Score'!$BB7/'ARP Score'!$G7*L6</f>
        <v>8.4</v>
      </c>
      <c r="M23" s="1381" t="n">
        <f>'ARP Score'!$BB7/'ARP Score'!$G7*M6</f>
        <v>8.4</v>
      </c>
      <c r="N23" s="1381" t="n">
        <f>'ARP Score'!$BB8/'ARP Score'!$G8*N6</f>
        <v>0.2</v>
      </c>
      <c r="O23" s="1381" t="n">
        <f>'ARP Score'!$BB8/'ARP Score'!$G8*O6</f>
        <v>0.2</v>
      </c>
      <c r="P23" s="1381" t="n">
        <f>'ARP Score'!$BB8/'ARP Score'!$G8*P6</f>
        <v>0.2</v>
      </c>
      <c r="Q23" s="1381" t="n">
        <f>'ARP Score'!$BB8/'ARP Score'!$G8*Q6</f>
        <v>0.2</v>
      </c>
      <c r="R23" s="1381"/>
      <c r="S23" s="1381"/>
      <c r="T23" s="1381"/>
      <c r="U23" s="1381"/>
      <c r="V23" s="1381"/>
      <c r="W23" s="1381"/>
    </row>
    <row r="24">
      <c r="B24" s="618" t="s">
        <v>427</v>
      </c>
      <c r="C24" s="1381" t="n">
        <f>'ARP Score'!$BH5/'ARP Score'!$G5*C6</f>
        <v>0</v>
      </c>
      <c r="D24" s="1381" t="n">
        <f>'ARP Score'!$BH5/'ARP Score'!$G5*D6</f>
        <v>-0.20447999999999997</v>
      </c>
      <c r="E24" s="1381" t="n">
        <f>'ARP Score'!$BH5/'ARP Score'!$G5*E6</f>
        <v>-0.93152000000000001</v>
      </c>
      <c r="F24" s="1381" t="n">
        <f>'ARP Score'!$BH6/'ARP Score'!$G6*F6</f>
        <v>81.608999999999995</v>
      </c>
      <c r="G24" s="1381" t="n">
        <f>'ARP Score'!$BH6/'ARP Score'!$G6*G6</f>
        <v>81.608999999999995</v>
      </c>
      <c r="H24" s="1381" t="n">
        <f>'ARP Score'!$BH6/'ARP Score'!$G6*H6</f>
        <v>81.608999999999995</v>
      </c>
      <c r="I24" s="1381" t="n">
        <f>'ARP Score'!$BH6/'ARP Score'!$G6*I6</f>
        <v>81.608999999999995</v>
      </c>
      <c r="J24" s="1381" t="n">
        <f>'ARP Score'!$BH7/'ARP Score'!$G7*J6</f>
        <v>1.3759999999999999</v>
      </c>
      <c r="K24" s="1381" t="n">
        <f>'ARP Score'!$BH7/'ARP Score'!$G7*K6</f>
        <v>1.3759999999999999</v>
      </c>
      <c r="L24" s="1381" t="n">
        <f>'ARP Score'!$BH7/'ARP Score'!$G7*L6</f>
        <v>1.3759999999999999</v>
      </c>
      <c r="M24" s="1381" t="n">
        <f>'ARP Score'!$BH7/'ARP Score'!$G7*M6</f>
        <v>1.3759999999999999</v>
      </c>
      <c r="N24" s="1381" t="n">
        <f>'ARP Score'!$BH8/'ARP Score'!$G8*N6</f>
        <v>-0.87500000000000011</v>
      </c>
      <c r="O24" s="1381" t="n">
        <f>'ARP Score'!$BH8/'ARP Score'!$G8*O6</f>
        <v>-0.87500000000000011</v>
      </c>
      <c r="P24" s="1381" t="n">
        <f>'ARP Score'!$BH8/'ARP Score'!$G8*P6</f>
        <v>-0.87500000000000011</v>
      </c>
      <c r="Q24" s="1381" t="n">
        <f>'ARP Score'!$BH8/'ARP Score'!$G8*Q6</f>
        <v>-0.87500000000000011</v>
      </c>
      <c r="R24" s="1381"/>
      <c r="S24" s="1381"/>
      <c r="T24" s="1381"/>
      <c r="U24" s="1381"/>
      <c r="V24" s="1381"/>
      <c r="W24" s="1381"/>
    </row>
    <row r="25">
      <c r="B25" s="618" t="s">
        <v>312</v>
      </c>
      <c r="C25" s="1381" t="n">
        <f>SUM(C18:C24)</f>
        <v>0</v>
      </c>
      <c r="D25" s="1381" t="n">
        <f t="shared" ref="D25:Q25" si="39">SUM(D18:D24)</f>
        <v>58.782959999999996</v>
      </c>
      <c r="E25" s="1381" t="n">
        <f t="shared" si="39"/>
        <v>267.78904000000006</v>
      </c>
      <c r="F25" s="1381" t="n">
        <f t="shared" si="39"/>
        <v>110.24799999999999</v>
      </c>
      <c r="G25" s="1381" t="n">
        <f t="shared" si="39"/>
        <v>110.24799999999999</v>
      </c>
      <c r="H25" s="1381" t="n">
        <f t="shared" si="39"/>
        <v>110.24799999999999</v>
      </c>
      <c r="I25" s="1381" t="n">
        <f t="shared" si="39"/>
        <v>110.24799999999999</v>
      </c>
      <c r="J25" s="1381" t="n">
        <f t="shared" si="39"/>
        <v>12.362</v>
      </c>
      <c r="K25" s="1381" t="n">
        <f t="shared" si="39"/>
        <v>12.362</v>
      </c>
      <c r="L25" s="1381" t="n">
        <f t="shared" si="39"/>
        <v>12.362</v>
      </c>
      <c r="M25" s="1381" t="n">
        <f t="shared" si="39"/>
        <v>12.362</v>
      </c>
      <c r="N25" s="1381" t="n">
        <f t="shared" si="39"/>
        <v>-0.67500000000000004</v>
      </c>
      <c r="O25" s="1381" t="n">
        <f t="shared" si="39"/>
        <v>-0.67500000000000004</v>
      </c>
      <c r="P25" s="1381" t="n">
        <f t="shared" si="39"/>
        <v>-0.67500000000000004</v>
      </c>
      <c r="Q25" s="1381" t="n">
        <f t="shared" si="39"/>
        <v>-0.67500000000000004</v>
      </c>
      <c r="R25" s="1381"/>
      <c r="S25" s="1381"/>
      <c r="T25" s="1381"/>
      <c r="U25" s="1381"/>
      <c r="V25" s="1381"/>
      <c r="W25" s="1381"/>
    </row>
    <row r="26">
      <c r="D26" s="1379" t="n">
        <f>D6-D25</f>
        <v>0</v>
      </c>
      <c r="E26" s="1379" t="n">
        <f t="shared" ref="E26:M26" si="40">E6-E25</f>
        <v>0</v>
      </c>
      <c r="F26" s="1379" t="n">
        <f t="shared" si="40"/>
        <v>0</v>
      </c>
      <c r="G26" s="1379" t="n">
        <f t="shared" si="40"/>
        <v>0</v>
      </c>
      <c r="H26" s="1379" t="n">
        <f t="shared" si="40"/>
        <v>0</v>
      </c>
      <c r="I26" s="1379" t="n">
        <f t="shared" si="40"/>
        <v>0</v>
      </c>
      <c r="J26" s="1379" t="n">
        <f t="shared" si="40"/>
        <v>0.36400000000000077</v>
      </c>
      <c r="K26" s="1379" t="n">
        <f t="shared" si="40"/>
        <v>0.36400000000000077</v>
      </c>
      <c r="L26" s="1379" t="n">
        <f t="shared" si="40"/>
        <v>0.36400000000000077</v>
      </c>
      <c r="M26" s="1379" t="n">
        <f t="shared" si="40"/>
        <v>0.36400000000000077</v>
      </c>
    </row>
    <row r="27">
      <c r="B27" s="885" t="s">
        <v>774</v>
      </c>
      <c r="D27" s="742" t="s">
        <v>251</v>
      </c>
      <c r="E27" s="742" t="s">
        <v>180</v>
      </c>
      <c r="F27" s="742" t="s">
        <v>181</v>
      </c>
      <c r="G27" s="742" t="s">
        <v>182</v>
      </c>
      <c r="H27" s="742" t="s">
        <v>183</v>
      </c>
      <c r="I27" s="742" t="s">
        <v>184</v>
      </c>
      <c r="J27" s="742" t="s">
        <v>185</v>
      </c>
      <c r="K27" s="742" t="s">
        <v>186</v>
      </c>
      <c r="L27" s="742" t="s">
        <v>187</v>
      </c>
      <c r="M27" s="742" t="s">
        <v>188</v>
      </c>
      <c r="N27" s="742" t="s">
        <v>189</v>
      </c>
      <c r="O27" s="742" t="s">
        <v>190</v>
      </c>
      <c r="P27" s="742" t="s">
        <v>191</v>
      </c>
      <c r="Q27" s="742" t="s">
        <v>175</v>
      </c>
      <c r="R27" s="742" t="s">
        <v>176</v>
      </c>
      <c r="S27" s="742" t="s">
        <v>177</v>
      </c>
      <c r="T27" s="742" t="s">
        <v>765</v>
      </c>
      <c r="U27" s="742" t="s">
        <v>766</v>
      </c>
      <c r="V27" s="742" t="s">
        <v>767</v>
      </c>
    </row>
    <row r="28">
      <c r="B28" s="61"/>
      <c r="C28" s="1379" t="s">
        <v>312</v>
      </c>
      <c r="D28" s="1383" t="n">
        <f>SUM(D29:D43)</f>
        <v>5.8765000000000009</v>
      </c>
      <c r="E28" s="1383" t="n">
        <f t="shared" ref="E28:V28" si="41">SUM(E29:E43)</f>
        <v>11.753000000000002</v>
      </c>
      <c r="F28" s="1383" t="n">
        <f t="shared" si="41"/>
        <v>15.762320000000003</v>
      </c>
      <c r="G28" s="1383" t="n">
        <f t="shared" si="41"/>
        <v>19.771640000000005</v>
      </c>
      <c r="H28" s="1383" t="n">
        <f t="shared" si="41"/>
        <v>23.812229000000006</v>
      </c>
      <c r="I28" s="1383" t="n">
        <f t="shared" si="41"/>
        <v>27.852818000000006</v>
      </c>
      <c r="J28" s="1383" t="n">
        <f t="shared" si="41"/>
        <v>30.517977000000005</v>
      </c>
      <c r="K28" s="1383" t="n">
        <f t="shared" si="41"/>
        <v>33.183136000000005</v>
      </c>
      <c r="L28" s="1383" t="n">
        <f t="shared" si="41"/>
        <v>36.260924000000003</v>
      </c>
      <c r="M28" s="1383" t="n">
        <f t="shared" si="41"/>
        <v>39.338711999999994</v>
      </c>
      <c r="N28" s="1383" t="n">
        <f t="shared" si="41"/>
        <v>40.928439999999995</v>
      </c>
      <c r="O28" s="1383" t="n">
        <f t="shared" si="41"/>
        <v>42.518167999999996</v>
      </c>
      <c r="P28" s="1383" t="n">
        <f t="shared" si="41"/>
        <v>44.428388999999996</v>
      </c>
      <c r="Q28" s="1383" t="n">
        <f t="shared" si="41"/>
        <v>46.338610000000003</v>
      </c>
      <c r="R28" s="1383" t="n">
        <f t="shared" si="41"/>
        <v>47.279744500000007</v>
      </c>
      <c r="S28" s="1383" t="n">
        <f t="shared" si="41"/>
        <v>46.283419000000009</v>
      </c>
      <c r="T28" s="1383" t="n">
        <f t="shared" si="41"/>
        <v>45.578489500000011</v>
      </c>
      <c r="U28" s="1383" t="n">
        <f t="shared" si="41"/>
        <v>45.454798000000011</v>
      </c>
      <c r="V28" s="1383" t="n">
        <f t="shared" si="41"/>
        <v>45.360580000000013</v>
      </c>
    </row>
    <row r="29">
      <c r="A29" s="885" t="n">
        <v>2021</v>
      </c>
      <c r="B29" s="61" t="s">
        <v>775</v>
      </c>
      <c r="C29" s="1379"/>
      <c r="D29" s="885" t="n">
        <f>($D$9+$D$10)*'ARP Timing'!B$16</f>
        <v>5.8765000000000009</v>
      </c>
      <c r="E29" s="885" t="n">
        <f>($D$9+$D$10)*'ARP Timing'!C$16</f>
        <v>5.8765000000000009</v>
      </c>
      <c r="F29" s="885" t="n">
        <f>($D$9+$D$10)*'ARP Timing'!D$16</f>
        <v>4.11355</v>
      </c>
      <c r="G29" s="885" t="n">
        <f>($D$9+$D$10)*'ARP Timing'!E$16</f>
        <v>4.11355</v>
      </c>
      <c r="H29" s="885" t="n">
        <f>($D$9+$D$10)*'ARP Timing'!F$16</f>
        <v>4.11355</v>
      </c>
      <c r="I29" s="885" t="n">
        <f>($D$9+$D$10)*'ARP Timing'!G$16</f>
        <v>4.11355</v>
      </c>
      <c r="J29" s="885" t="n">
        <f>($D$9+$D$10)*'ARP Timing'!H$16</f>
        <v>4.11355</v>
      </c>
      <c r="K29" s="885" t="n">
        <f>($D$9+$D$10)*'ARP Timing'!I$16</f>
        <v>4.11355</v>
      </c>
      <c r="L29" s="885" t="n">
        <f>($D$9+$D$10)*'ARP Timing'!J$16</f>
        <v>4.11355</v>
      </c>
      <c r="M29" s="885" t="n">
        <f>($D$9+$D$10)*'ARP Timing'!K$16</f>
        <v>4.11355</v>
      </c>
      <c r="N29" s="885" t="n">
        <f>($D$9+$D$10)*'ARP Timing'!L$16</f>
        <v>4.11355</v>
      </c>
      <c r="O29" s="885" t="n">
        <f>($D$9+$D$10)*'ARP Timing'!M$16</f>
        <v>4.11355</v>
      </c>
      <c r="P29" s="885" t="n">
        <f>($D$9+$D$10)*'ARP Timing'!N$16</f>
        <v>3.987625</v>
      </c>
      <c r="Q29" s="885" t="n">
        <f>($D$9+$D$10)*'ARP Timing'!O$16</f>
        <v>3.987625</v>
      </c>
      <c r="R29" s="885" t="n">
        <f>($D$9+$D$10)*'ARP Timing'!P$16</f>
        <v>3.987625</v>
      </c>
      <c r="S29" s="885" t="n">
        <f>($D$9+$D$10)*'ARP Timing'!Q$16</f>
        <v>3.987625</v>
      </c>
      <c r="T29" s="885" t="n">
        <f>($D$9+$D$10)*'ARP Timing'!R$16</f>
        <v>3.987625</v>
      </c>
      <c r="U29" s="885" t="n">
        <f>($D$9+$D$10)*'ARP Timing'!S$16</f>
        <v>3.987625</v>
      </c>
      <c r="V29" s="885" t="n">
        <f>($D$9+$D$10)*'ARP Timing'!T$16</f>
        <v>3.987625</v>
      </c>
    </row>
    <row r="30">
      <c r="B30" s="61" t="s">
        <v>331</v>
      </c>
      <c r="C30" s="1379"/>
      <c r="E30" s="885" t="n">
        <f>($E$9+$E$10)*'ARP Timing'!B$16</f>
        <v>5.8765000000000009</v>
      </c>
      <c r="F30" s="885" t="n">
        <f>($E$9+$E$10)*'ARP Timing'!C$16</f>
        <v>5.8765000000000009</v>
      </c>
      <c r="G30" s="885" t="n">
        <f>($E$9+$E$10)*'ARP Timing'!D$16</f>
        <v>4.11355</v>
      </c>
      <c r="H30" s="885" t="n">
        <f>($E$9+$E$10)*'ARP Timing'!E$16</f>
        <v>4.11355</v>
      </c>
      <c r="I30" s="885" t="n">
        <f>($E$9+$E$10)*'ARP Timing'!F$16</f>
        <v>4.11355</v>
      </c>
      <c r="J30" s="885" t="n">
        <f>($E$9+$E$10)*'ARP Timing'!G$16</f>
        <v>4.11355</v>
      </c>
      <c r="K30" s="885" t="n">
        <f>($E$9+$E$10)*'ARP Timing'!H$16</f>
        <v>4.11355</v>
      </c>
      <c r="L30" s="885" t="n">
        <f>($E$9+$E$10)*'ARP Timing'!I$16</f>
        <v>4.11355</v>
      </c>
      <c r="M30" s="885" t="n">
        <f>($E$9+$E$10)*'ARP Timing'!J$16</f>
        <v>4.11355</v>
      </c>
      <c r="N30" s="885" t="n">
        <f>($E$9+$E$10)*'ARP Timing'!K$16</f>
        <v>4.11355</v>
      </c>
      <c r="O30" s="885" t="n">
        <f>($E$9+$E$10)*'ARP Timing'!L$16</f>
        <v>4.11355</v>
      </c>
      <c r="P30" s="885" t="n">
        <f>($E$9+$E$10)*'ARP Timing'!M$16</f>
        <v>4.11355</v>
      </c>
      <c r="Q30" s="885" t="n">
        <f>($E$9+$E$10)*'ARP Timing'!N$16</f>
        <v>3.987625</v>
      </c>
      <c r="R30" s="885" t="n">
        <f>($E$9+$E$10)*'ARP Timing'!O$16</f>
        <v>3.987625</v>
      </c>
      <c r="S30" s="885" t="n">
        <f>($E$9+$E$10)*'ARP Timing'!P$16</f>
        <v>3.987625</v>
      </c>
      <c r="T30" s="885" t="n">
        <f>($E$9+$E$10)*'ARP Timing'!Q$16</f>
        <v>3.987625</v>
      </c>
      <c r="U30" s="885" t="n">
        <f>($E$9+$E$10)*'ARP Timing'!R$16</f>
        <v>3.987625</v>
      </c>
      <c r="V30" s="885" t="n">
        <f>($E$9+$E$10)*'ARP Timing'!S$16</f>
        <v>3.987625</v>
      </c>
    </row>
    <row r="31">
      <c r="B31" s="61" t="s">
        <v>776</v>
      </c>
      <c r="C31" s="1379"/>
      <c r="F31" s="885" t="n">
        <f>($F$9+$F$10)*'ARP Timing'!B$16</f>
        <v>5.7722700000000016</v>
      </c>
      <c r="G31" s="885" t="n">
        <f>($F$9+$F$10)*'ARP Timing'!C$16</f>
        <v>5.7722700000000016</v>
      </c>
      <c r="H31" s="885" t="n">
        <f>($F$9+$F$10)*'ARP Timing'!D$16</f>
        <v>4.0405890000000007</v>
      </c>
      <c r="I31" s="885" t="n">
        <f>($F$9+$F$10)*'ARP Timing'!E$16</f>
        <v>4.0405890000000007</v>
      </c>
      <c r="J31" s="885" t="n">
        <f>($F$9+$F$10)*'ARP Timing'!F$16</f>
        <v>4.0405890000000007</v>
      </c>
      <c r="K31" s="885" t="n">
        <f>($F$9+$F$10)*'ARP Timing'!G$16</f>
        <v>4.0405890000000007</v>
      </c>
      <c r="L31" s="885" t="n">
        <f>($F$9+$F$10)*'ARP Timing'!H$16</f>
        <v>4.0405890000000007</v>
      </c>
      <c r="M31" s="885" t="n">
        <f>($F$9+$F$10)*'ARP Timing'!I$16</f>
        <v>4.0405890000000007</v>
      </c>
      <c r="N31" s="885" t="n">
        <f>($F$9+$F$10)*'ARP Timing'!J$16</f>
        <v>4.0405890000000007</v>
      </c>
      <c r="O31" s="885" t="n">
        <f>($F$9+$F$10)*'ARP Timing'!K$16</f>
        <v>4.0405890000000007</v>
      </c>
      <c r="P31" s="885" t="n">
        <f>($F$9+$F$10)*'ARP Timing'!L$16</f>
        <v>4.0405890000000007</v>
      </c>
      <c r="Q31" s="885" t="n">
        <f>($F$9+$F$10)*'ARP Timing'!M$16</f>
        <v>4.0405890000000007</v>
      </c>
      <c r="R31" s="885" t="n">
        <f>($F$9+$F$10)*'ARP Timing'!N$16</f>
        <v>3.9168975000000006</v>
      </c>
      <c r="S31" s="885" t="n">
        <f>($F$9+$F$10)*'ARP Timing'!O$16</f>
        <v>3.9168975000000006</v>
      </c>
      <c r="T31" s="885" t="n">
        <f>($F$9+$F$10)*'ARP Timing'!P$16</f>
        <v>3.9168975000000006</v>
      </c>
      <c r="U31" s="885" t="n">
        <f>($F$9+$F$10)*'ARP Timing'!Q$16</f>
        <v>3.9168975000000006</v>
      </c>
      <c r="V31" s="885" t="n">
        <f>($F$9+$F$10)*'ARP Timing'!R$16</f>
        <v>3.9168975000000006</v>
      </c>
    </row>
    <row r="32">
      <c r="A32" s="885" t="n">
        <v>2022</v>
      </c>
      <c r="B32" s="61" t="s">
        <v>240</v>
      </c>
      <c r="C32" s="1379"/>
      <c r="G32" s="885" t="n">
        <f>($G$9+$G$10)*'ARP Timing'!B$16</f>
        <v>5.7722700000000016</v>
      </c>
      <c r="H32" s="885" t="n">
        <f>($G$9+$G$10)*'ARP Timing'!C$16</f>
        <v>5.7722700000000016</v>
      </c>
      <c r="I32" s="885" t="n">
        <f>($G$9+$G$10)*'ARP Timing'!D$16</f>
        <v>4.0405890000000007</v>
      </c>
      <c r="J32" s="885" t="n">
        <f>($G$9+$G$10)*'ARP Timing'!E$16</f>
        <v>4.0405890000000007</v>
      </c>
      <c r="K32" s="885" t="n">
        <f>($G$9+$G$10)*'ARP Timing'!F$16</f>
        <v>4.0405890000000007</v>
      </c>
      <c r="L32" s="885" t="n">
        <f>($G$9+$G$10)*'ARP Timing'!G$16</f>
        <v>4.0405890000000007</v>
      </c>
      <c r="M32" s="885" t="n">
        <f>($G$9+$G$10)*'ARP Timing'!H$16</f>
        <v>4.0405890000000007</v>
      </c>
      <c r="N32" s="885" t="n">
        <f>($G$9+$G$10)*'ARP Timing'!I$16</f>
        <v>4.0405890000000007</v>
      </c>
      <c r="O32" s="885" t="n">
        <f>($G$9+$G$10)*'ARP Timing'!J$16</f>
        <v>4.0405890000000007</v>
      </c>
      <c r="P32" s="885" t="n">
        <f>($G$9+$G$10)*'ARP Timing'!K$16</f>
        <v>4.0405890000000007</v>
      </c>
      <c r="Q32" s="885" t="n">
        <f>($G$9+$G$10)*'ARP Timing'!L$16</f>
        <v>4.0405890000000007</v>
      </c>
      <c r="R32" s="885" t="n">
        <f>($G$9+$G$10)*'ARP Timing'!M$16</f>
        <v>4.0405890000000007</v>
      </c>
      <c r="S32" s="885" t="n">
        <f>($G$9+$G$10)*'ARP Timing'!N$16</f>
        <v>3.9168975000000006</v>
      </c>
      <c r="T32" s="885" t="n">
        <f>($G$9+$G$10)*'ARP Timing'!O$16</f>
        <v>3.9168975000000006</v>
      </c>
      <c r="U32" s="885" t="n">
        <f>($G$9+$G$10)*'ARP Timing'!P$16</f>
        <v>3.9168975000000006</v>
      </c>
      <c r="V32" s="885" t="n">
        <f>($G$9+$G$10)*'ARP Timing'!Q$16</f>
        <v>3.9168975000000006</v>
      </c>
    </row>
    <row r="33">
      <c r="B33" s="61" t="s">
        <v>241</v>
      </c>
      <c r="C33" s="1379"/>
      <c r="H33" s="885" t="n">
        <f>($H$9+$H$10)*'ARP Timing'!B$16</f>
        <v>5.7722700000000016</v>
      </c>
      <c r="I33" s="885" t="n">
        <f>($H$9+$H$10)*'ARP Timing'!C$16</f>
        <v>5.7722700000000016</v>
      </c>
      <c r="J33" s="885" t="n">
        <f>($H$9+$H$10)*'ARP Timing'!D$16</f>
        <v>4.0405890000000007</v>
      </c>
      <c r="K33" s="885" t="n">
        <f>($H$9+$H$10)*'ARP Timing'!E$16</f>
        <v>4.0405890000000007</v>
      </c>
      <c r="L33" s="885" t="n">
        <f>($H$9+$H$10)*'ARP Timing'!F$16</f>
        <v>4.0405890000000007</v>
      </c>
      <c r="M33" s="885" t="n">
        <f>($H$9+$H$10)*'ARP Timing'!G$16</f>
        <v>4.0405890000000007</v>
      </c>
      <c r="N33" s="885" t="n">
        <f>($H$9+$H$10)*'ARP Timing'!H$16</f>
        <v>4.0405890000000007</v>
      </c>
      <c r="O33" s="885" t="n">
        <f>($H$9+$H$10)*'ARP Timing'!I$16</f>
        <v>4.0405890000000007</v>
      </c>
      <c r="P33" s="885" t="n">
        <f>($H$9+$H$10)*'ARP Timing'!J$16</f>
        <v>4.0405890000000007</v>
      </c>
      <c r="Q33" s="885" t="n">
        <f>($H$9+$H$10)*'ARP Timing'!K$16</f>
        <v>4.0405890000000007</v>
      </c>
      <c r="R33" s="885" t="n">
        <f>($H$9+$H$10)*'ARP Timing'!L$16</f>
        <v>4.0405890000000007</v>
      </c>
      <c r="S33" s="885" t="n">
        <f>($H$9+$H$10)*'ARP Timing'!M$16</f>
        <v>4.0405890000000007</v>
      </c>
      <c r="T33" s="885" t="n">
        <f>($H$9+$H$10)*'ARP Timing'!N$16</f>
        <v>3.9168975000000006</v>
      </c>
      <c r="U33" s="885" t="n">
        <f>($H$9+$H$10)*'ARP Timing'!O$16</f>
        <v>3.9168975000000006</v>
      </c>
      <c r="V33" s="885" t="n">
        <f>($H$9+$H$10)*'ARP Timing'!P$16</f>
        <v>3.9168975000000006</v>
      </c>
    </row>
    <row r="34">
      <c r="B34" s="61" t="s">
        <v>331</v>
      </c>
      <c r="C34" s="1379"/>
      <c r="H34" s="1379"/>
      <c r="I34" s="885" t="n">
        <f>($I$9+$I10)*'ARP Timing'!B$16</f>
        <v>5.7722700000000016</v>
      </c>
      <c r="J34" s="885" t="n">
        <f>($I$9+$I10)*'ARP Timing'!C$16</f>
        <v>5.7722700000000016</v>
      </c>
      <c r="K34" s="885" t="n">
        <f>($I$9+$I10)*'ARP Timing'!D$16</f>
        <v>4.0405890000000007</v>
      </c>
      <c r="L34" s="885" t="n">
        <f>($I$9+$I10)*'ARP Timing'!E$16</f>
        <v>4.0405890000000007</v>
      </c>
      <c r="M34" s="885" t="n">
        <f>($I$9+$I10)*'ARP Timing'!F$16</f>
        <v>4.0405890000000007</v>
      </c>
      <c r="N34" s="885" t="n">
        <f>($I$9+$I10)*'ARP Timing'!G$16</f>
        <v>4.0405890000000007</v>
      </c>
      <c r="O34" s="885" t="n">
        <f>($I$9+$I10)*'ARP Timing'!H$16</f>
        <v>4.0405890000000007</v>
      </c>
      <c r="P34" s="885" t="n">
        <f>($I$9+$I10)*'ARP Timing'!I$16</f>
        <v>4.0405890000000007</v>
      </c>
      <c r="Q34" s="885" t="n">
        <f>($I$9+$I10)*'ARP Timing'!J$16</f>
        <v>4.0405890000000007</v>
      </c>
      <c r="R34" s="885" t="n">
        <f>($I$9+$I10)*'ARP Timing'!K$16</f>
        <v>4.0405890000000007</v>
      </c>
      <c r="S34" s="885" t="n">
        <f>($I$9+$I10)*'ARP Timing'!L$16</f>
        <v>4.0405890000000007</v>
      </c>
      <c r="T34" s="885" t="n">
        <f>($I$9+$I10)*'ARP Timing'!M$16</f>
        <v>4.0405890000000007</v>
      </c>
      <c r="U34" s="885" t="n">
        <f>($I$9+$I10)*'ARP Timing'!N$16</f>
        <v>3.9168975000000006</v>
      </c>
      <c r="V34" s="885" t="n">
        <f>($I$9+$I10)*'ARP Timing'!O$16</f>
        <v>3.9168975000000006</v>
      </c>
    </row>
    <row r="35">
      <c r="B35" s="61" t="s">
        <v>776</v>
      </c>
      <c r="C35" s="1379"/>
      <c r="H35" s="1379"/>
      <c r="J35" s="885" t="n">
        <f>($J$9+$J$10)*'ARP Timing'!B$16</f>
        <v>4.3968400000000001</v>
      </c>
      <c r="K35" s="885" t="n">
        <f>($J$9+$J$10)*'ARP Timing'!C$16</f>
        <v>4.3968400000000001</v>
      </c>
      <c r="L35" s="885" t="n">
        <f>($J$9+$J$10)*'ARP Timing'!D$16</f>
        <v>3.077788</v>
      </c>
      <c r="M35" s="885" t="n">
        <f>($J$9+$J$10)*'ARP Timing'!E$16</f>
        <v>3.077788</v>
      </c>
      <c r="N35" s="885" t="n">
        <f>($J$9+$J$10)*'ARP Timing'!F$16</f>
        <v>3.077788</v>
      </c>
      <c r="O35" s="885" t="n">
        <f>($J$9+$J$10)*'ARP Timing'!G$16</f>
        <v>3.077788</v>
      </c>
      <c r="P35" s="885" t="n">
        <f>($J$9+$J$10)*'ARP Timing'!H$16</f>
        <v>3.077788</v>
      </c>
      <c r="Q35" s="885" t="n">
        <f>($J$9+$J$10)*'ARP Timing'!I$16</f>
        <v>3.077788</v>
      </c>
      <c r="R35" s="885" t="n">
        <f>($J$9+$J$10)*'ARP Timing'!J$16</f>
        <v>3.077788</v>
      </c>
      <c r="S35" s="885" t="n">
        <f>($J$9+$J$10)*'ARP Timing'!K$16</f>
        <v>3.077788</v>
      </c>
      <c r="T35" s="885" t="n">
        <f>($J$9+$J$10)*'ARP Timing'!L$16</f>
        <v>3.077788</v>
      </c>
      <c r="U35" s="885" t="n">
        <f>($J$9+$J$10)*'ARP Timing'!M$16</f>
        <v>3.077788</v>
      </c>
      <c r="V35" s="885" t="n">
        <f>($J$9+$J$10)*'ARP Timing'!N$16</f>
        <v>2.9835699999999998</v>
      </c>
    </row>
    <row r="36">
      <c r="A36" s="885" t="n">
        <v>2023</v>
      </c>
      <c r="B36" s="61" t="s">
        <v>240</v>
      </c>
      <c r="C36" s="1379"/>
      <c r="H36" s="1379"/>
      <c r="K36" s="885" t="n">
        <f>($K$9+$K$10)*'ARP Timing'!B$16</f>
        <v>4.3968400000000001</v>
      </c>
      <c r="L36" s="885" t="n">
        <f>($K$9+$K$10)*'ARP Timing'!C$16</f>
        <v>4.3968400000000001</v>
      </c>
      <c r="M36" s="885" t="n">
        <f>($K$9+$K$10)*'ARP Timing'!D$16</f>
        <v>3.077788</v>
      </c>
      <c r="N36" s="885" t="n">
        <f>($K$9+$K$10)*'ARP Timing'!E$16</f>
        <v>3.077788</v>
      </c>
      <c r="O36" s="885" t="n">
        <f>($K$9+$K$10)*'ARP Timing'!F$16</f>
        <v>3.077788</v>
      </c>
      <c r="P36" s="885" t="n">
        <f>($K$9+$K$10)*'ARP Timing'!G$16</f>
        <v>3.077788</v>
      </c>
      <c r="Q36" s="885" t="n">
        <f>($K$9+$K$10)*'ARP Timing'!H$16</f>
        <v>3.077788</v>
      </c>
      <c r="R36" s="885" t="n">
        <f>($K$9+$K$10)*'ARP Timing'!I$16</f>
        <v>3.077788</v>
      </c>
      <c r="S36" s="885" t="n">
        <f>($K$9+$K$10)*'ARP Timing'!J$16</f>
        <v>3.077788</v>
      </c>
      <c r="T36" s="885" t="n">
        <f>($K$9+$K$10)*'ARP Timing'!K$16</f>
        <v>3.077788</v>
      </c>
      <c r="U36" s="885" t="n">
        <f>($K$9+$K$10)*'ARP Timing'!L$16</f>
        <v>3.077788</v>
      </c>
      <c r="V36" s="885" t="n">
        <f>($K$9+$K$10)*'ARP Timing'!M$16</f>
        <v>3.077788</v>
      </c>
    </row>
    <row r="37">
      <c r="B37" s="61" t="s">
        <v>241</v>
      </c>
      <c r="C37" s="1379"/>
      <c r="H37" s="1379"/>
      <c r="L37" s="885" t="n">
        <f>($L$9+$L$10)*'ARP Timing'!B$16</f>
        <v>4.3968400000000001</v>
      </c>
      <c r="M37" s="885" t="n">
        <f>($L$9+$L$10)*'ARP Timing'!C$16</f>
        <v>4.3968400000000001</v>
      </c>
      <c r="N37" s="885" t="n">
        <f>($L$9+$L$10)*'ARP Timing'!D$16</f>
        <v>3.077788</v>
      </c>
      <c r="O37" s="885" t="n">
        <f>($L$9+$L$10)*'ARP Timing'!E$16</f>
        <v>3.077788</v>
      </c>
      <c r="P37" s="885" t="n">
        <f>($L$9+$L$10)*'ARP Timing'!F$16</f>
        <v>3.077788</v>
      </c>
      <c r="Q37" s="885" t="n">
        <f>($L$9+$L$10)*'ARP Timing'!G$16</f>
        <v>3.077788</v>
      </c>
      <c r="R37" s="885" t="n">
        <f>($L$9+$L$10)*'ARP Timing'!H$16</f>
        <v>3.077788</v>
      </c>
      <c r="S37" s="885" t="n">
        <f>($L$9+$L$10)*'ARP Timing'!I$16</f>
        <v>3.077788</v>
      </c>
      <c r="T37" s="885" t="n">
        <f>($L$9+$L$10)*'ARP Timing'!J$16</f>
        <v>3.077788</v>
      </c>
      <c r="U37" s="885" t="n">
        <f>($L$9+$L$10)*'ARP Timing'!K$16</f>
        <v>3.077788</v>
      </c>
      <c r="V37" s="885" t="n">
        <f>($L$9+$L$10)*'ARP Timing'!L$16</f>
        <v>3.077788</v>
      </c>
    </row>
    <row r="38">
      <c r="B38" s="61" t="s">
        <v>331</v>
      </c>
      <c r="C38" s="1379"/>
      <c r="H38" s="1379"/>
      <c r="M38" s="885" t="n">
        <f>($M$9+$M$10)*'ARP Timing'!B$16</f>
        <v>4.3968400000000001</v>
      </c>
      <c r="N38" s="885" t="n">
        <f>($M$9+$M$10)*'ARP Timing'!C$16</f>
        <v>4.3968400000000001</v>
      </c>
      <c r="O38" s="885" t="n">
        <f>($M$9+$M$10)*'ARP Timing'!D$16</f>
        <v>3.077788</v>
      </c>
      <c r="P38" s="885" t="n">
        <f>($M$9+$M$10)*'ARP Timing'!E$16</f>
        <v>3.077788</v>
      </c>
      <c r="Q38" s="885" t="n">
        <f>($M$9+$M$10)*'ARP Timing'!F$16</f>
        <v>3.077788</v>
      </c>
      <c r="R38" s="885" t="n">
        <f>($M$9+$M$10)*'ARP Timing'!G$16</f>
        <v>3.077788</v>
      </c>
      <c r="S38" s="885" t="n">
        <f>($M$9+$M$10)*'ARP Timing'!H$16</f>
        <v>3.077788</v>
      </c>
      <c r="T38" s="885" t="n">
        <f>($M$9+$M$10)*'ARP Timing'!I$16</f>
        <v>3.077788</v>
      </c>
      <c r="U38" s="885" t="n">
        <f>($M$9+$M$10)*'ARP Timing'!J$16</f>
        <v>3.077788</v>
      </c>
      <c r="V38" s="885" t="n">
        <f>($M$9+$M$10)*'ARP Timing'!K$16</f>
        <v>3.077788</v>
      </c>
    </row>
    <row r="39">
      <c r="B39" s="61" t="s">
        <v>776</v>
      </c>
      <c r="C39" s="1379"/>
      <c r="H39" s="1379"/>
      <c r="N39" s="885" t="n">
        <f>($N$9+$N$10)*'ARP Timing'!B$16</f>
        <v>2.9087800000000006</v>
      </c>
      <c r="O39" s="885" t="n">
        <f>($N$9+$N$10)*'ARP Timing'!C$16</f>
        <v>2.9087800000000006</v>
      </c>
      <c r="P39" s="885" t="n">
        <f>($N$9+$N$10)*'ARP Timing'!D$16</f>
        <v>2.036146</v>
      </c>
      <c r="Q39" s="885" t="n">
        <f>($N$9+$N$10)*'ARP Timing'!E$16</f>
        <v>2.036146</v>
      </c>
      <c r="R39" s="885" t="n">
        <f>($N$9+$N$10)*'ARP Timing'!F$16</f>
        <v>2.036146</v>
      </c>
      <c r="S39" s="885" t="n">
        <f>($N$9+$N$10)*'ARP Timing'!G$16</f>
        <v>2.036146</v>
      </c>
      <c r="T39" s="885" t="n">
        <f>($N$9+$N$10)*'ARP Timing'!H$16</f>
        <v>2.036146</v>
      </c>
      <c r="U39" s="885" t="n">
        <f>($N$9+$N$10)*'ARP Timing'!I$16</f>
        <v>2.036146</v>
      </c>
      <c r="V39" s="885" t="n">
        <f>($N$9+$N$10)*'ARP Timing'!J$16</f>
        <v>2.036146</v>
      </c>
    </row>
    <row r="40">
      <c r="A40" s="885" t="n">
        <v>2024</v>
      </c>
      <c r="B40" s="61" t="s">
        <v>240</v>
      </c>
      <c r="C40" s="1379"/>
      <c r="H40" s="1379"/>
      <c r="O40" s="885" t="n">
        <f>($O$9+$O$10)*'ARP Timing'!B$16</f>
        <v>2.9087800000000006</v>
      </c>
      <c r="P40" s="885" t="n">
        <f>($O$9+$O$10)*'ARP Timing'!C$16</f>
        <v>2.9087800000000006</v>
      </c>
      <c r="Q40" s="885" t="n">
        <f>($O$9+$O$10)*'ARP Timing'!D$16</f>
        <v>2.036146</v>
      </c>
      <c r="R40" s="885" t="n">
        <f>($O$9+$O$10)*'ARP Timing'!E$16</f>
        <v>2.036146</v>
      </c>
      <c r="S40" s="885" t="n">
        <f>($O$9+$O$10)*'ARP Timing'!F$16</f>
        <v>2.036146</v>
      </c>
      <c r="T40" s="885" t="n">
        <f>($O$9+$O$10)*'ARP Timing'!G$16</f>
        <v>2.036146</v>
      </c>
      <c r="U40" s="885" t="n">
        <f>($O$9+$O$10)*'ARP Timing'!H$16</f>
        <v>2.036146</v>
      </c>
      <c r="V40" s="885" t="n">
        <f>($O$9+$O$10)*'ARP Timing'!I$16</f>
        <v>2.036146</v>
      </c>
    </row>
    <row r="41">
      <c r="B41" s="61" t="s">
        <v>241</v>
      </c>
      <c r="C41" s="1379"/>
      <c r="H41" s="1379"/>
      <c r="P41" s="885" t="n">
        <f>($P$9+$P$10)*'ARP Timing'!B$16</f>
        <v>2.9087800000000006</v>
      </c>
      <c r="Q41" s="885" t="n">
        <f>($P$9+$P$10)*'ARP Timing'!C$16</f>
        <v>2.9087800000000006</v>
      </c>
      <c r="R41" s="885" t="n">
        <f>($P$9+$P$10)*'ARP Timing'!D$16</f>
        <v>2.036146</v>
      </c>
      <c r="S41" s="885" t="n">
        <f>($P$9+$P$10)*'ARP Timing'!E$16</f>
        <v>2.036146</v>
      </c>
      <c r="T41" s="885" t="n">
        <f>($P$9+$P$10)*'ARP Timing'!F$16</f>
        <v>2.036146</v>
      </c>
      <c r="U41" s="885" t="n">
        <f>($P$9+$P$10)*'ARP Timing'!G$16</f>
        <v>2.036146</v>
      </c>
      <c r="V41" s="885" t="n">
        <f>($P$9+$P$10)*'ARP Timing'!H$16</f>
        <v>2.036146</v>
      </c>
    </row>
    <row r="42">
      <c r="B42" s="61" t="s">
        <v>331</v>
      </c>
      <c r="C42" s="1379"/>
      <c r="H42" s="1379"/>
      <c r="Q42" s="885" t="n">
        <f>($Q$9+$Q$10)*'ARP Timing'!B$16</f>
        <v>2.9087800000000006</v>
      </c>
      <c r="R42" s="885" t="n">
        <f>($Q$9+$Q$10)*'ARP Timing'!C$16</f>
        <v>2.9087800000000006</v>
      </c>
      <c r="S42" s="885" t="n">
        <f>($Q$9+$Q$10)*'ARP Timing'!D$16</f>
        <v>2.036146</v>
      </c>
      <c r="T42" s="885" t="n">
        <f>($Q$9+$Q$10)*'ARP Timing'!E$16</f>
        <v>2.036146</v>
      </c>
      <c r="U42" s="885" t="n">
        <f>($Q$9+$Q$10)*'ARP Timing'!F$16</f>
        <v>2.036146</v>
      </c>
      <c r="V42" s="885" t="n">
        <f>($Q$9+$Q$10)*'ARP Timing'!G$16</f>
        <v>2.036146</v>
      </c>
    </row>
    <row r="43">
      <c r="B43" s="61" t="s">
        <v>776</v>
      </c>
      <c r="C43" s="1379"/>
      <c r="H43" s="1379"/>
      <c r="R43" s="885" t="n">
        <f>($R$9+$R$10)*'ARP Timing'!B$16</f>
        <v>1.9374600000000002</v>
      </c>
      <c r="S43" s="885" t="n">
        <f>($R$9+$R$10)*'ARP Timing'!C$16</f>
        <v>1.9374600000000002</v>
      </c>
      <c r="T43" s="885" t="n">
        <f>($R$9+$R$10)*'ARP Timing'!D$16</f>
        <v>1.356222</v>
      </c>
      <c r="U43" s="885" t="n">
        <f>($R$9+$R$10)*'ARP Timing'!E$16</f>
        <v>1.356222</v>
      </c>
      <c r="V43" s="885" t="n">
        <f>($R$9+$R$10)*'ARP Timing'!F$16</f>
        <v>1.356222</v>
      </c>
    </row>
    <row r="44">
      <c r="S44" s="885" t="n">
        <f>($S$9+$S$10)*'ARP Timing'!B$16</f>
        <v>1.9374600000000002</v>
      </c>
      <c r="T44" s="885" t="n">
        <f>($S$9+$S$10)*'ARP Timing'!C$16</f>
        <v>1.9374600000000002</v>
      </c>
      <c r="U44" s="885" t="n">
        <f>($S$9+$S$10)*'ARP Timing'!D$16</f>
        <v>1.356222</v>
      </c>
      <c r="V44" s="885" t="n">
        <f>($S$9+$S$10)*'ARP Timing'!E$16</f>
        <v>1.356222</v>
      </c>
    </row>
    <row r="46">
      <c r="B46" s="885" t="s">
        <v>777</v>
      </c>
      <c r="D46" s="742" t="s">
        <v>251</v>
      </c>
      <c r="E46" s="742" t="s">
        <v>180</v>
      </c>
      <c r="F46" s="742" t="s">
        <v>181</v>
      </c>
      <c r="G46" s="742" t="s">
        <v>182</v>
      </c>
      <c r="H46" s="742" t="s">
        <v>183</v>
      </c>
      <c r="I46" s="742" t="s">
        <v>184</v>
      </c>
      <c r="J46" s="742" t="s">
        <v>185</v>
      </c>
      <c r="K46" s="742" t="s">
        <v>186</v>
      </c>
      <c r="L46" s="742" t="s">
        <v>187</v>
      </c>
      <c r="M46" s="742" t="s">
        <v>188</v>
      </c>
      <c r="N46" s="742" t="s">
        <v>189</v>
      </c>
      <c r="O46" s="742" t="s">
        <v>190</v>
      </c>
      <c r="P46" s="742" t="s">
        <v>191</v>
      </c>
      <c r="Q46" s="742" t="s">
        <v>175</v>
      </c>
      <c r="R46" s="742" t="s">
        <v>176</v>
      </c>
      <c r="S46" s="742" t="s">
        <v>177</v>
      </c>
      <c r="T46" s="742" t="s">
        <v>765</v>
      </c>
      <c r="U46" s="742" t="s">
        <v>766</v>
      </c>
      <c r="V46" s="742" t="s">
        <v>767</v>
      </c>
    </row>
    <row r="47">
      <c r="B47" s="61"/>
      <c r="C47" s="1379" t="s">
        <v>312</v>
      </c>
      <c r="D47" s="1383" t="n">
        <f t="shared" ref="D47:U47" si="42">SUM(D48:D66)</f>
        <v>0</v>
      </c>
      <c r="E47" s="1383" t="n">
        <f t="shared" si="42"/>
        <v>0</v>
      </c>
      <c r="F47" s="1383" t="n">
        <f t="shared" si="42"/>
        <v>34.620851999999999</v>
      </c>
      <c r="G47" s="1383" t="n">
        <f t="shared" si="42"/>
        <v>50.996274799999995</v>
      </c>
      <c r="H47" s="1383" t="n">
        <f t="shared" si="42"/>
        <v>69.350031999999999</v>
      </c>
      <c r="I47" s="1383" t="n">
        <f t="shared" si="42"/>
        <v>79.295867999999999</v>
      </c>
      <c r="J47" s="1383" t="n">
        <f t="shared" si="42"/>
        <v>80.538927999999999</v>
      </c>
      <c r="K47" s="1383" t="n">
        <f t="shared" si="42"/>
        <v>80.122543199999996</v>
      </c>
      <c r="L47" s="1383" t="n">
        <f t="shared" si="42"/>
        <v>88.916719999999998</v>
      </c>
      <c r="M47" s="1383" t="n">
        <f t="shared" si="42"/>
        <v>92.213943999999998</v>
      </c>
      <c r="N47" s="1383" t="n">
        <f t="shared" si="42"/>
        <v>92.213943999999998</v>
      </c>
      <c r="O47" s="1383" t="n">
        <f t="shared" si="42"/>
        <v>94.213943999999998</v>
      </c>
      <c r="P47" s="1383" t="n">
        <f t="shared" si="42"/>
        <v>98.916719999999998</v>
      </c>
      <c r="Q47" s="1383" t="n">
        <f t="shared" si="42"/>
        <v>98.916719999999998</v>
      </c>
      <c r="R47" s="1383" t="n">
        <f t="shared" si="42"/>
        <v>99.081581199999988</v>
      </c>
      <c r="S47" s="1383" t="n">
        <f t="shared" si="42"/>
        <v>93.146578000000005</v>
      </c>
      <c r="T47" s="1383" t="n">
        <f t="shared" si="42"/>
        <v>86.552129999999991</v>
      </c>
      <c r="U47" s="1383" t="n">
        <f t="shared" si="42"/>
        <v>86.552129999999991</v>
      </c>
      <c r="V47" s="1383" t="n">
        <f>SUM(V48:V66)</f>
        <v>82.265738799999994</v>
      </c>
      <c r="W47" s="885" t="n">
        <f>SUM(G47:V47)/4</f>
        <v>343.32344900000004</v>
      </c>
    </row>
    <row r="48">
      <c r="A48" s="885" t="n">
        <v>2021</v>
      </c>
      <c r="B48" s="61" t="s">
        <v>775</v>
      </c>
      <c r="C48" s="1379"/>
      <c r="D48" s="885" t="n">
        <f>($D$8)*'ARP Timing'!B17</f>
        <v>0</v>
      </c>
      <c r="E48" s="885" t="n">
        <f>($D$8)*'ARP Timing'!C17</f>
        <v>0</v>
      </c>
      <c r="F48" s="885" t="n">
        <f>($D$8)*'ARP Timing'!D17</f>
        <v>34.620851999999999</v>
      </c>
      <c r="G48" s="885" t="n">
        <f>($D$8)*'ARP Timing'!E17</f>
        <v>45.996274799999995</v>
      </c>
      <c r="H48" s="885" t="n">
        <f>($D$8)*'ARP Timing'!F17</f>
        <v>59.350031999999992</v>
      </c>
      <c r="I48" s="885" t="n">
        <f>($D$8)*'ARP Timing'!G17</f>
        <v>64.295867999999999</v>
      </c>
      <c r="J48" s="885" t="n">
        <f>($D$8)*'ARP Timing'!H17</f>
        <v>49.458359999999999</v>
      </c>
      <c r="K48" s="885" t="n">
        <f>($D$8)*'ARP Timing'!I17</f>
        <v>49.458359999999999</v>
      </c>
      <c r="L48" s="885" t="n">
        <f>($D$8)*'ARP Timing'!J17</f>
        <v>59.350031999999992</v>
      </c>
      <c r="M48" s="885" t="n">
        <f>($D$8)*'ARP Timing'!K17</f>
        <v>59.350031999999992</v>
      </c>
      <c r="N48" s="885" t="n">
        <f>($D$8)*'ARP Timing'!L17</f>
        <v>69.241703999999999</v>
      </c>
      <c r="O48" s="885" t="n">
        <f>($D$8)*'ARP Timing'!M17</f>
        <v>69.241703999999999</v>
      </c>
      <c r="P48" s="885" t="n">
        <f>($D$8)*'ARP Timing'!N17</f>
        <v>59.350031999999992</v>
      </c>
      <c r="Q48" s="885" t="n">
        <f>($D$8)*'ARP Timing'!O17</f>
        <v>59.350031999999992</v>
      </c>
      <c r="R48" s="885" t="n">
        <f>($D$8)*'ARP Timing'!P17</f>
        <v>52.920445199999989</v>
      </c>
      <c r="S48" s="885" t="n">
        <f>($D$8)*'ARP Timing'!Q17</f>
        <v>46.985441999999992</v>
      </c>
      <c r="T48" s="885" t="n">
        <f>($D$8)*'ARP Timing'!R17</f>
        <v>46.985441999999992</v>
      </c>
      <c r="U48" s="885" t="n">
        <f>($D$8)*'ARP Timing'!S17</f>
        <v>46.985441999999992</v>
      </c>
      <c r="V48" s="885" t="n">
        <f>($D$8)*'ARP Timing'!T17</f>
        <v>46.985441999999992</v>
      </c>
    </row>
    <row r="49">
      <c r="B49" s="61" t="s">
        <v>331</v>
      </c>
      <c r="C49" s="1379"/>
      <c r="E49" s="885" t="n">
        <f>($E$8)*'ARP Timing'!B$17</f>
        <v>0</v>
      </c>
      <c r="F49" s="885" t="n">
        <f>($E$8)*'ARP Timing'!C$16</f>
        <v>0</v>
      </c>
      <c r="G49" s="885" t="n">
        <f>($E$8)*'ARP Timing'!D$16</f>
        <v>0</v>
      </c>
      <c r="H49" s="885" t="n">
        <f>($E$8)*'ARP Timing'!E$16</f>
        <v>0</v>
      </c>
      <c r="I49" s="885" t="n">
        <f>($E$8)*'ARP Timing'!F$16</f>
        <v>0</v>
      </c>
      <c r="J49" s="885" t="n">
        <f>($E$8)*'ARP Timing'!G$16</f>
        <v>0</v>
      </c>
      <c r="K49" s="885" t="n">
        <f>($E$8)*'ARP Timing'!H$16</f>
        <v>0</v>
      </c>
      <c r="L49" s="885" t="n">
        <f>($E$8)*'ARP Timing'!I$16</f>
        <v>0</v>
      </c>
      <c r="M49" s="885" t="n">
        <f>($E$8)*'ARP Timing'!J$16</f>
        <v>0</v>
      </c>
      <c r="N49" s="885" t="n">
        <f>($E$8)*'ARP Timing'!K$16</f>
        <v>0</v>
      </c>
      <c r="O49" s="885" t="n">
        <f>($E$8)*'ARP Timing'!L$16</f>
        <v>0</v>
      </c>
      <c r="P49" s="885" t="n">
        <f>($E$8)*'ARP Timing'!M$16</f>
        <v>0</v>
      </c>
      <c r="Q49" s="885" t="n">
        <f>($E$8)*'ARP Timing'!N$16</f>
        <v>0</v>
      </c>
      <c r="R49" s="885" t="n">
        <f>($E$8)*'ARP Timing'!O$16</f>
        <v>0</v>
      </c>
      <c r="S49" s="885" t="n">
        <f>($E$8)*'ARP Timing'!P$16</f>
        <v>0</v>
      </c>
      <c r="T49" s="885" t="n">
        <f>($E$8)*'ARP Timing'!Q$16</f>
        <v>0</v>
      </c>
      <c r="U49" s="885" t="n">
        <f>($E$8)*'ARP Timing'!R$16</f>
        <v>0</v>
      </c>
      <c r="V49" s="885" t="n">
        <f>($E$8)*'ARP Timing'!S$16</f>
        <v>0</v>
      </c>
    </row>
    <row r="50">
      <c r="B50" s="61" t="s">
        <v>776</v>
      </c>
      <c r="C50" s="1379"/>
      <c r="F50" s="885" t="n">
        <f>($F$8)*'ARP Timing'!C$17</f>
        <v>0</v>
      </c>
      <c r="G50" s="885" t="n">
        <f>($F$8)*'ARP Timing'!D$17</f>
        <v>0</v>
      </c>
      <c r="H50" s="885" t="n">
        <f>($F$8)*'ARP Timing'!E$17</f>
        <v>0</v>
      </c>
      <c r="I50" s="885" t="n">
        <f>($F$8)*'ARP Timing'!F$17</f>
        <v>0</v>
      </c>
      <c r="J50" s="885" t="n">
        <f>($F$8)*'ARP Timing'!G$17</f>
        <v>0</v>
      </c>
      <c r="K50" s="885" t="n">
        <f>($F$8)*'ARP Timing'!H$17</f>
        <v>0</v>
      </c>
      <c r="L50" s="885" t="n">
        <f>($F$8)*'ARP Timing'!I$17</f>
        <v>0</v>
      </c>
      <c r="M50" s="885" t="n">
        <f>($F$8)*'ARP Timing'!J$17</f>
        <v>0</v>
      </c>
      <c r="N50" s="885" t="n">
        <f>($F$8)*'ARP Timing'!K$17</f>
        <v>0</v>
      </c>
      <c r="O50" s="885" t="n">
        <f>($F$8)*'ARP Timing'!L$17</f>
        <v>0</v>
      </c>
      <c r="P50" s="885" t="n">
        <f>($F$8)*'ARP Timing'!M$17</f>
        <v>0</v>
      </c>
      <c r="Q50" s="885" t="n">
        <f>($F$8)*'ARP Timing'!N$17</f>
        <v>0</v>
      </c>
      <c r="R50" s="885" t="n">
        <f>($F$8)*'ARP Timing'!O$17</f>
        <v>0</v>
      </c>
      <c r="S50" s="885" t="n">
        <f>($F$8)*'ARP Timing'!P$17</f>
        <v>0</v>
      </c>
      <c r="T50" s="885" t="n">
        <f>($F$8)*'ARP Timing'!Q$17</f>
        <v>0</v>
      </c>
      <c r="U50" s="885" t="n">
        <f>($F$8)*'ARP Timing'!R$17</f>
        <v>0</v>
      </c>
      <c r="V50" s="885" t="n">
        <f>($F$8)*'ARP Timing'!S$17</f>
        <v>0</v>
      </c>
    </row>
    <row r="51">
      <c r="A51" s="885" t="n">
        <v>2022</v>
      </c>
      <c r="B51" s="61" t="s">
        <v>240</v>
      </c>
      <c r="C51" s="1379"/>
      <c r="G51" s="885" t="n">
        <f>($G$8)*'ARP Timing'!D$17</f>
        <v>0</v>
      </c>
      <c r="H51" s="885" t="n">
        <f>($G$8)*'ARP Timing'!E$17</f>
        <v>0</v>
      </c>
      <c r="I51" s="885" t="n">
        <f>($G$8)*'ARP Timing'!F$17</f>
        <v>0</v>
      </c>
      <c r="J51" s="885" t="n">
        <f>($G$8)*'ARP Timing'!G$17</f>
        <v>0</v>
      </c>
      <c r="K51" s="885" t="n">
        <f>($G$8)*'ARP Timing'!H$17</f>
        <v>0</v>
      </c>
      <c r="L51" s="885" t="n">
        <f>($G$8)*'ARP Timing'!I$17</f>
        <v>0</v>
      </c>
      <c r="M51" s="885" t="n">
        <f>($G$8)*'ARP Timing'!J$17</f>
        <v>0</v>
      </c>
      <c r="N51" s="885" t="n">
        <f>($G$8)*'ARP Timing'!K$17</f>
        <v>0</v>
      </c>
      <c r="O51" s="885" t="n">
        <f>($G$8)*'ARP Timing'!L$17</f>
        <v>0</v>
      </c>
      <c r="P51" s="885" t="n">
        <f>($G$8)*'ARP Timing'!M$17</f>
        <v>0</v>
      </c>
      <c r="Q51" s="885" t="n">
        <f>($G$8)*'ARP Timing'!N$17</f>
        <v>0</v>
      </c>
      <c r="R51" s="885" t="n">
        <f>($G$8)*'ARP Timing'!O$17</f>
        <v>0</v>
      </c>
      <c r="S51" s="885" t="n">
        <f>($G$8)*'ARP Timing'!P$17</f>
        <v>0</v>
      </c>
      <c r="T51" s="885" t="n">
        <f>($G$8)*'ARP Timing'!Q$17</f>
        <v>0</v>
      </c>
      <c r="U51" s="885" t="n">
        <f>($G$8)*'ARP Timing'!R$17</f>
        <v>0</v>
      </c>
      <c r="V51" s="885" t="n">
        <f>($G$8)*'ARP Timing'!S$17</f>
        <v>0</v>
      </c>
    </row>
    <row r="52">
      <c r="B52" s="61" t="s">
        <v>241</v>
      </c>
      <c r="C52" s="1379"/>
      <c r="H52" s="885" t="n">
        <f>($H$8)*'ARP Timing'!B$17</f>
        <v>0</v>
      </c>
      <c r="I52" s="885" t="n">
        <f>($H$8)*'ARP Timing'!C$17</f>
        <v>0</v>
      </c>
      <c r="J52" s="885" t="n">
        <f>($H$8)*'ARP Timing'!D$17</f>
        <v>23.080568000000003</v>
      </c>
      <c r="K52" s="885" t="n">
        <f>($H$8)*'ARP Timing'!E$17</f>
        <v>30.6641832</v>
      </c>
      <c r="L52" s="885" t="n">
        <f>($H$8)*'ARP Timing'!F$17</f>
        <v>39.566687999999999</v>
      </c>
      <c r="M52" s="885" t="n">
        <f>($H$8)*'ARP Timing'!G$17</f>
        <v>42.863911999999999</v>
      </c>
      <c r="N52" s="885" t="n">
        <f>($H$8)*'ARP Timing'!H$17</f>
        <v>32.972239999999999</v>
      </c>
      <c r="O52" s="885" t="n">
        <f>($H$8)*'ARP Timing'!I$17</f>
        <v>32.972239999999999</v>
      </c>
      <c r="P52" s="885" t="n">
        <f>($H$8)*'ARP Timing'!J$17</f>
        <v>39.566687999999999</v>
      </c>
      <c r="Q52" s="885" t="n">
        <f>($H$8)*'ARP Timing'!K$17</f>
        <v>39.566687999999999</v>
      </c>
      <c r="R52" s="885" t="n">
        <f>($H$8)*'ARP Timing'!L$17</f>
        <v>46.161136000000006</v>
      </c>
      <c r="S52" s="885" t="n">
        <f>($H$8)*'ARP Timing'!M$17</f>
        <v>46.161136000000006</v>
      </c>
      <c r="T52" s="885" t="n">
        <f>($H$8)*'ARP Timing'!N$17</f>
        <v>39.566687999999999</v>
      </c>
      <c r="U52" s="885" t="n">
        <f>($H$8)*'ARP Timing'!O$17</f>
        <v>39.566687999999999</v>
      </c>
      <c r="V52" s="885" t="n">
        <f>($H$8)*'ARP Timing'!P$17</f>
        <v>35.280296800000002</v>
      </c>
    </row>
    <row r="53">
      <c r="B53" s="61" t="s">
        <v>331</v>
      </c>
      <c r="C53" s="1379"/>
      <c r="H53" s="1379"/>
      <c r="I53" s="885" t="n">
        <f>($I$8)*'ARP Timing'!B$17</f>
        <v>0</v>
      </c>
      <c r="J53" s="885" t="n">
        <f>($I$8)*'ARP Timing'!C$17</f>
        <v>0</v>
      </c>
      <c r="K53" s="885" t="n">
        <f>($I$8)*'ARP Timing'!D$17</f>
        <v>0</v>
      </c>
      <c r="L53" s="885" t="n">
        <f>($I$8)*'ARP Timing'!E$17</f>
        <v>0</v>
      </c>
      <c r="M53" s="885" t="n">
        <f>($I$8)*'ARP Timing'!F$17</f>
        <v>0</v>
      </c>
      <c r="N53" s="885" t="n">
        <f>($I$8)*'ARP Timing'!G$17</f>
        <v>0</v>
      </c>
      <c r="O53" s="885" t="n">
        <f>($I$8)*'ARP Timing'!H$17</f>
        <v>0</v>
      </c>
      <c r="P53" s="885" t="n">
        <f>($I$8)*'ARP Timing'!I$17</f>
        <v>0</v>
      </c>
      <c r="Q53" s="885" t="n">
        <f>($I$8)*'ARP Timing'!J$17</f>
        <v>0</v>
      </c>
      <c r="R53" s="885" t="n">
        <f>($I$8)*'ARP Timing'!K$17</f>
        <v>0</v>
      </c>
      <c r="S53" s="885" t="n">
        <f>($I$8)*'ARP Timing'!L$17</f>
        <v>0</v>
      </c>
      <c r="T53" s="885" t="n">
        <f>($I$8)*'ARP Timing'!M$17</f>
        <v>0</v>
      </c>
      <c r="U53" s="885" t="n">
        <f>($I$8)*'ARP Timing'!N$17</f>
        <v>0</v>
      </c>
      <c r="V53" s="885" t="n">
        <f>($I$8)*'ARP Timing'!O$17</f>
        <v>0</v>
      </c>
    </row>
    <row r="54">
      <c r="B54" s="61" t="s">
        <v>776</v>
      </c>
      <c r="C54" s="1379"/>
      <c r="H54" s="1379"/>
    </row>
    <row r="55">
      <c r="A55" s="885" t="n">
        <v>2023</v>
      </c>
      <c r="B55" s="61" t="s">
        <v>240</v>
      </c>
      <c r="C55" s="1379"/>
      <c r="H55" s="1379"/>
    </row>
    <row r="56">
      <c r="B56" s="61" t="s">
        <v>241</v>
      </c>
      <c r="C56" s="1379"/>
      <c r="H56" s="1379"/>
    </row>
    <row r="57">
      <c r="B57" s="61" t="s">
        <v>331</v>
      </c>
      <c r="C57" s="1379"/>
      <c r="H57" s="1379"/>
    </row>
    <row r="58">
      <c r="B58" s="61" t="s">
        <v>776</v>
      </c>
      <c r="C58" s="1379"/>
      <c r="H58" s="1379"/>
    </row>
    <row r="59">
      <c r="A59" s="885" t="n">
        <v>2024</v>
      </c>
      <c r="B59" s="61" t="s">
        <v>240</v>
      </c>
      <c r="C59" s="1379"/>
      <c r="H59" s="1379"/>
    </row>
    <row r="60">
      <c r="B60" s="61" t="s">
        <v>241</v>
      </c>
      <c r="C60" s="1379"/>
      <c r="H60" s="1379"/>
    </row>
    <row r="61">
      <c r="B61" s="61" t="s">
        <v>331</v>
      </c>
      <c r="C61" s="1379"/>
      <c r="H61" s="1379"/>
    </row>
    <row r="62">
      <c r="B62" s="61" t="s">
        <v>776</v>
      </c>
      <c r="C62" s="1379"/>
      <c r="H62" s="1379"/>
    </row>
    <row r="63">
      <c r="A63" t="s">
        <v>892</v>
      </c>
      <c r="B63" s="61"/>
      <c r="C63" s="1379"/>
      <c r="G63" t="n">
        <v>5</v>
      </c>
      <c r="H63" s="1379" t="n">
        <v>10</v>
      </c>
      <c r="I63" t="n">
        <v>15</v>
      </c>
      <c r="J63" t="n">
        <v>8</v>
      </c>
      <c r="K63" t="n">
        <v>0</v>
      </c>
      <c r="L63" t="n">
        <v>-10</v>
      </c>
      <c r="M63" t="n">
        <v>-10</v>
      </c>
      <c r="N63" t="n">
        <v>-10</v>
      </c>
      <c r="O63" t="n">
        <v>-8</v>
      </c>
    </row>
    <row r="64">
      <c r="B64" s="61"/>
      <c r="C64" s="1379"/>
      <c r="H64" s="1379"/>
    </row>
    <row r="65">
      <c r="B65" s="61"/>
      <c r="C65" s="1379"/>
      <c r="H65" s="1379"/>
    </row>
    <row r="66">
      <c r="B66" s="61"/>
      <c r="C66" s="1379"/>
      <c r="H66" s="1379"/>
    </row>
    <row r="67">
      <c r="B67" s="61"/>
      <c r="C67" s="1379"/>
      <c r="H67" s="1379"/>
    </row>
    <row r="68">
      <c r="B68" s="61"/>
      <c r="C68" s="1379"/>
      <c r="H68" s="1379"/>
    </row>
    <row r="69">
      <c r="B69" s="61"/>
      <c r="C69" s="1379"/>
      <c r="H69" s="1379"/>
    </row>
    <row r="70">
      <c r="B70" s="61"/>
      <c r="C70" s="1379"/>
      <c r="H70" s="1379"/>
    </row>
    <row r="71">
      <c r="B71" s="61"/>
      <c r="C71" s="1379"/>
      <c r="H71" s="1379"/>
    </row>
    <row r="72">
      <c r="B72" s="61"/>
      <c r="C72" s="1379"/>
      <c r="H72" s="1379"/>
    </row>
    <row r="73">
      <c r="B73" s="61" t="s">
        <v>778</v>
      </c>
      <c r="C73" s="1380" t="n">
        <v>2021</v>
      </c>
      <c r="D73" s="1380" t="n">
        <v>2022</v>
      </c>
      <c r="E73" s="1380" t="n">
        <v>2023</v>
      </c>
      <c r="F73" s="1380" t="n">
        <v>2024</v>
      </c>
      <c r="G73" s="1380" t="n">
        <v>2025</v>
      </c>
      <c r="H73" s="1379"/>
    </row>
    <row r="74">
      <c r="B74" s="61" t="s">
        <v>675</v>
      </c>
      <c r="C74" s="1384" t="n">
        <f t="shared" ref="C74:C85" si="43">SUM(C4:E4)/4</f>
        <v>0.77600000000001046</v>
      </c>
      <c r="D74" s="1384" t="n">
        <f t="shared" ref="D74:D85" si="44">SUM(F4:I4)/4</f>
        <v>19.719000000000005</v>
      </c>
      <c r="E74" s="1384" t="n">
        <f t="shared" ref="E74:E85" si="45">SUM(J4:M4)/4</f>
        <v>1.4159999999999999</v>
      </c>
      <c r="F74" s="1384" t="n">
        <f t="shared" ref="F74:F85" si="46">SUM(N4:Q4)/4</f>
        <v>1.4790000000000001</v>
      </c>
      <c r="G74" s="1384" t="n">
        <f t="shared" ref="G74:G85" si="47">SUM(R4:U4)/4</f>
        <v>1.63</v>
      </c>
    </row>
    <row r="75">
      <c r="B75" s="61" t="s">
        <v>676</v>
      </c>
      <c r="C75" s="1384" t="n">
        <f t="shared" si="43"/>
        <v>19.722000000000016</v>
      </c>
      <c r="D75" s="1384" t="n">
        <f t="shared" si="44"/>
        <v>52.756999999999998</v>
      </c>
      <c r="E75" s="1384" t="n">
        <f t="shared" si="45"/>
        <v>12</v>
      </c>
      <c r="F75" s="1384" t="n">
        <f t="shared" si="46"/>
        <v>4.2219999999999995</v>
      </c>
      <c r="G75" s="1384" t="n">
        <f t="shared" si="47"/>
        <v>2.3719999999999999</v>
      </c>
      <c r="H75" s="1379"/>
    </row>
    <row r="76">
      <c r="B76" s="61" t="s">
        <v>52</v>
      </c>
      <c r="C76" s="1384" t="n">
        <f t="shared" si="43"/>
        <v>81.643000000000001</v>
      </c>
      <c r="D76" s="1384" t="n">
        <f t="shared" si="44"/>
        <v>110.24799999999999</v>
      </c>
      <c r="E76" s="1384" t="n">
        <f t="shared" si="45"/>
        <v>12.726000000000001</v>
      </c>
      <c r="F76" s="1384" t="n">
        <f t="shared" si="46"/>
        <v>1.365</v>
      </c>
      <c r="G76" s="1384" t="n">
        <f t="shared" si="47"/>
        <v>-0.90100000000000025</v>
      </c>
      <c r="H76" s="1379"/>
      <c r="O76" s="61"/>
      <c r="P76" s="61"/>
      <c r="Q76" s="61"/>
      <c r="R76" s="61"/>
      <c r="S76" s="1385"/>
      <c r="T76" s="1385"/>
      <c r="U76" s="1385"/>
      <c r="V76" s="34"/>
      <c r="W76" s="61"/>
      <c r="X76" s="61"/>
    </row>
    <row r="77">
      <c r="B77" s="61" t="s">
        <v>131</v>
      </c>
      <c r="C77" s="1384" t="n">
        <f t="shared" si="43"/>
        <v>7.798</v>
      </c>
      <c r="D77" s="1384" t="n">
        <f t="shared" si="44"/>
        <v>7.9489999999999998</v>
      </c>
      <c r="E77" s="1384" t="n">
        <f t="shared" si="45"/>
        <v>4.7519999999999998</v>
      </c>
      <c r="F77" s="1384" t="n">
        <f t="shared" si="46"/>
        <v>4.637999999999999</v>
      </c>
      <c r="G77" s="1384" t="n">
        <f t="shared" si="47"/>
        <v>1.8800000000000001</v>
      </c>
      <c r="H77" s="1379"/>
    </row>
    <row r="78">
      <c r="B78" s="1382" t="s">
        <v>348</v>
      </c>
      <c r="C78" s="1384" t="n">
        <f t="shared" si="43"/>
        <v>247.29179999999997</v>
      </c>
      <c r="D78" s="1384" t="n">
        <f t="shared" si="44"/>
        <v>164.8612</v>
      </c>
      <c r="E78" s="1384" t="n">
        <f t="shared" si="45"/>
        <v>0</v>
      </c>
      <c r="F78" s="1384" t="n">
        <f t="shared" si="46"/>
        <v>0</v>
      </c>
      <c r="G78" s="1384" t="n">
        <f t="shared" si="47"/>
        <v>0</v>
      </c>
      <c r="H78" s="1379"/>
      <c r="R78" s="1347"/>
      <c r="S78" s="1347"/>
    </row>
    <row r="79">
      <c r="B79" s="1382" t="s">
        <v>150</v>
      </c>
      <c r="C79" s="1384" t="n">
        <f t="shared" si="43"/>
        <v>12.347</v>
      </c>
      <c r="D79" s="1384" t="n">
        <f t="shared" si="44"/>
        <v>46.79</v>
      </c>
      <c r="E79" s="1384" t="n">
        <f t="shared" si="45"/>
        <v>38.595999999999997</v>
      </c>
      <c r="F79" s="1384" t="n">
        <f t="shared" si="46"/>
        <v>31.911000000000001</v>
      </c>
      <c r="G79" s="1384" t="n">
        <f t="shared" si="47"/>
        <v>23.099</v>
      </c>
      <c r="H79" s="1379"/>
      <c r="R79" s="1347"/>
      <c r="S79" s="1347"/>
    </row>
    <row r="80">
      <c r="B80" s="1382" t="s">
        <v>364</v>
      </c>
      <c r="C80" s="1384" t="n">
        <f t="shared" si="43"/>
        <v>29.628</v>
      </c>
      <c r="D80" s="1384" t="n">
        <f t="shared" si="44"/>
        <v>35.671000000000006</v>
      </c>
      <c r="E80" s="1384" t="n">
        <f t="shared" si="45"/>
        <v>24.216000000000001</v>
      </c>
      <c r="F80" s="1384" t="n">
        <f t="shared" si="46"/>
        <v>9.6430000000000007</v>
      </c>
      <c r="G80" s="1384" t="n">
        <f t="shared" si="47"/>
        <v>4.5789999999999997</v>
      </c>
      <c r="H80" s="1379"/>
      <c r="R80" s="1347"/>
      <c r="S80" s="1347"/>
    </row>
    <row r="81">
      <c r="B81" s="34" t="s">
        <v>159</v>
      </c>
      <c r="C81" s="1384" t="n">
        <f t="shared" si="43"/>
        <v>25.75</v>
      </c>
      <c r="D81" s="1384" t="n">
        <f t="shared" si="44"/>
        <v>0</v>
      </c>
      <c r="E81" s="1384" t="n">
        <f t="shared" si="45"/>
        <v>0</v>
      </c>
      <c r="F81" s="1384" t="n">
        <f t="shared" si="46"/>
        <v>0</v>
      </c>
      <c r="G81" s="1384" t="n">
        <f t="shared" si="47"/>
        <v>0</v>
      </c>
      <c r="H81" s="1379"/>
      <c r="R81" s="1347"/>
      <c r="S81" s="1347"/>
    </row>
    <row r="82">
      <c r="B82" s="61" t="s">
        <v>109</v>
      </c>
      <c r="C82" s="1384" t="n">
        <f t="shared" si="43"/>
        <v>31.939</v>
      </c>
      <c r="D82" s="1384" t="n">
        <f t="shared" si="44"/>
        <v>56.413000000000004</v>
      </c>
      <c r="E82" s="1384" t="n">
        <f t="shared" si="45"/>
        <v>15.652999999999999</v>
      </c>
      <c r="F82" s="1384" t="n">
        <f t="shared" si="46"/>
        <v>3.9320000000000004</v>
      </c>
      <c r="G82" s="1384" t="n">
        <f t="shared" si="47"/>
        <v>-0.74299999999999988</v>
      </c>
      <c r="R82" s="1347"/>
      <c r="S82" s="1347"/>
    </row>
    <row r="83">
      <c r="B83" s="885" t="s">
        <v>769</v>
      </c>
      <c r="C83" s="1384" t="n">
        <f t="shared" si="43"/>
        <v>1.02</v>
      </c>
      <c r="D83" s="1384" t="n">
        <f t="shared" si="44"/>
        <v>1.5299999999999998</v>
      </c>
      <c r="E83" s="1384" t="n">
        <f t="shared" si="45"/>
        <v>0</v>
      </c>
      <c r="F83" s="1384" t="n">
        <f t="shared" si="46"/>
        <v>0</v>
      </c>
      <c r="G83" s="1384" t="n">
        <f t="shared" si="47"/>
        <v>0</v>
      </c>
      <c r="R83" s="1347"/>
      <c r="S83" s="1347"/>
    </row>
    <row r="84">
      <c r="B84" s="885" t="s">
        <v>770</v>
      </c>
      <c r="C84" s="1384" t="n">
        <f t="shared" si="43"/>
        <v>0.67999999999999994</v>
      </c>
      <c r="D84" s="1384" t="n">
        <f t="shared" si="44"/>
        <v>1.02</v>
      </c>
      <c r="E84" s="1384" t="n">
        <f t="shared" si="45"/>
        <v>0</v>
      </c>
      <c r="F84" s="1384" t="n">
        <f t="shared" si="46"/>
        <v>0</v>
      </c>
      <c r="G84" s="1384" t="n">
        <f t="shared" si="47"/>
        <v>0</v>
      </c>
      <c r="R84" s="1347"/>
      <c r="S84" s="1347"/>
    </row>
    <row r="85">
      <c r="B85" s="885" t="s">
        <v>471</v>
      </c>
      <c r="C85" s="1384" t="n">
        <f t="shared" si="43"/>
        <v>1.6999999999999997</v>
      </c>
      <c r="D85" s="1384" t="n">
        <f t="shared" si="44"/>
        <v>2.5499999999999998</v>
      </c>
      <c r="E85" s="1384" t="n">
        <f t="shared" si="45"/>
        <v>0</v>
      </c>
      <c r="F85" s="1384" t="n">
        <f t="shared" si="46"/>
        <v>0</v>
      </c>
      <c r="G85" s="1384" t="n">
        <f t="shared" si="47"/>
        <v>0</v>
      </c>
      <c r="R85" s="1347"/>
      <c r="S85" s="1347"/>
    </row>
    <row r="86">
      <c r="C86" s="1380" t="n">
        <v>2021</v>
      </c>
      <c r="D86" s="1380" t="n">
        <v>2022</v>
      </c>
      <c r="E86" s="1380" t="n">
        <v>2023</v>
      </c>
      <c r="F86" s="1380" t="n">
        <v>2024</v>
      </c>
      <c r="G86" s="1380" t="n">
        <v>2025</v>
      </c>
      <c r="R86" s="1347"/>
      <c r="S86" s="1347"/>
    </row>
    <row r="87">
      <c r="B87" s="885" t="s">
        <v>779</v>
      </c>
      <c r="C87" s="1383" t="n">
        <f>SUM(C83:C85)</f>
        <v>3.3999999999999995</v>
      </c>
      <c r="D87" s="1383" t="n">
        <f t="shared" ref="D87:G87" si="48">SUM(D83:D85)</f>
        <v>5.0999999999999996</v>
      </c>
      <c r="E87" s="1383" t="n">
        <f t="shared" si="48"/>
        <v>0</v>
      </c>
      <c r="F87" s="1383" t="n">
        <f t="shared" si="48"/>
        <v>0</v>
      </c>
      <c r="G87" s="1383" t="n">
        <f t="shared" si="48"/>
        <v>0</v>
      </c>
      <c r="R87" s="1347"/>
      <c r="S87" s="1347"/>
    </row>
    <row r="90">
      <c r="B90" s="885" t="s">
        <v>675</v>
      </c>
      <c r="C90" s="1384" t="n">
        <v>26.636000000000024</v>
      </c>
      <c r="D90" s="1384" t="n">
        <v>98.978999999999999</v>
      </c>
      <c r="E90" s="1384" t="n">
        <v>2.1159999999999997</v>
      </c>
      <c r="F90" s="1384" t="n">
        <v>2.1789999999999998</v>
      </c>
      <c r="G90" s="1384" t="n">
        <v>2.33</v>
      </c>
      <c r="H90" s="1384"/>
      <c r="I90" s="1384"/>
      <c r="J90" s="1384"/>
      <c r="K90" s="1384"/>
      <c r="L90" s="1384"/>
      <c r="M90" s="1384"/>
    </row>
    <row r="91">
      <c r="B91" s="885" t="s">
        <v>676</v>
      </c>
      <c r="C91" s="1384" t="n">
        <v>47.722000000000016</v>
      </c>
      <c r="D91" s="1384" t="n">
        <v>52.756999999999998</v>
      </c>
      <c r="E91" s="1384" t="n">
        <v>12</v>
      </c>
      <c r="F91" s="1384" t="n">
        <v>4.2219999999999995</v>
      </c>
      <c r="G91" s="1384" t="n">
        <v>2.3719999999999999</v>
      </c>
      <c r="H91" s="1384"/>
      <c r="I91" s="1384"/>
      <c r="J91" s="1384"/>
      <c r="K91" s="1384"/>
      <c r="L91" s="1384"/>
      <c r="M91" s="1384"/>
    </row>
    <row r="92">
      <c r="B92" s="885" t="s">
        <v>52</v>
      </c>
      <c r="C92" s="1384" t="n">
        <v>81.842999999999989</v>
      </c>
      <c r="D92" s="1384" t="n">
        <v>110.24799999999999</v>
      </c>
      <c r="E92" s="1384" t="n">
        <v>12.726000000000001</v>
      </c>
      <c r="F92" s="1384" t="n">
        <v>1.365</v>
      </c>
      <c r="G92" s="1384" t="n">
        <v>-0.90100000000000025</v>
      </c>
      <c r="H92" s="1384"/>
      <c r="I92" s="1384"/>
      <c r="J92" s="1384"/>
      <c r="K92" s="1384"/>
      <c r="L92" s="1384"/>
      <c r="M92" s="1384"/>
    </row>
    <row r="93">
      <c r="B93" s="885" t="s">
        <v>131</v>
      </c>
      <c r="C93" s="1384" t="n">
        <v>7.798</v>
      </c>
      <c r="D93" s="1384" t="n">
        <v>7.9489999999999998</v>
      </c>
      <c r="E93" s="1384" t="n">
        <v>4.7519999999999998</v>
      </c>
      <c r="F93" s="1384" t="n">
        <v>4.637999999999999</v>
      </c>
      <c r="G93" s="1384" t="n">
        <v>1.8800000000000001</v>
      </c>
      <c r="H93" s="1384"/>
      <c r="I93" s="1384"/>
      <c r="J93" s="1384"/>
      <c r="K93" s="1384"/>
      <c r="L93" s="1384"/>
      <c r="M93" s="1384"/>
    </row>
    <row r="94">
      <c r="B94" s="885" t="s">
        <v>348</v>
      </c>
      <c r="C94" s="1384" t="n">
        <v>283.95749999999998</v>
      </c>
      <c r="D94" s="1384" t="n">
        <v>77.092500000000001</v>
      </c>
      <c r="E94" s="1384" t="n">
        <v>1</v>
      </c>
      <c r="F94" s="1384" t="n">
        <v>0</v>
      </c>
      <c r="G94" s="1384" t="n">
        <v>0</v>
      </c>
      <c r="H94" s="1384"/>
      <c r="I94" s="1384"/>
      <c r="J94" s="1384"/>
      <c r="K94" s="1384"/>
      <c r="L94" s="1384"/>
      <c r="M94" s="1384"/>
    </row>
    <row r="95">
      <c r="B95" s="885" t="s">
        <v>150</v>
      </c>
      <c r="C95" s="1384" t="n">
        <v>12.347</v>
      </c>
      <c r="D95" s="1384" t="n">
        <v>46.79</v>
      </c>
      <c r="E95" s="1384" t="n">
        <v>38.595999999999997</v>
      </c>
      <c r="F95" s="1384" t="n">
        <v>31.911000000000001</v>
      </c>
      <c r="G95" s="1384" t="n">
        <v>23.099</v>
      </c>
      <c r="H95" s="1384"/>
      <c r="I95" s="1384"/>
      <c r="J95" s="1384"/>
      <c r="K95" s="1384"/>
      <c r="L95" s="1384"/>
      <c r="M95" s="1384"/>
    </row>
    <row r="96">
      <c r="B96" s="885" t="s">
        <v>364</v>
      </c>
      <c r="C96" s="1384" t="n">
        <v>2.286</v>
      </c>
      <c r="D96" s="1384" t="n">
        <v>4.6049999999999995</v>
      </c>
      <c r="E96" s="1384" t="n">
        <v>1.349</v>
      </c>
      <c r="F96" s="1384" t="n">
        <v>0.441</v>
      </c>
      <c r="G96" s="1384" t="n">
        <v>0.313</v>
      </c>
      <c r="H96" s="1384"/>
      <c r="I96" s="1384"/>
      <c r="J96" s="1384"/>
      <c r="K96" s="1384"/>
      <c r="L96" s="1384"/>
      <c r="M96" s="1384"/>
    </row>
    <row r="97">
      <c r="B97" s="885" t="s">
        <v>159</v>
      </c>
      <c r="C97" s="1384" t="n">
        <v>25.75</v>
      </c>
      <c r="D97" s="1384" t="n">
        <v>0</v>
      </c>
      <c r="E97" s="1384" t="n">
        <v>0</v>
      </c>
      <c r="F97" s="1384" t="n">
        <v>0</v>
      </c>
      <c r="G97" s="1384" t="n">
        <v>0</v>
      </c>
      <c r="H97" s="1384"/>
      <c r="I97" s="1384"/>
      <c r="J97" s="1384"/>
      <c r="K97" s="1384"/>
      <c r="L97" s="1384"/>
      <c r="M97" s="1384"/>
    </row>
    <row r="98">
      <c r="B98" s="885" t="s">
        <v>109</v>
      </c>
      <c r="C98" s="1384" t="n">
        <v>60.441000000000003</v>
      </c>
      <c r="D98" s="1384" t="n">
        <v>91.678999999999988</v>
      </c>
      <c r="E98" s="1384" t="n">
        <v>41.220000000000006</v>
      </c>
      <c r="F98" s="1384" t="n">
        <v>14.004000000000003</v>
      </c>
      <c r="G98" s="1384" t="n">
        <v>3.8530000000000006</v>
      </c>
      <c r="H98" s="1384"/>
      <c r="I98" s="1384"/>
      <c r="J98" s="1384"/>
      <c r="K98" s="1384"/>
      <c r="L98" s="1384"/>
      <c r="M98" s="1384"/>
    </row>
    <row r="99">
      <c r="C99" s="1380" t="n">
        <v>3.4</v>
      </c>
      <c r="D99" s="1380" t="n">
        <v>5.0999999999999996</v>
      </c>
      <c r="E99" s="1380" t="n">
        <v>0</v>
      </c>
      <c r="F99" s="1380" t="n">
        <v>0</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105" t="s">
        <v>1436</v>
      </c>
      <c r="B1" s="105" t="s">
        <v>1437</v>
      </c>
      <c r="C1" s="105" t="s">
        <v>1438</v>
      </c>
      <c r="D1" s="105" t="s">
        <v>1439</v>
      </c>
      <c r="E1" s="105" t="s">
        <v>1440</v>
      </c>
      <c r="F1" s="105" t="s">
        <v>1441</v>
      </c>
      <c r="G1" s="105" t="s">
        <v>925</v>
      </c>
      <c r="H1" s="105" t="s">
        <v>926</v>
      </c>
      <c r="I1" s="105" t="s">
        <v>927</v>
      </c>
      <c r="J1" s="105" t="s">
        <v>928</v>
      </c>
      <c r="K1" s="105" t="s">
        <v>929</v>
      </c>
      <c r="L1" s="105" t="s">
        <v>930</v>
      </c>
    </row>
    <row r="2">
      <c r="A2" t="n">
        <v>4.5079018442711401E-2</v>
      </c>
      <c r="B2" t="n">
        <v>5.3878515900577198E-2</v>
      </c>
      <c r="C2" t="n">
        <v>8.2063006909154398E-2</v>
      </c>
      <c r="D2" t="n">
        <v>0.104421067414309</v>
      </c>
      <c r="E2" t="s">
        <v>1442</v>
      </c>
      <c r="F2" t="s">
        <v>1443</v>
      </c>
      <c r="G2" t="n">
        <v>13.106999999999999</v>
      </c>
      <c r="H2" t="n">
        <v>1.9913023575188999E-2</v>
      </c>
      <c r="I2" t="n">
        <v>16.824999999999999</v>
      </c>
      <c r="J2" t="n">
        <v>2.51411589895989E-2</v>
      </c>
      <c r="K2" t="s">
        <v>931</v>
      </c>
      <c r="L2" t="s">
        <v>932</v>
      </c>
    </row>
    <row r="3">
      <c r="A3" t="n">
        <v>4.5079018442711401E-2</v>
      </c>
      <c r="B3" t="n">
        <v>5.3878515900577198E-2</v>
      </c>
      <c r="C3" t="n">
        <v>8.2063006909154398E-2</v>
      </c>
      <c r="D3" t="n">
        <v>0.104421067414309</v>
      </c>
      <c r="E3" t="s">
        <v>1444</v>
      </c>
      <c r="F3" t="s">
        <v>1443</v>
      </c>
      <c r="G3" t="n">
        <v>13.368</v>
      </c>
      <c r="H3" t="n">
        <v>1.9913023575188999E-2</v>
      </c>
      <c r="I3" t="n">
        <v>17.248000000000001</v>
      </c>
      <c r="J3" t="n">
        <v>2.51411589895989E-2</v>
      </c>
      <c r="K3" t="s">
        <v>933</v>
      </c>
      <c r="L3" t="s">
        <v>932</v>
      </c>
    </row>
    <row r="4">
      <c r="A4" t="n">
        <v>3.9419555818651898E-2</v>
      </c>
      <c r="B4" t="n">
        <v>6.9938689583740596E-2</v>
      </c>
      <c r="C4" t="n">
        <v>7.2508506661211405E-2</v>
      </c>
      <c r="D4" t="n">
        <v>7.9737360467493398E-2</v>
      </c>
      <c r="E4" t="s">
        <v>1445</v>
      </c>
      <c r="F4" t="s">
        <v>1443</v>
      </c>
      <c r="G4" t="n">
        <v>13.603999999999999</v>
      </c>
      <c r="H4" t="n">
        <v>1.7654099341711402E-2</v>
      </c>
      <c r="I4" t="n">
        <v>17.582000000000001</v>
      </c>
      <c r="J4" t="n">
        <v>1.9364564007421099E-2</v>
      </c>
      <c r="K4" t="s">
        <v>934</v>
      </c>
      <c r="L4" t="s">
        <v>932</v>
      </c>
    </row>
    <row r="5">
      <c r="A5" t="n">
        <v>5.2824828770235303E-2</v>
      </c>
      <c r="B5" t="n">
        <v>5.1823422551402501E-2</v>
      </c>
      <c r="C5" t="n">
        <v>6.9052453854286294E-2</v>
      </c>
      <c r="D5" t="n">
        <v>0.10539397910227</v>
      </c>
      <c r="E5" t="s">
        <v>1446</v>
      </c>
      <c r="F5" t="s">
        <v>1443</v>
      </c>
      <c r="G5" t="n">
        <v>13.833</v>
      </c>
      <c r="H5" t="n">
        <v>1.6833284328138898E-2</v>
      </c>
      <c r="I5" t="n">
        <v>18.027999999999999</v>
      </c>
      <c r="J5" t="n">
        <v>2.5366852462745899E-2</v>
      </c>
      <c r="K5" t="s">
        <v>935</v>
      </c>
      <c r="L5" t="s">
        <v>932</v>
      </c>
    </row>
    <row r="6">
      <c r="A6" t="n">
        <v>3.85286878692137E-2</v>
      </c>
      <c r="B6" t="n">
        <v>0.132788480581229</v>
      </c>
      <c r="C6" t="n">
        <v>0.10231116414477499</v>
      </c>
      <c r="D6" t="n">
        <v>6.9175988166702701E-2</v>
      </c>
      <c r="E6" t="s">
        <v>1447</v>
      </c>
      <c r="F6" t="s">
        <v>1443</v>
      </c>
      <c r="G6" t="n">
        <v>14.173999999999999</v>
      </c>
      <c r="H6" t="n">
        <v>2.4651196414371399E-2</v>
      </c>
      <c r="I6" t="n">
        <v>18.332000000000001</v>
      </c>
      <c r="J6" t="n">
        <v>1.6862658087419598E-2</v>
      </c>
      <c r="K6" t="s">
        <v>936</v>
      </c>
      <c r="L6" t="s">
        <v>932</v>
      </c>
    </row>
    <row r="7">
      <c r="A7" t="n">
        <v>4.6230845754161802E-2</v>
      </c>
      <c r="B7" t="n">
        <v>7.6806429060699302E-2</v>
      </c>
      <c r="C7" t="n">
        <v>7.6908368677740299E-2</v>
      </c>
      <c r="D7" t="n">
        <v>6.5481053360561203E-2</v>
      </c>
      <c r="E7" t="s">
        <v>1448</v>
      </c>
      <c r="F7" t="s">
        <v>1443</v>
      </c>
      <c r="G7" t="n">
        <v>14.439</v>
      </c>
      <c r="H7" t="n">
        <v>1.8696204317764999E-2</v>
      </c>
      <c r="I7" t="n">
        <v>18.625</v>
      </c>
      <c r="J7" t="n">
        <v>1.59829805804057E-2</v>
      </c>
      <c r="K7" t="s">
        <v>937</v>
      </c>
      <c r="L7" t="s">
        <v>932</v>
      </c>
    </row>
    <row r="8">
      <c r="A8" t="n">
        <v>4.0000704948734103E-2</v>
      </c>
      <c r="B8" t="n">
        <v>5.9184461037305798E-2</v>
      </c>
      <c r="C8" t="n">
        <v>6.1773509542664397E-2</v>
      </c>
      <c r="D8" t="n">
        <v>4.4315280925248897E-2</v>
      </c>
      <c r="E8" t="s">
        <v>1449</v>
      </c>
      <c r="F8" t="s">
        <v>1443</v>
      </c>
      <c r="G8" t="n">
        <v>14.657</v>
      </c>
      <c r="H8" t="n">
        <v>1.5097998476348899E-2</v>
      </c>
      <c r="I8" t="n">
        <v>18.827999999999999</v>
      </c>
      <c r="J8" t="n">
        <v>1.0899328859060401E-2</v>
      </c>
      <c r="K8" t="s">
        <v>938</v>
      </c>
      <c r="L8" t="s">
        <v>932</v>
      </c>
    </row>
    <row r="9">
      <c r="A9" t="n">
        <v>2.5035607973723999E-2</v>
      </c>
      <c r="B9" t="n">
        <v>8.3819893360376693E-2</v>
      </c>
      <c r="C9" t="n">
        <v>3.6793688078589702E-2</v>
      </c>
      <c r="D9" t="n">
        <v>7.0854524877743894E-2</v>
      </c>
      <c r="E9" t="s">
        <v>1450</v>
      </c>
      <c r="F9" t="s">
        <v>1443</v>
      </c>
      <c r="G9" t="n">
        <v>14.79</v>
      </c>
      <c r="H9" t="n">
        <v>9.0741625162038507E-3</v>
      </c>
      <c r="I9" t="n">
        <v>19.152999999999999</v>
      </c>
      <c r="J9" t="n">
        <v>1.7261525387720401E-2</v>
      </c>
      <c r="K9" t="s">
        <v>939</v>
      </c>
      <c r="L9" t="s">
        <v>932</v>
      </c>
    </row>
    <row r="10">
      <c r="A10" t="n">
        <v>4.2906681103859E-2</v>
      </c>
      <c r="B10" t="n">
        <v>0.175097239288524</v>
      </c>
      <c r="C10" t="n">
        <v>0.10446834522691199</v>
      </c>
      <c r="D10" t="n">
        <v>5.2157088254066501E-2</v>
      </c>
      <c r="E10" t="s">
        <v>1451</v>
      </c>
      <c r="F10" t="s">
        <v>1443</v>
      </c>
      <c r="G10" t="n">
        <v>15.162000000000001</v>
      </c>
      <c r="H10" t="n">
        <v>2.5152129817444399E-2</v>
      </c>
      <c r="I10" t="n">
        <v>19.398</v>
      </c>
      <c r="J10" t="n">
        <v>1.27917297551299E-2</v>
      </c>
      <c r="K10" t="s">
        <v>940</v>
      </c>
      <c r="L10" t="s">
        <v>932</v>
      </c>
    </row>
    <row r="11">
      <c r="A11" t="n">
        <v>2.3157030840978501E-2</v>
      </c>
      <c r="B11" t="n">
        <v>4.0963848741786497E-2</v>
      </c>
      <c r="C11" t="n">
        <v>5.35423244430666E-2</v>
      </c>
      <c r="D11" t="n">
        <v>2.83404365976123E-2</v>
      </c>
      <c r="E11" t="s">
        <v>1452</v>
      </c>
      <c r="F11" t="s">
        <v>1443</v>
      </c>
      <c r="G11" t="n">
        <v>15.361000000000001</v>
      </c>
      <c r="H11" t="n">
        <v>1.3124917557050499E-2</v>
      </c>
      <c r="I11" t="n">
        <v>19.533999999999999</v>
      </c>
      <c r="J11" t="n">
        <v>7.0110320651612899E-3</v>
      </c>
      <c r="K11" t="s">
        <v>941</v>
      </c>
      <c r="L11" t="s">
        <v>932</v>
      </c>
    </row>
    <row r="12">
      <c r="A12" t="n">
        <v>3.55986781186481E-2</v>
      </c>
      <c r="B12" t="n">
        <v>3.3186191278740597E-2</v>
      </c>
      <c r="C12" t="n">
        <v>6.3703129067968198E-2</v>
      </c>
      <c r="D12" t="n">
        <v>5.6658506033298299E-2</v>
      </c>
      <c r="E12" t="s">
        <v>1453</v>
      </c>
      <c r="F12" t="s">
        <v>1443</v>
      </c>
      <c r="G12" t="n">
        <v>15.6</v>
      </c>
      <c r="H12" t="n">
        <v>1.5558882885228701E-2</v>
      </c>
      <c r="I12" t="n">
        <v>19.805</v>
      </c>
      <c r="J12" t="n">
        <v>1.38732466468721E-2</v>
      </c>
      <c r="K12" t="s">
        <v>942</v>
      </c>
      <c r="L12" t="s">
        <v>932</v>
      </c>
    </row>
    <row r="13">
      <c r="A13" t="n">
        <v>3.3109052200751603E-2</v>
      </c>
      <c r="B13" t="n">
        <v>8.9944620716435594E-2</v>
      </c>
      <c r="C13" t="n">
        <v>5.0679215853917103E-2</v>
      </c>
      <c r="D13" t="n">
        <v>7.6848944278385095E-2</v>
      </c>
      <c r="E13" t="s">
        <v>1454</v>
      </c>
      <c r="F13" t="s">
        <v>1443</v>
      </c>
      <c r="G13" t="n">
        <v>15.794</v>
      </c>
      <c r="H13" t="n">
        <v>1.2435897435897601E-2</v>
      </c>
      <c r="I13" t="n">
        <v>20.175000000000001</v>
      </c>
      <c r="J13" t="n">
        <v>1.8682150971976799E-2</v>
      </c>
      <c r="K13" t="s">
        <v>943</v>
      </c>
      <c r="L13" t="s">
        <v>932</v>
      </c>
    </row>
    <row r="14">
      <c r="A14" t="n">
        <v>4.91014015888558E-2</v>
      </c>
      <c r="B14" t="n">
        <v>6.5908483031781095E-2</v>
      </c>
      <c r="C14" t="n">
        <v>8.1389738888574495E-2</v>
      </c>
      <c r="D14" t="n">
        <v>7.93845743471608E-2</v>
      </c>
      <c r="E14" t="s">
        <v>1455</v>
      </c>
      <c r="F14" t="s">
        <v>1443</v>
      </c>
      <c r="G14" t="n">
        <v>16.106000000000002</v>
      </c>
      <c r="H14" t="n">
        <v>1.9754337090034199E-2</v>
      </c>
      <c r="I14" t="n">
        <v>20.564</v>
      </c>
      <c r="J14" t="n">
        <v>1.9281288723668001E-2</v>
      </c>
      <c r="K14" t="s">
        <v>944</v>
      </c>
      <c r="L14" t="s">
        <v>932</v>
      </c>
    </row>
    <row r="15">
      <c r="A15" t="n">
        <v>7.9177652454341899E-2</v>
      </c>
      <c r="B15" t="n">
        <v>7.1493559288280994E-2</v>
      </c>
      <c r="C15" t="n">
        <v>6.9283063617710403E-2</v>
      </c>
      <c r="D15" t="n">
        <v>8.6922582910256702E-2</v>
      </c>
      <c r="E15" t="s">
        <v>1456</v>
      </c>
      <c r="F15" t="s">
        <v>1443</v>
      </c>
      <c r="G15" t="n">
        <v>16.378</v>
      </c>
      <c r="H15" t="n">
        <v>1.68881162299763E-2</v>
      </c>
      <c r="I15" t="n">
        <v>20.997</v>
      </c>
      <c r="J15" t="n">
        <v>2.1056214744213299E-2</v>
      </c>
      <c r="K15" t="s">
        <v>945</v>
      </c>
      <c r="L15" t="s">
        <v>932</v>
      </c>
    </row>
    <row r="16">
      <c r="A16" t="n">
        <v>7.4767520593947104E-2</v>
      </c>
      <c r="B16" t="n">
        <v>8.5362600720222198E-2</v>
      </c>
      <c r="C16" t="n">
        <v>4.7217464684975501E-2</v>
      </c>
      <c r="D16" t="n">
        <v>8.4062519785650797E-2</v>
      </c>
      <c r="E16" t="s">
        <v>1457</v>
      </c>
      <c r="F16" t="s">
        <v>1443</v>
      </c>
      <c r="G16" t="n">
        <v>16.568000000000001</v>
      </c>
      <c r="H16" t="n">
        <v>1.1600928074246E-2</v>
      </c>
      <c r="I16" t="n">
        <v>21.425000000000001</v>
      </c>
      <c r="J16" t="n">
        <v>2.03838643615755E-2</v>
      </c>
      <c r="K16" t="s">
        <v>946</v>
      </c>
      <c r="L16" t="s">
        <v>932</v>
      </c>
    </row>
    <row r="17">
      <c r="A17" t="n">
        <v>8.4354048501589896E-2</v>
      </c>
      <c r="B17" t="n">
        <v>8.8313277531109999E-2</v>
      </c>
      <c r="C17" t="n">
        <v>6.8825586736247696E-2</v>
      </c>
      <c r="D17" t="n">
        <v>0.111750672708145</v>
      </c>
      <c r="E17" t="s">
        <v>1458</v>
      </c>
      <c r="F17" t="s">
        <v>1443</v>
      </c>
      <c r="G17" t="n">
        <v>16.846</v>
      </c>
      <c r="H17" t="n">
        <v>1.6779333655238898E-2</v>
      </c>
      <c r="I17" t="n">
        <v>22</v>
      </c>
      <c r="J17" t="n">
        <v>2.68378063010501E-2</v>
      </c>
      <c r="K17" t="s">
        <v>947</v>
      </c>
      <c r="L17" t="s">
        <v>932</v>
      </c>
    </row>
    <row r="18">
      <c r="A18" t="n">
        <v>0.124536540877934</v>
      </c>
      <c r="B18" t="n">
        <v>4.1616768277239702E-2</v>
      </c>
      <c r="C18" t="n">
        <v>0.100709384145876</v>
      </c>
      <c r="D18" t="n">
        <v>0.19875533747763099</v>
      </c>
      <c r="E18" t="s">
        <v>1459</v>
      </c>
      <c r="F18" t="s">
        <v>1443</v>
      </c>
      <c r="G18" t="n">
        <v>17.254999999999999</v>
      </c>
      <c r="H18" t="n">
        <v>2.42787605366259E-2</v>
      </c>
      <c r="I18" t="n">
        <v>23.02</v>
      </c>
      <c r="J18" t="n">
        <v>4.6363636363636399E-2</v>
      </c>
      <c r="K18" t="s">
        <v>948</v>
      </c>
      <c r="L18" t="s">
        <v>932</v>
      </c>
    </row>
    <row r="19">
      <c r="A19" t="n">
        <v>0.118186339709689</v>
      </c>
      <c r="B19" t="n">
        <v>7.4336480554695494E-2</v>
      </c>
      <c r="C19" t="n">
        <v>0.111980004946894</v>
      </c>
      <c r="D19" t="n">
        <v>0.27614966476000502</v>
      </c>
      <c r="E19" t="s">
        <v>1460</v>
      </c>
      <c r="F19" t="s">
        <v>1443</v>
      </c>
      <c r="G19" t="n">
        <v>17.719000000000001</v>
      </c>
      <c r="H19" t="n">
        <v>2.68907563025211E-2</v>
      </c>
      <c r="I19" t="n">
        <v>24.466999999999999</v>
      </c>
      <c r="J19" t="n">
        <v>6.2858384013900995E-2</v>
      </c>
      <c r="K19" t="s">
        <v>949</v>
      </c>
      <c r="L19" t="s">
        <v>932</v>
      </c>
    </row>
    <row r="20">
      <c r="A20" t="n">
        <v>0.112285409166716</v>
      </c>
      <c r="B20" t="n">
        <v>0.121923532437656</v>
      </c>
      <c r="C20" t="n">
        <v>0.119951580753957</v>
      </c>
      <c r="D20" t="n">
        <v>0.28126959643585903</v>
      </c>
      <c r="E20" t="s">
        <v>1461</v>
      </c>
      <c r="F20" t="s">
        <v>1443</v>
      </c>
      <c r="G20" t="n">
        <v>18.228000000000002</v>
      </c>
      <c r="H20" t="n">
        <v>2.8726226084993398E-2</v>
      </c>
      <c r="I20" t="n">
        <v>26.030999999999999</v>
      </c>
      <c r="J20" t="n">
        <v>6.3922834838762405E-2</v>
      </c>
      <c r="K20" t="s">
        <v>950</v>
      </c>
      <c r="L20" t="s">
        <v>932</v>
      </c>
    </row>
    <row r="21">
      <c r="A21" t="n">
        <v>0.10564888426900799</v>
      </c>
      <c r="B21" t="n">
        <v>0.139689749601554</v>
      </c>
      <c r="C21" t="n">
        <v>0.10861792322335199</v>
      </c>
      <c r="D21" t="n">
        <v>0.17691984955710299</v>
      </c>
      <c r="E21" t="s">
        <v>1462</v>
      </c>
      <c r="F21" t="s">
        <v>1443</v>
      </c>
      <c r="G21" t="n">
        <v>18.704000000000001</v>
      </c>
      <c r="H21" t="n">
        <v>2.6113671274961399E-2</v>
      </c>
      <c r="I21" t="n">
        <v>27.113</v>
      </c>
      <c r="J21" t="n">
        <v>4.15658253620683E-2</v>
      </c>
      <c r="K21" t="s">
        <v>951</v>
      </c>
      <c r="L21" t="s">
        <v>932</v>
      </c>
    </row>
    <row r="22">
      <c r="A22" t="n">
        <v>7.7418031911128199E-2</v>
      </c>
      <c r="B22" t="n">
        <v>7.47377264200315E-2</v>
      </c>
      <c r="C22" t="n">
        <v>8.2414004288707196E-2</v>
      </c>
      <c r="D22" t="n">
        <v>8.77241949354641E-2</v>
      </c>
      <c r="E22" t="s">
        <v>1463</v>
      </c>
      <c r="F22" t="s">
        <v>1443</v>
      </c>
      <c r="G22" t="n">
        <v>19.077999999999999</v>
      </c>
      <c r="H22" t="n">
        <v>1.99957228400343E-2</v>
      </c>
      <c r="I22" t="n">
        <v>27.689</v>
      </c>
      <c r="J22" t="n">
        <v>2.1244421495223698E-2</v>
      </c>
      <c r="K22" t="s">
        <v>952</v>
      </c>
      <c r="L22" t="s">
        <v>932</v>
      </c>
    </row>
    <row r="23">
      <c r="A23" t="n">
        <v>5.00188837807687E-2</v>
      </c>
      <c r="B23" t="n">
        <v>5.9076854521070303E-2</v>
      </c>
      <c r="C23" t="n">
        <v>9.99907756879512E-2</v>
      </c>
      <c r="D23" t="n">
        <v>1.9938623083631101E-2</v>
      </c>
      <c r="E23" t="s">
        <v>1464</v>
      </c>
      <c r="F23" t="s">
        <v>1443</v>
      </c>
      <c r="G23" t="n">
        <v>19.538</v>
      </c>
      <c r="H23" t="n">
        <v>2.4111542090365898E-2</v>
      </c>
      <c r="I23" t="n">
        <v>27.826000000000001</v>
      </c>
      <c r="J23" t="n">
        <v>4.9478132110223304E-3</v>
      </c>
      <c r="K23" t="s">
        <v>953</v>
      </c>
      <c r="L23" t="s">
        <v>932</v>
      </c>
    </row>
    <row r="24">
      <c r="A24" t="n">
        <v>7.6956317974106001E-2</v>
      </c>
      <c r="B24" t="n">
        <v>5.5091330920863602E-2</v>
      </c>
      <c r="C24" t="n">
        <v>6.2847909413525901E-2</v>
      </c>
      <c r="D24" t="n">
        <v>1.2710174962932599E-2</v>
      </c>
      <c r="E24" t="s">
        <v>1465</v>
      </c>
      <c r="F24" t="s">
        <v>1443</v>
      </c>
      <c r="G24" t="n">
        <v>19.838000000000001</v>
      </c>
      <c r="H24" t="n">
        <v>1.5354693417954699E-2</v>
      </c>
      <c r="I24" t="n">
        <v>27.914000000000001</v>
      </c>
      <c r="J24" t="n">
        <v>3.16250988284339E-3</v>
      </c>
      <c r="K24" t="s">
        <v>954</v>
      </c>
      <c r="L24" t="s">
        <v>932</v>
      </c>
    </row>
    <row r="25">
      <c r="A25" t="n">
        <v>6.8882772668885706E-2</v>
      </c>
      <c r="B25" t="n">
        <v>9.5097426388938394E-2</v>
      </c>
      <c r="C25" t="n">
        <v>5.9557775023163499E-2</v>
      </c>
      <c r="D25" t="n">
        <v>2.4583979224767301E-2</v>
      </c>
      <c r="E25" t="s">
        <v>1466</v>
      </c>
      <c r="F25" t="s">
        <v>1443</v>
      </c>
      <c r="G25" t="n">
        <v>20.126999999999999</v>
      </c>
      <c r="H25" t="n">
        <v>1.45680008065328E-2</v>
      </c>
      <c r="I25" t="n">
        <v>28.084</v>
      </c>
      <c r="J25" t="n">
        <v>6.0901339829475499E-3</v>
      </c>
      <c r="K25" t="s">
        <v>955</v>
      </c>
      <c r="L25" t="s">
        <v>932</v>
      </c>
    </row>
    <row r="26">
      <c r="A26" t="n">
        <v>4.46796784787249E-2</v>
      </c>
      <c r="B26" t="n">
        <v>5.9702158874865199E-2</v>
      </c>
      <c r="C26" t="n">
        <v>5.3094918319799497E-2</v>
      </c>
      <c r="D26" t="n">
        <v>1.9800669277978002E-2</v>
      </c>
      <c r="E26" t="s">
        <v>1467</v>
      </c>
      <c r="F26" t="s">
        <v>1443</v>
      </c>
      <c r="G26" t="n">
        <v>20.388999999999999</v>
      </c>
      <c r="H26" t="n">
        <v>1.30173398916877E-2</v>
      </c>
      <c r="I26" t="n">
        <v>28.222000000000001</v>
      </c>
      <c r="J26" t="n">
        <v>4.91382993875522E-3</v>
      </c>
      <c r="K26" t="s">
        <v>956</v>
      </c>
      <c r="L26" t="s">
        <v>932</v>
      </c>
    </row>
    <row r="27">
      <c r="A27" t="n">
        <v>3.3979822161052303E-2</v>
      </c>
      <c r="B27" t="n">
        <v>3.3961135638896502E-2</v>
      </c>
      <c r="C27" t="n">
        <v>5.3215140717762302E-2</v>
      </c>
      <c r="D27" t="n">
        <v>3.4743180507705002E-2</v>
      </c>
      <c r="E27" t="s">
        <v>1468</v>
      </c>
      <c r="F27" t="s">
        <v>1443</v>
      </c>
      <c r="G27" t="n">
        <v>20.655000000000001</v>
      </c>
      <c r="H27" t="n">
        <v>1.3046250429153101E-2</v>
      </c>
      <c r="I27" t="n">
        <v>28.463999999999999</v>
      </c>
      <c r="J27" t="n">
        <v>8.5748706682728902E-3</v>
      </c>
      <c r="K27" t="s">
        <v>957</v>
      </c>
      <c r="L27" t="s">
        <v>932</v>
      </c>
    </row>
    <row r="28">
      <c r="A28" t="n">
        <v>6.2157602764701697E-2</v>
      </c>
      <c r="B28" t="n">
        <v>4.6572413553721298E-2</v>
      </c>
      <c r="C28" t="n">
        <v>3.5515485276211803E-2</v>
      </c>
      <c r="D28" t="n">
        <v>8.7412684077270396E-3</v>
      </c>
      <c r="E28" t="s">
        <v>1469</v>
      </c>
      <c r="F28" t="s">
        <v>1443</v>
      </c>
      <c r="G28" t="n">
        <v>20.835999999999999</v>
      </c>
      <c r="H28" t="n">
        <v>8.7630113773904394E-3</v>
      </c>
      <c r="I28" t="n">
        <v>28.526</v>
      </c>
      <c r="J28" t="n">
        <v>2.17818999437891E-3</v>
      </c>
      <c r="K28" t="s">
        <v>958</v>
      </c>
      <c r="L28" t="s">
        <v>932</v>
      </c>
    </row>
    <row r="29">
      <c r="A29" t="n">
        <v>6.4679796349943294E-2</v>
      </c>
      <c r="B29" t="n">
        <v>0.11140543202132699</v>
      </c>
      <c r="C29" t="n">
        <v>5.3847641567893498E-2</v>
      </c>
      <c r="D29" t="n">
        <v>2.7482019859727602E-2</v>
      </c>
      <c r="E29" t="s">
        <v>1470</v>
      </c>
      <c r="F29" t="s">
        <v>1443</v>
      </c>
      <c r="G29" t="n">
        <v>21.111000000000001</v>
      </c>
      <c r="H29" t="n">
        <v>1.31983106162412E-2</v>
      </c>
      <c r="I29" t="n">
        <v>28.72</v>
      </c>
      <c r="J29" t="n">
        <v>6.8008132931360902E-3</v>
      </c>
      <c r="K29" t="s">
        <v>959</v>
      </c>
      <c r="L29" t="s">
        <v>932</v>
      </c>
    </row>
    <row r="30">
      <c r="A30" t="n">
        <v>7.4088172350420103E-2</v>
      </c>
      <c r="B30" t="n">
        <v>5.7739458159661701E-2</v>
      </c>
      <c r="C30" t="n">
        <v>8.3796072481744796E-2</v>
      </c>
      <c r="D30" t="n">
        <v>5.2825931688943499E-2</v>
      </c>
      <c r="E30" t="s">
        <v>1471</v>
      </c>
      <c r="F30" t="s">
        <v>1443</v>
      </c>
      <c r="G30" t="n">
        <v>21.54</v>
      </c>
      <c r="H30" t="n">
        <v>2.0321159585050302E-2</v>
      </c>
      <c r="I30" t="n">
        <v>29.091999999999999</v>
      </c>
      <c r="J30" t="n">
        <v>1.2952646239554401E-2</v>
      </c>
      <c r="K30" t="s">
        <v>960</v>
      </c>
      <c r="L30" t="s">
        <v>932</v>
      </c>
    </row>
    <row r="31">
      <c r="A31" t="n">
        <v>7.0308632461715301E-2</v>
      </c>
      <c r="B31" t="n">
        <v>4.6296846180206901E-2</v>
      </c>
      <c r="C31" t="n">
        <v>8.1880476726010801E-2</v>
      </c>
      <c r="D31" t="n">
        <v>4.0048809702137603E-2</v>
      </c>
      <c r="E31" t="s">
        <v>1472</v>
      </c>
      <c r="F31" t="s">
        <v>1443</v>
      </c>
      <c r="G31" t="n">
        <v>21.968</v>
      </c>
      <c r="H31" t="n">
        <v>1.9870009285051001E-2</v>
      </c>
      <c r="I31" t="n">
        <v>29.379000000000001</v>
      </c>
      <c r="J31" t="n">
        <v>9.8652550529356696E-3</v>
      </c>
      <c r="K31" t="s">
        <v>961</v>
      </c>
      <c r="L31" t="s">
        <v>932</v>
      </c>
    </row>
    <row r="32">
      <c r="A32" t="n">
        <v>6.1553542794543503E-2</v>
      </c>
      <c r="B32" t="n">
        <v>1.98663105662467E-2</v>
      </c>
      <c r="C32" t="n">
        <v>7.3501873886998997E-2</v>
      </c>
      <c r="D32" t="n">
        <v>5.4874269706492597E-2</v>
      </c>
      <c r="E32" t="s">
        <v>1473</v>
      </c>
      <c r="F32" t="s">
        <v>1443</v>
      </c>
      <c r="G32" t="n">
        <v>22.361000000000001</v>
      </c>
      <c r="H32" t="n">
        <v>1.7889657683903801E-2</v>
      </c>
      <c r="I32" t="n">
        <v>29.774000000000001</v>
      </c>
      <c r="J32" t="n">
        <v>1.3444977705163501E-2</v>
      </c>
      <c r="K32" t="s">
        <v>962</v>
      </c>
      <c r="L32" t="s">
        <v>932</v>
      </c>
    </row>
    <row r="33">
      <c r="A33" t="n">
        <v>5.8025197908700303E-2</v>
      </c>
      <c r="B33" t="n">
        <v>0.12112082718011299</v>
      </c>
      <c r="C33" t="n">
        <v>7.5383891455237398E-2</v>
      </c>
      <c r="D33" t="n">
        <v>4.34111575180351E-2</v>
      </c>
      <c r="E33" t="s">
        <v>1474</v>
      </c>
      <c r="F33" t="s">
        <v>1443</v>
      </c>
      <c r="G33" t="n">
        <v>22.771000000000001</v>
      </c>
      <c r="H33" t="n">
        <v>1.83354948347569E-2</v>
      </c>
      <c r="I33" t="n">
        <v>30.091999999999999</v>
      </c>
      <c r="J33" t="n">
        <v>1.0680459461274799E-2</v>
      </c>
      <c r="K33" t="s">
        <v>963</v>
      </c>
      <c r="L33" t="s">
        <v>932</v>
      </c>
    </row>
    <row r="34">
      <c r="A34" t="n">
        <v>6.7326294927223501E-2</v>
      </c>
      <c r="B34" t="n">
        <v>4.65097292728067E-2</v>
      </c>
      <c r="C34" t="n">
        <v>5.9424238450433299E-2</v>
      </c>
      <c r="D34" t="n">
        <v>5.0510789433123801E-2</v>
      </c>
      <c r="E34" t="s">
        <v>1475</v>
      </c>
      <c r="F34" t="s">
        <v>1443</v>
      </c>
      <c r="G34" t="n">
        <v>23.102</v>
      </c>
      <c r="H34" t="n">
        <v>1.4536032673137E-2</v>
      </c>
      <c r="I34" t="n">
        <v>30.465</v>
      </c>
      <c r="J34" t="n">
        <v>1.23953210155523E-2</v>
      </c>
      <c r="K34" t="s">
        <v>964</v>
      </c>
      <c r="L34" t="s">
        <v>932</v>
      </c>
    </row>
    <row r="35">
      <c r="A35" t="n">
        <v>8.4675701203493298E-2</v>
      </c>
      <c r="B35" t="n">
        <v>8.09066486989478E-2</v>
      </c>
      <c r="C35" t="n">
        <v>6.5619276167123694E-2</v>
      </c>
      <c r="D35" t="n">
        <v>8.0997725857898203E-2</v>
      </c>
      <c r="E35" t="s">
        <v>1476</v>
      </c>
      <c r="F35" t="s">
        <v>1443</v>
      </c>
      <c r="G35" t="n">
        <v>23.472000000000001</v>
      </c>
      <c r="H35" t="n">
        <v>1.6015929356765699E-2</v>
      </c>
      <c r="I35" t="n">
        <v>31.064</v>
      </c>
      <c r="J35" t="n">
        <v>1.9661907106515601E-2</v>
      </c>
      <c r="K35" t="s">
        <v>965</v>
      </c>
      <c r="L35" t="s">
        <v>932</v>
      </c>
    </row>
    <row r="36">
      <c r="A36" t="n">
        <v>7.2050406034996906E-2</v>
      </c>
      <c r="B36" t="n">
        <v>6.8549166168664605E-2</v>
      </c>
      <c r="C36" t="n">
        <v>5.8500992246239197E-2</v>
      </c>
      <c r="D36" t="n">
        <v>7.8709215306017405E-2</v>
      </c>
      <c r="E36" t="s">
        <v>1477</v>
      </c>
      <c r="F36" t="s">
        <v>1443</v>
      </c>
      <c r="G36" t="n">
        <v>23.808</v>
      </c>
      <c r="H36" t="n">
        <v>1.4314928425357899E-2</v>
      </c>
      <c r="I36" t="n">
        <v>31.658000000000001</v>
      </c>
      <c r="J36" t="n">
        <v>1.9121813031161401E-2</v>
      </c>
      <c r="K36" t="s">
        <v>966</v>
      </c>
      <c r="L36" t="s">
        <v>932</v>
      </c>
    </row>
    <row r="37">
      <c r="A37" t="n">
        <v>7.7759817693589403E-2</v>
      </c>
      <c r="B37" t="n">
        <v>7.0826828171957498E-2</v>
      </c>
      <c r="C37" t="n">
        <v>5.4682260590980698E-2</v>
      </c>
      <c r="D37" t="n">
        <v>7.3455131593814296E-2</v>
      </c>
      <c r="E37" t="s">
        <v>1478</v>
      </c>
      <c r="F37" t="s">
        <v>1443</v>
      </c>
      <c r="G37" t="n">
        <v>24.126999999999999</v>
      </c>
      <c r="H37" t="n">
        <v>1.33988575268817E-2</v>
      </c>
      <c r="I37" t="n">
        <v>32.223999999999997</v>
      </c>
      <c r="J37" t="n">
        <v>1.78785772948384E-2</v>
      </c>
      <c r="K37" t="s">
        <v>967</v>
      </c>
      <c r="L37" t="s">
        <v>932</v>
      </c>
    </row>
    <row r="38">
      <c r="A38" t="n">
        <v>7.7602845525897898E-2</v>
      </c>
      <c r="B38" t="n">
        <v>7.5755853629737399E-2</v>
      </c>
      <c r="C38" t="n">
        <v>0.101819091447914</v>
      </c>
      <c r="D38" t="n">
        <v>8.5137769356933707E-2</v>
      </c>
      <c r="E38" t="s">
        <v>1479</v>
      </c>
      <c r="F38" t="s">
        <v>1443</v>
      </c>
      <c r="G38" t="n">
        <v>24.719000000000001</v>
      </c>
      <c r="H38" t="n">
        <v>2.4536825962614601E-2</v>
      </c>
      <c r="I38" t="n">
        <v>32.889000000000003</v>
      </c>
      <c r="J38" t="n">
        <v>2.0636792452830299E-2</v>
      </c>
      <c r="K38" t="s">
        <v>968</v>
      </c>
      <c r="L38" t="s">
        <v>932</v>
      </c>
    </row>
    <row r="39">
      <c r="A39" t="n">
        <v>0.113838252689951</v>
      </c>
      <c r="B39" t="n">
        <v>6.1815502695247999E-2</v>
      </c>
      <c r="C39" t="n">
        <v>9.0287471336475605E-2</v>
      </c>
      <c r="D39" t="n">
        <v>0.11311171886032199</v>
      </c>
      <c r="E39" t="s">
        <v>1480</v>
      </c>
      <c r="F39" t="s">
        <v>1443</v>
      </c>
      <c r="G39" t="n">
        <v>25.259</v>
      </c>
      <c r="H39" t="n">
        <v>2.18455439135887E-2</v>
      </c>
      <c r="I39" t="n">
        <v>33.781999999999996</v>
      </c>
      <c r="J39" t="n">
        <v>2.7151935297515601E-2</v>
      </c>
      <c r="K39" t="s">
        <v>969</v>
      </c>
      <c r="L39" t="s">
        <v>932</v>
      </c>
    </row>
    <row r="40">
      <c r="A40" t="n">
        <v>0.10293672514128201</v>
      </c>
      <c r="B40" t="n">
        <v>9.6664179784869297E-2</v>
      </c>
      <c r="C40" t="n">
        <v>0.148038402658868</v>
      </c>
      <c r="D40" t="n">
        <v>0.121960082107911</v>
      </c>
      <c r="E40" t="s">
        <v>1481</v>
      </c>
      <c r="F40" t="s">
        <v>1443</v>
      </c>
      <c r="G40" t="n">
        <v>26.146000000000001</v>
      </c>
      <c r="H40" t="n">
        <v>3.5116196207292602E-2</v>
      </c>
      <c r="I40" t="n">
        <v>34.768000000000001</v>
      </c>
      <c r="J40" t="n">
        <v>2.9187141081049101E-2</v>
      </c>
      <c r="K40" t="s">
        <v>970</v>
      </c>
      <c r="L40" t="s">
        <v>932</v>
      </c>
    </row>
    <row r="41">
      <c r="A41" t="n">
        <v>0.100470180706661</v>
      </c>
      <c r="B41" t="n">
        <v>9.1027084037313494E-2</v>
      </c>
      <c r="C41" t="n">
        <v>7.0641984000731503E-2</v>
      </c>
      <c r="D41" t="n">
        <v>0.118355060703055</v>
      </c>
      <c r="E41" t="s">
        <v>1482</v>
      </c>
      <c r="F41" t="s">
        <v>1443</v>
      </c>
      <c r="G41" t="n">
        <v>26.596</v>
      </c>
      <c r="H41" t="n">
        <v>1.7211045666641198E-2</v>
      </c>
      <c r="I41" t="n">
        <v>35.753999999999998</v>
      </c>
      <c r="J41" t="n">
        <v>2.83594109526E-2</v>
      </c>
      <c r="K41" t="s">
        <v>971</v>
      </c>
      <c r="L41" t="s">
        <v>932</v>
      </c>
    </row>
    <row r="42">
      <c r="A42" t="n">
        <v>0.12552467874009099</v>
      </c>
      <c r="B42" t="n">
        <v>8.1451601423466094E-2</v>
      </c>
      <c r="C42" t="n">
        <v>0.106909632651843</v>
      </c>
      <c r="D42" t="n">
        <v>0.113864763230328</v>
      </c>
      <c r="E42" t="s">
        <v>1483</v>
      </c>
      <c r="F42" t="s">
        <v>1443</v>
      </c>
      <c r="G42" t="n">
        <v>27.28</v>
      </c>
      <c r="H42" t="n">
        <v>2.5718153105730199E-2</v>
      </c>
      <c r="I42" t="n">
        <v>36.731000000000002</v>
      </c>
      <c r="J42" t="n">
        <v>2.7325613917324101E-2</v>
      </c>
      <c r="K42" t="s">
        <v>972</v>
      </c>
      <c r="L42" t="s">
        <v>932</v>
      </c>
    </row>
    <row r="43">
      <c r="A43" t="n">
        <v>0.101539889707692</v>
      </c>
      <c r="B43" t="n">
        <v>0.163874229132176</v>
      </c>
      <c r="C43" t="n">
        <v>0.11299973225785501</v>
      </c>
      <c r="D43" t="n">
        <v>0.119816075191493</v>
      </c>
      <c r="E43" t="s">
        <v>1484</v>
      </c>
      <c r="F43" t="s">
        <v>1443</v>
      </c>
      <c r="G43" t="n">
        <v>28.02</v>
      </c>
      <c r="H43" t="n">
        <v>2.7126099706744799E-2</v>
      </c>
      <c r="I43" t="n">
        <v>37.784999999999997</v>
      </c>
      <c r="J43" t="n">
        <v>2.8695107674715899E-2</v>
      </c>
      <c r="K43" t="s">
        <v>973</v>
      </c>
      <c r="L43" t="s">
        <v>932</v>
      </c>
    </row>
    <row r="44">
      <c r="A44" t="n">
        <v>9.6919062654431398E-2</v>
      </c>
      <c r="B44" t="n">
        <v>4.1150587007602997E-2</v>
      </c>
      <c r="C44" t="n">
        <v>0.115930396885483</v>
      </c>
      <c r="D44" t="n">
        <v>0.138106666956619</v>
      </c>
      <c r="E44" t="s">
        <v>1485</v>
      </c>
      <c r="F44" t="s">
        <v>1443</v>
      </c>
      <c r="G44" t="n">
        <v>28.798999999999999</v>
      </c>
      <c r="H44" t="n">
        <v>2.7801570306923699E-2</v>
      </c>
      <c r="I44" t="n">
        <v>39.027000000000001</v>
      </c>
      <c r="J44" t="n">
        <v>3.2870186581977198E-2</v>
      </c>
      <c r="K44" t="s">
        <v>974</v>
      </c>
      <c r="L44" t="s">
        <v>932</v>
      </c>
    </row>
    <row r="45">
      <c r="A45" t="n">
        <v>0.102667735598145</v>
      </c>
      <c r="B45" t="n">
        <v>0.12591483160208999</v>
      </c>
      <c r="C45" t="n">
        <v>0.11071312036879399</v>
      </c>
      <c r="D45" t="n">
        <v>0.12373918134004901</v>
      </c>
      <c r="E45" t="s">
        <v>1486</v>
      </c>
      <c r="F45" t="s">
        <v>1443</v>
      </c>
      <c r="G45" t="n">
        <v>29.565000000000001</v>
      </c>
      <c r="H45" t="n">
        <v>2.65981457689504E-2</v>
      </c>
      <c r="I45" t="n">
        <v>40.182000000000002</v>
      </c>
      <c r="J45" t="n">
        <v>2.9594895841340601E-2</v>
      </c>
      <c r="K45" t="s">
        <v>975</v>
      </c>
      <c r="L45" t="s">
        <v>932</v>
      </c>
    </row>
    <row r="46">
      <c r="A46" t="n">
        <v>0.107873886984393</v>
      </c>
      <c r="B46" t="n">
        <v>8.2350511297398302E-2</v>
      </c>
      <c r="C46" t="n">
        <v>0.14097064786198199</v>
      </c>
      <c r="D46" t="n">
        <v>0.118188584098933</v>
      </c>
      <c r="E46" t="s">
        <v>1487</v>
      </c>
      <c r="F46" t="s">
        <v>1443</v>
      </c>
      <c r="G46" t="n">
        <v>30.556000000000001</v>
      </c>
      <c r="H46" t="n">
        <v>3.3519364112971399E-2</v>
      </c>
      <c r="I46" t="n">
        <v>41.32</v>
      </c>
      <c r="J46" t="n">
        <v>2.8321138818376401E-2</v>
      </c>
      <c r="K46" t="s">
        <v>976</v>
      </c>
      <c r="L46" t="s">
        <v>932</v>
      </c>
    </row>
    <row r="47">
      <c r="A47" t="n">
        <v>6.8864078536554199E-2</v>
      </c>
      <c r="B47" t="n">
        <v>9.6264819656522296E-2</v>
      </c>
      <c r="C47" t="n">
        <v>8.6310442735713797E-2</v>
      </c>
      <c r="D47" t="n">
        <v>9.9129163647753094E-2</v>
      </c>
      <c r="E47" t="s">
        <v>1488</v>
      </c>
      <c r="F47" t="s">
        <v>1443</v>
      </c>
      <c r="G47" t="n">
        <v>31.195</v>
      </c>
      <c r="H47" t="n">
        <v>2.0912423092027701E-2</v>
      </c>
      <c r="I47" t="n">
        <v>42.308</v>
      </c>
      <c r="J47" t="n">
        <v>2.39109390125847E-2</v>
      </c>
      <c r="K47" t="s">
        <v>977</v>
      </c>
      <c r="L47" t="s">
        <v>932</v>
      </c>
    </row>
    <row r="48">
      <c r="A48" t="n">
        <v>6.7510216956085903E-2</v>
      </c>
      <c r="B48" t="n">
        <v>9.0754628296435505E-2</v>
      </c>
      <c r="C48" t="n">
        <v>4.8692861535788202E-2</v>
      </c>
      <c r="D48" t="n">
        <v>8.4524586959714404E-2</v>
      </c>
      <c r="E48" t="s">
        <v>1489</v>
      </c>
      <c r="F48" t="s">
        <v>1443</v>
      </c>
      <c r="G48" t="n">
        <v>31.568000000000001</v>
      </c>
      <c r="H48" t="n">
        <v>1.1957044398140699E-2</v>
      </c>
      <c r="I48" t="n">
        <v>43.174999999999997</v>
      </c>
      <c r="J48" t="n">
        <v>2.0492578235794499E-2</v>
      </c>
      <c r="K48" t="s">
        <v>978</v>
      </c>
      <c r="L48" t="s">
        <v>932</v>
      </c>
    </row>
    <row r="49">
      <c r="A49" t="n">
        <v>6.2684205945477106E-2</v>
      </c>
      <c r="B49" t="n">
        <v>7.8781408158281802E-2</v>
      </c>
      <c r="C49" t="n">
        <v>6.2752816594642893E-2</v>
      </c>
      <c r="D49" t="n">
        <v>7.3171075998094998E-2</v>
      </c>
      <c r="E49" t="s">
        <v>1490</v>
      </c>
      <c r="F49" t="s">
        <v>1443</v>
      </c>
      <c r="G49" t="n">
        <v>32.052</v>
      </c>
      <c r="H49" t="n">
        <v>1.53319817536746E-2</v>
      </c>
      <c r="I49" t="n">
        <v>43.944000000000003</v>
      </c>
      <c r="J49" t="n">
        <v>1.7811233352634799E-2</v>
      </c>
      <c r="K49" t="s">
        <v>979</v>
      </c>
      <c r="L49" t="s">
        <v>932</v>
      </c>
    </row>
    <row r="50">
      <c r="A50" t="n">
        <v>5.1825632418063497E-2</v>
      </c>
      <c r="B50" t="n">
        <v>6.5520529029189395E-2</v>
      </c>
      <c r="C50" t="n">
        <v>7.2002334651775995E-2</v>
      </c>
      <c r="D50" t="n">
        <v>5.7261419360111997E-2</v>
      </c>
      <c r="E50" t="s">
        <v>1491</v>
      </c>
      <c r="F50" t="s">
        <v>1443</v>
      </c>
      <c r="G50" t="n">
        <v>32.613999999999997</v>
      </c>
      <c r="H50" t="n">
        <v>1.7534007238237701E-2</v>
      </c>
      <c r="I50" t="n">
        <v>44.56</v>
      </c>
      <c r="J50" t="n">
        <v>1.40178408884035E-2</v>
      </c>
      <c r="K50" t="s">
        <v>980</v>
      </c>
      <c r="L50" t="s">
        <v>932</v>
      </c>
    </row>
    <row r="51">
      <c r="A51" t="n">
        <v>3.9076838958162399E-2</v>
      </c>
      <c r="B51" t="n">
        <v>8.1541548822787496E-2</v>
      </c>
      <c r="C51" t="n">
        <v>6.5317850608274997E-2</v>
      </c>
      <c r="D51" t="n">
        <v>6.8572049720328196E-2</v>
      </c>
      <c r="E51" t="s">
        <v>1492</v>
      </c>
      <c r="F51" t="s">
        <v>1443</v>
      </c>
      <c r="G51" t="n">
        <v>33.134</v>
      </c>
      <c r="H51" t="n">
        <v>1.5944073097442901E-2</v>
      </c>
      <c r="I51" t="n">
        <v>45.305</v>
      </c>
      <c r="J51" t="n">
        <v>1.6719030520646199E-2</v>
      </c>
      <c r="K51" t="s">
        <v>981</v>
      </c>
      <c r="L51" t="s">
        <v>932</v>
      </c>
    </row>
    <row r="52">
      <c r="A52" t="n">
        <v>6.4698202701339205E-2</v>
      </c>
      <c r="B52" t="n">
        <v>3.4072636599968002E-2</v>
      </c>
      <c r="C52" t="n">
        <v>6.8068638365729198E-2</v>
      </c>
      <c r="D52" t="n">
        <v>4.8078704643683703E-2</v>
      </c>
      <c r="E52" t="s">
        <v>1493</v>
      </c>
      <c r="F52" t="s">
        <v>1443</v>
      </c>
      <c r="G52" t="n">
        <v>33.683999999999997</v>
      </c>
      <c r="H52" t="n">
        <v>1.65992635963059E-2</v>
      </c>
      <c r="I52" t="n">
        <v>45.84</v>
      </c>
      <c r="J52" t="n">
        <v>1.1808851120185501E-2</v>
      </c>
      <c r="K52" t="s">
        <v>982</v>
      </c>
      <c r="L52" t="s">
        <v>932</v>
      </c>
    </row>
    <row r="53">
      <c r="A53" t="n">
        <v>4.4829664945906803E-2</v>
      </c>
      <c r="B53" t="n">
        <v>4.8009313734526098E-2</v>
      </c>
      <c r="C53" t="n">
        <v>6.1455443169872802E-2</v>
      </c>
      <c r="D53" t="n">
        <v>1.01606507354322E-2</v>
      </c>
      <c r="E53" t="s">
        <v>1494</v>
      </c>
      <c r="F53" t="s">
        <v>1443</v>
      </c>
      <c r="G53" t="n">
        <v>34.19</v>
      </c>
      <c r="H53" t="n">
        <v>1.5021968887305399E-2</v>
      </c>
      <c r="I53" t="n">
        <v>45.956000000000003</v>
      </c>
      <c r="J53" t="n">
        <v>2.5305410122164998E-3</v>
      </c>
      <c r="K53" t="s">
        <v>983</v>
      </c>
      <c r="L53" t="s">
        <v>932</v>
      </c>
    </row>
    <row r="54">
      <c r="A54" t="n">
        <v>3.3496613159939903E-2</v>
      </c>
      <c r="B54" t="n">
        <v>7.5539459294806698E-3</v>
      </c>
      <c r="C54" t="n">
        <v>3.4722196261408399E-2</v>
      </c>
      <c r="D54" t="n">
        <v>3.7479666516224701E-3</v>
      </c>
      <c r="E54" t="s">
        <v>1495</v>
      </c>
      <c r="F54" t="s">
        <v>1443</v>
      </c>
      <c r="G54" t="n">
        <v>34.482999999999997</v>
      </c>
      <c r="H54" t="n">
        <v>8.5697572389587008E-3</v>
      </c>
      <c r="I54" t="n">
        <v>45.999000000000002</v>
      </c>
      <c r="J54" t="n">
        <v>9.3567760466539696E-4</v>
      </c>
      <c r="K54" t="s">
        <v>984</v>
      </c>
      <c r="L54" t="s">
        <v>932</v>
      </c>
    </row>
    <row r="55">
      <c r="A55" t="n">
        <v>3.7100673423204902E-2</v>
      </c>
      <c r="B55" t="n">
        <v>3.1269437697415199E-2</v>
      </c>
      <c r="C55" t="n">
        <v>5.5765239502398901E-2</v>
      </c>
      <c r="D55" t="n">
        <v>-5.3805310591299397E-3</v>
      </c>
      <c r="E55" t="s">
        <v>1496</v>
      </c>
      <c r="F55" t="s">
        <v>1443</v>
      </c>
      <c r="G55" t="n">
        <v>34.954000000000001</v>
      </c>
      <c r="H55" t="n">
        <v>1.36589043876694E-2</v>
      </c>
      <c r="I55" t="n">
        <v>45.936999999999998</v>
      </c>
      <c r="J55" t="n">
        <v>-1.3478553881607299E-3</v>
      </c>
      <c r="K55" t="s">
        <v>985</v>
      </c>
      <c r="L55" t="s">
        <v>932</v>
      </c>
    </row>
    <row r="56">
      <c r="A56" t="n">
        <v>5.3607020035561601E-2</v>
      </c>
      <c r="B56" t="n">
        <v>4.5007889346835098E-2</v>
      </c>
      <c r="C56" t="n">
        <v>4.7632291898301399E-2</v>
      </c>
      <c r="D56" t="n">
        <v>2.2658930308778699E-3</v>
      </c>
      <c r="E56" t="s">
        <v>1497</v>
      </c>
      <c r="F56" t="s">
        <v>1443</v>
      </c>
      <c r="G56" t="n">
        <v>35.363</v>
      </c>
      <c r="H56" t="n">
        <v>1.17010928649082E-2</v>
      </c>
      <c r="I56" t="n">
        <v>45.963000000000001</v>
      </c>
      <c r="J56" t="n">
        <v>5.6599255502098899E-4</v>
      </c>
      <c r="K56" t="s">
        <v>986</v>
      </c>
      <c r="L56" t="s">
        <v>932</v>
      </c>
    </row>
    <row r="57">
      <c r="A57" t="n">
        <v>2.6644627827705498E-2</v>
      </c>
      <c r="B57" t="n">
        <v>2.64126969592136E-2</v>
      </c>
      <c r="C57" t="n">
        <v>3.7969215238040602E-2</v>
      </c>
      <c r="D57" t="n">
        <v>-1.13086488994096E-3</v>
      </c>
      <c r="E57" t="s">
        <v>1498</v>
      </c>
      <c r="F57" t="s">
        <v>1443</v>
      </c>
      <c r="G57" t="n">
        <v>35.694000000000003</v>
      </c>
      <c r="H57" t="n">
        <v>9.3600656052936805E-3</v>
      </c>
      <c r="I57" t="n">
        <v>45.95</v>
      </c>
      <c r="J57" t="n">
        <v>-2.82836194330227E-4</v>
      </c>
      <c r="K57" t="s">
        <v>987</v>
      </c>
      <c r="L57" t="s">
        <v>932</v>
      </c>
    </row>
    <row r="58">
      <c r="A58" t="n">
        <v>4.3935723897537297E-2</v>
      </c>
      <c r="B58" t="n">
        <v>5.28225710519643E-2</v>
      </c>
      <c r="C58" t="n">
        <v>7.2018998740306803E-2</v>
      </c>
      <c r="D58" t="n">
        <v>4.3596665649268101E-3</v>
      </c>
      <c r="E58" t="s">
        <v>1499</v>
      </c>
      <c r="F58" t="s">
        <v>1443</v>
      </c>
      <c r="G58" t="n">
        <v>36.32</v>
      </c>
      <c r="H58" t="n">
        <v>1.7537961562167099E-2</v>
      </c>
      <c r="I58" t="n">
        <v>46</v>
      </c>
      <c r="J58" t="n">
        <v>1.0881392818280499E-3</v>
      </c>
      <c r="K58" t="s">
        <v>988</v>
      </c>
      <c r="L58" t="s">
        <v>932</v>
      </c>
    </row>
    <row r="59">
      <c r="A59" t="n">
        <v>3.93022623248813E-2</v>
      </c>
      <c r="B59" t="n">
        <v>4.0487191821635002E-2</v>
      </c>
      <c r="C59" t="n">
        <v>4.4330796852368702E-2</v>
      </c>
      <c r="D59" t="n">
        <v>1.4249428601276599E-2</v>
      </c>
      <c r="E59" t="s">
        <v>1500</v>
      </c>
      <c r="F59" t="s">
        <v>1443</v>
      </c>
      <c r="G59" t="n">
        <v>36.716000000000001</v>
      </c>
      <c r="H59" t="n">
        <v>1.09030837004405E-2</v>
      </c>
      <c r="I59" t="n">
        <v>46.162999999999997</v>
      </c>
      <c r="J59" t="n">
        <v>3.5434782608694299E-3</v>
      </c>
      <c r="K59" t="s">
        <v>989</v>
      </c>
      <c r="L59" t="s">
        <v>932</v>
      </c>
    </row>
    <row r="60">
      <c r="A60" t="n">
        <v>3.1206818640470101E-2</v>
      </c>
      <c r="B60" t="n">
        <v>6.08178890509075E-2</v>
      </c>
      <c r="C60" t="n">
        <v>4.3619950255883798E-2</v>
      </c>
      <c r="D60" t="n">
        <v>1.29734153291148E-2</v>
      </c>
      <c r="E60" t="s">
        <v>1501</v>
      </c>
      <c r="F60" t="s">
        <v>1443</v>
      </c>
      <c r="G60" t="n">
        <v>37.11</v>
      </c>
      <c r="H60" t="n">
        <v>1.07310164505936E-2</v>
      </c>
      <c r="I60" t="n">
        <v>46.311999999999998</v>
      </c>
      <c r="J60" t="n">
        <v>3.22769317418703E-3</v>
      </c>
      <c r="K60" t="s">
        <v>990</v>
      </c>
      <c r="L60" t="s">
        <v>932</v>
      </c>
    </row>
    <row r="61">
      <c r="A61" t="n">
        <v>2.4937045869749999E-2</v>
      </c>
      <c r="B61" t="n">
        <v>5.0188195911601098E-2</v>
      </c>
      <c r="C61" t="n">
        <v>4.8053419713626901E-2</v>
      </c>
      <c r="D61" t="n">
        <v>8.1435979249952998E-3</v>
      </c>
      <c r="E61" t="s">
        <v>1502</v>
      </c>
      <c r="F61" t="s">
        <v>1443</v>
      </c>
      <c r="G61" t="n">
        <v>37.548000000000002</v>
      </c>
      <c r="H61" t="n">
        <v>1.1802748585286999E-2</v>
      </c>
      <c r="I61" t="n">
        <v>46.405999999999999</v>
      </c>
      <c r="J61" t="n">
        <v>2.0297115218517198E-3</v>
      </c>
      <c r="K61" t="s">
        <v>991</v>
      </c>
      <c r="L61" t="s">
        <v>932</v>
      </c>
    </row>
    <row r="62">
      <c r="A62" t="n">
        <v>4.8021891562025902E-2</v>
      </c>
      <c r="B62" t="n">
        <v>-1.5869949670850401E-2</v>
      </c>
      <c r="C62" t="n">
        <v>5.3895269710959599E-2</v>
      </c>
      <c r="D62" t="n">
        <v>2.2424648618448499E-2</v>
      </c>
      <c r="E62" t="s">
        <v>1503</v>
      </c>
      <c r="F62" t="s">
        <v>1443</v>
      </c>
      <c r="G62" t="n">
        <v>38.043999999999997</v>
      </c>
      <c r="H62" t="n">
        <v>1.3209758176201E-2</v>
      </c>
      <c r="I62" t="n">
        <v>46.664000000000001</v>
      </c>
      <c r="J62" t="n">
        <v>5.5596259104426799E-3</v>
      </c>
      <c r="K62" t="s">
        <v>992</v>
      </c>
      <c r="L62" t="s">
        <v>932</v>
      </c>
    </row>
    <row r="63">
      <c r="A63" t="n">
        <v>3.2831975950411901E-2</v>
      </c>
      <c r="B63" t="n">
        <v>9.4485381047573203E-3</v>
      </c>
      <c r="C63" t="n">
        <v>4.6526948089148097E-2</v>
      </c>
      <c r="D63" t="n">
        <v>1.2400816449865701E-2</v>
      </c>
      <c r="E63" t="s">
        <v>1504</v>
      </c>
      <c r="F63" t="s">
        <v>1443</v>
      </c>
      <c r="G63" t="n">
        <v>38.478999999999999</v>
      </c>
      <c r="H63" t="n">
        <v>1.1434128903375E-2</v>
      </c>
      <c r="I63" t="n">
        <v>46.808</v>
      </c>
      <c r="J63" t="n">
        <v>3.0858906223212301E-3</v>
      </c>
      <c r="K63" t="s">
        <v>993</v>
      </c>
      <c r="L63" t="s">
        <v>932</v>
      </c>
    </row>
    <row r="64">
      <c r="A64" t="n">
        <v>3.1711964087017402E-2</v>
      </c>
      <c r="B64" t="n">
        <v>2.1519541922931699E-2</v>
      </c>
      <c r="C64" t="n">
        <v>3.7630817464174598E-2</v>
      </c>
      <c r="D64" t="n">
        <v>1.6508679737656601E-2</v>
      </c>
      <c r="E64" t="s">
        <v>1505</v>
      </c>
      <c r="F64" t="s">
        <v>1443</v>
      </c>
      <c r="G64" t="n">
        <v>38.835999999999999</v>
      </c>
      <c r="H64" t="n">
        <v>9.2777878843004497E-3</v>
      </c>
      <c r="I64" t="n">
        <v>47</v>
      </c>
      <c r="J64" t="n">
        <v>4.1018629294138397E-3</v>
      </c>
      <c r="K64" t="s">
        <v>994</v>
      </c>
      <c r="L64" t="s">
        <v>932</v>
      </c>
    </row>
    <row r="65">
      <c r="A65" t="n">
        <v>2.8237310351865798E-2</v>
      </c>
      <c r="B65" t="n">
        <v>2.6513418939119401E-2</v>
      </c>
      <c r="C65" t="n">
        <v>4.0884190168569902E-2</v>
      </c>
      <c r="D65" t="n">
        <v>2.40435812756121E-2</v>
      </c>
      <c r="E65" t="s">
        <v>1506</v>
      </c>
      <c r="F65" t="s">
        <v>1443</v>
      </c>
      <c r="G65" t="n">
        <v>39.226999999999997</v>
      </c>
      <c r="H65" t="n">
        <v>1.0067978164589601E-2</v>
      </c>
      <c r="I65" t="n">
        <v>47.28</v>
      </c>
      <c r="J65" t="n">
        <v>5.9574468085106204E-3</v>
      </c>
      <c r="K65" t="s">
        <v>995</v>
      </c>
      <c r="L65" t="s">
        <v>932</v>
      </c>
    </row>
    <row r="66">
      <c r="A66" t="n">
        <v>2.86487834236928E-2</v>
      </c>
      <c r="B66" t="n">
        <v>-1.00878062845416E-2</v>
      </c>
      <c r="C66" t="n">
        <v>1.47648166353573E-2</v>
      </c>
      <c r="D66" t="n">
        <v>2.5106061305751201E-2</v>
      </c>
      <c r="E66" t="s">
        <v>1507</v>
      </c>
      <c r="F66" t="s">
        <v>1443</v>
      </c>
      <c r="G66" t="n">
        <v>39.371000000000002</v>
      </c>
      <c r="H66" t="n">
        <v>3.6709409335409201E-3</v>
      </c>
      <c r="I66" t="n">
        <v>47.573999999999998</v>
      </c>
      <c r="J66" t="n">
        <v>6.2182741116749698E-3</v>
      </c>
      <c r="K66" t="s">
        <v>996</v>
      </c>
      <c r="L66" t="s">
        <v>932</v>
      </c>
    </row>
    <row r="67">
      <c r="A67" t="n">
        <v>-4.2153079272678803E-3</v>
      </c>
      <c r="B67" t="n">
        <v>-9.8843189037382002E-3</v>
      </c>
      <c r="C67" t="n">
        <v>1.2042523964300099E-2</v>
      </c>
      <c r="D67" t="n">
        <v>4.1753162692227598E-2</v>
      </c>
      <c r="E67" t="s">
        <v>1508</v>
      </c>
      <c r="F67" t="s">
        <v>1443</v>
      </c>
      <c r="G67" t="n">
        <v>39.488999999999997</v>
      </c>
      <c r="H67" t="n">
        <v>2.9971298671609401E-3</v>
      </c>
      <c r="I67" t="n">
        <v>48.063000000000002</v>
      </c>
      <c r="J67" t="n">
        <v>1.02787236725943E-2</v>
      </c>
      <c r="K67" t="s">
        <v>997</v>
      </c>
      <c r="L67" t="s">
        <v>932</v>
      </c>
    </row>
    <row r="68">
      <c r="A68" t="n">
        <v>2.1224970793817698E-2</v>
      </c>
      <c r="B68" t="n">
        <v>5.6401548408471199E-3</v>
      </c>
      <c r="C68" t="n">
        <v>3.4679470629119601E-2</v>
      </c>
      <c r="D68" t="n">
        <v>3.6953475595025202E-2</v>
      </c>
      <c r="E68" t="s">
        <v>1509</v>
      </c>
      <c r="F68" t="s">
        <v>1443</v>
      </c>
      <c r="G68" t="n">
        <v>39.826999999999998</v>
      </c>
      <c r="H68" t="n">
        <v>8.5593456405581598E-3</v>
      </c>
      <c r="I68" t="n">
        <v>48.500999999999998</v>
      </c>
      <c r="J68" t="n">
        <v>9.1130391361338194E-3</v>
      </c>
      <c r="K68" t="s">
        <v>998</v>
      </c>
      <c r="L68" t="s">
        <v>932</v>
      </c>
    </row>
    <row r="69">
      <c r="A69" t="n">
        <v>2.4413629868112598E-2</v>
      </c>
      <c r="B69" t="n">
        <v>4.55022354216461E-3</v>
      </c>
      <c r="C69" t="n">
        <v>5.3779833992726497E-2</v>
      </c>
      <c r="D69" t="n">
        <v>4.4006184582173501E-2</v>
      </c>
      <c r="E69" t="s">
        <v>1510</v>
      </c>
      <c r="F69" t="s">
        <v>1443</v>
      </c>
      <c r="G69" t="n">
        <v>40.351999999999997</v>
      </c>
      <c r="H69" t="n">
        <v>1.3182012202777E-2</v>
      </c>
      <c r="I69" t="n">
        <v>49.026000000000003</v>
      </c>
      <c r="J69" t="n">
        <v>1.08245190820808E-2</v>
      </c>
      <c r="K69" t="s">
        <v>999</v>
      </c>
      <c r="L69" t="s">
        <v>932</v>
      </c>
    </row>
    <row r="70">
      <c r="A70" t="n">
        <v>3.8220568833408297E-2</v>
      </c>
      <c r="B70" t="n">
        <v>-6.8268953681047701E-3</v>
      </c>
      <c r="C70" t="n">
        <v>6.6318650583382599E-2</v>
      </c>
      <c r="D70" t="n">
        <v>2.5866237951436302E-2</v>
      </c>
      <c r="E70" t="s">
        <v>1511</v>
      </c>
      <c r="F70" t="s">
        <v>1443</v>
      </c>
      <c r="G70" t="n">
        <v>41.005000000000003</v>
      </c>
      <c r="H70" t="n">
        <v>1.61825931800159E-2</v>
      </c>
      <c r="I70" t="n">
        <v>49.34</v>
      </c>
      <c r="J70" t="n">
        <v>6.4047648186675897E-3</v>
      </c>
      <c r="K70" t="s">
        <v>1000</v>
      </c>
      <c r="L70" t="s">
        <v>932</v>
      </c>
    </row>
    <row r="71">
      <c r="A71" t="n">
        <v>3.9129087464599803E-2</v>
      </c>
      <c r="B71" t="n">
        <v>1.9164012541417402E-2</v>
      </c>
      <c r="C71" t="n">
        <v>5.3726223643289599E-2</v>
      </c>
      <c r="D71" t="n">
        <v>3.4070959420577702E-2</v>
      </c>
      <c r="E71" t="s">
        <v>1512</v>
      </c>
      <c r="F71" t="s">
        <v>1443</v>
      </c>
      <c r="G71" t="n">
        <v>41.545000000000002</v>
      </c>
      <c r="H71" t="n">
        <v>1.3169125716376E-2</v>
      </c>
      <c r="I71" t="n">
        <v>49.755000000000003</v>
      </c>
      <c r="J71" t="n">
        <v>8.4110255370895004E-3</v>
      </c>
      <c r="K71" t="s">
        <v>1001</v>
      </c>
      <c r="L71" t="s">
        <v>932</v>
      </c>
    </row>
    <row r="72">
      <c r="A72" t="n">
        <v>3.8454021368670203E-2</v>
      </c>
      <c r="B72" t="n">
        <v>2.9219770282175001E-2</v>
      </c>
      <c r="C72" t="n">
        <v>5.1713813262120399E-2</v>
      </c>
      <c r="D72" t="n">
        <v>3.6092988240003197E-2</v>
      </c>
      <c r="E72" t="s">
        <v>1513</v>
      </c>
      <c r="F72" t="s">
        <v>1443</v>
      </c>
      <c r="G72" t="n">
        <v>42.072000000000003</v>
      </c>
      <c r="H72" t="n">
        <v>1.2685040317727899E-2</v>
      </c>
      <c r="I72" t="n">
        <v>50.198</v>
      </c>
      <c r="J72" t="n">
        <v>8.9036277761027592E-3</v>
      </c>
      <c r="K72" t="s">
        <v>1002</v>
      </c>
      <c r="L72" t="s">
        <v>932</v>
      </c>
    </row>
    <row r="73">
      <c r="A73" t="n">
        <v>3.5013174112648898E-2</v>
      </c>
      <c r="B73" t="n">
        <v>8.3996255435596599E-3</v>
      </c>
      <c r="C73" t="n">
        <v>2.4659104438458999E-2</v>
      </c>
      <c r="D73" t="n">
        <v>2.13651369698558E-2</v>
      </c>
      <c r="E73" t="s">
        <v>1514</v>
      </c>
      <c r="F73" t="s">
        <v>1443</v>
      </c>
      <c r="G73" t="n">
        <v>42.329000000000001</v>
      </c>
      <c r="H73" t="n">
        <v>6.1085757748620103E-3</v>
      </c>
      <c r="I73" t="n">
        <v>50.463999999999999</v>
      </c>
      <c r="J73" t="n">
        <v>5.29901589704762E-3</v>
      </c>
      <c r="K73" t="s">
        <v>1003</v>
      </c>
      <c r="L73" t="s">
        <v>932</v>
      </c>
    </row>
    <row r="74">
      <c r="A74" t="n">
        <v>3.19577361885768E-2</v>
      </c>
      <c r="B74" t="n">
        <v>5.5666299963321703E-2</v>
      </c>
      <c r="C74" t="n">
        <v>1.7884305064996799E-2</v>
      </c>
      <c r="D74" t="n">
        <v>3.2571809116936898E-2</v>
      </c>
      <c r="E74" t="s">
        <v>1515</v>
      </c>
      <c r="F74" t="s">
        <v>1443</v>
      </c>
      <c r="G74" t="n">
        <v>42.517000000000003</v>
      </c>
      <c r="H74" t="n">
        <v>4.4413995133361101E-3</v>
      </c>
      <c r="I74" t="n">
        <v>50.87</v>
      </c>
      <c r="J74" t="n">
        <v>8.0453392517438899E-3</v>
      </c>
      <c r="K74" t="s">
        <v>1004</v>
      </c>
      <c r="L74" t="s">
        <v>932</v>
      </c>
    </row>
    <row r="75">
      <c r="A75" t="n">
        <v>4.4899260052234199E-2</v>
      </c>
      <c r="B75" t="n">
        <v>3.99278081765242E-2</v>
      </c>
      <c r="C75" t="n">
        <v>4.3789897152202203E-2</v>
      </c>
      <c r="D75" t="n">
        <v>2.2279292577718199E-2</v>
      </c>
      <c r="E75" t="s">
        <v>1516</v>
      </c>
      <c r="F75" t="s">
        <v>1443</v>
      </c>
      <c r="G75" t="n">
        <v>42.975000000000001</v>
      </c>
      <c r="H75" t="n">
        <v>1.0772161723545901E-2</v>
      </c>
      <c r="I75" t="n">
        <v>51.151000000000003</v>
      </c>
      <c r="J75" t="n">
        <v>5.5238844112444098E-3</v>
      </c>
      <c r="K75" t="s">
        <v>1005</v>
      </c>
      <c r="L75" t="s">
        <v>932</v>
      </c>
    </row>
    <row r="76">
      <c r="A76" t="n">
        <v>5.0215068802573502E-2</v>
      </c>
      <c r="B76" t="n">
        <v>2.3053377277420399E-2</v>
      </c>
      <c r="C76" t="n">
        <v>3.6032445200426998E-2</v>
      </c>
      <c r="D76" t="n">
        <v>2.6056753006691701E-2</v>
      </c>
      <c r="E76" t="s">
        <v>1517</v>
      </c>
      <c r="F76" t="s">
        <v>1443</v>
      </c>
      <c r="G76" t="n">
        <v>43.356999999999999</v>
      </c>
      <c r="H76" t="n">
        <v>8.8888888888889496E-3</v>
      </c>
      <c r="I76" t="n">
        <v>51.481000000000002</v>
      </c>
      <c r="J76" t="n">
        <v>6.45148677445206E-3</v>
      </c>
      <c r="K76" t="s">
        <v>1006</v>
      </c>
      <c r="L76" t="s">
        <v>932</v>
      </c>
    </row>
    <row r="77">
      <c r="A77" t="n">
        <v>4.1025346631292002E-2</v>
      </c>
      <c r="B77" t="n">
        <v>3.2561998713341901E-2</v>
      </c>
      <c r="C77" t="n">
        <v>5.2865449677459202E-2</v>
      </c>
      <c r="D77" t="n">
        <v>2.13020937510979E-2</v>
      </c>
      <c r="E77" t="s">
        <v>1518</v>
      </c>
      <c r="F77" t="s">
        <v>1443</v>
      </c>
      <c r="G77" t="n">
        <v>43.918999999999997</v>
      </c>
      <c r="H77" t="n">
        <v>1.29621514403671E-2</v>
      </c>
      <c r="I77" t="n">
        <v>51.753</v>
      </c>
      <c r="J77" t="n">
        <v>5.2835026514637101E-3</v>
      </c>
      <c r="K77" t="s">
        <v>1007</v>
      </c>
      <c r="L77" t="s">
        <v>932</v>
      </c>
    </row>
    <row r="78">
      <c r="A78" t="n">
        <v>4.6770164599538401E-2</v>
      </c>
      <c r="B78" t="n">
        <v>3.00519488200592E-2</v>
      </c>
      <c r="C78" t="n">
        <v>6.2050852369377699E-2</v>
      </c>
      <c r="D78" t="n">
        <v>1.9463013158635498E-2</v>
      </c>
      <c r="E78" t="s">
        <v>1519</v>
      </c>
      <c r="F78" t="s">
        <v>1443</v>
      </c>
      <c r="G78" t="n">
        <v>44.585000000000001</v>
      </c>
      <c r="H78" t="n">
        <v>1.5164279696714401E-2</v>
      </c>
      <c r="I78" t="n">
        <v>52.003</v>
      </c>
      <c r="J78" t="n">
        <v>4.8306378374200999E-3</v>
      </c>
      <c r="K78" t="s">
        <v>1008</v>
      </c>
      <c r="L78" t="s">
        <v>932</v>
      </c>
    </row>
    <row r="79">
      <c r="A79" t="n">
        <v>5.4994617531312101E-2</v>
      </c>
      <c r="B79" t="n">
        <v>2.9679316947533299E-2</v>
      </c>
      <c r="C79" t="n">
        <v>6.0821876360983101E-2</v>
      </c>
      <c r="D79" t="n">
        <v>3.2856918868300999E-2</v>
      </c>
      <c r="E79" t="s">
        <v>1520</v>
      </c>
      <c r="F79" t="s">
        <v>1443</v>
      </c>
      <c r="G79" t="n">
        <v>45.247999999999998</v>
      </c>
      <c r="H79" t="n">
        <v>1.48704721318829E-2</v>
      </c>
      <c r="I79" t="n">
        <v>52.424999999999997</v>
      </c>
      <c r="J79" t="n">
        <v>8.1149164471279196E-3</v>
      </c>
      <c r="K79" t="s">
        <v>1009</v>
      </c>
      <c r="L79" t="s">
        <v>932</v>
      </c>
    </row>
    <row r="80">
      <c r="A80" t="n">
        <v>2.3822978628153201E-2</v>
      </c>
      <c r="B80" t="n">
        <v>2.0057150963272801E-2</v>
      </c>
      <c r="C80" t="n">
        <v>3.9922896172757301E-2</v>
      </c>
      <c r="D80" t="n">
        <v>3.0012482573731999E-2</v>
      </c>
      <c r="E80" t="s">
        <v>1521</v>
      </c>
      <c r="F80" t="s">
        <v>1443</v>
      </c>
      <c r="G80" t="n">
        <v>45.692999999999998</v>
      </c>
      <c r="H80" t="n">
        <v>9.8346888260254506E-3</v>
      </c>
      <c r="I80" t="n">
        <v>52.814</v>
      </c>
      <c r="J80" t="n">
        <v>7.4201239866476002E-3</v>
      </c>
      <c r="K80" t="s">
        <v>1010</v>
      </c>
      <c r="L80" t="s">
        <v>932</v>
      </c>
    </row>
    <row r="81">
      <c r="A81" t="n">
        <v>3.1803231650019199E-2</v>
      </c>
      <c r="B81" t="n">
        <v>1.4432124176051201E-2</v>
      </c>
      <c r="C81" t="n">
        <v>6.0046453160524503E-2</v>
      </c>
      <c r="D81" t="n">
        <v>2.2222434897181301E-2</v>
      </c>
      <c r="E81" t="s">
        <v>1522</v>
      </c>
      <c r="F81" t="s">
        <v>1443</v>
      </c>
      <c r="G81" t="n">
        <v>46.363999999999997</v>
      </c>
      <c r="H81" t="n">
        <v>1.46849626857506E-2</v>
      </c>
      <c r="I81" t="n">
        <v>53.104999999999997</v>
      </c>
      <c r="J81" t="n">
        <v>5.5099026773204303E-3</v>
      </c>
      <c r="K81" t="s">
        <v>1011</v>
      </c>
      <c r="L81" t="s">
        <v>932</v>
      </c>
    </row>
    <row r="82">
      <c r="A82" t="n">
        <v>5.92740793130948E-2</v>
      </c>
      <c r="B82" t="n">
        <v>2.8330647899498702E-2</v>
      </c>
      <c r="C82" t="n">
        <v>6.4935137330784501E-2</v>
      </c>
      <c r="D82" t="n">
        <v>2.9085137772108E-2</v>
      </c>
      <c r="E82" t="s">
        <v>1523</v>
      </c>
      <c r="F82" t="s">
        <v>1443</v>
      </c>
      <c r="G82" t="n">
        <v>47.098999999999997</v>
      </c>
      <c r="H82" t="n">
        <v>1.5852816840652199E-2</v>
      </c>
      <c r="I82" t="n">
        <v>53.487000000000002</v>
      </c>
      <c r="J82" t="n">
        <v>7.1932962997835999E-3</v>
      </c>
      <c r="K82" t="s">
        <v>1012</v>
      </c>
      <c r="L82" t="s">
        <v>932</v>
      </c>
    </row>
    <row r="83">
      <c r="A83" t="n">
        <v>3.6833081072387398E-2</v>
      </c>
      <c r="B83" t="n">
        <v>7.0464261662823505E-2</v>
      </c>
      <c r="C83" t="n">
        <v>4.34077415784246E-2</v>
      </c>
      <c r="D83" t="n">
        <v>3.5768290293157798E-2</v>
      </c>
      <c r="E83" t="s">
        <v>1524</v>
      </c>
      <c r="F83" t="s">
        <v>1443</v>
      </c>
      <c r="G83" t="n">
        <v>47.601999999999997</v>
      </c>
      <c r="H83" t="n">
        <v>1.0679632263954599E-2</v>
      </c>
      <c r="I83" t="n">
        <v>53.959000000000003</v>
      </c>
      <c r="J83" t="n">
        <v>8.8245741955990092E-3</v>
      </c>
      <c r="K83" t="s">
        <v>1013</v>
      </c>
      <c r="L83" t="s">
        <v>932</v>
      </c>
    </row>
    <row r="84">
      <c r="A84" t="n">
        <v>5.1769155239957503E-2</v>
      </c>
      <c r="B84" t="n">
        <v>5.3870047588526803E-3</v>
      </c>
      <c r="C84" t="n">
        <v>5.9429132401131797E-2</v>
      </c>
      <c r="D84" t="n">
        <v>3.9413809912278698E-2</v>
      </c>
      <c r="E84" t="s">
        <v>1525</v>
      </c>
      <c r="F84" t="s">
        <v>1443</v>
      </c>
      <c r="G84" t="n">
        <v>48.293999999999997</v>
      </c>
      <c r="H84" t="n">
        <v>1.4537204319146299E-2</v>
      </c>
      <c r="I84" t="n">
        <v>54.482999999999997</v>
      </c>
      <c r="J84" t="n">
        <v>9.7110769287791499E-3</v>
      </c>
      <c r="K84" t="s">
        <v>1014</v>
      </c>
      <c r="L84" t="s">
        <v>932</v>
      </c>
    </row>
    <row r="85">
      <c r="A85" t="n">
        <v>5.3985249536158401E-2</v>
      </c>
      <c r="B85" t="n">
        <v>4.8480456964960797E-2</v>
      </c>
      <c r="C85" t="n">
        <v>7.7879333039596599E-2</v>
      </c>
      <c r="D85" t="n">
        <v>1.0688095589023601E-2</v>
      </c>
      <c r="E85" t="s">
        <v>1526</v>
      </c>
      <c r="F85" t="s">
        <v>1443</v>
      </c>
      <c r="G85" t="n">
        <v>49.207999999999998</v>
      </c>
      <c r="H85" t="n">
        <v>1.8925746469540702E-2</v>
      </c>
      <c r="I85" t="n">
        <v>54.628</v>
      </c>
      <c r="J85" t="n">
        <v>2.66138061413668E-3</v>
      </c>
      <c r="K85" t="s">
        <v>1015</v>
      </c>
      <c r="L85" t="s">
        <v>932</v>
      </c>
    </row>
    <row r="86">
      <c r="A86" t="n">
        <v>2.1158982786186002E-2</v>
      </c>
      <c r="B86" t="n">
        <v>3.6386290478485302E-2</v>
      </c>
      <c r="C86" t="n">
        <v>1.91574066493869E-2</v>
      </c>
      <c r="D86" t="n">
        <v>7.9315148019272197E-3</v>
      </c>
      <c r="E86" t="s">
        <v>1527</v>
      </c>
      <c r="F86" t="s">
        <v>1443</v>
      </c>
      <c r="G86" t="n">
        <v>49.442</v>
      </c>
      <c r="H86" t="n">
        <v>4.7553243375060301E-3</v>
      </c>
      <c r="I86" t="n">
        <v>54.735999999999997</v>
      </c>
      <c r="J86" t="n">
        <v>1.9770081276999601E-3</v>
      </c>
      <c r="K86" t="s">
        <v>1016</v>
      </c>
      <c r="L86" t="s">
        <v>932</v>
      </c>
    </row>
    <row r="87">
      <c r="A87" t="n">
        <v>2.2052154501282398E-2</v>
      </c>
      <c r="B87" t="n">
        <v>1.9883287825612099E-2</v>
      </c>
      <c r="C87" t="n">
        <v>2.5316754451185201E-2</v>
      </c>
      <c r="D87" t="n">
        <v>2.0767815828135701E-2</v>
      </c>
      <c r="E87" t="s">
        <v>1528</v>
      </c>
      <c r="F87" t="s">
        <v>1443</v>
      </c>
      <c r="G87" t="n">
        <v>49.752000000000002</v>
      </c>
      <c r="H87" t="n">
        <v>6.2699728975366097E-3</v>
      </c>
      <c r="I87" t="n">
        <v>55.018000000000001</v>
      </c>
      <c r="J87" t="n">
        <v>5.1520023384976597E-3</v>
      </c>
      <c r="K87" t="s">
        <v>1017</v>
      </c>
      <c r="L87" t="s">
        <v>932</v>
      </c>
    </row>
    <row r="88">
      <c r="A88" t="n">
        <v>2.7438615126695699E-2</v>
      </c>
      <c r="B88" t="n">
        <v>5.2374465161812503E-2</v>
      </c>
      <c r="C88" t="n">
        <v>3.8739820782161899E-2</v>
      </c>
      <c r="D88" t="n">
        <v>1.0657034721188501E-2</v>
      </c>
      <c r="E88" t="s">
        <v>1529</v>
      </c>
      <c r="F88" t="s">
        <v>1443</v>
      </c>
      <c r="G88" t="n">
        <v>50.226999999999997</v>
      </c>
      <c r="H88" t="n">
        <v>9.5473548802056402E-3</v>
      </c>
      <c r="I88" t="n">
        <v>55.164000000000001</v>
      </c>
      <c r="J88" t="n">
        <v>2.6536769784435399E-3</v>
      </c>
      <c r="K88" t="s">
        <v>1018</v>
      </c>
      <c r="L88" t="s">
        <v>932</v>
      </c>
    </row>
    <row r="89">
      <c r="A89" t="n">
        <v>2.9370792816648401E-2</v>
      </c>
      <c r="B89" t="n">
        <v>4.1076934031538899E-2</v>
      </c>
      <c r="C89" t="n">
        <v>4.6254885206873202E-2</v>
      </c>
      <c r="D89" t="n">
        <v>-9.9690396175571294E-3</v>
      </c>
      <c r="E89" t="s">
        <v>1530</v>
      </c>
      <c r="F89" t="s">
        <v>1443</v>
      </c>
      <c r="G89" t="n">
        <v>50.798000000000002</v>
      </c>
      <c r="H89" t="n">
        <v>1.13683875206563E-2</v>
      </c>
      <c r="I89" t="n">
        <v>55.026000000000003</v>
      </c>
      <c r="J89" t="n">
        <v>-2.5016314988035599E-3</v>
      </c>
      <c r="K89" t="s">
        <v>1019</v>
      </c>
      <c r="L89" t="s">
        <v>932</v>
      </c>
    </row>
    <row r="90">
      <c r="A90" t="n">
        <v>2.5261592124571599E-2</v>
      </c>
      <c r="B90" t="n">
        <v>5.8581566563336001E-3</v>
      </c>
      <c r="C90" t="n">
        <v>3.8335869645315497E-2</v>
      </c>
      <c r="D90" t="n">
        <v>-1.04267601108922E-2</v>
      </c>
      <c r="E90" t="s">
        <v>1531</v>
      </c>
      <c r="F90" t="s">
        <v>1443</v>
      </c>
      <c r="G90" t="n">
        <v>51.277999999999999</v>
      </c>
      <c r="H90" t="n">
        <v>9.4491909130280903E-3</v>
      </c>
      <c r="I90" t="n">
        <v>54.881999999999998</v>
      </c>
      <c r="J90" t="n">
        <v>-2.61694471704299E-3</v>
      </c>
      <c r="K90" t="s">
        <v>1020</v>
      </c>
      <c r="L90" t="s">
        <v>932</v>
      </c>
    </row>
    <row r="91">
      <c r="A91" t="n">
        <v>2.6883329197386899E-2</v>
      </c>
      <c r="B91" t="n">
        <v>1.4672046081608801E-2</v>
      </c>
      <c r="C91" t="n">
        <v>5.5488923116520997E-2</v>
      </c>
      <c r="D91" t="n">
        <v>1.90848323659343E-2</v>
      </c>
      <c r="E91" t="s">
        <v>1532</v>
      </c>
      <c r="F91" t="s">
        <v>1443</v>
      </c>
      <c r="G91" t="n">
        <v>51.975000000000001</v>
      </c>
      <c r="H91" t="n">
        <v>1.35925738133313E-2</v>
      </c>
      <c r="I91" t="n">
        <v>55.142000000000003</v>
      </c>
      <c r="J91" t="n">
        <v>4.7374366823367299E-3</v>
      </c>
      <c r="K91" t="s">
        <v>1021</v>
      </c>
      <c r="L91" t="s">
        <v>932</v>
      </c>
    </row>
    <row r="92">
      <c r="A92" t="n">
        <v>2.57889573012124E-2</v>
      </c>
      <c r="B92" t="n">
        <v>3.5352763805176303E-2</v>
      </c>
      <c r="C92" t="n">
        <v>3.4689577494526398E-2</v>
      </c>
      <c r="D92" t="n">
        <v>8.1492648352745594E-3</v>
      </c>
      <c r="E92" t="s">
        <v>1533</v>
      </c>
      <c r="F92" t="s">
        <v>1443</v>
      </c>
      <c r="G92" t="n">
        <v>52.42</v>
      </c>
      <c r="H92" t="n">
        <v>8.5618085618086592E-3</v>
      </c>
      <c r="I92" t="n">
        <v>55.253999999999998</v>
      </c>
      <c r="J92" t="n">
        <v>2.03111965470959E-3</v>
      </c>
      <c r="K92" t="s">
        <v>1022</v>
      </c>
      <c r="L92" t="s">
        <v>932</v>
      </c>
    </row>
    <row r="93">
      <c r="A93" t="n">
        <v>2.8170464275272301E-2</v>
      </c>
      <c r="B93" t="n">
        <v>2.5395981622951001E-2</v>
      </c>
      <c r="C93" t="n">
        <v>2.9547347848341E-2</v>
      </c>
      <c r="D93" t="n">
        <v>1.8368205985927599E-2</v>
      </c>
      <c r="E93" t="s">
        <v>1534</v>
      </c>
      <c r="F93" t="s">
        <v>1443</v>
      </c>
      <c r="G93" t="n">
        <v>52.802999999999997</v>
      </c>
      <c r="H93" t="n">
        <v>7.3063716138877001E-3</v>
      </c>
      <c r="I93" t="n">
        <v>55.506</v>
      </c>
      <c r="J93" t="n">
        <v>4.5607557823867896E-3</v>
      </c>
      <c r="K93" t="s">
        <v>1023</v>
      </c>
      <c r="L93" t="s">
        <v>932</v>
      </c>
    </row>
    <row r="94">
      <c r="A94" t="n">
        <v>2.40619409805858E-2</v>
      </c>
      <c r="B94" t="n">
        <v>9.9983702538513092E-3</v>
      </c>
      <c r="C94" t="n">
        <v>2.2073085991106502E-2</v>
      </c>
      <c r="D94" t="n">
        <v>3.0096377482488099E-2</v>
      </c>
      <c r="E94" t="s">
        <v>1535</v>
      </c>
      <c r="F94" t="s">
        <v>1443</v>
      </c>
      <c r="G94" t="n">
        <v>53.091999999999999</v>
      </c>
      <c r="H94" t="n">
        <v>5.4731738726967504E-3</v>
      </c>
      <c r="I94" t="n">
        <v>55.918999999999997</v>
      </c>
      <c r="J94" t="n">
        <v>7.4406370482469298E-3</v>
      </c>
      <c r="K94" t="s">
        <v>1024</v>
      </c>
      <c r="L94" t="s">
        <v>932</v>
      </c>
    </row>
    <row r="95">
      <c r="A95" t="n">
        <v>2.70873737268695E-2</v>
      </c>
      <c r="B95" t="n">
        <v>1.7716185249098602E-2</v>
      </c>
      <c r="C95" t="n">
        <v>2.3867747826854101E-2</v>
      </c>
      <c r="D95" t="n">
        <v>2.3524161594785199E-2</v>
      </c>
      <c r="E95" t="s">
        <v>1536</v>
      </c>
      <c r="F95" t="s">
        <v>1443</v>
      </c>
      <c r="G95" t="n">
        <v>53.405999999999999</v>
      </c>
      <c r="H95" t="n">
        <v>5.91426203571155E-3</v>
      </c>
      <c r="I95" t="n">
        <v>56.244999999999997</v>
      </c>
      <c r="J95" t="n">
        <v>5.8298610490172802E-3</v>
      </c>
      <c r="K95" t="s">
        <v>1025</v>
      </c>
      <c r="L95" t="s">
        <v>932</v>
      </c>
    </row>
    <row r="96">
      <c r="A96" t="n">
        <v>1.7542540867755401E-2</v>
      </c>
      <c r="B96" t="n">
        <v>2.9283418694515902E-2</v>
      </c>
      <c r="C96" t="n">
        <v>1.3096071782226999E-2</v>
      </c>
      <c r="D96" t="n">
        <v>4.0598599880798903E-3</v>
      </c>
      <c r="E96" t="s">
        <v>1537</v>
      </c>
      <c r="F96" t="s">
        <v>1443</v>
      </c>
      <c r="G96" t="n">
        <v>53.58</v>
      </c>
      <c r="H96" t="n">
        <v>3.2580608920345102E-3</v>
      </c>
      <c r="I96" t="n">
        <v>56.302</v>
      </c>
      <c r="J96" t="n">
        <v>1.01342341541466E-3</v>
      </c>
      <c r="K96" t="s">
        <v>1026</v>
      </c>
      <c r="L96" t="s">
        <v>932</v>
      </c>
    </row>
    <row r="97">
      <c r="A97" t="n">
        <v>2.3240038949048102E-2</v>
      </c>
      <c r="B97" t="n">
        <v>3.6370296177081797E-2</v>
      </c>
      <c r="C97" t="n">
        <v>2.0612838101556001E-2</v>
      </c>
      <c r="D97" t="n">
        <v>1.8816279960193898E-2</v>
      </c>
      <c r="E97" t="s">
        <v>1538</v>
      </c>
      <c r="F97" t="s">
        <v>1443</v>
      </c>
      <c r="G97" t="n">
        <v>53.853999999999999</v>
      </c>
      <c r="H97" t="n">
        <v>5.1138484509145599E-3</v>
      </c>
      <c r="I97" t="n">
        <v>56.564999999999998</v>
      </c>
      <c r="J97" t="n">
        <v>4.6712372562254202E-3</v>
      </c>
      <c r="K97" t="s">
        <v>1027</v>
      </c>
      <c r="L97" t="s">
        <v>932</v>
      </c>
    </row>
    <row r="98">
      <c r="A98" t="n">
        <v>1.4387423449919501E-2</v>
      </c>
      <c r="B98" t="n">
        <v>1.8449816517922799E-2</v>
      </c>
      <c r="C98" t="n">
        <v>3.3921123111567301E-2</v>
      </c>
      <c r="D98" t="n">
        <v>2.9526755688726598E-2</v>
      </c>
      <c r="E98" t="s">
        <v>1539</v>
      </c>
      <c r="F98" t="s">
        <v>1443</v>
      </c>
      <c r="G98" t="n">
        <v>54.305</v>
      </c>
      <c r="H98" t="n">
        <v>8.3744940023024999E-3</v>
      </c>
      <c r="I98" t="n">
        <v>56.978000000000002</v>
      </c>
      <c r="J98" t="n">
        <v>7.3013347476356101E-3</v>
      </c>
      <c r="K98" t="s">
        <v>1028</v>
      </c>
      <c r="L98" t="s">
        <v>932</v>
      </c>
    </row>
    <row r="99">
      <c r="A99" t="n">
        <v>2.2496438657089599E-2</v>
      </c>
      <c r="B99" t="n">
        <v>3.3991498444716703E-2</v>
      </c>
      <c r="C99" t="n">
        <v>2.3479894269272002E-2</v>
      </c>
      <c r="D99" t="n">
        <v>1.7453105874537699E-2</v>
      </c>
      <c r="E99" t="s">
        <v>1540</v>
      </c>
      <c r="F99" t="s">
        <v>1443</v>
      </c>
      <c r="G99" t="n">
        <v>54.621000000000002</v>
      </c>
      <c r="H99" t="n">
        <v>5.8189853604639899E-3</v>
      </c>
      <c r="I99" t="n">
        <v>57.225000000000001</v>
      </c>
      <c r="J99" t="n">
        <v>4.3350064937344203E-3</v>
      </c>
      <c r="K99" t="s">
        <v>1029</v>
      </c>
      <c r="L99" t="s">
        <v>932</v>
      </c>
    </row>
    <row r="100">
      <c r="A100" t="n">
        <v>2.90726218207682E-2</v>
      </c>
      <c r="B100" t="n">
        <v>2.3185974053502999E-2</v>
      </c>
      <c r="C100" t="n">
        <v>3.5391871305663798E-2</v>
      </c>
      <c r="D100" t="n">
        <v>3.5482240520336501E-2</v>
      </c>
      <c r="E100" t="s">
        <v>1541</v>
      </c>
      <c r="F100" t="s">
        <v>1443</v>
      </c>
      <c r="G100" t="n">
        <v>55.097999999999999</v>
      </c>
      <c r="H100" t="n">
        <v>8.7329049266764401E-3</v>
      </c>
      <c r="I100" t="n">
        <v>57.725999999999999</v>
      </c>
      <c r="J100" t="n">
        <v>8.7549148099605994E-3</v>
      </c>
      <c r="K100" t="s">
        <v>1030</v>
      </c>
      <c r="L100" t="s">
        <v>932</v>
      </c>
    </row>
    <row r="101">
      <c r="A101" t="n">
        <v>1.88663260541506E-2</v>
      </c>
      <c r="B101" t="n">
        <v>3.3254108726641599E-2</v>
      </c>
      <c r="C101" t="n">
        <v>3.4634574022881899E-2</v>
      </c>
      <c r="D101" t="n">
        <v>3.3748767658719397E-2</v>
      </c>
      <c r="E101" t="s">
        <v>1542</v>
      </c>
      <c r="F101" t="s">
        <v>1443</v>
      </c>
      <c r="G101" t="n">
        <v>55.569000000000003</v>
      </c>
      <c r="H101" t="n">
        <v>8.5484046607862095E-3</v>
      </c>
      <c r="I101" t="n">
        <v>58.207000000000001</v>
      </c>
      <c r="J101" t="n">
        <v>8.3324671725046907E-3</v>
      </c>
      <c r="K101" t="s">
        <v>1031</v>
      </c>
      <c r="L101" t="s">
        <v>932</v>
      </c>
    </row>
    <row r="102">
      <c r="A102" t="n">
        <v>1.9752209109685798E-2</v>
      </c>
      <c r="B102" t="n">
        <v>3.4122786590531799E-2</v>
      </c>
      <c r="C102" t="n">
        <v>1.8555272424330301E-2</v>
      </c>
      <c r="D102" t="n">
        <v>4.0528253340275301E-2</v>
      </c>
      <c r="E102" t="s">
        <v>1543</v>
      </c>
      <c r="F102" t="s">
        <v>1443</v>
      </c>
      <c r="G102" t="n">
        <v>55.825000000000003</v>
      </c>
      <c r="H102" t="n">
        <v>4.6068851337977001E-3</v>
      </c>
      <c r="I102" t="n">
        <v>58.787999999999997</v>
      </c>
      <c r="J102" t="n">
        <v>9.9816173312487991E-3</v>
      </c>
      <c r="K102" t="s">
        <v>1032</v>
      </c>
      <c r="L102" t="s">
        <v>932</v>
      </c>
    </row>
    <row r="103">
      <c r="A103" t="n">
        <v>2.3426148348960799E-2</v>
      </c>
      <c r="B103" t="n">
        <v>2.6924495262994098E-2</v>
      </c>
      <c r="C103" t="n">
        <v>3.10950653969519E-2</v>
      </c>
      <c r="D103" t="n">
        <v>2.8884969324625399E-2</v>
      </c>
      <c r="E103" t="s">
        <v>1544</v>
      </c>
      <c r="F103" t="s">
        <v>1443</v>
      </c>
      <c r="G103" t="n">
        <v>56.253999999999998</v>
      </c>
      <c r="H103" t="n">
        <v>7.6847290640393896E-3</v>
      </c>
      <c r="I103" t="n">
        <v>59.207999999999998</v>
      </c>
      <c r="J103" t="n">
        <v>7.1443151663605998E-3</v>
      </c>
      <c r="K103" t="s">
        <v>1033</v>
      </c>
      <c r="L103" t="s">
        <v>932</v>
      </c>
    </row>
    <row r="104">
      <c r="A104" t="n">
        <v>1.6481276503132601E-2</v>
      </c>
      <c r="B104" t="n">
        <v>2.0844963333619401E-2</v>
      </c>
      <c r="C104" t="n">
        <v>1.5303746558651399E-2</v>
      </c>
      <c r="D104" t="n">
        <v>2.2275298720186399E-2</v>
      </c>
      <c r="E104" t="s">
        <v>1545</v>
      </c>
      <c r="F104" t="s">
        <v>1443</v>
      </c>
      <c r="G104" t="n">
        <v>56.468000000000004</v>
      </c>
      <c r="H104" t="n">
        <v>3.8041739254097702E-3</v>
      </c>
      <c r="I104" t="n">
        <v>59.534999999999997</v>
      </c>
      <c r="J104" t="n">
        <v>5.5229023104985701E-3</v>
      </c>
      <c r="K104" t="s">
        <v>1034</v>
      </c>
      <c r="L104" t="s">
        <v>932</v>
      </c>
    </row>
    <row r="105">
      <c r="A105" t="n">
        <v>1.77105887350755E-2</v>
      </c>
      <c r="B105" t="n">
        <v>5.6392491810183902E-2</v>
      </c>
      <c r="C105" t="n">
        <v>1.3670147091618101E-2</v>
      </c>
      <c r="D105" t="n">
        <v>2.3245190160411201E-2</v>
      </c>
      <c r="E105" t="s">
        <v>1546</v>
      </c>
      <c r="F105" t="s">
        <v>1443</v>
      </c>
      <c r="G105" t="n">
        <v>56.66</v>
      </c>
      <c r="H105" t="n">
        <v>3.4001558404759299E-3</v>
      </c>
      <c r="I105" t="n">
        <v>59.878</v>
      </c>
      <c r="J105" t="n">
        <v>5.7613168724279804E-3</v>
      </c>
      <c r="K105" t="s">
        <v>1035</v>
      </c>
      <c r="L105" t="s">
        <v>932</v>
      </c>
    </row>
    <row r="106">
      <c r="A106" t="n">
        <v>2.24149830534284E-2</v>
      </c>
      <c r="B106" t="n">
        <v>9.43340099661172E-3</v>
      </c>
      <c r="C106" t="n">
        <v>4.4785324127958097E-2</v>
      </c>
      <c r="D106" t="n">
        <v>2.1616654614663E-2</v>
      </c>
      <c r="E106" t="s">
        <v>1547</v>
      </c>
      <c r="F106" t="s">
        <v>1443</v>
      </c>
      <c r="G106" t="n">
        <v>57.283999999999999</v>
      </c>
      <c r="H106" t="n">
        <v>1.1013060360042499E-2</v>
      </c>
      <c r="I106" t="n">
        <v>60.198999999999998</v>
      </c>
      <c r="J106" t="n">
        <v>5.3609004976786804E-3</v>
      </c>
      <c r="K106" t="s">
        <v>1036</v>
      </c>
      <c r="L106" t="s">
        <v>932</v>
      </c>
    </row>
    <row r="107">
      <c r="A107" t="n">
        <v>2.7006131410312901E-2</v>
      </c>
      <c r="B107" t="n">
        <v>-2.1272525988481301E-2</v>
      </c>
      <c r="C107" t="n">
        <v>5.7381634098421204E-3</v>
      </c>
      <c r="D107" t="n">
        <v>4.4593389946305803E-3</v>
      </c>
      <c r="E107" t="s">
        <v>1548</v>
      </c>
      <c r="F107" t="s">
        <v>1443</v>
      </c>
      <c r="G107" t="n">
        <v>57.366</v>
      </c>
      <c r="H107" t="n">
        <v>1.4314642832204999E-3</v>
      </c>
      <c r="I107" t="n">
        <v>60.265999999999998</v>
      </c>
      <c r="J107" t="n">
        <v>1.1129752985929999E-3</v>
      </c>
      <c r="K107" t="s">
        <v>1037</v>
      </c>
      <c r="L107" t="s">
        <v>932</v>
      </c>
    </row>
    <row r="108">
      <c r="A108" t="n">
        <v>1.7195373350960198E-2</v>
      </c>
      <c r="B108" t="n">
        <v>2.3444846886997699E-2</v>
      </c>
      <c r="C108" t="n">
        <v>2.6760970425558899E-2</v>
      </c>
      <c r="D108" t="n">
        <v>1.9993530620905801E-2</v>
      </c>
      <c r="E108" t="s">
        <v>1549</v>
      </c>
      <c r="F108" t="s">
        <v>1443</v>
      </c>
      <c r="G108" t="n">
        <v>57.746000000000002</v>
      </c>
      <c r="H108" t="n">
        <v>6.62413276156615E-3</v>
      </c>
      <c r="I108" t="n">
        <v>60.564999999999998</v>
      </c>
      <c r="J108" t="n">
        <v>4.9613380678989998E-3</v>
      </c>
      <c r="K108" t="s">
        <v>1038</v>
      </c>
      <c r="L108" t="s">
        <v>932</v>
      </c>
    </row>
    <row r="109">
      <c r="A109" t="n">
        <v>2.7544322225657499E-2</v>
      </c>
      <c r="B109" t="n">
        <v>1.3803868113502E-2</v>
      </c>
      <c r="C109" t="n">
        <v>3.2814056779429501E-2</v>
      </c>
      <c r="D109" t="n">
        <v>1.3007743413415899E-2</v>
      </c>
      <c r="E109" t="s">
        <v>1550</v>
      </c>
      <c r="F109" t="s">
        <v>1443</v>
      </c>
      <c r="G109" t="n">
        <v>58.213999999999999</v>
      </c>
      <c r="H109" t="n">
        <v>8.1044574515982699E-3</v>
      </c>
      <c r="I109" t="n">
        <v>60.761000000000003</v>
      </c>
      <c r="J109" t="n">
        <v>3.2361925204327201E-3</v>
      </c>
      <c r="K109" t="s">
        <v>1039</v>
      </c>
      <c r="L109" t="s">
        <v>932</v>
      </c>
    </row>
    <row r="110">
      <c r="A110" t="n">
        <v>1.7773223680601899E-2</v>
      </c>
      <c r="B110" t="n">
        <v>1.36962800731413E-2</v>
      </c>
      <c r="C110" t="n">
        <v>2.76992412803541E-2</v>
      </c>
      <c r="D110" t="n">
        <v>2.2772194889475902E-2</v>
      </c>
      <c r="E110" t="s">
        <v>1551</v>
      </c>
      <c r="F110" t="s">
        <v>1443</v>
      </c>
      <c r="G110" t="n">
        <v>58.613</v>
      </c>
      <c r="H110" t="n">
        <v>6.8540213694301402E-3</v>
      </c>
      <c r="I110" t="n">
        <v>61.103999999999999</v>
      </c>
      <c r="J110" t="n">
        <v>5.6450683826796402E-3</v>
      </c>
      <c r="K110" t="s">
        <v>1040</v>
      </c>
      <c r="L110" t="s">
        <v>932</v>
      </c>
    </row>
    <row r="111">
      <c r="A111" t="n">
        <v>1.0067171002752701E-2</v>
      </c>
      <c r="B111" t="n">
        <v>2.65913479501769E-2</v>
      </c>
      <c r="C111" t="n">
        <v>9.5884799897107999E-3</v>
      </c>
      <c r="D111" t="n">
        <v>2.7578432526699701E-2</v>
      </c>
      <c r="E111" t="s">
        <v>1552</v>
      </c>
      <c r="F111" t="s">
        <v>1443</v>
      </c>
      <c r="G111" t="n">
        <v>58.753</v>
      </c>
      <c r="H111" t="n">
        <v>2.3885486154948698E-3</v>
      </c>
      <c r="I111" t="n">
        <v>61.521000000000001</v>
      </c>
      <c r="J111" t="n">
        <v>6.8244304791831301E-3</v>
      </c>
      <c r="K111" t="s">
        <v>1041</v>
      </c>
      <c r="L111" t="s">
        <v>932</v>
      </c>
    </row>
    <row r="112">
      <c r="A112" t="n">
        <v>1.05839184448571E-2</v>
      </c>
      <c r="B112" t="n">
        <v>9.2223862003817398E-3</v>
      </c>
      <c r="C112" t="n">
        <v>1.9268623425193102E-2</v>
      </c>
      <c r="D112" t="n">
        <v>1.0181522541022199E-2</v>
      </c>
      <c r="E112" t="s">
        <v>1553</v>
      </c>
      <c r="F112" t="s">
        <v>1443</v>
      </c>
      <c r="G112" t="n">
        <v>59.033999999999999</v>
      </c>
      <c r="H112" t="n">
        <v>4.7827344986639498E-3</v>
      </c>
      <c r="I112" t="n">
        <v>61.677</v>
      </c>
      <c r="J112" t="n">
        <v>2.5357195104109801E-3</v>
      </c>
      <c r="K112" t="s">
        <v>1042</v>
      </c>
      <c r="L112" t="s">
        <v>932</v>
      </c>
    </row>
    <row r="113">
      <c r="A113" t="n">
        <v>1.26121897911931E-2</v>
      </c>
      <c r="B113" t="n">
        <v>2.8333969394931401E-2</v>
      </c>
      <c r="C113" t="n">
        <v>3.3061309623051399E-2</v>
      </c>
      <c r="D113" t="n">
        <v>2.5996696664996499E-2</v>
      </c>
      <c r="E113" t="s">
        <v>1554</v>
      </c>
      <c r="F113" t="s">
        <v>1443</v>
      </c>
      <c r="G113" t="n">
        <v>59.515999999999998</v>
      </c>
      <c r="H113" t="n">
        <v>8.1647863942813093E-3</v>
      </c>
      <c r="I113" t="n">
        <v>62.073999999999998</v>
      </c>
      <c r="J113" t="n">
        <v>6.4367592457479396E-3</v>
      </c>
      <c r="K113" t="s">
        <v>1043</v>
      </c>
      <c r="L113" t="s">
        <v>932</v>
      </c>
    </row>
    <row r="114">
      <c r="A114" t="n">
        <v>3.2090280398078302E-4</v>
      </c>
      <c r="B114" t="n">
        <v>-1.66473304304918E-2</v>
      </c>
      <c r="C114" t="n">
        <v>6.3326118015940604E-3</v>
      </c>
      <c r="D114" t="n">
        <v>1.3539104320199301E-3</v>
      </c>
      <c r="E114" t="s">
        <v>1555</v>
      </c>
      <c r="F114" t="s">
        <v>1443</v>
      </c>
      <c r="G114" t="n">
        <v>59.61</v>
      </c>
      <c r="H114" t="n">
        <v>1.57940721822714E-3</v>
      </c>
      <c r="I114" t="n">
        <v>62.094999999999999</v>
      </c>
      <c r="J114" t="n">
        <v>3.3830589296646201E-4</v>
      </c>
      <c r="K114" t="s">
        <v>1044</v>
      </c>
      <c r="L114" t="s">
        <v>932</v>
      </c>
    </row>
    <row r="115">
      <c r="A115" t="n">
        <v>7.2384308298694099E-3</v>
      </c>
      <c r="B115" t="n">
        <v>2.5981704959145799E-2</v>
      </c>
      <c r="C115" t="n">
        <v>2.14418814289523E-2</v>
      </c>
      <c r="D115" t="n">
        <v>2.5146473935451202E-3</v>
      </c>
      <c r="E115" t="s">
        <v>1556</v>
      </c>
      <c r="F115" t="s">
        <v>1443</v>
      </c>
      <c r="G115" t="n">
        <v>59.927</v>
      </c>
      <c r="H115" t="n">
        <v>5.3178996812615099E-3</v>
      </c>
      <c r="I115" t="n">
        <v>62.134</v>
      </c>
      <c r="J115" t="n">
        <v>6.2806989290598004E-4</v>
      </c>
      <c r="K115" t="s">
        <v>1045</v>
      </c>
      <c r="L115" t="s">
        <v>932</v>
      </c>
    </row>
    <row r="116">
      <c r="A116" t="n">
        <v>1.2387156771827E-2</v>
      </c>
      <c r="B116" t="n">
        <v>2.6407820145390601E-2</v>
      </c>
      <c r="C116" t="n">
        <v>3.1605845001569703E-2</v>
      </c>
      <c r="D116" t="n">
        <v>2.4885302644445099E-2</v>
      </c>
      <c r="E116" t="s">
        <v>1557</v>
      </c>
      <c r="F116" t="s">
        <v>1443</v>
      </c>
      <c r="G116" t="n">
        <v>60.395000000000003</v>
      </c>
      <c r="H116" t="n">
        <v>7.8095015602317498E-3</v>
      </c>
      <c r="I116" t="n">
        <v>62.517000000000003</v>
      </c>
      <c r="J116" t="n">
        <v>6.1640969517495802E-3</v>
      </c>
      <c r="K116" t="s">
        <v>1046</v>
      </c>
      <c r="L116" t="s">
        <v>932</v>
      </c>
    </row>
    <row r="117">
      <c r="A117" t="n">
        <v>1.0631455336088899E-2</v>
      </c>
      <c r="B117" t="n">
        <v>1.29075602616771E-2</v>
      </c>
      <c r="C117" t="n">
        <v>3.6519198475668799E-2</v>
      </c>
      <c r="D117" t="n">
        <v>2.2777873103542599E-2</v>
      </c>
      <c r="E117" t="s">
        <v>1558</v>
      </c>
      <c r="F117" t="s">
        <v>1443</v>
      </c>
      <c r="G117" t="n">
        <v>60.939</v>
      </c>
      <c r="H117" t="n">
        <v>9.0073681596158899E-3</v>
      </c>
      <c r="I117" t="n">
        <v>62.87</v>
      </c>
      <c r="J117" t="n">
        <v>5.6464641617479704E-3</v>
      </c>
      <c r="K117" t="s">
        <v>1047</v>
      </c>
      <c r="L117" t="s">
        <v>932</v>
      </c>
    </row>
    <row r="118">
      <c r="A118" t="n">
        <v>7.8778546175835001E-3</v>
      </c>
      <c r="B118" t="n">
        <v>1.19346323256166E-2</v>
      </c>
      <c r="C118" t="n">
        <v>3.4639204699016303E-2</v>
      </c>
      <c r="D118" t="n">
        <v>1.61297394114919E-2</v>
      </c>
      <c r="E118" t="s">
        <v>1559</v>
      </c>
      <c r="F118" t="s">
        <v>1443</v>
      </c>
      <c r="G118" t="n">
        <v>61.46</v>
      </c>
      <c r="H118" t="n">
        <v>8.5495331396971998E-3</v>
      </c>
      <c r="I118" t="n">
        <v>63.122</v>
      </c>
      <c r="J118" t="n">
        <v>4.0082710354700799E-3</v>
      </c>
      <c r="K118" t="s">
        <v>1048</v>
      </c>
      <c r="L118" t="s">
        <v>932</v>
      </c>
    </row>
    <row r="119">
      <c r="A119" t="n">
        <v>2.2971603454798002E-2</v>
      </c>
      <c r="B119" t="n">
        <v>3.4068264295770097E-2</v>
      </c>
      <c r="C119" t="n">
        <v>6.1370356227924201E-2</v>
      </c>
      <c r="D119" t="n">
        <v>2.99883116478201E-2</v>
      </c>
      <c r="E119" t="s">
        <v>1560</v>
      </c>
      <c r="F119" t="s">
        <v>1443</v>
      </c>
      <c r="G119" t="n">
        <v>62.381999999999998</v>
      </c>
      <c r="H119" t="n">
        <v>1.5001627074519901E-2</v>
      </c>
      <c r="I119" t="n">
        <v>63.59</v>
      </c>
      <c r="J119" t="n">
        <v>7.4142137448116596E-3</v>
      </c>
      <c r="K119" t="s">
        <v>1049</v>
      </c>
      <c r="L119" t="s">
        <v>932</v>
      </c>
    </row>
    <row r="120">
      <c r="A120" t="n">
        <v>2.21977740334749E-2</v>
      </c>
      <c r="B120" t="n">
        <v>3.6824162588046098E-2</v>
      </c>
      <c r="C120" t="n">
        <v>5.6562220210462498E-2</v>
      </c>
      <c r="D120" t="n">
        <v>1.6964868305367399E-2</v>
      </c>
      <c r="E120" t="s">
        <v>1561</v>
      </c>
      <c r="F120" t="s">
        <v>1443</v>
      </c>
      <c r="G120" t="n">
        <v>63.246000000000002</v>
      </c>
      <c r="H120" t="n">
        <v>1.3850149081466E-2</v>
      </c>
      <c r="I120" t="n">
        <v>63.857999999999997</v>
      </c>
      <c r="J120" t="n">
        <v>4.2144991350840898E-3</v>
      </c>
      <c r="K120" t="s">
        <v>1050</v>
      </c>
      <c r="L120" t="s">
        <v>932</v>
      </c>
    </row>
    <row r="121">
      <c r="A121" t="n">
        <v>2.4473399596212499E-2</v>
      </c>
      <c r="B121" t="n">
        <v>5.00811045761866E-2</v>
      </c>
      <c r="C121" t="n">
        <v>4.9726482376824199E-2</v>
      </c>
      <c r="D121" t="n">
        <v>3.4513513517111301E-2</v>
      </c>
      <c r="E121" t="s">
        <v>1562</v>
      </c>
      <c r="F121" t="s">
        <v>1443</v>
      </c>
      <c r="G121" t="n">
        <v>64.018000000000001</v>
      </c>
      <c r="H121" t="n">
        <v>1.2206305537109099E-2</v>
      </c>
      <c r="I121" t="n">
        <v>64.402000000000001</v>
      </c>
      <c r="J121" t="n">
        <v>8.5189013122866104E-3</v>
      </c>
      <c r="K121" t="s">
        <v>1051</v>
      </c>
      <c r="L121" t="s">
        <v>932</v>
      </c>
    </row>
    <row r="122">
      <c r="A122" t="n">
        <v>3.2886107964122897E-2</v>
      </c>
      <c r="B122" t="n">
        <v>3.9540884737924602E-2</v>
      </c>
      <c r="C122" t="n">
        <v>5.7040318663066601E-2</v>
      </c>
      <c r="D122" t="n">
        <v>3.2054289459933799E-2</v>
      </c>
      <c r="E122" t="s">
        <v>1563</v>
      </c>
      <c r="F122" t="s">
        <v>1443</v>
      </c>
      <c r="G122" t="n">
        <v>64.912000000000006</v>
      </c>
      <c r="H122" t="n">
        <v>1.3964822393701899E-2</v>
      </c>
      <c r="I122" t="n">
        <v>64.912000000000006</v>
      </c>
      <c r="J122" t="n">
        <v>7.9190087264371396E-3</v>
      </c>
      <c r="K122" t="s">
        <v>1052</v>
      </c>
      <c r="L122" t="s">
        <v>932</v>
      </c>
    </row>
    <row r="123">
      <c r="A123" t="n">
        <v>1.9193585341739101E-2</v>
      </c>
      <c r="B123" t="n">
        <v>1.5459188057563401E-2</v>
      </c>
      <c r="C123" t="n">
        <v>4.2438786901308999E-2</v>
      </c>
      <c r="D123" t="n">
        <v>4.6322155050911397E-2</v>
      </c>
      <c r="E123" t="s">
        <v>1564</v>
      </c>
      <c r="F123" t="s">
        <v>1443</v>
      </c>
      <c r="G123" t="n">
        <v>65.59</v>
      </c>
      <c r="H123" t="n">
        <v>1.0444910032043399E-2</v>
      </c>
      <c r="I123" t="n">
        <v>65.650999999999996</v>
      </c>
      <c r="J123" t="n">
        <v>1.13846438254868E-2</v>
      </c>
      <c r="K123" t="s">
        <v>1053</v>
      </c>
      <c r="L123" t="s">
        <v>932</v>
      </c>
    </row>
    <row r="124">
      <c r="A124" t="n">
        <v>2.6053548554263901E-2</v>
      </c>
      <c r="B124" t="n">
        <v>2.8949345820011199E-2</v>
      </c>
      <c r="C124" t="n">
        <v>4.7728620369875199E-2</v>
      </c>
      <c r="D124" t="n">
        <v>2.6457667912965801E-2</v>
      </c>
      <c r="E124" t="s">
        <v>1565</v>
      </c>
      <c r="F124" t="s">
        <v>1443</v>
      </c>
      <c r="G124" t="n">
        <v>66.358999999999995</v>
      </c>
      <c r="H124" t="n">
        <v>1.1724348223814501E-2</v>
      </c>
      <c r="I124" t="n">
        <v>66.081000000000003</v>
      </c>
      <c r="J124" t="n">
        <v>6.5497859895509202E-3</v>
      </c>
      <c r="K124" t="s">
        <v>1054</v>
      </c>
      <c r="L124" t="s">
        <v>932</v>
      </c>
    </row>
    <row r="125">
      <c r="A125" t="n">
        <v>2.2816932316492001E-2</v>
      </c>
      <c r="B125" t="n">
        <v>1.82242710503548E-2</v>
      </c>
      <c r="C125" t="n">
        <v>5.7499642478727998E-2</v>
      </c>
      <c r="D125" t="n">
        <v>2.3755596803619598E-2</v>
      </c>
      <c r="E125" t="s">
        <v>1566</v>
      </c>
      <c r="F125" t="s">
        <v>1443</v>
      </c>
      <c r="G125" t="n">
        <v>67.293000000000006</v>
      </c>
      <c r="H125" t="n">
        <v>1.40749559215783E-2</v>
      </c>
      <c r="I125" t="n">
        <v>66.47</v>
      </c>
      <c r="J125" t="n">
        <v>5.8867147894250396E-3</v>
      </c>
      <c r="K125" t="s">
        <v>1055</v>
      </c>
      <c r="L125" t="s">
        <v>932</v>
      </c>
    </row>
    <row r="126">
      <c r="A126" t="n">
        <v>2.9937016463394299E-2</v>
      </c>
      <c r="B126" t="n">
        <v>6.8223280329673397E-3</v>
      </c>
      <c r="C126" t="n">
        <v>5.4456520671492398E-2</v>
      </c>
      <c r="D126" t="n">
        <v>2.4902004743710501E-2</v>
      </c>
      <c r="E126" t="s">
        <v>1567</v>
      </c>
      <c r="F126" t="s">
        <v>1443</v>
      </c>
      <c r="G126" t="n">
        <v>68.191000000000003</v>
      </c>
      <c r="H126" t="n">
        <v>1.33446272272004E-2</v>
      </c>
      <c r="I126" t="n">
        <v>66.88</v>
      </c>
      <c r="J126" t="n">
        <v>6.16819617872721E-3</v>
      </c>
      <c r="K126" t="s">
        <v>1056</v>
      </c>
      <c r="L126" t="s">
        <v>932</v>
      </c>
    </row>
    <row r="127">
      <c r="A127" t="n">
        <v>1.8884884410707199E-2</v>
      </c>
      <c r="B127" t="n">
        <v>2.1198789662036002E-2</v>
      </c>
      <c r="C127" t="n">
        <v>1.7060457300781501E-2</v>
      </c>
      <c r="D127" t="n">
        <v>1.0326833438175601E-2</v>
      </c>
      <c r="E127" t="s">
        <v>1568</v>
      </c>
      <c r="F127" t="s">
        <v>1443</v>
      </c>
      <c r="G127" t="n">
        <v>68.48</v>
      </c>
      <c r="H127" t="n">
        <v>4.2380959364138899E-3</v>
      </c>
      <c r="I127" t="n">
        <v>67.052000000000007</v>
      </c>
      <c r="J127" t="n">
        <v>2.5717703349283898E-3</v>
      </c>
      <c r="K127" t="s">
        <v>1057</v>
      </c>
      <c r="L127" t="s">
        <v>932</v>
      </c>
    </row>
    <row r="128">
      <c r="A128" t="n">
        <v>2.0085104332627801E-3</v>
      </c>
      <c r="B128" t="n">
        <v>2.5873085754739799E-2</v>
      </c>
      <c r="C128" t="n">
        <v>1.0084643678167899E-2</v>
      </c>
      <c r="D128" t="n">
        <v>1.25865662000337E-2</v>
      </c>
      <c r="E128" t="s">
        <v>1569</v>
      </c>
      <c r="F128" t="s">
        <v>1443</v>
      </c>
      <c r="G128" t="n">
        <v>68.652000000000001</v>
      </c>
      <c r="H128" t="n">
        <v>2.5116822429906999E-3</v>
      </c>
      <c r="I128" t="n">
        <v>67.262</v>
      </c>
      <c r="J128" t="n">
        <v>3.1318976316887502E-3</v>
      </c>
      <c r="K128" t="s">
        <v>1058</v>
      </c>
      <c r="L128" t="s">
        <v>932</v>
      </c>
    </row>
    <row r="129">
      <c r="A129" t="n">
        <v>1.65597149400032E-3</v>
      </c>
      <c r="B129" t="n">
        <v>2.61448943379867E-2</v>
      </c>
      <c r="C129" t="n">
        <v>4.4939487008062197E-3</v>
      </c>
      <c r="D129" t="n">
        <v>2.16417401943385E-2</v>
      </c>
      <c r="E129" t="s">
        <v>1570</v>
      </c>
      <c r="F129" t="s">
        <v>1443</v>
      </c>
      <c r="G129" t="n">
        <v>68.728999999999999</v>
      </c>
      <c r="H129" t="n">
        <v>1.1215987880905901E-3</v>
      </c>
      <c r="I129" t="n">
        <v>67.623000000000005</v>
      </c>
      <c r="J129" t="n">
        <v>5.3670720466236803E-3</v>
      </c>
      <c r="K129" t="s">
        <v>1059</v>
      </c>
      <c r="L129" t="s">
        <v>932</v>
      </c>
    </row>
    <row r="130">
      <c r="A130" t="n">
        <v>8.0448095256371293E-3</v>
      </c>
      <c r="B130" t="n">
        <v>2.6192779718551499E-2</v>
      </c>
      <c r="C130" t="n">
        <v>2.6210777008154801E-2</v>
      </c>
      <c r="D130" t="n">
        <v>1.77439998941584E-2</v>
      </c>
      <c r="E130" t="s">
        <v>1571</v>
      </c>
      <c r="F130" t="s">
        <v>1443</v>
      </c>
      <c r="G130" t="n">
        <v>69.174999999999997</v>
      </c>
      <c r="H130" t="n">
        <v>6.4892548996784401E-3</v>
      </c>
      <c r="I130" t="n">
        <v>67.921000000000006</v>
      </c>
      <c r="J130" t="n">
        <v>4.4067846738535801E-3</v>
      </c>
      <c r="K130" t="s">
        <v>1060</v>
      </c>
      <c r="L130" t="s">
        <v>932</v>
      </c>
    </row>
    <row r="131">
      <c r="A131" t="n">
        <v>2.9998743908273201E-2</v>
      </c>
      <c r="B131" t="n">
        <v>3.8349371649444103E-2</v>
      </c>
      <c r="C131" t="n">
        <v>3.99637104830428E-2</v>
      </c>
      <c r="D131" t="n">
        <v>2.19088618142655E-2</v>
      </c>
      <c r="E131" t="s">
        <v>1572</v>
      </c>
      <c r="F131" t="s">
        <v>1443</v>
      </c>
      <c r="G131" t="n">
        <v>69.855999999999995</v>
      </c>
      <c r="H131" t="n">
        <v>9.8445970365015293E-3</v>
      </c>
      <c r="I131" t="n">
        <v>68.290000000000006</v>
      </c>
      <c r="J131" t="n">
        <v>5.4327822028532599E-3</v>
      </c>
      <c r="K131" t="s">
        <v>1061</v>
      </c>
      <c r="L131" t="s">
        <v>932</v>
      </c>
    </row>
    <row r="132">
      <c r="A132" t="n">
        <v>2.0869776308943801E-2</v>
      </c>
      <c r="B132" t="n">
        <v>3.4801584391165798E-2</v>
      </c>
      <c r="C132" t="n">
        <v>3.3157579483975103E-2</v>
      </c>
      <c r="D132" t="n">
        <v>1.23573378485025E-2</v>
      </c>
      <c r="E132" t="s">
        <v>1573</v>
      </c>
      <c r="F132" t="s">
        <v>1443</v>
      </c>
      <c r="G132" t="n">
        <v>70.427999999999997</v>
      </c>
      <c r="H132" t="n">
        <v>8.1882730187814393E-3</v>
      </c>
      <c r="I132" t="n">
        <v>68.5</v>
      </c>
      <c r="J132" t="n">
        <v>3.07512080831729E-3</v>
      </c>
      <c r="K132" t="s">
        <v>1062</v>
      </c>
      <c r="L132" t="s">
        <v>932</v>
      </c>
    </row>
    <row r="133">
      <c r="A133" t="n">
        <v>1.8806157080279301E-2</v>
      </c>
      <c r="B133" t="n">
        <v>7.6203068975526894E-2</v>
      </c>
      <c r="C133" t="n">
        <v>4.04120889716926E-2</v>
      </c>
      <c r="D133" t="n">
        <v>6.9083360828583497E-3</v>
      </c>
      <c r="E133" t="s">
        <v>1574</v>
      </c>
      <c r="F133" t="s">
        <v>1443</v>
      </c>
      <c r="G133" t="n">
        <v>71.129000000000005</v>
      </c>
      <c r="H133" t="n">
        <v>9.9534276140171903E-3</v>
      </c>
      <c r="I133" t="n">
        <v>68.617999999999995</v>
      </c>
      <c r="J133" t="n">
        <v>1.7226277372262E-3</v>
      </c>
      <c r="K133" t="s">
        <v>1063</v>
      </c>
      <c r="L133" t="s">
        <v>932</v>
      </c>
    </row>
    <row r="134">
      <c r="A134" t="n">
        <v>3.0939531110064901E-2</v>
      </c>
      <c r="B134" t="n">
        <v>4.5343406532494003E-2</v>
      </c>
      <c r="C134" t="n">
        <v>6.4192818314913899E-2</v>
      </c>
      <c r="D134" t="n">
        <v>3.35839967225895E-2</v>
      </c>
      <c r="E134" t="s">
        <v>1575</v>
      </c>
      <c r="F134" t="s">
        <v>1443</v>
      </c>
      <c r="G134" t="n">
        <v>72.244</v>
      </c>
      <c r="H134" t="n">
        <v>1.5675744070632099E-2</v>
      </c>
      <c r="I134" t="n">
        <v>69.186999999999998</v>
      </c>
      <c r="J134" t="n">
        <v>8.2922848232243104E-3</v>
      </c>
      <c r="K134" t="s">
        <v>1064</v>
      </c>
      <c r="L134" t="s">
        <v>932</v>
      </c>
    </row>
    <row r="135">
      <c r="A135" t="n">
        <v>4.0077661469082298E-3</v>
      </c>
      <c r="B135" t="n">
        <v>2.8726975579467701E-2</v>
      </c>
      <c r="C135" t="n">
        <v>2.60483280529056E-3</v>
      </c>
      <c r="D135" t="n">
        <v>4.1691340309692997E-3</v>
      </c>
      <c r="E135" t="s">
        <v>1576</v>
      </c>
      <c r="F135" t="s">
        <v>1443</v>
      </c>
      <c r="G135" t="n">
        <v>72.290999999999997</v>
      </c>
      <c r="H135" t="n">
        <v>6.5057305797022703E-4</v>
      </c>
      <c r="I135" t="n">
        <v>69.259</v>
      </c>
      <c r="J135" t="n">
        <v>1.0406579270672001E-3</v>
      </c>
      <c r="K135" t="s">
        <v>1065</v>
      </c>
      <c r="L135" t="s">
        <v>932</v>
      </c>
    </row>
    <row r="136">
      <c r="A136" t="n">
        <v>2.6637470683258401E-2</v>
      </c>
      <c r="B136" t="n">
        <v>3.6701160751028999E-2</v>
      </c>
      <c r="C136" t="n">
        <v>3.2537484109284899E-2</v>
      </c>
      <c r="D136" t="n">
        <v>5.0920666130191998E-3</v>
      </c>
      <c r="E136" t="s">
        <v>1577</v>
      </c>
      <c r="F136" t="s">
        <v>1443</v>
      </c>
      <c r="G136" t="n">
        <v>72.872</v>
      </c>
      <c r="H136" t="n">
        <v>8.0369617241426994E-3</v>
      </c>
      <c r="I136" t="n">
        <v>69.346999999999994</v>
      </c>
      <c r="J136" t="n">
        <v>1.2705929915244299E-3</v>
      </c>
      <c r="K136" t="s">
        <v>1066</v>
      </c>
      <c r="L136" t="s">
        <v>932</v>
      </c>
    </row>
    <row r="137">
      <c r="A137" t="n">
        <v>1.9809591582912799E-2</v>
      </c>
      <c r="B137" t="n">
        <v>3.0297839189273201E-2</v>
      </c>
      <c r="C137" t="n">
        <v>3.6723057880070603E-2</v>
      </c>
      <c r="D137" t="n">
        <v>1.11208187291489E-2</v>
      </c>
      <c r="E137" t="s">
        <v>1578</v>
      </c>
      <c r="F137" t="s">
        <v>1443</v>
      </c>
      <c r="G137" t="n">
        <v>73.531999999999996</v>
      </c>
      <c r="H137" t="n">
        <v>9.0569766165331505E-3</v>
      </c>
      <c r="I137" t="n">
        <v>69.539000000000001</v>
      </c>
      <c r="J137" t="n">
        <v>2.7686850188184402E-3</v>
      </c>
      <c r="K137" t="s">
        <v>1067</v>
      </c>
      <c r="L137" t="s">
        <v>932</v>
      </c>
    </row>
    <row r="138">
      <c r="A138" t="n">
        <v>3.1204615634115699E-2</v>
      </c>
      <c r="B138" t="n">
        <v>3.4471201135703997E-2</v>
      </c>
      <c r="C138" t="n">
        <v>5.7672124037001303E-2</v>
      </c>
      <c r="D138" t="n">
        <v>2.6313046913832801E-2</v>
      </c>
      <c r="E138" t="s">
        <v>1579</v>
      </c>
      <c r="F138" t="s">
        <v>1443</v>
      </c>
      <c r="G138" t="n">
        <v>74.569999999999993</v>
      </c>
      <c r="H138" t="n">
        <v>1.41163031061307E-2</v>
      </c>
      <c r="I138" t="n">
        <v>69.992000000000004</v>
      </c>
      <c r="J138" t="n">
        <v>6.5143300881520504E-3</v>
      </c>
      <c r="K138" t="s">
        <v>1068</v>
      </c>
      <c r="L138" t="s">
        <v>932</v>
      </c>
    </row>
    <row r="139">
      <c r="A139" t="n">
        <v>2.7200294389546201E-2</v>
      </c>
      <c r="B139" t="n">
        <v>3.5181669062461299E-2</v>
      </c>
      <c r="C139" t="n">
        <v>5.42271951092188E-2</v>
      </c>
      <c r="D139" t="n">
        <v>7.5544557477534205E-2</v>
      </c>
      <c r="E139" t="s">
        <v>1580</v>
      </c>
      <c r="F139" t="s">
        <v>1443</v>
      </c>
      <c r="G139" t="n">
        <v>75.561000000000007</v>
      </c>
      <c r="H139" t="n">
        <v>1.3289526619284101E-2</v>
      </c>
      <c r="I139" t="n">
        <v>71.278000000000006</v>
      </c>
      <c r="J139" t="n">
        <v>1.8373528403245999E-2</v>
      </c>
      <c r="K139" t="s">
        <v>1069</v>
      </c>
      <c r="L139" t="s">
        <v>932</v>
      </c>
    </row>
    <row r="140">
      <c r="A140" t="n">
        <v>1.9813936050087699E-2</v>
      </c>
      <c r="B140" t="n">
        <v>3.71188179062025E-2</v>
      </c>
      <c r="C140" t="n">
        <v>5.5705667373545202E-2</v>
      </c>
      <c r="D140" t="n">
        <v>0.112118604043563</v>
      </c>
      <c r="E140" t="s">
        <v>1581</v>
      </c>
      <c r="F140" t="s">
        <v>1443</v>
      </c>
      <c r="G140" t="n">
        <v>76.591999999999999</v>
      </c>
      <c r="H140" t="n">
        <v>1.3644605021108799E-2</v>
      </c>
      <c r="I140" t="n">
        <v>73.197000000000003</v>
      </c>
      <c r="J140" t="n">
        <v>2.6922753163668899E-2</v>
      </c>
      <c r="K140" t="s">
        <v>1070</v>
      </c>
      <c r="L140" t="s">
        <v>932</v>
      </c>
    </row>
    <row r="141">
      <c r="A141" t="n">
        <v>3.4620969363609901E-2</v>
      </c>
      <c r="B141" t="n">
        <v>3.9499400752586601E-2</v>
      </c>
      <c r="C141" t="n">
        <v>6.4048552869122796E-2</v>
      </c>
      <c r="D141" t="n">
        <v>9.9586266592777403E-2</v>
      </c>
      <c r="E141" t="s">
        <v>1582</v>
      </c>
      <c r="F141" t="s">
        <v>1443</v>
      </c>
      <c r="G141" t="n">
        <v>77.790000000000006</v>
      </c>
      <c r="H141" t="n">
        <v>1.5641320242323099E-2</v>
      </c>
      <c r="I141" t="n">
        <v>74.954999999999998</v>
      </c>
      <c r="J141" t="n">
        <v>2.4017377761383699E-2</v>
      </c>
      <c r="K141" t="s">
        <v>1071</v>
      </c>
      <c r="L141" t="s">
        <v>932</v>
      </c>
    </row>
    <row r="142">
      <c r="A142" t="n">
        <v>2.34535899973984E-2</v>
      </c>
      <c r="B142" t="n">
        <v>5.3706890981395999E-2</v>
      </c>
      <c r="C142" t="n">
        <v>3.69057460702173E-2</v>
      </c>
      <c r="D142" t="n">
        <v>3.4210597371460802E-2</v>
      </c>
      <c r="E142" t="s">
        <v>1583</v>
      </c>
      <c r="F142" t="s">
        <v>1443</v>
      </c>
      <c r="G142" t="n">
        <v>78.498000000000005</v>
      </c>
      <c r="H142" t="n">
        <v>9.1014269186271406E-3</v>
      </c>
      <c r="I142" t="n">
        <v>75.587999999999994</v>
      </c>
      <c r="J142" t="n">
        <v>8.4450670402240694E-3</v>
      </c>
      <c r="K142" t="s">
        <v>1072</v>
      </c>
      <c r="L142" t="s">
        <v>932</v>
      </c>
    </row>
    <row r="143">
      <c r="A143" t="n">
        <v>2.5499802950129401E-2</v>
      </c>
      <c r="B143" t="n">
        <v>3.6566859174503898E-2</v>
      </c>
      <c r="C143" t="n">
        <v>4.6392177019789503E-2</v>
      </c>
      <c r="D143" t="n">
        <v>7.7400259900339399E-2</v>
      </c>
      <c r="E143" t="s">
        <v>1584</v>
      </c>
      <c r="F143" t="s">
        <v>1443</v>
      </c>
      <c r="G143" t="n">
        <v>79.393000000000001</v>
      </c>
      <c r="H143" t="n">
        <v>1.14015643710668E-2</v>
      </c>
      <c r="I143" t="n">
        <v>77.010000000000005</v>
      </c>
      <c r="J143" t="n">
        <v>1.8812509922210102E-2</v>
      </c>
      <c r="K143" t="s">
        <v>1073</v>
      </c>
      <c r="L143" t="s">
        <v>932</v>
      </c>
    </row>
    <row r="144">
      <c r="A144" t="n">
        <v>4.3914132970667798E-2</v>
      </c>
      <c r="B144" t="n">
        <v>4.2425430776049898E-2</v>
      </c>
      <c r="C144" t="n">
        <v>5.93159029125543E-2</v>
      </c>
      <c r="D144" t="n">
        <v>9.2099438138909306E-2</v>
      </c>
      <c r="E144" t="s">
        <v>1585</v>
      </c>
      <c r="F144" t="s">
        <v>1443</v>
      </c>
      <c r="G144" t="n">
        <v>80.545000000000002</v>
      </c>
      <c r="H144" t="n">
        <v>1.45100953484565E-2</v>
      </c>
      <c r="I144" t="n">
        <v>78.724999999999994</v>
      </c>
      <c r="J144" t="n">
        <v>2.2269835086352399E-2</v>
      </c>
      <c r="K144" t="s">
        <v>1074</v>
      </c>
      <c r="L144" t="s">
        <v>932</v>
      </c>
    </row>
    <row r="145">
      <c r="A145" t="n">
        <v>3.2225013743436802E-2</v>
      </c>
      <c r="B145" t="n">
        <v>2.9052051363888599E-2</v>
      </c>
      <c r="C145" t="n">
        <v>6.9322056053448003E-2</v>
      </c>
      <c r="D145" t="n">
        <v>5.6967190258747399E-2</v>
      </c>
      <c r="E145" t="s">
        <v>1586</v>
      </c>
      <c r="F145" t="s">
        <v>1443</v>
      </c>
      <c r="G145" t="n">
        <v>81.906000000000006</v>
      </c>
      <c r="H145" t="n">
        <v>1.68973865541002E-2</v>
      </c>
      <c r="I145" t="n">
        <v>79.822999999999993</v>
      </c>
      <c r="J145" t="n">
        <v>1.39472848523341E-2</v>
      </c>
      <c r="K145" t="s">
        <v>1075</v>
      </c>
      <c r="L145" t="s">
        <v>932</v>
      </c>
    </row>
    <row r="146">
      <c r="A146" t="n">
        <v>2.0935342800184199E-2</v>
      </c>
      <c r="B146" t="n">
        <v>3.4093201961780999E-2</v>
      </c>
      <c r="C146" t="n">
        <v>2.9725271896635399E-2</v>
      </c>
      <c r="D146" t="n">
        <v>2.50876168066392E-2</v>
      </c>
      <c r="E146" t="s">
        <v>1587</v>
      </c>
      <c r="F146" t="s">
        <v>1443</v>
      </c>
      <c r="G146" t="n">
        <v>82.507999999999996</v>
      </c>
      <c r="H146" t="n">
        <v>7.3498888970282604E-3</v>
      </c>
      <c r="I146" t="n">
        <v>80.319000000000003</v>
      </c>
      <c r="J146" t="n">
        <v>6.2137479172670301E-3</v>
      </c>
      <c r="K146" t="s">
        <v>1076</v>
      </c>
      <c r="L146" t="s">
        <v>932</v>
      </c>
    </row>
    <row r="147">
      <c r="A147" t="n">
        <v>3.5555363218846101E-2</v>
      </c>
      <c r="B147" t="n">
        <v>2.8135458399094499E-2</v>
      </c>
      <c r="C147" t="n">
        <v>5.61203132204302E-2</v>
      </c>
      <c r="D147" t="n">
        <v>9.1105361450751501E-2</v>
      </c>
      <c r="E147" t="s">
        <v>1588</v>
      </c>
      <c r="F147" t="s">
        <v>1443</v>
      </c>
      <c r="G147" t="n">
        <v>83.641999999999996</v>
      </c>
      <c r="H147" t="n">
        <v>1.37441217821301E-2</v>
      </c>
      <c r="I147" t="n">
        <v>82.088999999999999</v>
      </c>
      <c r="J147" t="n">
        <v>2.20371269562618E-2</v>
      </c>
      <c r="K147" t="s">
        <v>1077</v>
      </c>
      <c r="L147" t="s">
        <v>932</v>
      </c>
    </row>
    <row r="148">
      <c r="A148" t="n">
        <v>2.9090990484891902E-2</v>
      </c>
      <c r="B148" t="n">
        <v>2.9966625510563099E-2</v>
      </c>
      <c r="C148" t="n">
        <v>3.6843754178801799E-2</v>
      </c>
      <c r="D148" t="n">
        <v>5.6869734933791702E-2</v>
      </c>
      <c r="E148" t="s">
        <v>1589</v>
      </c>
      <c r="F148" t="s">
        <v>1443</v>
      </c>
      <c r="G148" t="n">
        <v>84.402000000000001</v>
      </c>
      <c r="H148" t="n">
        <v>9.0863441811530592E-3</v>
      </c>
      <c r="I148" t="n">
        <v>83.231999999999999</v>
      </c>
      <c r="J148" t="n">
        <v>1.39239118517707E-2</v>
      </c>
      <c r="K148" t="s">
        <v>1078</v>
      </c>
      <c r="L148" t="s">
        <v>932</v>
      </c>
    </row>
    <row r="149">
      <c r="A149" t="n">
        <v>-6.5707467210734897E-3</v>
      </c>
      <c r="B149" t="n">
        <v>2.09838687014814E-2</v>
      </c>
      <c r="C149" t="n">
        <v>3.0338463665483501E-2</v>
      </c>
      <c r="D149" t="n">
        <v>9.7213617262259494E-2</v>
      </c>
      <c r="E149" t="s">
        <v>1590</v>
      </c>
      <c r="F149" t="s">
        <v>1443</v>
      </c>
      <c r="G149" t="n">
        <v>85.034999999999997</v>
      </c>
      <c r="H149" t="n">
        <v>7.4998222790929603E-3</v>
      </c>
      <c r="I149" t="n">
        <v>85.185000000000002</v>
      </c>
      <c r="J149" t="n">
        <v>2.34645328719723E-2</v>
      </c>
      <c r="K149" t="s">
        <v>1079</v>
      </c>
      <c r="L149" t="s">
        <v>932</v>
      </c>
    </row>
    <row r="150">
      <c r="A150" t="n">
        <v>3.7059917165470399E-2</v>
      </c>
      <c r="B150" t="n">
        <v>3.4651107406359301E-2</v>
      </c>
      <c r="C150" t="n">
        <v>7.2299496950969405E-2</v>
      </c>
      <c r="D150" t="n">
        <v>0.104792955269219</v>
      </c>
      <c r="E150" t="s">
        <v>1591</v>
      </c>
      <c r="F150" t="s">
        <v>1443</v>
      </c>
      <c r="G150" t="n">
        <v>86.531999999999996</v>
      </c>
      <c r="H150" t="n">
        <v>1.7604515787616799E-2</v>
      </c>
      <c r="I150" t="n">
        <v>87.334000000000003</v>
      </c>
      <c r="J150" t="n">
        <v>2.5227446146622E-2</v>
      </c>
      <c r="K150" t="s">
        <v>1080</v>
      </c>
      <c r="L150" t="s">
        <v>932</v>
      </c>
    </row>
    <row r="151">
      <c r="A151" t="n">
        <v>3.4406916686266602E-2</v>
      </c>
      <c r="B151" t="n">
        <v>3.2361806516408201E-2</v>
      </c>
      <c r="C151" t="n">
        <v>4.4022069506022297E-2</v>
      </c>
      <c r="D151" t="n">
        <v>4.2476788274359099E-2</v>
      </c>
      <c r="E151" t="s">
        <v>1592</v>
      </c>
      <c r="F151" t="s">
        <v>1443</v>
      </c>
      <c r="G151" t="n">
        <v>87.468999999999994</v>
      </c>
      <c r="H151" t="n">
        <v>1.0828364073406401E-2</v>
      </c>
      <c r="I151" t="n">
        <v>88.247</v>
      </c>
      <c r="J151" t="n">
        <v>1.0454118670849799E-2</v>
      </c>
      <c r="K151" t="s">
        <v>1081</v>
      </c>
      <c r="L151" t="s">
        <v>932</v>
      </c>
    </row>
    <row r="152">
      <c r="A152" t="n">
        <v>2.2795387185985401E-2</v>
      </c>
      <c r="B152" t="n">
        <v>2.78463672712683E-2</v>
      </c>
      <c r="C152" t="n">
        <v>4.5480126137950501E-2</v>
      </c>
      <c r="D152" t="n">
        <v>3.9088464000031499E-2</v>
      </c>
      <c r="E152" t="s">
        <v>1593</v>
      </c>
      <c r="F152" t="s">
        <v>1443</v>
      </c>
      <c r="G152" t="n">
        <v>88.447000000000003</v>
      </c>
      <c r="H152" t="n">
        <v>1.11811041626177E-2</v>
      </c>
      <c r="I152" t="n">
        <v>89.096999999999994</v>
      </c>
      <c r="J152" t="n">
        <v>9.6320554806394992E-3</v>
      </c>
      <c r="K152" t="s">
        <v>1082</v>
      </c>
      <c r="L152" t="s">
        <v>932</v>
      </c>
    </row>
    <row r="153">
      <c r="A153" t="n">
        <v>4.1308326629664098E-2</v>
      </c>
      <c r="B153" t="n">
        <v>3.2459146974833902E-2</v>
      </c>
      <c r="C153" t="n">
        <v>6.2039731527971001E-2</v>
      </c>
      <c r="D153" t="n">
        <v>4.7886506250196997E-2</v>
      </c>
      <c r="E153" t="s">
        <v>1594</v>
      </c>
      <c r="F153" t="s">
        <v>1443</v>
      </c>
      <c r="G153" t="n">
        <v>89.787999999999997</v>
      </c>
      <c r="H153" t="n">
        <v>1.51616222144335E-2</v>
      </c>
      <c r="I153" t="n">
        <v>90.144999999999996</v>
      </c>
      <c r="J153" t="n">
        <v>1.1762461137861099E-2</v>
      </c>
      <c r="K153" t="s">
        <v>1083</v>
      </c>
      <c r="L153" t="s">
        <v>932</v>
      </c>
    </row>
    <row r="154">
      <c r="A154" t="n">
        <v>3.2954987594988598E-2</v>
      </c>
      <c r="B154" t="n">
        <v>3.4144429632388298E-2</v>
      </c>
      <c r="C154" t="n">
        <v>7.23147883586404E-2</v>
      </c>
      <c r="D154" t="n">
        <v>3.8436409888859401E-2</v>
      </c>
      <c r="E154" t="s">
        <v>1595</v>
      </c>
      <c r="F154" t="s">
        <v>1443</v>
      </c>
      <c r="G154" t="n">
        <v>91.369</v>
      </c>
      <c r="H154" t="n">
        <v>1.7608143627210901E-2</v>
      </c>
      <c r="I154" t="n">
        <v>90.998999999999995</v>
      </c>
      <c r="J154" t="n">
        <v>9.4736258250596207E-3</v>
      </c>
      <c r="K154" t="s">
        <v>1084</v>
      </c>
      <c r="L154" t="s">
        <v>932</v>
      </c>
    </row>
    <row r="155">
      <c r="A155" t="n">
        <v>3.9493950261418401E-2</v>
      </c>
      <c r="B155" t="n">
        <v>4.1602053152730099E-2</v>
      </c>
      <c r="C155" t="n">
        <v>6.3263019462217004E-2</v>
      </c>
      <c r="D155" t="n">
        <v>3.1126430511134499E-2</v>
      </c>
      <c r="E155" t="s">
        <v>1596</v>
      </c>
      <c r="F155" t="s">
        <v>1443</v>
      </c>
      <c r="G155" t="n">
        <v>92.781000000000006</v>
      </c>
      <c r="H155" t="n">
        <v>1.5453819129026301E-2</v>
      </c>
      <c r="I155" t="n">
        <v>91.698999999999998</v>
      </c>
      <c r="J155" t="n">
        <v>7.6923922240903497E-3</v>
      </c>
      <c r="K155" t="s">
        <v>1085</v>
      </c>
      <c r="L155" t="s">
        <v>932</v>
      </c>
    </row>
    <row r="156">
      <c r="A156" t="n">
        <v>4.3386852489040402E-2</v>
      </c>
      <c r="B156" t="n">
        <v>3.03408157550791E-2</v>
      </c>
      <c r="C156" t="n">
        <v>5.52136316684275E-2</v>
      </c>
      <c r="D156" t="n">
        <v>5.2701497522020399E-2</v>
      </c>
      <c r="E156" t="s">
        <v>1597</v>
      </c>
      <c r="F156" t="s">
        <v>1443</v>
      </c>
      <c r="G156" t="n">
        <v>94.036000000000001</v>
      </c>
      <c r="H156" t="n">
        <v>1.35264763259719E-2</v>
      </c>
      <c r="I156" t="n">
        <v>92.884</v>
      </c>
      <c r="J156" t="n">
        <v>1.29227145334192E-2</v>
      </c>
      <c r="K156" t="s">
        <v>1086</v>
      </c>
      <c r="L156" t="s">
        <v>932</v>
      </c>
    </row>
    <row r="157">
      <c r="A157" t="n">
        <v>-6.2360196436278902E-2</v>
      </c>
      <c r="B157" t="n">
        <v>-1.8917326805224201E-2</v>
      </c>
      <c r="C157" t="n">
        <v>-7.4155067193705196E-2</v>
      </c>
      <c r="D157" t="n">
        <v>7.5335045349203197E-2</v>
      </c>
      <c r="E157" t="s">
        <v>1598</v>
      </c>
      <c r="F157" t="s">
        <v>1443</v>
      </c>
      <c r="G157" t="n">
        <v>92.242000000000004</v>
      </c>
      <c r="H157" t="n">
        <v>-1.9077799991492599E-2</v>
      </c>
      <c r="I157" t="n">
        <v>94.585999999999999</v>
      </c>
      <c r="J157" t="n">
        <v>1.8323930924594199E-2</v>
      </c>
      <c r="K157" t="s">
        <v>1087</v>
      </c>
      <c r="L157" t="s">
        <v>932</v>
      </c>
    </row>
    <row r="158">
      <c r="A158" t="n">
        <v>-2.6731212813050201E-2</v>
      </c>
      <c r="B158" t="n">
        <v>-3.3135327897025703E-2</v>
      </c>
      <c r="C158" t="n">
        <v>-6.8462037949067106E-2</v>
      </c>
      <c r="D158" t="n">
        <v>2.5185264843212301E-2</v>
      </c>
      <c r="E158" t="s">
        <v>1599</v>
      </c>
      <c r="F158" t="s">
        <v>1443</v>
      </c>
      <c r="G158" t="n">
        <v>90.620999999999995</v>
      </c>
      <c r="H158" t="n">
        <v>-1.7573339693415201E-2</v>
      </c>
      <c r="I158" t="n">
        <v>95.176000000000002</v>
      </c>
      <c r="J158" t="n">
        <v>6.2377095976149403E-3</v>
      </c>
      <c r="K158" t="s">
        <v>1088</v>
      </c>
      <c r="L158" t="s">
        <v>932</v>
      </c>
    </row>
    <row r="159">
      <c r="A159" t="n">
        <v>1.6004255010514602E-2</v>
      </c>
      <c r="B159" t="n">
        <v>7.2471101838833497E-4</v>
      </c>
      <c r="C159" t="n">
        <v>1.9832196265286098E-2</v>
      </c>
      <c r="D159" t="n">
        <v>-3.4674689642026801E-2</v>
      </c>
      <c r="E159" t="s">
        <v>1600</v>
      </c>
      <c r="F159" t="s">
        <v>1443</v>
      </c>
      <c r="G159" t="n">
        <v>91.066999999999993</v>
      </c>
      <c r="H159" t="n">
        <v>4.9215965394333603E-3</v>
      </c>
      <c r="I159" t="n">
        <v>94.34</v>
      </c>
      <c r="J159" t="n">
        <v>-8.7837269899974108E-3</v>
      </c>
      <c r="K159" t="s">
        <v>1089</v>
      </c>
      <c r="L159" t="s">
        <v>932</v>
      </c>
    </row>
    <row r="160">
      <c r="A160" t="n">
        <v>2.78350080421834E-2</v>
      </c>
      <c r="B160" t="n">
        <v>1.22854862155337E-2</v>
      </c>
      <c r="C160" t="n">
        <v>3.47933032481611E-2</v>
      </c>
      <c r="D160" t="n">
        <v>-3.55556982427905E-2</v>
      </c>
      <c r="E160" t="s">
        <v>1601</v>
      </c>
      <c r="F160" t="s">
        <v>1443</v>
      </c>
      <c r="G160" t="n">
        <v>91.849000000000004</v>
      </c>
      <c r="H160" t="n">
        <v>8.5870842346844594E-3</v>
      </c>
      <c r="I160" t="n">
        <v>93.49</v>
      </c>
      <c r="J160" t="n">
        <v>-9.0099639601441996E-3</v>
      </c>
      <c r="K160" t="s">
        <v>1090</v>
      </c>
      <c r="L160" t="s">
        <v>932</v>
      </c>
    </row>
    <row r="161">
      <c r="A161" t="n">
        <v>3.1240948480233E-2</v>
      </c>
      <c r="B161" t="n">
        <v>3.11127095791379E-2</v>
      </c>
      <c r="C161" t="n">
        <v>3.76238534925952E-2</v>
      </c>
      <c r="D161" t="n">
        <v>-3.0769865450653898E-3</v>
      </c>
      <c r="E161" t="s">
        <v>1602</v>
      </c>
      <c r="F161" t="s">
        <v>1443</v>
      </c>
      <c r="G161" t="n">
        <v>92.700999999999993</v>
      </c>
      <c r="H161" t="n">
        <v>9.2760944593843798E-3</v>
      </c>
      <c r="I161" t="n">
        <v>93.418000000000006</v>
      </c>
      <c r="J161" t="n">
        <v>-7.7013584340557305E-4</v>
      </c>
      <c r="K161" t="s">
        <v>1091</v>
      </c>
      <c r="L161" t="s">
        <v>932</v>
      </c>
    </row>
    <row r="162">
      <c r="A162" t="n">
        <v>1.5538458112328299E-2</v>
      </c>
      <c r="B162" t="n">
        <v>2.5706833981413501E-2</v>
      </c>
      <c r="C162" t="n">
        <v>4.6975487060338501E-2</v>
      </c>
      <c r="D162" t="n">
        <v>1.13952226394907E-2</v>
      </c>
      <c r="E162" t="s">
        <v>1603</v>
      </c>
      <c r="F162" t="s">
        <v>1443</v>
      </c>
      <c r="G162" t="n">
        <v>93.771000000000001</v>
      </c>
      <c r="H162" t="n">
        <v>1.15424860573241E-2</v>
      </c>
      <c r="I162" t="n">
        <v>93.683000000000007</v>
      </c>
      <c r="J162" t="n">
        <v>2.8367124108843499E-3</v>
      </c>
      <c r="K162" t="s">
        <v>1092</v>
      </c>
      <c r="L162" t="s">
        <v>932</v>
      </c>
    </row>
    <row r="163">
      <c r="A163" t="n">
        <v>6.2204942357442202E-3</v>
      </c>
      <c r="B163" t="n">
        <v>3.1017939025557401E-2</v>
      </c>
      <c r="C163" t="n">
        <v>2.9062361366274402E-2</v>
      </c>
      <c r="D163" t="n">
        <v>1.7491325837778699E-2</v>
      </c>
      <c r="E163" t="s">
        <v>1604</v>
      </c>
      <c r="F163" t="s">
        <v>1443</v>
      </c>
      <c r="G163" t="n">
        <v>94.444999999999993</v>
      </c>
      <c r="H163" t="n">
        <v>7.18772328331774E-3</v>
      </c>
      <c r="I163" t="n">
        <v>94.09</v>
      </c>
      <c r="J163" t="n">
        <v>4.3444381584705196E-3</v>
      </c>
      <c r="K163" t="s">
        <v>1093</v>
      </c>
      <c r="L163" t="s">
        <v>932</v>
      </c>
    </row>
    <row r="164">
      <c r="A164" t="n">
        <v>7.72594376628044E-3</v>
      </c>
      <c r="B164" t="n">
        <v>1.59750935835106E-2</v>
      </c>
      <c r="C164" t="n">
        <v>2.3067349052007899E-2</v>
      </c>
      <c r="D164" t="n">
        <v>1.2643202128826501E-2</v>
      </c>
      <c r="E164" t="s">
        <v>1605</v>
      </c>
      <c r="F164" t="s">
        <v>1443</v>
      </c>
      <c r="G164" t="n">
        <v>94.984999999999999</v>
      </c>
      <c r="H164" t="n">
        <v>5.7176134258034601E-3</v>
      </c>
      <c r="I164" t="n">
        <v>94.385999999999996</v>
      </c>
      <c r="J164" t="n">
        <v>3.1459241152087501E-3</v>
      </c>
      <c r="K164" t="s">
        <v>1094</v>
      </c>
      <c r="L164" t="s">
        <v>932</v>
      </c>
    </row>
    <row r="165">
      <c r="A165" t="n">
        <v>2.5862689650447499E-2</v>
      </c>
      <c r="B165" t="n">
        <v>3.29452826155043E-2</v>
      </c>
      <c r="C165" t="n">
        <v>3.7879756208726099E-2</v>
      </c>
      <c r="D165" t="n">
        <v>1.8090208281751299E-2</v>
      </c>
      <c r="E165" t="s">
        <v>1606</v>
      </c>
      <c r="F165" t="s">
        <v>1443</v>
      </c>
      <c r="G165" t="n">
        <v>95.872</v>
      </c>
      <c r="H165" t="n">
        <v>9.3383165763014607E-3</v>
      </c>
      <c r="I165" t="n">
        <v>94.81</v>
      </c>
      <c r="J165" t="n">
        <v>4.4921916385904899E-3</v>
      </c>
      <c r="K165" t="s">
        <v>1095</v>
      </c>
      <c r="L165" t="s">
        <v>932</v>
      </c>
    </row>
    <row r="166">
      <c r="A166" t="n">
        <v>3.4016266815046298E-2</v>
      </c>
      <c r="B166" t="n">
        <v>3.64259738306612E-2</v>
      </c>
      <c r="C166" t="n">
        <v>4.5137017344844002E-2</v>
      </c>
      <c r="D166" t="n">
        <v>2.4394704867924499E-2</v>
      </c>
      <c r="E166" t="s">
        <v>1607</v>
      </c>
      <c r="F166" t="s">
        <v>1443</v>
      </c>
      <c r="G166" t="n">
        <v>96.936000000000007</v>
      </c>
      <c r="H166" t="n">
        <v>1.10981308411215E-2</v>
      </c>
      <c r="I166" t="n">
        <v>95.382999999999996</v>
      </c>
      <c r="J166" t="n">
        <v>6.0436662799281402E-3</v>
      </c>
      <c r="K166" t="s">
        <v>1096</v>
      </c>
      <c r="L166" t="s">
        <v>932</v>
      </c>
    </row>
    <row r="167">
      <c r="A167" t="n">
        <v>3.9906323464895102E-2</v>
      </c>
      <c r="B167" t="n">
        <v>3.6682670107609103E-2</v>
      </c>
      <c r="C167" t="n">
        <v>5.0829697512543702E-2</v>
      </c>
      <c r="D167" t="n">
        <v>4.1043493786856698E-2</v>
      </c>
      <c r="E167" t="s">
        <v>1608</v>
      </c>
      <c r="F167" t="s">
        <v>1443</v>
      </c>
      <c r="G167" t="n">
        <v>98.144999999999996</v>
      </c>
      <c r="H167" t="n">
        <v>1.24721465709332E-2</v>
      </c>
      <c r="I167" t="n">
        <v>96.346999999999994</v>
      </c>
      <c r="J167" t="n">
        <v>1.01066227734501E-2</v>
      </c>
      <c r="K167" t="s">
        <v>1097</v>
      </c>
      <c r="L167" t="s">
        <v>932</v>
      </c>
    </row>
    <row r="168">
      <c r="A168" t="n">
        <v>1.8640626124373699E-2</v>
      </c>
      <c r="B168" t="n">
        <v>1.39908352832361E-2</v>
      </c>
      <c r="C168" t="n">
        <v>1.5247657751557699E-2</v>
      </c>
      <c r="D168" t="n">
        <v>4.5983903903995101E-2</v>
      </c>
      <c r="E168" t="s">
        <v>1609</v>
      </c>
      <c r="F168" t="s">
        <v>1443</v>
      </c>
      <c r="G168" t="n">
        <v>98.516999999999996</v>
      </c>
      <c r="H168" t="n">
        <v>3.7903102552345699E-3</v>
      </c>
      <c r="I168" t="n">
        <v>97.436000000000007</v>
      </c>
      <c r="J168" t="n">
        <v>1.13028947450362E-2</v>
      </c>
      <c r="K168" t="s">
        <v>1098</v>
      </c>
      <c r="L168" t="s">
        <v>932</v>
      </c>
    </row>
    <row r="169">
      <c r="A169" t="n">
        <v>1.32561299755005E-2</v>
      </c>
      <c r="B169" t="n">
        <v>-5.33618345022691E-3</v>
      </c>
      <c r="C169" t="n">
        <v>-1.40950235359611E-2</v>
      </c>
      <c r="D169" t="n">
        <v>3.8137779822804398E-2</v>
      </c>
      <c r="E169" t="s">
        <v>1610</v>
      </c>
      <c r="F169" t="s">
        <v>1443</v>
      </c>
      <c r="G169" t="n">
        <v>98.168000000000006</v>
      </c>
      <c r="H169" t="n">
        <v>-3.54253580600294E-3</v>
      </c>
      <c r="I169" t="n">
        <v>98.352000000000004</v>
      </c>
      <c r="J169" t="n">
        <v>9.4010427357444897E-3</v>
      </c>
      <c r="K169" t="s">
        <v>1099</v>
      </c>
      <c r="L169" t="s">
        <v>932</v>
      </c>
    </row>
    <row r="170">
      <c r="A170" t="n">
        <v>2.6761481120787502E-2</v>
      </c>
      <c r="B170" t="n">
        <v>1.39201532997375E-2</v>
      </c>
      <c r="C170" t="n">
        <v>5.4116713606157101E-2</v>
      </c>
      <c r="D170" t="n">
        <v>3.0312571909831599E-2</v>
      </c>
      <c r="E170" t="s">
        <v>1611</v>
      </c>
      <c r="F170" t="s">
        <v>1443</v>
      </c>
      <c r="G170" t="n">
        <v>99.47</v>
      </c>
      <c r="H170" t="n">
        <v>1.32629777524242E-2</v>
      </c>
      <c r="I170" t="n">
        <v>99.088999999999999</v>
      </c>
      <c r="J170" t="n">
        <v>7.4934927606962196E-3</v>
      </c>
      <c r="K170" t="s">
        <v>1100</v>
      </c>
      <c r="L170" t="s">
        <v>932</v>
      </c>
    </row>
    <row r="171">
      <c r="A171" t="n">
        <v>9.7203652064314899E-3</v>
      </c>
      <c r="B171" t="n">
        <v>8.8550245823753003E-3</v>
      </c>
      <c r="C171" t="n">
        <v>-6.9787462524018001E-3</v>
      </c>
      <c r="D171" t="n">
        <v>3.2273930792219303E-2</v>
      </c>
      <c r="E171" t="s">
        <v>1612</v>
      </c>
      <c r="F171" t="s">
        <v>1443</v>
      </c>
      <c r="G171" t="n">
        <v>99.296000000000006</v>
      </c>
      <c r="H171" t="n">
        <v>-1.7492711370261599E-3</v>
      </c>
      <c r="I171" t="n">
        <v>99.879000000000005</v>
      </c>
      <c r="J171" t="n">
        <v>7.9726306653615797E-3</v>
      </c>
      <c r="K171" t="s">
        <v>1101</v>
      </c>
      <c r="L171" t="s">
        <v>932</v>
      </c>
    </row>
    <row r="172">
      <c r="A172" t="n">
        <v>1.1676944984941699E-2</v>
      </c>
      <c r="B172" t="n">
        <v>7.7077122555302396E-3</v>
      </c>
      <c r="C172" t="n">
        <v>2.44311343320835E-2</v>
      </c>
      <c r="D172" t="n">
        <v>2.17207841742009E-2</v>
      </c>
      <c r="E172" t="s">
        <v>1613</v>
      </c>
      <c r="F172" t="s">
        <v>1443</v>
      </c>
      <c r="G172" t="n">
        <v>99.897000000000006</v>
      </c>
      <c r="H172" t="n">
        <v>6.0526103770543998E-3</v>
      </c>
      <c r="I172" t="n">
        <v>100.417</v>
      </c>
      <c r="J172" t="n">
        <v>5.3865176864005297E-3</v>
      </c>
      <c r="K172" t="s">
        <v>1102</v>
      </c>
      <c r="L172" t="s">
        <v>932</v>
      </c>
    </row>
    <row r="173">
      <c r="A173" t="n">
        <v>2.2614716677978E-2</v>
      </c>
      <c r="B173" t="n">
        <v>4.9632662336496196E-3</v>
      </c>
      <c r="C173" t="n">
        <v>5.8918140200379103E-2</v>
      </c>
      <c r="D173" t="n">
        <v>7.9104688711333394E-3</v>
      </c>
      <c r="E173" t="s">
        <v>1614</v>
      </c>
      <c r="F173" t="s">
        <v>1443</v>
      </c>
      <c r="G173" t="n">
        <v>101.337</v>
      </c>
      <c r="H173" t="n">
        <v>1.4414847292711501E-2</v>
      </c>
      <c r="I173" t="n">
        <v>100.61499999999999</v>
      </c>
      <c r="J173" t="n">
        <v>1.9717776870449301E-3</v>
      </c>
      <c r="K173" t="s">
        <v>1103</v>
      </c>
      <c r="L173" t="s">
        <v>932</v>
      </c>
    </row>
    <row r="174">
      <c r="A174" t="n">
        <v>1.45079389824292E-2</v>
      </c>
      <c r="B174" t="n">
        <v>-1.9949826125076301E-4</v>
      </c>
      <c r="C174" t="n">
        <v>5.3376513955371498E-2</v>
      </c>
      <c r="D174" t="n">
        <v>1.6319173615011201E-2</v>
      </c>
      <c r="E174" t="s">
        <v>1615</v>
      </c>
      <c r="F174" t="s">
        <v>1443</v>
      </c>
      <c r="G174" t="n">
        <v>102.663</v>
      </c>
      <c r="H174" t="n">
        <v>1.3085052843482501E-2</v>
      </c>
      <c r="I174" t="n">
        <v>101.023</v>
      </c>
      <c r="J174" t="n">
        <v>4.05506137255873E-3</v>
      </c>
      <c r="K174" t="s">
        <v>1104</v>
      </c>
      <c r="L174" t="s">
        <v>932</v>
      </c>
    </row>
    <row r="175">
      <c r="A175" t="n">
        <v>2.8548469670495202E-3</v>
      </c>
      <c r="B175" t="n">
        <v>7.9245575399269404E-3</v>
      </c>
      <c r="C175" t="n">
        <v>2.14833879994034E-2</v>
      </c>
      <c r="D175" t="n">
        <v>2.0547855013869399E-2</v>
      </c>
      <c r="E175" t="s">
        <v>1616</v>
      </c>
      <c r="F175" t="s">
        <v>1443</v>
      </c>
      <c r="G175" t="n">
        <v>103.21</v>
      </c>
      <c r="H175" t="n">
        <v>5.3281123676494103E-3</v>
      </c>
      <c r="I175" t="n">
        <v>101.538</v>
      </c>
      <c r="J175" t="n">
        <v>5.0978490046820202E-3</v>
      </c>
      <c r="K175" t="s">
        <v>1105</v>
      </c>
      <c r="L175" t="s">
        <v>932</v>
      </c>
    </row>
    <row r="176">
      <c r="A176" t="n">
        <v>1.6326843500240801E-2</v>
      </c>
      <c r="B176" t="n">
        <v>1.3006397529373E-2</v>
      </c>
      <c r="C176" t="n">
        <v>3.4225885044726997E-2</v>
      </c>
      <c r="D176" t="n">
        <v>2.1723337040250802E-2</v>
      </c>
      <c r="E176" t="s">
        <v>1617</v>
      </c>
      <c r="F176" t="s">
        <v>1443</v>
      </c>
      <c r="G176" t="n">
        <v>104.08199999999999</v>
      </c>
      <c r="H176" t="n">
        <v>8.4487937215385108E-3</v>
      </c>
      <c r="I176" t="n">
        <v>102.08499999999999</v>
      </c>
      <c r="J176" t="n">
        <v>5.3871456991470001E-3</v>
      </c>
      <c r="K176" t="s">
        <v>1106</v>
      </c>
      <c r="L176" t="s">
        <v>932</v>
      </c>
    </row>
    <row r="177">
      <c r="A177" t="n">
        <v>1.6859105016114002E-2</v>
      </c>
      <c r="B177" t="n">
        <v>6.2259222369993199E-2</v>
      </c>
      <c r="C177" t="n">
        <v>2.1461497744286601E-2</v>
      </c>
      <c r="D177" t="n">
        <v>3.0554089712781E-2</v>
      </c>
      <c r="E177" t="s">
        <v>1618</v>
      </c>
      <c r="F177" t="s">
        <v>1443</v>
      </c>
      <c r="G177" t="n">
        <v>104.636</v>
      </c>
      <c r="H177" t="n">
        <v>5.3227263119464104E-3</v>
      </c>
      <c r="I177" t="n">
        <v>102.85599999999999</v>
      </c>
      <c r="J177" t="n">
        <v>7.55252975461618E-3</v>
      </c>
      <c r="K177" t="s">
        <v>1107</v>
      </c>
      <c r="L177" t="s">
        <v>932</v>
      </c>
    </row>
    <row r="178">
      <c r="A178" t="n">
        <v>1.93744928521071E-2</v>
      </c>
      <c r="B178" t="n">
        <v>-1.02831916231174E-2</v>
      </c>
      <c r="C178" t="n">
        <v>3.4027993671362999E-2</v>
      </c>
      <c r="D178" t="n">
        <v>2.27077607090642E-2</v>
      </c>
      <c r="E178" t="s">
        <v>1619</v>
      </c>
      <c r="F178" t="s">
        <v>1443</v>
      </c>
      <c r="G178" t="n">
        <v>105.515</v>
      </c>
      <c r="H178" t="n">
        <v>8.4005504797584098E-3</v>
      </c>
      <c r="I178" t="n">
        <v>103.435</v>
      </c>
      <c r="J178" t="n">
        <v>5.6292292136579398E-3</v>
      </c>
      <c r="K178" t="s">
        <v>1108</v>
      </c>
      <c r="L178" t="s">
        <v>932</v>
      </c>
    </row>
    <row r="179">
      <c r="A179" t="n">
        <v>2.0192934056340501E-2</v>
      </c>
      <c r="B179" t="n">
        <v>1.7798477087045E-2</v>
      </c>
      <c r="C179" t="n">
        <v>1.2683683496116101E-2</v>
      </c>
      <c r="D179" t="n">
        <v>1.8378329285591199E-2</v>
      </c>
      <c r="E179" t="s">
        <v>1620</v>
      </c>
      <c r="F179" t="s">
        <v>1443</v>
      </c>
      <c r="G179" t="n">
        <v>105.848</v>
      </c>
      <c r="H179" t="n">
        <v>3.1559493910817702E-3</v>
      </c>
      <c r="I179" t="n">
        <v>103.907</v>
      </c>
      <c r="J179" t="n">
        <v>4.5632522840430801E-3</v>
      </c>
      <c r="K179" t="s">
        <v>1109</v>
      </c>
      <c r="L179" t="s">
        <v>932</v>
      </c>
    </row>
    <row r="180">
      <c r="A180" t="n">
        <v>1.13601398604235E-2</v>
      </c>
      <c r="B180" t="n">
        <v>1.8827452214838801E-2</v>
      </c>
      <c r="C180" t="n">
        <v>2.3098181930942801E-2</v>
      </c>
      <c r="D180" t="n">
        <v>1.94654703730235E-2</v>
      </c>
      <c r="E180" t="s">
        <v>1621</v>
      </c>
      <c r="F180" t="s">
        <v>1443</v>
      </c>
      <c r="G180" t="n">
        <v>106.45399999999999</v>
      </c>
      <c r="H180" t="n">
        <v>5.7251908396946903E-3</v>
      </c>
      <c r="I180" t="n">
        <v>104.40900000000001</v>
      </c>
      <c r="J180" t="n">
        <v>4.8312433233566E-3</v>
      </c>
      <c r="K180" t="s">
        <v>1110</v>
      </c>
      <c r="L180" t="s">
        <v>932</v>
      </c>
    </row>
    <row r="181">
      <c r="A181" t="n">
        <v>-4.6048768205230201E-3</v>
      </c>
      <c r="B181" t="n">
        <v>5.3720415632923001E-3</v>
      </c>
      <c r="C181" t="n">
        <v>-3.1150724387948299E-3</v>
      </c>
      <c r="D181" t="n">
        <v>7.0678568534106E-3</v>
      </c>
      <c r="E181" t="s">
        <v>1622</v>
      </c>
      <c r="F181" t="s">
        <v>1443</v>
      </c>
      <c r="G181" t="n">
        <v>106.371</v>
      </c>
      <c r="H181" t="n">
        <v>-7.7967948597512703E-4</v>
      </c>
      <c r="I181" t="n">
        <v>104.593</v>
      </c>
      <c r="J181" t="n">
        <v>1.76230018484991E-3</v>
      </c>
      <c r="K181" t="s">
        <v>1111</v>
      </c>
      <c r="L181" t="s">
        <v>932</v>
      </c>
    </row>
    <row r="182">
      <c r="A182" t="n">
        <v>-1.65067373701384E-2</v>
      </c>
      <c r="B182" t="n">
        <v>-6.4248737444822001E-3</v>
      </c>
      <c r="C182" t="n">
        <v>-3.9305105462135198E-2</v>
      </c>
      <c r="D182" t="n">
        <v>-1.18502082280647E-3</v>
      </c>
      <c r="E182" t="s">
        <v>1623</v>
      </c>
      <c r="F182" t="s">
        <v>1443</v>
      </c>
      <c r="G182" t="n">
        <v>105.31</v>
      </c>
      <c r="H182" t="n">
        <v>-9.9745231313045392E-3</v>
      </c>
      <c r="I182" t="n">
        <v>104.562</v>
      </c>
      <c r="J182" t="n">
        <v>-2.9638694750133698E-4</v>
      </c>
      <c r="K182" t="s">
        <v>1112</v>
      </c>
      <c r="L182" t="s">
        <v>932</v>
      </c>
    </row>
    <row r="183">
      <c r="A183" t="n">
        <v>1.9548766403745001E-2</v>
      </c>
      <c r="B183" t="n">
        <v>7.87290366046434E-3</v>
      </c>
      <c r="C183" t="n">
        <v>2.82887807392058E-2</v>
      </c>
      <c r="D183" t="n">
        <v>1.76749178700988E-2</v>
      </c>
      <c r="E183" t="s">
        <v>1624</v>
      </c>
      <c r="F183" t="s">
        <v>1443</v>
      </c>
      <c r="G183" t="n">
        <v>106.047</v>
      </c>
      <c r="H183" t="n">
        <v>6.9983857183553199E-3</v>
      </c>
      <c r="I183" t="n">
        <v>105.021</v>
      </c>
      <c r="J183" t="n">
        <v>4.3897400585299904E-3</v>
      </c>
      <c r="K183" t="s">
        <v>1113</v>
      </c>
      <c r="L183" t="s">
        <v>932</v>
      </c>
    </row>
    <row r="184">
      <c r="A184" t="n">
        <v>9.6917092109320997E-3</v>
      </c>
      <c r="B184" t="n">
        <v>6.1419866574232698E-3</v>
      </c>
      <c r="C184" t="n">
        <v>2.4162101667697402E-3</v>
      </c>
      <c r="D184" t="n">
        <v>1.1398511762960899E-2</v>
      </c>
      <c r="E184" t="s">
        <v>1625</v>
      </c>
      <c r="F184" t="s">
        <v>1443</v>
      </c>
      <c r="G184" t="n">
        <v>106.111</v>
      </c>
      <c r="H184" t="n">
        <v>6.0350599262592997E-4</v>
      </c>
      <c r="I184" t="n">
        <v>105.319</v>
      </c>
      <c r="J184" t="n">
        <v>2.8375277325487498E-3</v>
      </c>
      <c r="K184" t="s">
        <v>1114</v>
      </c>
      <c r="L184" t="s">
        <v>932</v>
      </c>
    </row>
    <row r="185">
      <c r="A185" t="n">
        <v>-3.9403871252573497E-3</v>
      </c>
      <c r="B185" t="n">
        <v>-3.1716537268759999E-3</v>
      </c>
      <c r="C185" t="n">
        <v>-1.5664221695060501E-2</v>
      </c>
      <c r="D185" t="n">
        <v>-2.2010123911118101E-3</v>
      </c>
      <c r="E185" t="s">
        <v>1626</v>
      </c>
      <c r="F185" t="s">
        <v>1443</v>
      </c>
      <c r="G185" t="n">
        <v>105.693</v>
      </c>
      <c r="H185" t="n">
        <v>-3.9392711405981098E-3</v>
      </c>
      <c r="I185" t="n">
        <v>105.261</v>
      </c>
      <c r="J185" t="n">
        <v>-5.5070784948596497E-4</v>
      </c>
      <c r="K185" t="s">
        <v>1115</v>
      </c>
      <c r="L185" t="s">
        <v>932</v>
      </c>
    </row>
    <row r="186">
      <c r="A186" t="n">
        <v>2.1316685833889801E-3</v>
      </c>
      <c r="B186" t="n">
        <v>-9.9615046560082004E-3</v>
      </c>
      <c r="C186" t="n">
        <v>-3.3665208430493802E-2</v>
      </c>
      <c r="D186" t="n">
        <v>-9.6550430027560995E-3</v>
      </c>
      <c r="E186" t="s">
        <v>1627</v>
      </c>
      <c r="F186" t="s">
        <v>1443</v>
      </c>
      <c r="G186" t="n">
        <v>104.792</v>
      </c>
      <c r="H186" t="n">
        <v>-8.5246894307096106E-3</v>
      </c>
      <c r="I186" t="n">
        <v>105.006</v>
      </c>
      <c r="J186" t="n">
        <v>-2.4225496622680702E-3</v>
      </c>
      <c r="K186" t="s">
        <v>1116</v>
      </c>
      <c r="L186" t="s">
        <v>932</v>
      </c>
    </row>
    <row r="187">
      <c r="A187" t="n">
        <v>2.5357857709627601E-2</v>
      </c>
      <c r="B187" t="n">
        <v>2.1698746196001199E-2</v>
      </c>
      <c r="C187" t="n">
        <v>3.0770998377488399E-2</v>
      </c>
      <c r="D187" t="n">
        <v>3.3008554152673703E-2</v>
      </c>
      <c r="E187" t="s">
        <v>1628</v>
      </c>
      <c r="F187" t="s">
        <v>1443</v>
      </c>
      <c r="G187" t="n">
        <v>105.589</v>
      </c>
      <c r="H187" t="n">
        <v>7.6055424078174099E-3</v>
      </c>
      <c r="I187" t="n">
        <v>105.86199999999999</v>
      </c>
      <c r="J187" t="n">
        <v>8.1519151286593202E-3</v>
      </c>
      <c r="K187" t="s">
        <v>1117</v>
      </c>
      <c r="L187" t="s">
        <v>932</v>
      </c>
    </row>
    <row r="188">
      <c r="A188" t="n">
        <v>1.5085753101185199E-2</v>
      </c>
      <c r="B188" t="n">
        <v>1.5625918949128799E-2</v>
      </c>
      <c r="C188" t="n">
        <v>1.5469326265677499E-2</v>
      </c>
      <c r="D188" t="n">
        <v>3.0262315011426702E-3</v>
      </c>
      <c r="E188" t="s">
        <v>1629</v>
      </c>
      <c r="F188" t="s">
        <v>1443</v>
      </c>
      <c r="G188" t="n">
        <v>105.995</v>
      </c>
      <c r="H188" t="n">
        <v>3.8450975006867299E-3</v>
      </c>
      <c r="I188" t="n">
        <v>105.94199999999999</v>
      </c>
      <c r="J188" t="n">
        <v>7.5570081804610101E-4</v>
      </c>
      <c r="K188" t="s">
        <v>1118</v>
      </c>
      <c r="L188" t="s">
        <v>932</v>
      </c>
    </row>
    <row r="189">
      <c r="A189" t="n">
        <v>1.9065277405527499E-2</v>
      </c>
      <c r="B189" t="n">
        <v>1.9426037707255001E-2</v>
      </c>
      <c r="C189" t="n">
        <v>1.98067429774604E-2</v>
      </c>
      <c r="D189" t="n">
        <v>1.9471921944120799E-2</v>
      </c>
      <c r="E189" t="s">
        <v>1630</v>
      </c>
      <c r="F189" t="s">
        <v>1443</v>
      </c>
      <c r="G189" t="n">
        <v>106.51600000000001</v>
      </c>
      <c r="H189" t="n">
        <v>4.9153261946317502E-3</v>
      </c>
      <c r="I189" t="n">
        <v>106.45399999999999</v>
      </c>
      <c r="J189" t="n">
        <v>4.8328330595985803E-3</v>
      </c>
      <c r="K189" t="s">
        <v>1119</v>
      </c>
      <c r="L189" t="s">
        <v>932</v>
      </c>
    </row>
    <row r="190">
      <c r="A190" t="n">
        <v>2.3896314746341098E-2</v>
      </c>
      <c r="B190" t="n">
        <v>1.9409885132803301E-2</v>
      </c>
      <c r="C190" t="n">
        <v>3.9514900887574103E-2</v>
      </c>
      <c r="D190" t="n">
        <v>2.7099611156277601E-2</v>
      </c>
      <c r="E190" t="s">
        <v>1631</v>
      </c>
      <c r="F190" t="s">
        <v>1443</v>
      </c>
      <c r="G190" t="n">
        <v>107.53400000000001</v>
      </c>
      <c r="H190" t="n">
        <v>9.5572496150813108E-3</v>
      </c>
      <c r="I190" t="n">
        <v>107.188</v>
      </c>
      <c r="J190" t="n">
        <v>6.8949969000695601E-3</v>
      </c>
      <c r="K190" t="s">
        <v>1120</v>
      </c>
      <c r="L190" t="s">
        <v>932</v>
      </c>
    </row>
    <row r="191">
      <c r="A191" t="n">
        <v>9.9328007831764892E-3</v>
      </c>
      <c r="B191" t="n">
        <v>1.3103273651826199E-2</v>
      </c>
      <c r="C191" t="n">
        <v>9.0306358829268501E-3</v>
      </c>
      <c r="D191" t="n">
        <v>2.1521193573355E-2</v>
      </c>
      <c r="E191" t="s">
        <v>1632</v>
      </c>
      <c r="F191" t="s">
        <v>1443</v>
      </c>
      <c r="G191" t="n">
        <v>107.80200000000001</v>
      </c>
      <c r="H191" t="n">
        <v>2.49223501404217E-3</v>
      </c>
      <c r="I191" t="n">
        <v>107.712</v>
      </c>
      <c r="J191" t="n">
        <v>4.8886069336120403E-3</v>
      </c>
      <c r="K191" t="s">
        <v>1121</v>
      </c>
      <c r="L191" t="s">
        <v>932</v>
      </c>
    </row>
    <row r="192">
      <c r="A192" t="n">
        <v>1.4603017582518699E-2</v>
      </c>
      <c r="B192" t="n">
        <v>1.7788818797953999E-2</v>
      </c>
      <c r="C192" t="n">
        <v>3.6635495652026999E-2</v>
      </c>
      <c r="D192" t="n">
        <v>3.6311211479282998E-2</v>
      </c>
      <c r="E192" t="s">
        <v>1633</v>
      </c>
      <c r="F192" t="s">
        <v>1443</v>
      </c>
      <c r="G192" t="n">
        <v>108.785</v>
      </c>
      <c r="H192" t="n">
        <v>9.1185692287711895E-3</v>
      </c>
      <c r="I192" t="n">
        <v>108.676</v>
      </c>
      <c r="J192" t="n">
        <v>8.94979203802726E-3</v>
      </c>
      <c r="K192" t="s">
        <v>1122</v>
      </c>
      <c r="L192" t="s">
        <v>932</v>
      </c>
    </row>
    <row r="193">
      <c r="A193" t="n">
        <v>2.5719713356744601E-2</v>
      </c>
      <c r="B193" t="n">
        <v>2.90667642529692E-2</v>
      </c>
      <c r="C193" t="n">
        <v>5.7042627848445E-2</v>
      </c>
      <c r="D193" t="n">
        <v>2.3197124388088401E-2</v>
      </c>
      <c r="E193" t="s">
        <v>1634</v>
      </c>
      <c r="F193" t="s">
        <v>1443</v>
      </c>
      <c r="G193" t="n">
        <v>110.252</v>
      </c>
      <c r="H193" t="n">
        <v>1.3485315071011699E-2</v>
      </c>
      <c r="I193" t="n">
        <v>109.285</v>
      </c>
      <c r="J193" t="n">
        <v>5.6038131694209304E-3</v>
      </c>
      <c r="K193" t="s">
        <v>1123</v>
      </c>
      <c r="L193" t="s">
        <v>932</v>
      </c>
    </row>
    <row r="194">
      <c r="A194" t="n">
        <v>2.9147369447939799E-2</v>
      </c>
      <c r="B194" t="n">
        <v>4.11537159385129E-2</v>
      </c>
      <c r="C194" t="n">
        <v>5.2316315130779299E-2</v>
      </c>
      <c r="D194" t="n">
        <v>3.8107075575473298E-2</v>
      </c>
      <c r="E194" t="s">
        <v>1635</v>
      </c>
      <c r="F194" t="s">
        <v>1443</v>
      </c>
      <c r="G194" t="n">
        <v>111.627</v>
      </c>
      <c r="H194" t="n">
        <v>1.24714290897217E-2</v>
      </c>
      <c r="I194" t="n">
        <v>110.291</v>
      </c>
      <c r="J194" t="n">
        <v>9.2052889234570702E-3</v>
      </c>
      <c r="K194" t="s">
        <v>1124</v>
      </c>
      <c r="L194" t="s">
        <v>932</v>
      </c>
    </row>
    <row r="195">
      <c r="A195" t="n">
        <v>2.1663179127611398E-2</v>
      </c>
      <c r="B195" t="n">
        <v>2.95524402709311E-2</v>
      </c>
      <c r="C195" t="n">
        <v>4.1414814571916599E-2</v>
      </c>
      <c r="D195" t="n">
        <v>5.71493007542314E-2</v>
      </c>
      <c r="E195" t="s">
        <v>1636</v>
      </c>
      <c r="F195" t="s">
        <v>1443</v>
      </c>
      <c r="G195" t="n">
        <v>112.81100000000001</v>
      </c>
      <c r="H195" t="n">
        <v>1.06067528465337E-2</v>
      </c>
      <c r="I195" t="n">
        <v>111.736</v>
      </c>
      <c r="J195" t="n">
        <v>1.3101703674824E-2</v>
      </c>
      <c r="K195" t="s">
        <v>1125</v>
      </c>
      <c r="L195" t="s">
        <v>932</v>
      </c>
    </row>
    <row r="196">
      <c r="A196" t="n">
        <v>1.4350946991545E-2</v>
      </c>
      <c r="B196" t="n">
        <v>2.3387558006987101E-2</v>
      </c>
      <c r="C196" t="n">
        <v>3.8836746328921902E-2</v>
      </c>
      <c r="D196" t="n">
        <v>2.9745006586506799E-2</v>
      </c>
      <c r="E196" t="s">
        <v>1637</v>
      </c>
      <c r="F196" t="s">
        <v>1443</v>
      </c>
      <c r="G196" t="n">
        <v>113.875</v>
      </c>
      <c r="H196" t="n">
        <v>9.4317043550717905E-3</v>
      </c>
      <c r="I196" t="n">
        <v>112.542</v>
      </c>
      <c r="J196" t="n">
        <v>7.2134316603422698E-3</v>
      </c>
      <c r="K196" t="s">
        <v>1126</v>
      </c>
      <c r="L196" t="s">
        <v>932</v>
      </c>
    </row>
    <row r="197">
      <c r="A197" t="n">
        <v>1.51565091171486E-2</v>
      </c>
      <c r="B197" t="n">
        <v>2.9652502701153601E-2</v>
      </c>
      <c r="C197" t="n">
        <v>1.6036274889288799E-2</v>
      </c>
      <c r="D197" t="n">
        <v>4.1912016313216102E-2</v>
      </c>
      <c r="E197" t="s">
        <v>1638</v>
      </c>
      <c r="F197" t="s">
        <v>1443</v>
      </c>
      <c r="G197" t="n">
        <v>114.43899999999999</v>
      </c>
      <c r="H197" t="n">
        <v>4.9527991218440998E-3</v>
      </c>
      <c r="I197" t="n">
        <v>113.715</v>
      </c>
      <c r="J197" t="n">
        <v>1.0422775497147801E-2</v>
      </c>
      <c r="K197" t="s">
        <v>1127</v>
      </c>
      <c r="L197" t="s">
        <v>932</v>
      </c>
    </row>
    <row r="198">
      <c r="A198" t="n">
        <v>8.3593342288621492E-3</v>
      </c>
      <c r="B198" t="n">
        <v>4.3357912415273203E-2</v>
      </c>
      <c r="C198" t="n">
        <v>-1.6750426853228501E-2</v>
      </c>
      <c r="D198" t="n">
        <v>1.5721372171975601E-2</v>
      </c>
      <c r="E198" t="s">
        <v>1639</v>
      </c>
      <c r="F198" t="s">
        <v>1443</v>
      </c>
      <c r="G198" t="n">
        <v>113.98</v>
      </c>
      <c r="H198" t="n">
        <v>-4.0108704200489996E-3</v>
      </c>
      <c r="I198" t="n">
        <v>114.175</v>
      </c>
      <c r="J198" t="n">
        <v>4.0452007211009304E-3</v>
      </c>
      <c r="K198" t="s">
        <v>1128</v>
      </c>
      <c r="L198" t="s">
        <v>932</v>
      </c>
    </row>
    <row r="199">
      <c r="A199" t="n">
        <v>2.4734353401226102E-2</v>
      </c>
      <c r="B199" t="n">
        <v>-2.6343933972632301E-2</v>
      </c>
      <c r="C199" t="n">
        <v>2.5813818283005E-2</v>
      </c>
      <c r="D199" t="n">
        <v>4.8037769815769002E-2</v>
      </c>
      <c r="E199" t="s">
        <v>1640</v>
      </c>
      <c r="F199" t="s">
        <v>1443</v>
      </c>
      <c r="G199" t="n">
        <v>114.758</v>
      </c>
      <c r="H199" t="n">
        <v>6.8257589050710896E-3</v>
      </c>
      <c r="I199" t="n">
        <v>115.41800000000001</v>
      </c>
      <c r="J199" t="n">
        <v>1.0886796584191E-2</v>
      </c>
      <c r="K199" t="s">
        <v>1129</v>
      </c>
      <c r="L199" t="s">
        <v>932</v>
      </c>
    </row>
    <row r="200">
      <c r="A200" t="n">
        <v>1.0490970472330399E-2</v>
      </c>
      <c r="B200" t="n">
        <v>1.0018821110834301E-2</v>
      </c>
      <c r="C200" t="n">
        <v>8.6124156242581903E-3</v>
      </c>
      <c r="D200" t="n">
        <v>1.9083730667159401E-2</v>
      </c>
      <c r="E200" t="s">
        <v>1641</v>
      </c>
      <c r="F200" t="s">
        <v>1443</v>
      </c>
      <c r="G200" t="n">
        <v>114.919</v>
      </c>
      <c r="H200" t="n">
        <v>1.40295229962173E-3</v>
      </c>
      <c r="I200" t="n">
        <v>115.982</v>
      </c>
      <c r="J200" t="n">
        <v>4.8865861477411796E-3</v>
      </c>
      <c r="K200" t="s">
        <v>1130</v>
      </c>
      <c r="L200" t="s">
        <v>932</v>
      </c>
    </row>
    <row r="201">
      <c r="A201" t="n">
        <v>1.45690487077856E-2</v>
      </c>
      <c r="B201" t="n">
        <v>1.6245763277308499E-2</v>
      </c>
      <c r="C201" t="n">
        <v>1.6996215944869601E-2</v>
      </c>
      <c r="D201" t="n">
        <v>5.8979339636946503E-3</v>
      </c>
      <c r="E201" t="s">
        <v>1642</v>
      </c>
      <c r="F201" t="s">
        <v>1443</v>
      </c>
      <c r="G201" t="n">
        <v>115.285</v>
      </c>
      <c r="H201" t="n">
        <v>3.1848519391919298E-3</v>
      </c>
      <c r="I201" t="n">
        <v>116.167</v>
      </c>
      <c r="J201" t="n">
        <v>1.59507509785994E-3</v>
      </c>
      <c r="K201" t="s">
        <v>1131</v>
      </c>
      <c r="L201" t="s">
        <v>932</v>
      </c>
    </row>
    <row r="202">
      <c r="A202" t="n">
        <v>1.46624987744557E-2</v>
      </c>
      <c r="B202" t="n">
        <v>1.3591255249432201E-2</v>
      </c>
      <c r="C202" t="n">
        <v>5.0660572456327199E-2</v>
      </c>
      <c r="D202" t="n">
        <v>1.0418465412080901E-2</v>
      </c>
      <c r="E202" t="s">
        <v>1643</v>
      </c>
      <c r="F202" t="s">
        <v>1443</v>
      </c>
      <c r="G202" t="n">
        <v>116.54600000000001</v>
      </c>
      <c r="H202" t="n">
        <v>1.09381099015484E-2</v>
      </c>
      <c r="I202" t="n">
        <v>116.5</v>
      </c>
      <c r="J202" t="n">
        <v>2.86656279322006E-3</v>
      </c>
      <c r="K202" t="s">
        <v>1132</v>
      </c>
      <c r="L202" t="s">
        <v>932</v>
      </c>
    </row>
    <row r="203">
      <c r="A203" t="n">
        <v>-1.7940859457881899E-2</v>
      </c>
      <c r="B203" t="n">
        <v>3.31045118831508E-3</v>
      </c>
      <c r="C203" t="n">
        <v>-1.06133933402519E-3</v>
      </c>
      <c r="D203" t="n">
        <v>-7.65559802497651E-3</v>
      </c>
      <c r="E203" t="s">
        <v>1644</v>
      </c>
      <c r="F203" t="s">
        <v>1443</v>
      </c>
      <c r="G203" t="n">
        <v>116.072</v>
      </c>
      <c r="H203" t="n">
        <v>-4.0670636486881398E-3</v>
      </c>
      <c r="I203" t="n">
        <v>116.19499999999999</v>
      </c>
      <c r="J203" t="n">
        <v>-2.61802575107306E-3</v>
      </c>
      <c r="K203" t="s">
        <v>1133</v>
      </c>
      <c r="L203" t="s">
        <v>932</v>
      </c>
    </row>
    <row r="204">
      <c r="A204" t="n">
        <v>3.3775526155126898E-2</v>
      </c>
      <c r="B204" t="n">
        <v>2.5959727144998501E-2</v>
      </c>
      <c r="C204" t="n">
        <v>3.4596703938155803E-2</v>
      </c>
      <c r="D204" t="n">
        <v>4.1355015452944698E-2</v>
      </c>
      <c r="E204" t="s">
        <v>1645</v>
      </c>
      <c r="F204" t="s">
        <v>1443</v>
      </c>
      <c r="G204" t="n">
        <v>116.51900000000001</v>
      </c>
      <c r="H204" t="n">
        <v>3.8510579640223001E-3</v>
      </c>
      <c r="I204" t="n">
        <v>117.285</v>
      </c>
      <c r="J204" t="n">
        <v>9.3807823056069103E-3</v>
      </c>
      <c r="K204" t="s">
        <v>1134</v>
      </c>
      <c r="L204" t="s">
        <v>932</v>
      </c>
    </row>
    <row r="205">
      <c r="A205" t="n">
        <v>1.6442937470855502E-2</v>
      </c>
      <c r="B205" t="n">
        <v>2.4447407360365301E-2</v>
      </c>
      <c r="C205" t="n">
        <v>5.1547958936444697E-2</v>
      </c>
      <c r="D205" t="n">
        <v>1.8415186976738801E-2</v>
      </c>
      <c r="E205" t="s">
        <v>1646</v>
      </c>
      <c r="F205" t="s">
        <v>1443</v>
      </c>
      <c r="G205" t="n">
        <v>117.593</v>
      </c>
      <c r="H205" t="n">
        <v>9.2173808563409398E-3</v>
      </c>
      <c r="I205" t="n">
        <v>117.706</v>
      </c>
      <c r="J205" t="n">
        <v>3.5895468303705999E-3</v>
      </c>
      <c r="K205" t="s">
        <v>1135</v>
      </c>
      <c r="L205" t="s">
        <v>932</v>
      </c>
    </row>
    <row r="206">
      <c r="A206" t="n">
        <v>4.5025943450948999E-2</v>
      </c>
      <c r="B206" t="n">
        <v>4.0827649049089101E-2</v>
      </c>
      <c r="C206" t="n">
        <v>9.2834286401326696E-2</v>
      </c>
      <c r="D206" t="n">
        <v>6.4160755006020101E-2</v>
      </c>
      <c r="E206" t="s">
        <v>1647</v>
      </c>
      <c r="F206" t="s">
        <v>1443</v>
      </c>
      <c r="G206" t="n">
        <v>119.419</v>
      </c>
      <c r="H206" t="n">
        <v>1.5528135178114201E-2</v>
      </c>
      <c r="I206" t="n">
        <v>119.416</v>
      </c>
      <c r="J206" t="n">
        <v>1.45277216114725E-2</v>
      </c>
      <c r="K206" t="s">
        <v>1136</v>
      </c>
      <c r="L206" t="s">
        <v>932</v>
      </c>
    </row>
    <row r="207">
      <c r="A207" t="n">
        <v>6.4441802743663304E-2</v>
      </c>
      <c r="B207" t="n">
        <v>4.1247362410053098E-2</v>
      </c>
      <c r="C207" t="n">
        <v>8.0575514620662397E-2</v>
      </c>
      <c r="D207" t="n">
        <v>0.104589902157439</v>
      </c>
      <c r="E207" t="s">
        <v>1648</v>
      </c>
      <c r="F207" t="s">
        <v>1443</v>
      </c>
      <c r="G207" t="n">
        <v>121.425</v>
      </c>
      <c r="H207" t="n">
        <v>1.6797996968656699E-2</v>
      </c>
      <c r="I207" t="n">
        <v>122.101</v>
      </c>
      <c r="J207" t="n">
        <v>2.24844241977624E-2</v>
      </c>
      <c r="K207" t="s">
        <v>1137</v>
      </c>
      <c r="L207" t="s">
        <v>932</v>
      </c>
    </row>
    <row r="208">
      <c r="A208" t="n">
        <v>5.5998846943190198E-2</v>
      </c>
      <c r="B208" t="n">
        <v>4.40178580952795E-2</v>
      </c>
      <c r="C208" t="n">
        <v>6.4680375979367696E-2</v>
      </c>
      <c r="D208" t="n">
        <v>9.3631239224950299E-2</v>
      </c>
      <c r="E208" t="s">
        <v>1649</v>
      </c>
      <c r="F208" t="s">
        <v>1443</v>
      </c>
      <c r="G208" t="n">
        <v>123.291</v>
      </c>
      <c r="H208" t="n">
        <v>1.53675108091413E-2</v>
      </c>
      <c r="I208" t="n">
        <v>124.71</v>
      </c>
      <c r="J208" t="n">
        <v>2.13675563672697E-2</v>
      </c>
      <c r="K208" t="s">
        <v>1138</v>
      </c>
      <c r="L208" t="s">
        <v>932</v>
      </c>
    </row>
    <row r="209">
      <c r="A209" t="n">
        <v>6.1859650545573498E-2</v>
      </c>
      <c r="B209" t="n">
        <v>4.34322998250962E-2</v>
      </c>
      <c r="C209" t="n">
        <v>8.4136934840178798E-2</v>
      </c>
      <c r="D209" t="n">
        <v>0.12124821634027599</v>
      </c>
      <c r="E209" t="s">
        <v>1650</v>
      </c>
      <c r="F209" t="s">
        <v>1443</v>
      </c>
      <c r="G209" t="n">
        <v>125.712</v>
      </c>
      <c r="H209" t="n">
        <v>1.96364698153151E-2</v>
      </c>
      <c r="I209" t="n">
        <v>128.44900000000001</v>
      </c>
      <c r="J209" t="n">
        <v>2.9981557212733798E-2</v>
      </c>
      <c r="K209" t="s">
        <v>1139</v>
      </c>
      <c r="L209" t="s">
        <v>932</v>
      </c>
    </row>
    <row r="210">
      <c r="A210" t="n">
        <v>7.4784916271317198E-2</v>
      </c>
      <c r="B210" t="n">
        <v>5.6798579453040801E-2</v>
      </c>
      <c r="C210" t="n">
        <v>0.10120576467409099</v>
      </c>
      <c r="D210" t="n">
        <v>0.12687792670398401</v>
      </c>
      <c r="E210" t="s">
        <v>1651</v>
      </c>
      <c r="F210" t="s">
        <v>1443</v>
      </c>
      <c r="G210" t="n">
        <v>129</v>
      </c>
      <c r="H210" t="n">
        <v>2.6155021000381799E-2</v>
      </c>
      <c r="I210" t="n">
        <v>132.33099999999999</v>
      </c>
      <c r="J210" t="n">
        <v>3.0222111499505398E-2</v>
      </c>
      <c r="K210" t="s">
        <v>1140</v>
      </c>
      <c r="L210" t="s">
        <v>932</v>
      </c>
    </row>
    <row r="211">
      <c r="A211" t="n">
        <v>7.2922192171477093E-2</v>
      </c>
      <c r="B211" t="n">
        <v>5.9959109255099501E-2</v>
      </c>
      <c r="C211" t="n">
        <v>0.15221841372862299</v>
      </c>
      <c r="D211" t="n">
        <v>0.13796693794697101</v>
      </c>
      <c r="E211" t="s">
        <v>1652</v>
      </c>
      <c r="F211" t="s">
        <v>1443</v>
      </c>
      <c r="G211" t="n">
        <v>133.62100000000001</v>
      </c>
      <c r="H211" t="n">
        <v>3.5821705426356799E-2</v>
      </c>
      <c r="I211" t="n">
        <v>136.69900000000001</v>
      </c>
      <c r="J211" t="n">
        <v>3.3008138682546297E-2</v>
      </c>
      <c r="K211" t="s">
        <v>1141</v>
      </c>
      <c r="L211" t="s">
        <v>932</v>
      </c>
    </row>
    <row r="212">
      <c r="A212" t="n">
        <v>4.1796200977757901E-2</v>
      </c>
      <c r="B212" t="n">
        <v>4.8377032065661102E-2</v>
      </c>
      <c r="C212" t="n">
        <v>8.9811228034972802E-3</v>
      </c>
      <c r="D212" t="n">
        <v>8.9581033951388098E-2</v>
      </c>
      <c r="E212" t="s">
        <v>1653</v>
      </c>
      <c r="F212" t="s">
        <v>1443</v>
      </c>
      <c r="H212" t="n">
        <v>1.10762503071244E-2</v>
      </c>
      <c r="J212" t="n">
        <v>1.10762503071244E-2</v>
      </c>
      <c r="K212" t="s">
        <v>1142</v>
      </c>
      <c r="L212" t="s">
        <v>1143</v>
      </c>
    </row>
    <row r="213">
      <c r="A213" t="n">
        <v>2.7447616796656402E-2</v>
      </c>
      <c r="B213" t="n">
        <v>2.3249618404576101E-2</v>
      </c>
      <c r="C213" t="n">
        <v>3.8298767461848897E-2</v>
      </c>
      <c r="D213" t="n">
        <v>3.8298767461848897E-2</v>
      </c>
      <c r="E213" t="s">
        <v>1654</v>
      </c>
      <c r="F213" t="s">
        <v>1655</v>
      </c>
      <c r="H213" t="n">
        <v>9.4401732935755992E-3</v>
      </c>
      <c r="J213" t="n">
        <v>9.4401732935755992E-3</v>
      </c>
      <c r="K213" t="s">
        <v>1144</v>
      </c>
      <c r="L213" t="s">
        <v>1143</v>
      </c>
    </row>
    <row r="214">
      <c r="A214" t="n">
        <v>2.49173870638888E-2</v>
      </c>
      <c r="B214" t="n">
        <v>2.1715756912072299E-2</v>
      </c>
      <c r="C214" t="n">
        <v>3.6085750781477598E-2</v>
      </c>
      <c r="D214" t="n">
        <v>3.6085750781477598E-2</v>
      </c>
      <c r="E214" t="s">
        <v>1656</v>
      </c>
      <c r="F214" t="s">
        <v>1655</v>
      </c>
      <c r="H214" t="n">
        <v>8.9018658885664497E-3</v>
      </c>
      <c r="J214" t="n">
        <v>8.9018658885664497E-3</v>
      </c>
      <c r="K214" t="s">
        <v>1145</v>
      </c>
      <c r="L214" t="s">
        <v>1143</v>
      </c>
    </row>
    <row r="215">
      <c r="A215" t="n">
        <v>2.33440010578361E-2</v>
      </c>
      <c r="B215" t="n">
        <v>2.1485909848918801E-2</v>
      </c>
      <c r="C215" t="n">
        <v>3.2005284910624002E-2</v>
      </c>
      <c r="D215" t="n">
        <v>3.2005284910624002E-2</v>
      </c>
      <c r="E215" t="s">
        <v>1657</v>
      </c>
      <c r="F215" t="s">
        <v>1655</v>
      </c>
      <c r="H215" t="n">
        <v>7.9070438771131606E-3</v>
      </c>
      <c r="J215" t="n">
        <v>7.9070438771131606E-3</v>
      </c>
      <c r="K215" t="s">
        <v>1146</v>
      </c>
      <c r="L215" t="s">
        <v>1143</v>
      </c>
    </row>
    <row r="216">
      <c r="A216" t="n">
        <v>2.2676579457354702E-2</v>
      </c>
      <c r="B216" t="n">
        <v>2.1729771469873E-2</v>
      </c>
      <c r="C216" t="n">
        <v>2.9538555790939999E-2</v>
      </c>
      <c r="D216" t="n">
        <v>2.9538555790939999E-2</v>
      </c>
      <c r="E216" t="s">
        <v>1658</v>
      </c>
      <c r="F216" t="s">
        <v>1655</v>
      </c>
      <c r="H216" t="n">
        <v>7.3042210756391101E-3</v>
      </c>
      <c r="J216" t="n">
        <v>7.3042210756391101E-3</v>
      </c>
      <c r="K216" t="s">
        <v>1147</v>
      </c>
      <c r="L216" t="s">
        <v>1143</v>
      </c>
    </row>
    <row r="217">
      <c r="A217" t="n">
        <v>2.2178287431426899E-2</v>
      </c>
      <c r="B217" t="n">
        <v>2.22727407121028E-2</v>
      </c>
      <c r="C217" t="n">
        <v>2.8512142036472E-2</v>
      </c>
      <c r="D217" t="n">
        <v>2.8512142036472E-2</v>
      </c>
      <c r="E217" t="s">
        <v>1659</v>
      </c>
      <c r="F217" t="s">
        <v>1655</v>
      </c>
      <c r="H217" t="n">
        <v>7.0530654325617901E-3</v>
      </c>
      <c r="J217" t="n">
        <v>7.0530654325617901E-3</v>
      </c>
      <c r="K217" t="s">
        <v>1148</v>
      </c>
      <c r="L217" t="s">
        <v>1143</v>
      </c>
    </row>
    <row r="218">
      <c r="A218" t="n">
        <v>2.1434276652948898E-2</v>
      </c>
      <c r="B218" t="n">
        <v>2.23623952750127E-2</v>
      </c>
      <c r="C218" t="n">
        <v>2.8283584176253401E-2</v>
      </c>
      <c r="D218" t="n">
        <v>2.8283584176253401E-2</v>
      </c>
      <c r="E218" t="s">
        <v>1660</v>
      </c>
      <c r="F218" t="s">
        <v>1655</v>
      </c>
      <c r="H218" t="n">
        <v>6.9971134735056202E-3</v>
      </c>
      <c r="J218" t="n">
        <v>6.9971134735056202E-3</v>
      </c>
      <c r="K218" t="s">
        <v>1149</v>
      </c>
      <c r="L218" t="s">
        <v>1143</v>
      </c>
    </row>
    <row r="219">
      <c r="A219" t="n">
        <v>2.10072065089228E-2</v>
      </c>
      <c r="B219" t="n">
        <v>2.2496789219665199E-2</v>
      </c>
      <c r="C219" t="n">
        <v>2.7654852328046001E-2</v>
      </c>
      <c r="D219" t="n">
        <v>2.7654852328046001E-2</v>
      </c>
      <c r="E219" t="s">
        <v>1661</v>
      </c>
      <c r="F219" t="s">
        <v>1655</v>
      </c>
      <c r="H219" t="n">
        <v>6.8431490448084302E-3</v>
      </c>
      <c r="J219" t="n">
        <v>6.8431490448084302E-3</v>
      </c>
      <c r="K219" t="s">
        <v>1150</v>
      </c>
      <c r="L219" t="s">
        <v>1143</v>
      </c>
    </row>
    <row r="220">
      <c r="A220" t="n">
        <v>2.0591622707038602E-2</v>
      </c>
      <c r="B220" t="n">
        <v>2.25123599902981E-2</v>
      </c>
      <c r="C220" t="n">
        <v>2.7753662335143502E-2</v>
      </c>
      <c r="D220" t="n">
        <v>2.7753662335143502E-2</v>
      </c>
      <c r="E220" t="s">
        <v>1662</v>
      </c>
      <c r="F220" t="s">
        <v>1655</v>
      </c>
      <c r="H220" t="n">
        <v>6.8673504076357502E-3</v>
      </c>
      <c r="J220" t="n">
        <v>6.8673504076357502E-3</v>
      </c>
      <c r="K220" t="s">
        <v>1151</v>
      </c>
      <c r="L220" t="s">
        <v>1143</v>
      </c>
    </row>
    <row r="221">
      <c r="A221" t="n">
        <v>2.0347186911993099E-2</v>
      </c>
      <c r="B221" t="n">
        <v>2.2891901714989799E-2</v>
      </c>
      <c r="C221" t="n">
        <v>2.8110399323646899E-2</v>
      </c>
      <c r="D221" t="n">
        <v>2.8110399323646899E-2</v>
      </c>
      <c r="E221" t="s">
        <v>1663</v>
      </c>
      <c r="F221" t="s">
        <v>1655</v>
      </c>
      <c r="H221" t="n">
        <v>6.9547108559351303E-3</v>
      </c>
      <c r="J221" t="n">
        <v>6.9547108559351303E-3</v>
      </c>
      <c r="K221" t="s">
        <v>1152</v>
      </c>
      <c r="L221" t="s">
        <v>1143</v>
      </c>
    </row>
    <row r="222">
      <c r="A222" t="n">
        <v>2.03844462174123E-2</v>
      </c>
      <c r="B222" t="n">
        <v>2.2688598137850801E-2</v>
      </c>
      <c r="C222" t="n">
        <v>2.89673943247446E-2</v>
      </c>
      <c r="D222" t="n">
        <v>2.89673943247446E-2</v>
      </c>
      <c r="E222" t="s">
        <v>1664</v>
      </c>
      <c r="F222" t="s">
        <v>1655</v>
      </c>
      <c r="H222" t="n">
        <v>7.1644853940870902E-3</v>
      </c>
      <c r="J222" t="n">
        <v>7.1644853940870902E-3</v>
      </c>
      <c r="K222" t="s">
        <v>1153</v>
      </c>
      <c r="L222" t="s">
        <v>1143</v>
      </c>
    </row>
    <row r="223">
      <c r="A223" t="n">
        <v>2.02121429685698E-2</v>
      </c>
      <c r="B223" t="n">
        <v>2.2861927422401802E-2</v>
      </c>
      <c r="C223" t="n">
        <v>2.97171972862664E-2</v>
      </c>
      <c r="D223" t="n">
        <v>2.97171972862664E-2</v>
      </c>
      <c r="E223" t="s">
        <v>1665</v>
      </c>
      <c r="F223" t="s">
        <v>1655</v>
      </c>
      <c r="H223" t="n">
        <v>7.3479141028771596E-3</v>
      </c>
      <c r="J223" t="n">
        <v>7.3479141028771596E-3</v>
      </c>
      <c r="K223" t="s">
        <v>1154</v>
      </c>
      <c r="L223" t="s">
        <v>1143</v>
      </c>
    </row>
    <row r="224">
      <c r="A224" t="n">
        <v>2.00951255413373E-2</v>
      </c>
      <c r="B224" t="n">
        <v>2.2789213164977801E-2</v>
      </c>
      <c r="C224" t="n">
        <v>2.9972823640437098E-2</v>
      </c>
      <c r="D224" t="n">
        <v>2.9972823640437098E-2</v>
      </c>
      <c r="E224" t="s">
        <v>1666</v>
      </c>
      <c r="F224" t="s">
        <v>1655</v>
      </c>
      <c r="H224" t="n">
        <v>7.4104265836887296E-3</v>
      </c>
      <c r="J224" t="n">
        <v>7.4104265836887296E-3</v>
      </c>
      <c r="K224" t="s">
        <v>1155</v>
      </c>
      <c r="L224" t="s">
        <v>1143</v>
      </c>
    </row>
    <row r="225">
      <c r="A225" t="n">
        <v>2.0005533751415599E-2</v>
      </c>
      <c r="B225" t="n">
        <v>2.30067515754304E-2</v>
      </c>
      <c r="C225" t="n">
        <v>3.0378543432117301E-2</v>
      </c>
      <c r="D225" t="n">
        <v>3.0378543432117301E-2</v>
      </c>
      <c r="E225" t="s">
        <v>1667</v>
      </c>
      <c r="F225" t="s">
        <v>1655</v>
      </c>
      <c r="H225" t="n">
        <v>7.5096199742570296E-3</v>
      </c>
      <c r="J225" t="n">
        <v>7.5096199742570296E-3</v>
      </c>
      <c r="K225" t="s">
        <v>1156</v>
      </c>
      <c r="L225" t="s">
        <v>1143</v>
      </c>
    </row>
    <row r="226">
      <c r="A226" t="n">
        <v>1.9992497685795502E-2</v>
      </c>
      <c r="B226" t="n">
        <v>2.28689196510703E-2</v>
      </c>
      <c r="C226" t="n">
        <v>3.0384347471833498E-2</v>
      </c>
      <c r="D226" t="n">
        <v>3.0384347471833498E-2</v>
      </c>
      <c r="E226" t="s">
        <v>1668</v>
      </c>
      <c r="F226" t="s">
        <v>1655</v>
      </c>
      <c r="H226" t="n">
        <v>7.5110387764860701E-3</v>
      </c>
      <c r="J226" t="n">
        <v>7.5110387764860701E-3</v>
      </c>
      <c r="K226" t="s">
        <v>1157</v>
      </c>
      <c r="L226" t="s">
        <v>1143</v>
      </c>
    </row>
    <row r="227">
      <c r="A227" t="n">
        <v>1.99491524210023E-2</v>
      </c>
      <c r="B227" t="n">
        <v>2.2952518060170599E-2</v>
      </c>
      <c r="C227" t="n">
        <v>3.0780667439755299E-2</v>
      </c>
      <c r="D227" t="n">
        <v>3.0780667439755299E-2</v>
      </c>
      <c r="E227" t="s">
        <v>1669</v>
      </c>
      <c r="F227" t="s">
        <v>1655</v>
      </c>
      <c r="H227" t="n">
        <v>7.6079053396602703E-3</v>
      </c>
      <c r="J227" t="n">
        <v>7.6079053396602703E-3</v>
      </c>
      <c r="K227" t="s">
        <v>1158</v>
      </c>
      <c r="L227" t="s">
        <v>1143</v>
      </c>
    </row>
    <row r="228">
      <c r="A228" t="n">
        <v>1.99785657506244E-2</v>
      </c>
      <c r="B228" t="n">
        <v>2.3092018308592099E-2</v>
      </c>
      <c r="C228" t="n">
        <v>3.09234356698747E-2</v>
      </c>
      <c r="D228" t="n">
        <v>3.09234356698747E-2</v>
      </c>
      <c r="E228" t="s">
        <v>1670</v>
      </c>
      <c r="F228" t="s">
        <v>1655</v>
      </c>
      <c r="H228" t="n">
        <v>7.6427931995954896E-3</v>
      </c>
      <c r="J228" t="n">
        <v>7.6427931995954896E-3</v>
      </c>
      <c r="K228" t="s">
        <v>1159</v>
      </c>
      <c r="L228" t="s">
        <v>1143</v>
      </c>
    </row>
    <row r="229">
      <c r="A229" t="n">
        <v>1.9973482507164499E-2</v>
      </c>
      <c r="B229" t="n">
        <v>2.29188557927167E-2</v>
      </c>
      <c r="C229" t="n">
        <v>3.0940126349132901E-2</v>
      </c>
      <c r="D229" t="n">
        <v>3.0940126349132901E-2</v>
      </c>
      <c r="E229" t="s">
        <v>1671</v>
      </c>
      <c r="F229" t="s">
        <v>1655</v>
      </c>
      <c r="H229" t="n">
        <v>7.6468716160857904E-3</v>
      </c>
      <c r="J229" t="n">
        <v>7.6468716160857904E-3</v>
      </c>
      <c r="K229" t="s">
        <v>1160</v>
      </c>
      <c r="L229" t="s">
        <v>1143</v>
      </c>
    </row>
    <row r="230">
      <c r="A230" t="n">
        <v>2.00262569988248E-2</v>
      </c>
      <c r="B230" t="n">
        <v>2.34219478386497E-2</v>
      </c>
      <c r="C230" t="n">
        <v>3.08963138434795E-2</v>
      </c>
      <c r="D230" t="n">
        <v>3.08963138434795E-2</v>
      </c>
      <c r="E230" t="s">
        <v>1672</v>
      </c>
      <c r="F230" t="s">
        <v>1655</v>
      </c>
      <c r="H230" t="n">
        <v>7.6361657960506398E-3</v>
      </c>
      <c r="J230" t="n">
        <v>7.6361657960506398E-3</v>
      </c>
      <c r="K230" t="s">
        <v>1161</v>
      </c>
      <c r="L230" t="s">
        <v>1143</v>
      </c>
    </row>
    <row r="231">
      <c r="A231" t="n">
        <v>2.0068184200822601E-2</v>
      </c>
      <c r="B231" t="n">
        <v>2.29559923804479E-2</v>
      </c>
      <c r="C231" t="n">
        <v>3.1171169586274899E-2</v>
      </c>
      <c r="D231" t="n">
        <v>3.1171169586274899E-2</v>
      </c>
      <c r="E231" t="s">
        <v>1673</v>
      </c>
      <c r="F231" t="s">
        <v>1655</v>
      </c>
      <c r="H231" t="n">
        <v>7.7033226228278E-3</v>
      </c>
      <c r="J231" t="n">
        <v>7.7033226228278E-3</v>
      </c>
      <c r="K231" t="s">
        <v>1162</v>
      </c>
      <c r="L231" t="s">
        <v>1143</v>
      </c>
    </row>
    <row r="232">
      <c r="A232" t="n">
        <v>2.00733299513789E-2</v>
      </c>
      <c r="B232" t="n">
        <v>2.3089907346120601E-2</v>
      </c>
      <c r="C232" t="n">
        <v>3.11290252355114E-2</v>
      </c>
      <c r="D232" t="n">
        <v>3.11290252355114E-2</v>
      </c>
      <c r="E232" t="s">
        <v>1674</v>
      </c>
      <c r="F232" t="s">
        <v>1655</v>
      </c>
      <c r="H232" t="n">
        <v>7.6930261622452098E-3</v>
      </c>
      <c r="J232" t="n">
        <v>7.6930261622452098E-3</v>
      </c>
      <c r="K232" t="s">
        <v>1163</v>
      </c>
      <c r="L232" t="s">
        <v>1143</v>
      </c>
    </row>
    <row r="233">
      <c r="A233" t="n">
        <v>2.00833471581769E-2</v>
      </c>
      <c r="B233" t="n">
        <v>2.2986135275529802E-2</v>
      </c>
      <c r="C233" t="n">
        <v>3.12799263503531E-2</v>
      </c>
      <c r="D233" t="n">
        <v>3.12799263503531E-2</v>
      </c>
      <c r="E233" t="s">
        <v>1675</v>
      </c>
      <c r="F233" t="s">
        <v>1655</v>
      </c>
      <c r="H233" t="n">
        <v>7.72989197946106E-3</v>
      </c>
      <c r="J233" t="n">
        <v>7.72989197946106E-3</v>
      </c>
      <c r="K233" t="s">
        <v>1164</v>
      </c>
      <c r="L233" t="s">
        <v>1143</v>
      </c>
    </row>
    <row r="234">
      <c r="A234" t="n">
        <v>2.0140093939852201E-2</v>
      </c>
      <c r="B234" t="n">
        <v>2.31414769468055E-2</v>
      </c>
      <c r="C234" t="n">
        <v>3.1432246791632999E-2</v>
      </c>
      <c r="D234" t="n">
        <v>3.1432246791632999E-2</v>
      </c>
      <c r="E234" t="s">
        <v>1676</v>
      </c>
      <c r="F234" t="s">
        <v>1655</v>
      </c>
      <c r="H234" t="n">
        <v>7.76710044167461E-3</v>
      </c>
      <c r="J234" t="n">
        <v>7.76710044167461E-3</v>
      </c>
      <c r="K234" t="s">
        <v>1165</v>
      </c>
      <c r="L234" t="s">
        <v>1143</v>
      </c>
    </row>
    <row r="235">
      <c r="A235" t="n">
        <v>2.02021592909249E-2</v>
      </c>
      <c r="B235" t="n">
        <v>2.2984714477401601E-2</v>
      </c>
      <c r="C235" t="n">
        <v>3.1205847095053599E-2</v>
      </c>
      <c r="D235" t="n">
        <v>3.1205847095053599E-2</v>
      </c>
      <c r="E235" t="s">
        <v>1677</v>
      </c>
      <c r="F235" t="s">
        <v>1655</v>
      </c>
      <c r="H235" t="n">
        <v>7.7117945916846996E-3</v>
      </c>
      <c r="J235" t="n">
        <v>7.7117945916846996E-3</v>
      </c>
      <c r="K235" t="s">
        <v>1166</v>
      </c>
      <c r="L235" t="s">
        <v>1143</v>
      </c>
    </row>
    <row r="236">
      <c r="A236" t="n">
        <v>2.0211898969260102E-2</v>
      </c>
      <c r="B236" t="n">
        <v>2.2913195171825301E-2</v>
      </c>
      <c r="C236" t="n">
        <v>3.14110402970686E-2</v>
      </c>
      <c r="D236" t="n">
        <v>3.14110402970686E-2</v>
      </c>
      <c r="E236" t="s">
        <v>1678</v>
      </c>
      <c r="F236" t="s">
        <v>1655</v>
      </c>
      <c r="H236" t="n">
        <v>7.7619204183672101E-3</v>
      </c>
      <c r="J236" t="n">
        <v>7.7619204183672101E-3</v>
      </c>
      <c r="K236" t="s">
        <v>1167</v>
      </c>
      <c r="L236" t="s">
        <v>1143</v>
      </c>
    </row>
    <row r="237">
      <c r="A237" t="n">
        <v>2.0290430669000999E-2</v>
      </c>
      <c r="B237" t="n">
        <v>2.29758501503456E-2</v>
      </c>
      <c r="C237" t="n">
        <v>3.1565029186180898E-2</v>
      </c>
      <c r="D237" t="n">
        <v>3.1565029186180898E-2</v>
      </c>
      <c r="E237" t="s">
        <v>1679</v>
      </c>
      <c r="F237" t="s">
        <v>1655</v>
      </c>
      <c r="H237" t="n">
        <v>7.7995328359632401E-3</v>
      </c>
      <c r="J237" t="n">
        <v>7.7995328359632401E-3</v>
      </c>
      <c r="K237" t="s">
        <v>1168</v>
      </c>
      <c r="L237" t="s">
        <v>1143</v>
      </c>
    </row>
    <row r="238">
      <c r="A238" t="n">
        <v>2.0308808571870299E-2</v>
      </c>
      <c r="B238" t="n">
        <v>2.2824531954790599E-2</v>
      </c>
      <c r="C238" t="n">
        <v>3.1531274423854297E-2</v>
      </c>
      <c r="D238" t="n">
        <v>3.1531274423854297E-2</v>
      </c>
      <c r="E238" t="s">
        <v>1680</v>
      </c>
      <c r="F238" t="s">
        <v>1655</v>
      </c>
      <c r="H238" t="n">
        <v>7.7912884572341997E-3</v>
      </c>
      <c r="J238" t="n">
        <v>7.7912884572341997E-3</v>
      </c>
      <c r="K238" t="s">
        <v>1169</v>
      </c>
      <c r="L238" t="s">
        <v>1143</v>
      </c>
    </row>
    <row r="239">
      <c r="A239" t="n">
        <v>2.03080060292413E-2</v>
      </c>
      <c r="B239" t="n">
        <v>2.2972481063801901E-2</v>
      </c>
      <c r="C239" t="n">
        <v>3.1542996473644003E-2</v>
      </c>
      <c r="D239" t="n">
        <v>3.1542996473644003E-2</v>
      </c>
      <c r="E239" t="s">
        <v>1681</v>
      </c>
      <c r="F239" t="s">
        <v>1655</v>
      </c>
      <c r="H239" t="n">
        <v>7.7941515137436301E-3</v>
      </c>
      <c r="J239" t="n">
        <v>7.7941515137436301E-3</v>
      </c>
      <c r="K239" t="s">
        <v>1170</v>
      </c>
      <c r="L239" t="s">
        <v>1143</v>
      </c>
    </row>
    <row r="240">
      <c r="A240" t="n">
        <v>2.0323983720006399E-2</v>
      </c>
      <c r="B240" t="n">
        <v>2.2824566637221998E-2</v>
      </c>
      <c r="C240" t="n">
        <v>3.1855243350590097E-2</v>
      </c>
      <c r="D240" t="n">
        <v>3.1855243350590097E-2</v>
      </c>
      <c r="E240" t="s">
        <v>1682</v>
      </c>
      <c r="F240" t="s">
        <v>1655</v>
      </c>
      <c r="H240" t="n">
        <v>7.8704073905595494E-3</v>
      </c>
      <c r="J240" t="n">
        <v>7.8704073905595494E-3</v>
      </c>
      <c r="K240" t="s">
        <v>1171</v>
      </c>
      <c r="L240" t="s">
        <v>1143</v>
      </c>
    </row>
    <row r="241">
      <c r="A241" t="n">
        <v>2.0325704902500501E-2</v>
      </c>
      <c r="B241" t="n">
        <v>2.2886555231629101E-2</v>
      </c>
      <c r="C241" t="n">
        <v>3.1708818720508798E-2</v>
      </c>
      <c r="D241" t="n">
        <v>3.1708818720508798E-2</v>
      </c>
      <c r="E241" t="s">
        <v>1683</v>
      </c>
      <c r="F241" t="s">
        <v>1655</v>
      </c>
      <c r="H241" t="n">
        <v>7.8346502176538397E-3</v>
      </c>
      <c r="J241" t="n">
        <v>7.8346502176538397E-3</v>
      </c>
      <c r="K241" t="s">
        <v>1172</v>
      </c>
      <c r="L241" t="s">
        <v>1143</v>
      </c>
    </row>
    <row r="242">
      <c r="A242" t="n">
        <v>2.0305041683886599E-2</v>
      </c>
      <c r="B242" t="n">
        <v>2.29465623765257E-2</v>
      </c>
      <c r="C242" t="n">
        <v>3.1893508731351002E-2</v>
      </c>
      <c r="D242" t="n">
        <v>3.1893508731351002E-2</v>
      </c>
      <c r="E242" t="s">
        <v>1684</v>
      </c>
      <c r="F242" t="s">
        <v>1655</v>
      </c>
      <c r="H242" t="n">
        <v>7.8797512420421007E-3</v>
      </c>
      <c r="J242" t="n">
        <v>7.8797512420421007E-3</v>
      </c>
      <c r="K242" t="s">
        <v>1173</v>
      </c>
      <c r="L242" t="s">
        <v>1143</v>
      </c>
    </row>
    <row r="243">
      <c r="A243" t="n">
        <v>2.0287096358251301E-2</v>
      </c>
      <c r="B243" t="n">
        <v>2.2798980065175601E-2</v>
      </c>
      <c r="C243" t="n">
        <v>3.1810408581062898E-2</v>
      </c>
      <c r="D243" t="n">
        <v>3.1810408581062898E-2</v>
      </c>
      <c r="E243" t="s">
        <v>1685</v>
      </c>
      <c r="F243" t="s">
        <v>1655</v>
      </c>
      <c r="H243" t="n">
        <v>7.8594590588953999E-3</v>
      </c>
      <c r="J243" t="n">
        <v>7.8594590588953999E-3</v>
      </c>
      <c r="K243" t="s">
        <v>1174</v>
      </c>
      <c r="L243" t="s">
        <v>1143</v>
      </c>
    </row>
    <row r="244">
      <c r="A244" t="n">
        <v>2.0271579331879098E-2</v>
      </c>
      <c r="B244" t="n">
        <v>2.2857567238674801E-2</v>
      </c>
      <c r="C244" t="n">
        <v>3.1611362599311098E-2</v>
      </c>
      <c r="D244" t="n">
        <v>3.1611362599311098E-2</v>
      </c>
      <c r="E244" t="s">
        <v>1686</v>
      </c>
      <c r="F244" t="s">
        <v>1655</v>
      </c>
      <c r="H244" t="n">
        <v>7.8108491379678098E-3</v>
      </c>
      <c r="J244" t="n">
        <v>7.8108491379678098E-3</v>
      </c>
      <c r="K244" t="s">
        <v>1175</v>
      </c>
      <c r="L244" t="s">
        <v>1143</v>
      </c>
    </row>
    <row r="245">
      <c r="A245" t="n">
        <v>2.0226750918557398E-2</v>
      </c>
      <c r="B245" t="n">
        <v>2.30078651102898E-2</v>
      </c>
      <c r="C245" t="n">
        <v>3.1895036638032601E-2</v>
      </c>
      <c r="D245" t="n">
        <v>3.1895036638032601E-2</v>
      </c>
      <c r="E245" t="s">
        <v>1687</v>
      </c>
      <c r="F245" t="s">
        <v>1655</v>
      </c>
      <c r="H245" t="n">
        <v>7.8801243293176206E-3</v>
      </c>
      <c r="J245" t="n">
        <v>7.8801243293176206E-3</v>
      </c>
      <c r="K245" t="s">
        <v>1176</v>
      </c>
      <c r="L245" t="s">
        <v>1143</v>
      </c>
    </row>
    <row r="246">
      <c r="A246" t="n">
        <v>2.0229639632362201E-2</v>
      </c>
      <c r="B246" t="n">
        <v>2.2755662461575201E-2</v>
      </c>
      <c r="C246" t="n">
        <v>3.1906732152356301E-2</v>
      </c>
      <c r="D246" t="n">
        <v>3.1906732152356301E-2</v>
      </c>
      <c r="E246" t="s">
        <v>1688</v>
      </c>
      <c r="F246" t="s">
        <v>1655</v>
      </c>
      <c r="H246" t="n">
        <v>7.88298014941358E-3</v>
      </c>
      <c r="J246" t="n">
        <v>7.88298014941358E-3</v>
      </c>
      <c r="K246" t="s">
        <v>1177</v>
      </c>
      <c r="L246" t="s">
        <v>1143</v>
      </c>
    </row>
    <row r="247">
      <c r="A247" t="n">
        <v>2.0196749252488402E-2</v>
      </c>
      <c r="B247" t="n">
        <v>2.2817811468051102E-2</v>
      </c>
      <c r="C247" t="n">
        <v>3.1666344390047098E-2</v>
      </c>
      <c r="D247" t="n">
        <v>3.1666344390047098E-2</v>
      </c>
      <c r="E247" t="s">
        <v>1689</v>
      </c>
      <c r="F247" t="s">
        <v>1655</v>
      </c>
      <c r="H247" t="n">
        <v>7.8242771932854893E-3</v>
      </c>
      <c r="J247" t="n">
        <v>7.8242771932854893E-3</v>
      </c>
      <c r="K247" t="s">
        <v>1178</v>
      </c>
      <c r="L247" t="s">
        <v>1143</v>
      </c>
    </row>
    <row r="248">
      <c r="A248" t="n">
        <v>2.0138226913895701E-2</v>
      </c>
      <c r="B248" t="n">
        <v>2.3174738681931199E-2</v>
      </c>
      <c r="C248" t="n">
        <v>3.1749922428638201E-2</v>
      </c>
      <c r="D248" t="n">
        <v>3.1749922428638201E-2</v>
      </c>
      <c r="E248" t="s">
        <v>1690</v>
      </c>
      <c r="F248" t="s">
        <v>1655</v>
      </c>
      <c r="H248" t="n">
        <v>7.8446882055194199E-3</v>
      </c>
      <c r="J248" t="n">
        <v>7.8446882055194199E-3</v>
      </c>
      <c r="K248" t="s">
        <v>1179</v>
      </c>
      <c r="L248" t="s">
        <v>1143</v>
      </c>
    </row>
    <row r="249">
      <c r="A249" t="n">
        <v>2.0129535533826501E-2</v>
      </c>
      <c r="B249" t="n">
        <v>2.27379267080541E-2</v>
      </c>
      <c r="C249" t="n">
        <v>3.1908648163189397E-2</v>
      </c>
      <c r="D249" t="n">
        <v>3.1908648163189397E-2</v>
      </c>
      <c r="E249" t="s">
        <v>1691</v>
      </c>
      <c r="F249" t="s">
        <v>1655</v>
      </c>
      <c r="H249" t="n">
        <v>7.8834480001659397E-3</v>
      </c>
      <c r="J249" t="n">
        <v>7.8834480001659397E-3</v>
      </c>
      <c r="K249" t="s">
        <v>1180</v>
      </c>
      <c r="L249" t="s">
        <v>1143</v>
      </c>
    </row>
    <row r="250">
      <c r="A250" t="n">
        <v>2.0106884793451098E-2</v>
      </c>
      <c r="B250" t="n">
        <v>2.3093327603912001E-2</v>
      </c>
      <c r="C250" t="n">
        <v>3.1692204125751702E-2</v>
      </c>
      <c r="D250" t="n">
        <v>3.1692204125751702E-2</v>
      </c>
      <c r="E250" t="s">
        <v>1692</v>
      </c>
      <c r="F250" t="s">
        <v>1655</v>
      </c>
      <c r="H250" t="n">
        <v>7.8305926616084598E-3</v>
      </c>
      <c r="J250" t="n">
        <v>7.8305926616084598E-3</v>
      </c>
      <c r="K250" t="s">
        <v>1181</v>
      </c>
      <c r="L250" t="s">
        <v>1143</v>
      </c>
    </row>
    <row r="251">
      <c r="A251" t="n">
        <v>2.0037252982960399E-2</v>
      </c>
      <c r="B251" t="n">
        <v>2.2853757020905099E-2</v>
      </c>
      <c r="C251" t="n">
        <v>3.1763978164364597E-2</v>
      </c>
      <c r="D251" t="n">
        <v>3.1763978164364597E-2</v>
      </c>
      <c r="E251" t="s">
        <v>1693</v>
      </c>
      <c r="F251" t="s">
        <v>1655</v>
      </c>
      <c r="H251" t="n">
        <v>7.8481207054677E-3</v>
      </c>
      <c r="J251" t="n">
        <v>7.8481207054677E-3</v>
      </c>
      <c r="K251" t="s">
        <v>1182</v>
      </c>
      <c r="L251" t="s">
        <v>1143</v>
      </c>
    </row>
    <row r="252">
      <c r="A252" t="n">
        <v>2.0056022895238401E-2</v>
      </c>
      <c r="B252" t="n">
        <v>2.2713969923905002E-2</v>
      </c>
      <c r="C252" t="n">
        <v>3.17278315390737E-2</v>
      </c>
      <c r="D252" t="n">
        <v>3.17278315390737E-2</v>
      </c>
      <c r="E252" t="s">
        <v>1694</v>
      </c>
      <c r="F252" t="s">
        <v>1655</v>
      </c>
      <c r="H252" t="n">
        <v>7.8392933990876195E-3</v>
      </c>
      <c r="J252" t="n">
        <v>7.8392933990876195E-3</v>
      </c>
      <c r="K252" t="s">
        <v>1183</v>
      </c>
      <c r="L252" t="s">
        <v>1143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Sarah Ahmad</cp:lastModifiedBy>
  <cp:revision/>
  <dcterms:created xsi:type="dcterms:W3CDTF">2021-05-28T15:43:48Z</dcterms:created>
  <dcterms:modified xsi:type="dcterms:W3CDTF">2024-09-26T13:12:31Z</dcterms:modified>
  <cp:category/>
  <cp:contentStatus/>
</cp:coreProperties>
</file>