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1.xml" ContentType="application/vnd.openxmlformats-officedocument.spreadsheetml.pivotCacheDefinition+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style2.xml" ContentType="application/vnd.ms-office.chartstyle+xml"/>
  <Override PartName="/xl/charts/colors1.xml" ContentType="application/vnd.ms-office.chartcolorstyle+xml"/>
  <Override PartName="/xl/charts/colors2.xml" ContentType="application/vnd.ms-office.chartcolorstyle+xml"/>
  <Override PartName="/xl/externalLinks/externalLink1.xml" ContentType="application/vnd.openxmlformats-officedocument.spreadsheetml.externalLink+xml"/>
  <Override PartName="/xl/tables/table3.xml" ContentType="application/vnd.openxmlformats-officedocument.spreadsheetml.table+xml"/>
  <Default Extension="vml" ContentType="application/vnd.openxmlformats-officedocument.vmlDrawing"/>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11.xml" ContentType="application/vnd.ms-excel.threadedcomments+xml"/>
  <Override PartName="/xl/threadedComments/threadedComment14.xml" ContentType="application/vnd.ms-excel.threadedcomments+xml"/>
  <Override PartName="/xl/threadedComments/threadedComment16.xml" ContentType="application/vnd.ms-excel.threadedcomments+xml"/>
  <Override PartName="/xl/threadedComments/threadedComment13.xml" ContentType="application/vnd.ms-excel.threadedcomments+xml"/>
  <Override PartName="/xl/threadedComments/threadedComment17.xml" ContentType="application/vnd.ms-excel.threadedcomments+xml"/>
  <Override PartName="/xl/threadedComments/threadedComment10.xml" ContentType="application/vnd.ms-excel.threadedcomments+xml"/>
  <Override PartName="/xl/threadedComments/threadedComment15.xml" ContentType="application/vnd.ms-excel.threadedcomments+xml"/>
  <Override PartName="/xl/threadedComments/threadedComment12.xml" ContentType="application/vnd.ms-excel.threadedcomments+xml"/>
  <Override PartName="/xl/threadedComments/threadedComment9.xml" ContentType="application/vnd.ms-excel.threadedcomments+xml"/>
  <Override PartName="/xl/persons/person.xml" ContentType="application/vnd.ms-excel.person+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defaultThemeVersion="166925"/>
  <bookViews>
    <workbookView xWindow="28680" yWindow="-120" windowWidth="29040" windowHeight="15720" firstSheet="0" activeTab="7"/>
  </bookViews>
  <sheets>
    <sheet name="Guide to the FIM Spreadsheet" sheetId="54" state="visible" r:id="rId1"/>
    <sheet name="Checklist (New Quarter Release)" sheetId="53" state="visible" r:id="rId2"/>
    <sheet name="Checklist (Monthly Revision)" sheetId="51" state="visible" r:id="rId3"/>
    <sheet name="Checklist (CBO Budget Release)" sheetId="19" state="visible" r:id="rId4"/>
    <sheet name="historical overrides" sheetId="50" state="visible" r:id="rId5"/>
    <sheet name="Haver Pivoted" sheetId="24" state="visible" r:id="rId6"/>
    <sheet name="deflators_override" sheetId="71" state="visible" r:id="rId7"/>
    <sheet name="forecast comparison" sheetId="55" state="visible" r:id="rId8"/>
    <sheet name="MPI" sheetId="80" state="visible" r:id="rId9"/>
    <sheet name="forecast" sheetId="35" state="visible" r:id="rId10"/>
    <sheet name="Deflators" sheetId="70" state="visible" r:id="rId11"/>
    <sheet name="mpc" sheetId="56" state="visible" r:id="rId12"/>
    <sheet name="Unemployment Insurance" sheetId="25" state="visible" r:id="rId13"/>
    <sheet name="Unemployment Insurance - lorae" sheetId="74" state="hidden" r:id="rId14"/>
    <sheet name="Grants" sheetId="26" state="visible" r:id="rId15"/>
    <sheet name="Federal and State Purchases" sheetId="20" state="visible" r:id="rId16"/>
    <sheet name="Subsidies" sheetId="30" state="visible" r:id="rId17"/>
    <sheet name="Medicaid" sheetId="49" state="visible" r:id="rId18"/>
    <sheet name="Medicare" sheetId="33" state="visible" r:id="rId19"/>
    <sheet name="Student loans" sheetId="67" state="visible" r:id="rId20"/>
    <sheet name="Social Benefits" sheetId="82" state="visible" r:id="rId21"/>
    <sheet name="Social Benefits- June" sheetId="83" state="hidden" r:id="rId22"/>
    <sheet name="Social Benefits - old" sheetId="59" state="hidden" r:id="rId23"/>
    <sheet name="Supply Side IRA" sheetId="78" state="visible" r:id="rId24"/>
    <sheet name="Taxes" sheetId="88" state="visible" r:id="rId25"/>
    <sheet name="Social Benefits (BETA VERSION)" sheetId="75" state="visible" r:id="rId26"/>
    <sheet name="Social Benefits (EXPLANATION)" sheetId="77" state="visible" r:id="rId27"/>
    <sheet name="PPP (expired)" sheetId="38" state="visible" r:id="rId28"/>
    <sheet name="Provider Relief (expired)" sheetId="40" state="visible" r:id="rId29"/>
    <sheet name="Rebate Checks (expired)" sheetId="29" state="visible" r:id="rId30"/>
    <sheet name="Cares Act Scores" sheetId="36" state="visible" r:id="rId31"/>
    <sheet name="IRA and CHIPS" sheetId="65" state="visible" r:id="rId32"/>
    <sheet name="Response and Relief Act Score" sheetId="27" state="visible" r:id="rId33"/>
    <sheet name="ARP Score" sheetId="5" state="visible" r:id="rId34"/>
    <sheet name="ARP Timing" sheetId="6" state="visible" r:id="rId35"/>
    <sheet name="ARP Quarterly" sheetId="21" state="visible" r:id="rId36"/>
    <sheet name="Deflators_original" sheetId="63" state="hidden" r:id="rId37"/>
  </sheets>
  <externalReferences>
    <externalReference r:id="rId38"/>
  </externalReferences>
  <calcPr calcId="191029"/>
  <pivotCaches>
    <pivotCache cacheId="3" r:id="rId20001"/>
  </pivotCaches>
</workbook>
</file>

<file path=xl/comments9.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tc={18363169-A7D7-42DD-888B-F761ACCEE485}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AN10" authorId="1" shapeId="0">
      <text>
        <t>[Threaded comment]
Your version of Excel allows you to read this threaded comment; however, any edits to it will get removed if the file is opened in a newer version of Excel. Learn more: https://go.microsoft.com/fwlink/?linkid=870924
Comment:
    Update once there is more data</t>
      </text>
    </comment>
    <comment ref="B13" authorId="2" shapeId="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3" shapeId="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4" shapeId="0">
      <text>
        <t>[Threaded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5" shapeId="0">
      <text>
        <t>[Threaded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6" shapeId="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text>
        <t>[Threaded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2" authorId="1" shapeId="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2" authorId="2"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3" authorId="3"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4" authorId="4" shapeId="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5" authorId="5" shapeId="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5" authorId="6" shapeId="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7" authorId="7" shapeId="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8" authorId="8" shapeId="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4" authorId="9" shapeId="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77" authorId="10" shapeId="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tc={58AC9925-C9D4-4FBB-9A9D-964D937718B7}</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tc={32416F5F-2629-4CED-B47F-FBF4624F278E}</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tc={277F5CA3-F656-4125-998E-C4839D288D01}</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tc={B294A1F0-7EFA-4C5B-9DC7-6AA798C3430F}</author>
  </authors>
  <commentList>
    <comment ref="R8" authorId="0" shapeId="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2" shapeId="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3" shapeId="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4" shapeId="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5" shapeId="0">
      <text>
        <t>[Threaded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6" shapeId="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7" shapeId="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8" shapeId="0">
      <text>
        <t>[Threaded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9" shapeId="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0" shapeId="0">
      <text>
        <t>[Threaded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1" shapeId="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2" shapeId="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3" shapeId="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4" shapeId="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5" shapeId="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6" shapeId="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7" shapeId="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8" shapeId="0">
      <text>
        <t>[Threaded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9" shapeId="0">
      <text>
        <t>[Threaded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0" shapeId="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1" shapeId="0">
      <text>
        <t>[Threaded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2" shapeId="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3" shapeId="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4" shapeId="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
Reply:
    We adjusted this to match our forecast</t>
      </text>
    </comment>
    <comment ref="M44" authorId="25" shapeId="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6" shapeId="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7" shapeId="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
Reply:
    Removed and included an add factor based on Current Law in OBBBA add factor</t>
      </text>
    </comment>
    <comment ref="D62" authorId="28" shapeId="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9" shapeId="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30" shapeId="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31" shapeId="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32" shapeId="0">
      <text>
        <t>[Threaded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4" authorId="33"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5" authorId="34"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6" authorId="35"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7" authorId="36"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08" authorId="37"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09" authorId="38"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0" authorId="39"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1" authorId="40" shapeId="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4" authorId="41" shapeId="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7" authorId="42" shapeId="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7" authorId="43" shapeId="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7" authorId="44" shapeId="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7" authorId="45" shapeId="0">
      <text>
        <t>[Threaded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7" authorId="46" shapeId="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7" authorId="47" shapeId="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7" authorId="48" shapeId="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37" authorId="49" shapeId="0">
      <text>
        <t>[Threaded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<sst xmlns="http://schemas.openxmlformats.org/spreadsheetml/2006/main" count="2605" uniqueCount="2605">
  <si>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</si>
  <si>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</si>
  <si>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</si>
  <si>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</si>
  <si>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</si>
  <si>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</si>
  <si>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</si>
  <si>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</si>
  <si>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</si>
  <si>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</si>
  <si>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</si>
  <si>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</si>
  <si>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</si>
  <si>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</si>
  <si>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</si>
  <si>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</si>
  <si>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</si>
  <si>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</si>
  <si>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</si>
  <si>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</si>
  <si>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</si>
  <si>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</si>
  <si>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</si>
  <si>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</si>
  <si>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</si>
  <si>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</si>
  <si>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</si>
  <si>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</si>
  <si>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</si>
  <si>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</si>
  <si>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</si>
  <si>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</si>
  <si>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</si>
  <si>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</si>
  <si>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</si>
  <si>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</si>
  <si>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</si>
  <si>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</si>
  <si>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</si>
  <si>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</si>
  <si>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</si>
  <si>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</si>
  <si>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</si>
  <si>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</si>
  <si>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</si>
  <si>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</si>
  <si>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</si>
  <si>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</si>
  <si>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</si>
  <si>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</si>
  <si>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</si>
  <si>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</si>
  <si>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</si>
  <si>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</si>
  <si>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</si>
  <si>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</si>
  <si>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</si>
  <si>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</si>
  <si>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</si>
  <si>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</si>
  <si>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</si>
  <si>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</si>
  <si>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</si>
  <si>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</si>
  <si>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</si>
  <si>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</si>
  <si>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</si>
  <si>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</si>
  <si>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</si>
  <si>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</si>
  <si>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</si>
  <si>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</si>
  <si>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</si>
  <si>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</si>
  <si>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</si>
  <si>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Variable</t>
  </si>
  <si>
    <t>Federal Purchases Deflator</t>
  </si>
  <si>
    <t>Total Medicaid Spending</t>
  </si>
  <si>
    <t>Unemployment Insurance (NIPA Definition)</t>
  </si>
  <si>
    <t>Production Taxes</t>
  </si>
  <si>
    <t>Corporate Taxes</t>
  </si>
  <si>
    <t>Purchases</t>
  </si>
  <si>
    <t>State Purchases (NIPA consistent)</t>
  </si>
  <si>
    <t>Real Federal Purchases</t>
  </si>
  <si>
    <t>gfrpt</t>
  </si>
  <si>
    <t>gfrpri</t>
  </si>
  <si>
    <t>gfrcp</t>
  </si>
  <si>
    <t>gfrs</t>
  </si>
  <si>
    <t>Federal Social Benefits</t>
  </si>
  <si>
    <t>State Social Benefits</t>
  </si>
  <si>
    <t>Health Grants</t>
  </si>
  <si>
    <t>Medicaid Grants</t>
  </si>
  <si>
    <t>Investment Grants</t>
  </si>
  <si>
    <t>Federal Subsidies</t>
  </si>
  <si>
    <t>State Subsidies</t>
  </si>
  <si>
    <t>Provider Relief Fund to Nonprofits (NPISH) (Social Benefits)</t>
  </si>
  <si>
    <t>Grants to air carriers</t>
  </si>
  <si>
    <t>Employee Retention Tax Credit</t>
  </si>
  <si>
    <t xml:space="preserve">Support for public transit agencies </t>
  </si>
  <si>
    <t>Coronavirus Food Assistance Program</t>
  </si>
  <si>
    <t xml:space="preserve">Tax credits to fund paid sick leave </t>
  </si>
  <si>
    <t>Coronavirus Relief Fund</t>
  </si>
  <si>
    <t>Education Stabilization Fund</t>
  </si>
  <si>
    <t>Provider Relief Fund</t>
  </si>
  <si>
    <t>Lost wages supplemental payments (Federal)</t>
  </si>
  <si>
    <t>Capital Transfer Payments</t>
  </si>
  <si>
    <t>Total SNAP</t>
  </si>
  <si>
    <t>State Purchases</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</si>
  <si>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</si>
  <si>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</si>
  <si>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</si>
  <si>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</si>
  <si>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</si>
  <si>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</si>
  <si>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</si>
  <si>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</si>
  <si>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</si>
  <si>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</si>
  <si>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</si>
  <si>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</si>
  <si>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</si>
  <si>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</si>
  <si>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</si>
  <si>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</si>
  <si>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</si>
  <si>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</si>
  <si>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</si>
  <si>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</si>
  <si>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</si>
  <si>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</si>
  <si>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</si>
  <si>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</si>
  <si>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</si>
  <si>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</si>
  <si>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</si>
  <si>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</si>
  <si>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</si>
  <si>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</si>
  <si>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</si>
  <si>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</si>
  <si>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</si>
  <si>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</si>
  <si>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</si>
  <si>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</si>
  <si>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</si>
  <si>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</si>
  <si>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</si>
  <si>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</si>
  <si>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</si>
  <si>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</si>
  <si>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</si>
  <si>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</si>
  <si>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</si>
  <si>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</si>
  <si>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</si>
  <si>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</si>
  <si>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</si>
  <si>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</si>
  <si>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</si>
  <si>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</si>
  <si>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</si>
  <si>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</si>
  <si>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</si>
  <si>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</si>
  <si>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</si>
  <si>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</si>
  <si>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</si>
  <si>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</si>
  <si>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</si>
  <si>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</si>
  <si>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</si>
  <si>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</si>
  <si>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</si>
  <si>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</si>
  <si>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</si>
  <si>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</si>
  <si>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</si>
  <si>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</si>
  <si>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</si>
  <si>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</si>
  <si>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</si>
  <si>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</si>
  <si>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</si>
  <si>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</si>
  <si>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</si>
  <si>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</si>
  <si>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</si>
  <si>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</si>
  <si>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</si>
  <si>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</si>
  <si>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</si>
  <si>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</si>
  <si>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</si>
  <si>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</si>
  <si>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</si>
  <si>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</si>
  <si>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</si>
  <si>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</si>
  <si>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</si>
  <si>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</si>
  <si>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</si>
  <si>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</si>
  <si>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</si>
  <si>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</si>
  <si>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</si>
  <si>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</si>
  <si>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</si>
  <si>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</si>
  <si>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</si>
  <si>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</si>
  <si>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</si>
  <si>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</si>
  <si>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</si>
  <si>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</si>
  <si>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</si>
  <si>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</si>
  <si>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</si>
  <si>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</si>
  <si>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</si>
  <si>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</si>
  <si>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</si>
  <si>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</si>
  <si>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</si>
  <si>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</si>
  <si>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</si>
  <si>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</si>
  <si>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</si>
  <si>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</si>
  <si>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</si>
  <si>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</si>
  <si>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</si>
  <si>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</si>
  <si>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</si>
  <si>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</si>
  <si>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</si>
  <si>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</si>
  <si>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</si>
  <si>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</si>
  <si>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</si>
  <si>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</si>
  <si>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</si>
  <si>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</si>
  <si>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</si>
  <si>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</si>
  <si>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</si>
  <si>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</si>
  <si>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</si>
  <si>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</si>
  <si>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</si>
  <si>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</si>
  <si>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</si>
  <si>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</si>
  <si>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</si>
  <si>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</si>
  <si>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</si>
  <si>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</si>
  <si>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</si>
  <si>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</si>
  <si>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</si>
  <si>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</si>
  <si>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</si>
  <si>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</si>
  <si>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</si>
  <si>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</si>
  <si>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</si>
  <si>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</si>
  <si>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</si>
  <si>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</si>
  <si>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</si>
  <si>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</si>
  <si>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</si>
  <si>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</si>
  <si>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</si>
  <si>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</si>
  <si>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</si>
  <si>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</si>
  <si>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</si>
  <si>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</si>
  <si>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</si>
  <si>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</si>
  <si>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</si>
  <si>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</si>
  <si>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</si>
  <si>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</si>
  <si>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</si>
  <si>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</si>
  <si>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</si>
  <si>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</si>
  <si>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</si>
  <si>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</si>
  <si>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</si>
  <si>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</si>
  <si>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</si>
  <si>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</si>
  <si>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</si>
  <si>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</si>
  <si>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</si>
  <si>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</si>
  <si>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</si>
  <si>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</si>
  <si>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</si>
  <si>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</si>
  <si>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</si>
  <si>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</si>
  <si>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</si>
  <si>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</si>
  <si>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</si>
  <si>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</si>
  <si>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</si>
  <si>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</si>
  <si>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</si>
  <si>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</si>
  <si>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</si>
  <si>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</si>
  <si>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</si>
  <si>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</si>
  <si>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</si>
  <si>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</si>
  <si>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</si>
  <si>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</si>
  <si>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</si>
  <si>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</si>
  <si>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</si>
  <si>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</si>
  <si>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</si>
  <si>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</si>
  <si>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</si>
  <si>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</si>
  <si>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</si>
  <si>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</si>
  <si>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</si>
  <si>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</si>
  <si>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</si>
  <si>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</si>
  <si>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</si>
  <si>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</si>
  <si>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</si>
  <si>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</si>
  <si>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</si>
  <si>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</si>
  <si>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</si>
  <si>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</si>
  <si>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</si>
  <si>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</si>
  <si>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</si>
  <si>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</si>
  <si>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</si>
  <si>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</si>
  <si>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</si>
  <si>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</si>
  <si>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</si>
  <si>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</si>
  <si>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</si>
  <si>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</si>
  <si>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</si>
  <si>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</si>
  <si>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</si>
  <si>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</si>
  <si>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</si>
  <si>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</si>
  <si>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</si>
  <si>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</si>
  <si>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</si>
  <si>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</si>
  <si>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</si>
  <si>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</si>
  <si>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</si>
  <si>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</si>
  <si>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</si>
  <si>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</si>
  <si>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</si>
  <si>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</si>
  <si>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</si>
  <si>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</si>
  <si>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</si>
  <si>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</si>
  <si>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</si>
  <si>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</si>
  <si>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</si>
  <si>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</si>
  <si>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</si>
  <si>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</si>
  <si>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</si>
  <si>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</si>
  <si>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</si>
  <si>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</si>
  <si>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</si>
  <si>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</si>
  <si>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</si>
  <si>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</si>
  <si>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</si>
  <si>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</si>
  <si>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</si>
  <si>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</si>
  <si>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</si>
  <si>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</si>
  <si>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</si>
  <si>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</si>
  <si>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</si>
  <si>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</si>
  <si>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</si>
  <si>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</si>
  <si>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</si>
  <si>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</si>
  <si>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</si>
  <si>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</si>
  <si>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</si>
  <si>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</si>
  <si>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</si>
  <si>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</si>
  <si>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</si>
  <si>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</si>
  <si>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</si>
  <si>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</si>
  <si>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</si>
  <si>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</si>
  <si>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</si>
  <si>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</si>
  <si>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</si>
  <si>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</si>
  <si>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</si>
  <si>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</si>
  <si>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</si>
  <si>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</si>
  <si>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</si>
  <si>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</si>
  <si>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</si>
  <si>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</si>
  <si>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</si>
  <si>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</si>
  <si>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</si>
  <si>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</si>
  <si>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</si>
  <si>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</si>
  <si>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</si>
  <si>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</si>
  <si>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</si>
  <si>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</si>
  <si>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</si>
  <si>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</si>
  <si>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</si>
  <si>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</si>
  <si>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</si>
  <si>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</si>
  <si>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</si>
  <si>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</si>
  <si>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</si>
  <si>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</si>
  <si>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</si>
  <si>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</si>
  <si>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</si>
  <si>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</si>
  <si>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</si>
  <si>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</si>
  <si>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</si>
  <si>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</si>
  <si>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</si>
  <si>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</si>
  <si>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</si>
  <si>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</si>
  <si>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</si>
  <si>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</si>
  <si>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</si>
  <si>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</si>
  <si>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</si>
  <si>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</si>
  <si>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</si>
  <si>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</si>
  <si>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</si>
  <si>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</si>
  <si>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</si>
  <si>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</si>
  <si>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</si>
  <si>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</si>
  <si>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</si>
  <si>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</si>
  <si>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</si>
  <si>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</si>
  <si>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</si>
  <si>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</si>
  <si>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</si>
  <si>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</si>
  <si>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</si>
  <si>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</si>
  <si>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</si>
  <si>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</si>
  <si>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</si>
  <si>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</si>
  <si>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</si>
  <si>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</si>
  <si>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</si>
  <si>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</si>
  <si>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</si>
  <si>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</si>
  <si>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</si>
  <si>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</si>
  <si>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</si>
  <si>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</si>
  <si>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</si>
  <si>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</si>
  <si>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</si>
  <si>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</si>
  <si>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</si>
  <si>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</si>
  <si>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</si>
  <si>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</si>
  <si>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</si>
  <si>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</si>
  <si>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</si>
  <si>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</si>
  <si>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</si>
  <si>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</si>
  <si>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</si>
  <si>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</si>
  <si>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</si>
  <si>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</si>
  <si>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</si>
  <si>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</si>
  <si>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</si>
  <si>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</si>
  <si>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</si>
  <si>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</si>
  <si>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</si>
  <si>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</si>
  <si>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</si>
  <si>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</si>
  <si>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</si>
  <si>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</si>
  <si>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</si>
  <si>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</si>
  <si>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</si>
  <si>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</si>
  <si>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</si>
  <si>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</si>
  <si>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</si>
  <si>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</si>
  <si>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</si>
  <si>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</si>
  <si>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</si>
  <si>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</si>
  <si>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</si>
  <si>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</si>
  <si>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</si>
  <si>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</si>
  <si>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</si>
  <si>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</si>
  <si>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</si>
  <si>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</si>
  <si>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</si>
  <si>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</si>
  <si>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</si>
  <si>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</si>
  <si>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</si>
  <si>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</si>
  <si>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</si>
  <si>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</si>
  <si>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</si>
  <si>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</si>
  <si>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</si>
  <si>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</si>
  <si>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</si>
  <si>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</si>
  <si>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</si>
  <si>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</si>
  <si>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</si>
  <si>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</si>
  <si>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</si>
  <si>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</si>
  <si>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</si>
  <si>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</si>
  <si>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</si>
  <si>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</si>
  <si>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</si>
  <si>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</si>
  <si>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</si>
  <si>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</si>
  <si>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</si>
  <si>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</si>
  <si>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</si>
  <si>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</si>
  <si>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</si>
  <si>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</si>
  <si>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</si>
  <si>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</si>
  <si>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</si>
  <si>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</si>
  <si>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</si>
  <si>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</si>
  <si>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</si>
  <si>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</si>
  <si>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</si>
  <si>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</si>
  <si>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</si>
  <si>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</si>
  <si>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</si>
  <si>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</si>
  <si>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</si>
  <si>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</si>
  <si>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</si>
  <si>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</si>
  <si>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</si>
  <si>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</si>
  <si>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</si>
  <si>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</si>
  <si>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</si>
  <si>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</si>
  <si>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</si>
  <si>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</si>
  <si>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</si>
  <si>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</si>
  <si>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</si>
  <si>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</si>
  <si>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</si>
  <si>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</si>
  <si>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</si>
  <si>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</si>
  <si>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</si>
  <si>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</si>
  <si>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</si>
  <si>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</si>
  <si>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</si>
  <si>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</si>
  <si>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</si>
  <si>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</si>
  <si>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</si>
  <si>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</si>
  <si>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</si>
  <si>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</si>
  <si>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</si>
  <si>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</si>
  <si>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</si>
  <si>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</si>
  <si>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</si>
  <si>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</si>
  <si>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</si>
  <si>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</si>
  <si>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</si>
  <si>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</si>
  <si>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</si>
  <si>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</si>
  <si>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</si>
  <si>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</si>
  <si>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</si>
  <si>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</si>
  <si>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</si>
  <si>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</si>
  <si>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</si>
  <si>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</si>
  <si>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</si>
  <si>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</si>
  <si>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</si>
  <si>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</si>
  <si>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</si>
  <si>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</si>
  <si>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</si>
  <si>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</si>
  <si>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</si>
  <si>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</si>
  <si>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</si>
  <si>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</si>
  <si>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</si>
  <si>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</si>
  <si>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</si>
  <si>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</si>
  <si>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</si>
  <si>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</si>
  <si>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</si>
  <si>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</si>
  <si>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</si>
  <si>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</si>
  <si>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</si>
  <si>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</si>
  <si>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</si>
  <si>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</si>
  <si>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</si>
  <si>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</si>
  <si>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</si>
  <si>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</si>
  <si>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</si>
  <si>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</si>
  <si>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</si>
  <si>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</si>
  <si>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</si>
  <si>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</si>
  <si>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</si>
  <si>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</si>
  <si>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</si>
  <si>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</si>
  <si>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</si>
  <si>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</si>
  <si>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</si>
  <si>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</si>
  <si>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</si>
  <si>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</si>
  <si>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</si>
  <si>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</si>
  <si>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</si>
  <si>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</si>
  <si>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</si>
  <si>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</si>
  <si>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</si>
  <si>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</si>
  <si>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</si>
  <si>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</si>
  <si>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</si>
  <si>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</si>
  <si>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</si>
  <si>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</si>
  <si>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</si>
  <si>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</si>
  <si>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</si>
  <si>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</si>
  <si>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</si>
  <si>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</si>
  <si>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</si>
  <si>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</si>
  <si>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</si>
  <si>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</si>
  <si>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</si>
  <si>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</si>
  <si>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</si>
  <si>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</si>
  <si>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</si>
  <si>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</si>
  <si>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</si>
  <si>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</si>
  <si>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</si>
  <si>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</si>
  <si>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</si>
  <si>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</si>
  <si>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</si>
  <si>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</si>
  <si>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</si>
  <si>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</si>
  <si>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</si>
  <si>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</si>
  <si>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</si>
  <si>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</si>
  <si>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</si>
  <si>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</si>
  <si>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</si>
  <si>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</si>
  <si>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</si>
  <si>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</si>
  <si>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</si>
  <si>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</si>
  <si>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</si>
  <si>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</si>
  <si>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</si>
  <si>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</si>
  <si>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</si>
  <si>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</si>
  <si>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</si>
  <si>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</si>
  <si>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</si>
  <si>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</si>
  <si>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</si>
  <si>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</si>
  <si>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</si>
  <si>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</si>
  <si>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</si>
  <si>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</si>
  <si>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</si>
  <si>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</si>
  <si>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</si>
  <si>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</si>
  <si>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</si>
  <si>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</si>
  <si>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</si>
  <si>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</si>
  <si>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</si>
  <si>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</si>
  <si>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</si>
  <si>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</si>
  <si>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</si>
  <si>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</si>
  <si>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</si>
  <si>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</si>
  <si>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</si>
  <si>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</si>
  <si>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</si>
  <si>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</si>
  <si>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</si>
  <si>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</si>
  <si>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</si>
  <si>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</si>
  <si>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</si>
  <si>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</si>
  <si>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</si>
  <si>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</si>
  <si>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</si>
  <si>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</si>
  <si>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</si>
  <si>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</si>
  <si>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</si>
  <si>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</si>
  <si>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</si>
  <si>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</si>
  <si>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</si>
  <si>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</si>
  <si>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</si>
  <si>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</si>
  <si>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</si>
  <si>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</si>
  <si>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</si>
  <si>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</si>
  <si>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</si>
  <si>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</si>
  <si>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</si>
  <si>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</si>
  <si>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</si>
  <si>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</si>
  <si>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</si>
  <si>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</si>
  <si>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</si>
  <si>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</si>
  <si>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</si>
  <si>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</si>
  <si>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</si>
  <si>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</si>
  <si>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</si>
  <si>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</si>
  <si>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</si>
  <si>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</si>
  <si>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</si>
  <si>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</si>
  <si>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</si>
  <si>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</si>
  <si>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</si>
  <si>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</si>
  <si>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</si>
  <si>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</si>
  <si>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</si>
  <si>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</si>
  <si>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</si>
  <si>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</si>
  <si>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</si>
  <si>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</si>
  <si>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</si>
  <si>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</si>
  <si>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</si>
  <si>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</si>
  <si>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</si>
  <si>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</si>
  <si>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</si>
  <si>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</si>
  <si>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</si>
  <si>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</si>
  <si>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</si>
  <si>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</si>
  <si>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</si>
  <si>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</si>
  <si>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</si>
  <si>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</si>
  <si>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</si>
  <si>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</si>
  <si>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</si>
  <si>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</si>
  <si>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</si>
  <si>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</si>
  <si>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</si>
  <si>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</si>
  <si>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</si>
  <si>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</si>
  <si>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</si>
  <si>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</si>
  <si>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</si>
  <si>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</si>
  <si>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</si>
  <si>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</si>
  <si>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</si>
  <si>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</si>
  <si>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</si>
  <si>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</si>
  <si>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</si>
  <si>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</si>
  <si>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</si>
  <si>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</si>
  <si>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</si>
  <si>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</si>
  <si>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</si>
  <si>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</si>
  <si>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</si>
  <si>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</si>
  <si>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</si>
  <si>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</si>
  <si>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</si>
  <si>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</si>
  <si>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</si>
  <si>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</si>
  <si>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</si>
  <si>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</si>
  <si>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</si>
  <si>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</si>
  <si>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</si>
  <si>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</si>
  <si>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</si>
  <si>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</si>
  <si>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</si>
  <si>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</si>
  <si>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</si>
  <si>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</si>
  <si>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</si>
  <si>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</si>
  <si>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</si>
  <si>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</si>
  <si>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</si>
  <si>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</si>
  <si>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</si>
  <si>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</si>
  <si>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</si>
  <si>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</si>
  <si>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</si>
  <si>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</si>
  <si>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</si>
  <si>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</si>
  <si>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</si>
  <si>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</si>
  <si>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</si>
  <si>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</si>
  <si>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</si>
  <si>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</si>
  <si>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</si>
  <si>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</si>
  <si>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</si>
  <si>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</si>
  <si>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</si>
  <si>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</si>
  <si>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</si>
  <si>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</si>
  <si>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</si>
  <si>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</si>
  <si>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</si>
  <si>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</si>
  <si>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</si>
  <si>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</si>
  <si>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</si>
  <si>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</si>
  <si>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</si>
  <si>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</si>
  <si>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</si>
  <si>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</si>
  <si>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</si>
  <si>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</si>
  <si>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</si>
  <si>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</si>
  <si>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</si>
  <si>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</si>
  <si>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</si>
  <si>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</si>
  <si>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</si>
  <si>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</si>
  <si>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</si>
  <si>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</si>
  <si>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</si>
  <si>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</si>
  <si>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</si>
  <si>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</si>
  <si>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</si>
  <si>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</si>
  <si>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</si>
  <si>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</si>
  <si>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</si>
  <si>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</si>
  <si>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</si>
  <si>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</si>
  <si>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</si>
  <si>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</si>
  <si>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</si>
  <si>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</si>
  <si>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</si>
  <si>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</si>
  <si>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</si>
  <si>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</si>
  <si>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</si>
  <si>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</si>
  <si>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</si>
  <si>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</si>
  <si>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</si>
  <si>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</si>
  <si>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</si>
  <si>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</si>
  <si>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</si>
  <si>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</si>
  <si>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</si>
  <si>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</si>
  <si>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</si>
  <si>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</si>
  <si>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</si>
  <si>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</si>
  <si>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</si>
  <si>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</si>
  <si>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</si>
  <si>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</si>
  <si>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</si>
  <si>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</si>
  <si>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</si>
  <si>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</si>
  <si>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</si>
  <si>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</si>
  <si>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</si>
  <si>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</si>
  <si>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</si>
  <si>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</si>
  <si>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</si>
  <si>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</si>
  <si>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</si>
  <si>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</si>
  <si>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</si>
  <si>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</si>
  <si>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</si>
  <si>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</si>
  <si>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</si>
  <si>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</si>
  <si>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</si>
  <si>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</si>
  <si>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</si>
  <si>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</si>
  <si>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</si>
  <si>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</si>
  <si>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</si>
  <si>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</si>
  <si>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</si>
  <si>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</si>
  <si>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</si>
  <si>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</si>
  <si>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</si>
  <si>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</si>
  <si>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</si>
  <si>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</si>
  <si>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</si>
  <si>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</si>
  <si>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</si>
  <si>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</si>
  <si>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</si>
  <si>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</si>
  <si>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</si>
  <si>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</si>
  <si>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</si>
  <si>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</si>
  <si>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</si>
  <si>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</si>
  <si>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</si>
  <si>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</si>
  <si>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</si>
  <si>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</si>
  <si>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</si>
  <si>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</si>
  <si>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</si>
  <si>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</si>
  <si>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</si>
  <si>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</si>
  <si>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</si>
  <si>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</si>
  <si>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</si>
  <si>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</si>
  <si>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</si>
  <si>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</si>
  <si>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</si>
  <si>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</si>
  <si>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</si>
  <si>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</si>
  <si>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</si>
  <si>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</si>
  <si>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</si>
  <si>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</si>
  <si>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</si>
  <si>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</si>
  <si>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</si>
  <si>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</si>
  <si>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</si>
  <si>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</si>
  <si>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</si>
  <si>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</si>
  <si>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</si>
  <si>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</si>
  <si>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</si>
  <si>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</si>
  <si>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</si>
  <si>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</si>
  <si>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</si>
  <si>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</si>
  <si>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</si>
  <si>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</si>
  <si>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</si>
  <si>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</si>
  <si>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</si>
  <si>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</si>
  <si>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</si>
  <si>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</si>
  <si>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</si>
  <si>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</si>
  <si>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</si>
  <si>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</si>
  <si>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</si>
  <si>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</si>
  <si>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</si>
  <si>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</si>
  <si>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</si>
  <si>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</si>
  <si>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</si>
  <si>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</si>
  <si>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</si>
  <si>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</si>
  <si>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</si>
  <si>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</si>
  <si>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</si>
  <si>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</si>
  <si>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</si>
  <si>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</si>
  <si>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</si>
  <si>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</si>
  <si>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</si>
  <si>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</si>
  <si>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</si>
  <si>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</si>
  <si>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</si>
  <si>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</si>
  <si>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</si>
  <si>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</si>
  <si>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</si>
  <si>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</si>
  <si>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</si>
  <si>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</si>
  <si>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</si>
  <si>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</si>
  <si>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</si>
  <si>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</si>
  <si>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</si>
  <si>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</si>
  <si>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</si>
  <si>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</si>
  <si>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</si>
  <si>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</si>
  <si>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</si>
  <si>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</si>
  <si>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</si>
  <si>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</si>
  <si>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</si>
  <si>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</si>
  <si>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</si>
  <si>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</si>
  <si>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</si>
  <si>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</si>
  <si>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</si>
  <si>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</si>
  <si>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</si>
  <si>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</si>
  <si>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</si>
  <si>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</si>
  <si>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</si>
  <si>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</si>
  <si>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</si>
  <si>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</si>
  <si>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</si>
  <si>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</si>
  <si>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</si>
  <si>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</si>
  <si>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</si>
  <si>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</si>
  <si>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</si>
  <si>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</si>
  <si>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</si>
  <si>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</si>
  <si>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</si>
  <si>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</si>
  <si>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</si>
  <si>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</si>
  <si>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</si>
  <si>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</si>
  <si>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</si>
  <si>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</si>
  <si>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</si>
  <si>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</si>
  <si>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</si>
  <si>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</si>
  <si>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</si>
  <si>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</si>
  <si>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</si>
  <si>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</si>
  <si>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</si>
  <si>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</si>
  <si>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</si>
  <si>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</si>
  <si>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</si>
  <si>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</si>
  <si>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</si>
  <si>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</si>
  <si>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</si>
  <si>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</si>
  <si>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</si>
  <si>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</si>
  <si>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</si>
  <si>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</si>
  <si>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</si>
  <si>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</si>
  <si>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</si>
  <si>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</si>
  <si>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</si>
  <si>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</si>
  <si>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</si>
  <si>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</si>
  <si>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</si>
  <si>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</si>
  <si>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</si>
  <si>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</si>
  <si>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</si>
  <si>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</si>
  <si>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</si>
  <si>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</si>
  <si>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</si>
  <si>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</si>
  <si>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</si>
  <si>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</si>
  <si>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</si>
  <si>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</si>
  <si>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</si>
  <si>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</si>
  <si>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</si>
  <si>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</si>
  <si>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</si>
  <si>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</si>
  <si>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</si>
  <si>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</si>
  <si>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</si>
  <si>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</si>
  <si>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</si>
  <si>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</si>
  <si>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</si>
  <si>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</si>
  <si>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</si>
  <si>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</si>
  <si>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</si>
  <si>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</si>
  <si>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</si>
  <si>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</si>
  <si>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</si>
  <si>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</si>
  <si>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</si>
  <si>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</si>
  <si>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</si>
  <si>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</si>
  <si>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</si>
  <si>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</si>
  <si>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</si>
  <si>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</si>
  <si>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</si>
  <si>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</si>
  <si>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</si>
  <si>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</si>
  <si>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</si>
  <si>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</si>
  <si>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</si>
  <si>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</si>
  <si>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</si>
  <si>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</si>
  <si>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</si>
  <si>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</si>
  <si>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</si>
  <si>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</si>
  <si>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</si>
  <si>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</si>
  <si>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</si>
  <si>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</si>
  <si>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</si>
  <si>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</si>
  <si>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</si>
  <si>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</si>
  <si>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</si>
  <si>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</si>
  <si>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</si>
  <si>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</si>
  <si>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</si>
  <si>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</si>
  <si>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</si>
  <si>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</si>
  <si>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</si>
  <si>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</si>
  <si>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</si>
  <si>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</si>
  <si>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</si>
  <si>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</si>
  <si>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</si>
  <si>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</si>
  <si>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</si>
  <si>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</si>
  <si>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</si>
  <si>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</si>
  <si>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</si>
  <si>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</si>
  <si>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</si>
  <si>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</si>
  <si>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</si>
  <si>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</si>
  <si>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</si>
  <si>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</si>
  <si>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</si>
  <si>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</si>
  <si>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</si>
  <si>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</si>
  <si>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</si>
  <si>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</si>
  <si>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</si>
  <si>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</si>
  <si>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</si>
  <si>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</si>
  <si>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</si>
  <si>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</si>
  <si>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</si>
  <si>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</si>
  <si>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</si>
  <si>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</si>
  <si>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</si>
  <si>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</si>
  <si>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</si>
  <si>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</si>
  <si>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</si>
  <si>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</si>
  <si>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</si>
  <si>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</si>
  <si>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</si>
  <si>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</si>
  <si>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</si>
  <si>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</si>
  <si>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</si>
  <si>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</si>
  <si>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</si>
  <si>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</si>
  <si>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</si>
  <si>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</si>
  <si>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</si>
  <si>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</si>
  <si>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</si>
  <si>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</si>
  <si>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</si>
  <si>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</si>
  <si>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</si>
  <si>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</si>
  <si>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</si>
  <si>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</si>
  <si>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</si>
  <si>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</si>
  <si>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</si>
  <si>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</si>
  <si>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</si>
  <si>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</si>
  <si>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</si>
  <si>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</si>
  <si>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</si>
  <si>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</si>
  <si>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</si>
  <si>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</si>
  <si>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</si>
  <si>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</si>
  <si>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</si>
  <si>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</si>
  <si>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</si>
  <si>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</si>
  <si>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</si>
  <si>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</si>
  <si>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</si>
  <si>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</si>
  <si>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</si>
  <si>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</si>
  <si>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</si>
  <si>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</si>
  <si>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</si>
  <si>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</si>
  <si>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</si>
  <si>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</si>
  <si>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</si>
  <si>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</si>
  <si>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</si>
  <si>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</si>
  <si>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</si>
  <si>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</si>
  <si>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</si>
  <si>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</si>
  <si>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</si>
  <si>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</si>
  <si>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</si>
  <si>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</si>
  <si>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</si>
  <si>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</si>
  <si>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</si>
  <si>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</si>
  <si>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</si>
  <si>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</si>
  <si>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</si>
  <si>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</si>
  <si>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</si>
  <si>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</si>
  <si>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</si>
  <si>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</si>
  <si>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</si>
  <si>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</si>
  <si>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</si>
  <si>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</si>
  <si>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</si>
  <si>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</si>
  <si>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</si>
  <si>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</si>
  <si>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</si>
  <si>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</si>
  <si>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</si>
  <si>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</si>
  <si>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</si>
  <si>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</si>
  <si>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</si>
  <si>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</si>
  <si>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</si>
  <si>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</si>
  <si>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</si>
  <si>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</si>
  <si>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</si>
  <si>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</si>
  <si>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</si>
  <si>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</si>
  <si>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</si>
  <si>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</si>
  <si>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</si>
  <si>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</si>
  <si>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</si>
  <si>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</si>
  <si>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</si>
  <si>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</si>
  <si>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</si>
  <si>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</si>
  <si>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</si>
  <si>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</si>
  <si>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</si>
  <si>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</si>
  <si>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</si>
  <si>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</si>
  <si>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</si>
  <si>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</si>
  <si>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</si>
  <si>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</si>
  <si>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</si>
  <si>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</si>
  <si>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</si>
  <si>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</si>
  <si>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</si>
  <si>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</si>
  <si>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</si>
  <si>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</si>
  <si>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</si>
  <si>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</si>
  <si>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</si>
  <si>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</si>
  <si>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</si>
  <si>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</si>
  <si>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</si>
  <si>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</si>
  <si>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</si>
  <si>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</si>
  <si>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</si>
  <si>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</si>
  <si>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</si>
  <si>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</si>
  <si>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</si>
  <si>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</si>
  <si>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</si>
  <si>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</si>
  <si>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</si>
  <si>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</si>
  <si>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</si>
  <si>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</si>
  <si>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</si>
  <si>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</si>
  <si>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</si>
  <si>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</si>
  <si>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</si>
  <si>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</si>
  <si>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</si>
  <si>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</si>
  <si>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</si>
  <si>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</si>
  <si>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</si>
  <si>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</si>
  <si>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</si>
  <si>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</si>
  <si>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</si>
  <si>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</si>
  <si>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</si>
  <si>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</si>
  <si>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</si>
  <si>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</si>
  <si>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</si>
  <si>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</si>
  <si>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</si>
  <si>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</si>
  <si>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</si>
  <si>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</si>
  <si>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</si>
  <si>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</si>
  <si>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</si>
  <si>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</si>
  <si>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</si>
  <si>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</si>
  <si>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</si>
  <si>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</si>
  <si>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</si>
  <si>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</si>
  <si>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</si>
  <si>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</si>
  <si>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</si>
  <si>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</si>
  <si>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</si>
  <si>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</si>
  <si>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</si>
  <si>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</si>
  <si>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</si>
  <si>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</si>
  <si>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</si>
  <si>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</si>
  <si>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</si>
  <si>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</si>
  <si>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</si>
  <si>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</si>
  <si>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</si>
  <si>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</si>
  <si>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</si>
  <si>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</si>
  <si>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</si>
  <si>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</si>
  <si>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</si>
  <si>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</si>
  <si>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</si>
  <si>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</si>
  <si>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</si>
  <si>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</si>
  <si>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</si>
  <si>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</si>
  <si>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</si>
  <si>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</si>
  <si>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</si>
  <si>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</si>
  <si>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</si>
  <si>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</si>
  <si>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</si>
  <si>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</si>
  <si>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</si>
  <si>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</si>
  <si>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</si>
  <si>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</si>
  <si>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</si>
  <si>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</si>
  <si>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</si>
  <si>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</si>
  <si>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</si>
  <si>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</si>
  <si>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</si>
  <si>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</si>
  <si>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</si>
  <si>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</si>
  <si>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</si>
  <si>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</si>
  <si>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</si>
  <si>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</si>
  <si>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</si>
  <si>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</si>
  <si>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</si>
  <si>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</si>
  <si>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</si>
  <si>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</si>
  <si>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</si>
  <si>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</si>
  <si>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</si>
  <si>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</si>
  <si>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</si>
  <si>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</si>
  <si>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</si>
  <si>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</si>
  <si>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</si>
  <si>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</si>
  <si>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</si>
  <si>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</si>
  <si>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</si>
  <si>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</si>
  <si>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</si>
  <si>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</si>
  <si>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</si>
  <si>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</si>
  <si>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</si>
  <si>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</si>
  <si>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</si>
  <si>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</si>
  <si>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</si>
  <si>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</si>
  <si>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</si>
  <si>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</si>
  <si>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</si>
  <si>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</si>
  <si>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</si>
  <si>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</si>
  <si>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</si>
  <si>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</si>
  <si>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</si>
  <si>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</si>
  <si>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</si>
  <si>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</si>
  <si>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</si>
  <si>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</si>
  <si>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</si>
  <si>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</si>
  <si>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</si>
  <si>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</si>
  <si>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</si>
  <si>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</si>
  <si>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</si>
  <si>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</si>
  <si>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</si>
  <si>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</si>
  <si>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</si>
  <si>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</si>
  <si>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</si>
  <si>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</si>
  <si>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</si>
  <si>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</si>
  <si>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</si>
  <si>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</si>
  <si>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</si>
  <si>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</si>
  <si>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</si>
  <si>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</si>
  <si>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</si>
  <si>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</si>
  <si>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</si>
  <si>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</si>
  <si>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</si>
  <si>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</si>
  <si>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</si>
  <si>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</si>
  <si>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</si>
  <si>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</si>
  <si>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</si>
  <si>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</si>
  <si>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</si>
  <si>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</si>
  <si>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</si>
  <si>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</si>
  <si>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</si>
  <si>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</si>
  <si>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</si>
  <si>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</si>
  <si>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</si>
  <si>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</si>
  <si>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</si>
  <si>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</si>
  <si>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</si>
  <si>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</si>
  <si>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</si>
  <si>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</si>
  <si>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</si>
  <si>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</si>
  <si>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</si>
  <si>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</si>
  <si>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</si>
  <si>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</si>
  <si>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</si>
  <si>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</si>
  <si>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</si>
  <si>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</si>
  <si>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</si>
  <si>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</si>
  <si>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</si>
  <si>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</si>
  <si>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</si>
  <si>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</si>
  <si>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</si>
  <si>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</si>
  <si>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</si>
  <si>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</si>
  <si>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</si>
  <si>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</si>
  <si>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</si>
  <si>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</si>
  <si>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</si>
  <si>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</si>
  <si>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</si>
  <si>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</si>
  <si>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</si>
  <si>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</si>
  <si>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</si>
  <si>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</si>
  <si>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</si>
  <si>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</si>
  <si>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</si>
  <si>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</si>
  <si>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</si>
  <si>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</si>
  <si>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</si>
  <si>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</si>
  <si>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</si>
  <si>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</si>
  <si>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</si>
  <si>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</si>
  <si>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</si>
  <si>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</si>
  <si>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</si>
  <si>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</si>
  <si>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</si>
  <si>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</si>
  <si>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</si>
  <si>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</si>
  <si>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</si>
  <si>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</si>
  <si>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</si>
  <si>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</si>
  <si>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</si>
  <si>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</si>
  <si>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</si>
  <si>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</si>
  <si>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</si>
  <si>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</si>
  <si>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</si>
  <si>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</si>
  <si>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</si>
  <si>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</si>
  <si>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</si>
  <si>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</si>
  <si>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</si>
  <si>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</si>
  <si>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</si>
  <si>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</si>
  <si>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</si>
  <si>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</si>
  <si>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</si>
  <si>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</si>
  <si>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</si>
  <si>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</si>
  <si>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</si>
  <si>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</si>
  <si>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</si>
  <si>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</si>
  <si>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</si>
  <si>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</si>
  <si>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</si>
  <si>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</si>
  <si>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</si>
  <si>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</si>
  <si>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</si>
  <si>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</si>
  <si>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</si>
  <si>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</si>
  <si>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</si>
  <si>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</si>
  <si>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</si>
  <si>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</si>
  <si>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</si>
  <si>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</si>
  <si>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</si>
  <si>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</si>
  <si>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</si>
  <si>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</si>
  <si>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</si>
  <si>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</si>
  <si>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</si>
  <si>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</si>
  <si>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</si>
  <si>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</si>
  <si>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</si>
  <si>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</si>
  <si>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</si>
  <si>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</si>
  <si>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</si>
  <si>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</si>
  <si>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</si>
  <si>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</si>
  <si>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</si>
  <si>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</si>
  <si>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</si>
  <si>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</si>
  <si>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</si>
  <si>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</si>
  <si>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</si>
  <si>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</si>
  <si>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</si>
  <si>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</si>
  <si>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</si>
  <si>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</si>
  <si>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</si>
  <si>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</si>
  <si>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</si>
  <si>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</si>
  <si>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</si>
  <si>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</si>
  <si>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</si>
  <si>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</si>
  <si>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</si>
  <si>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</si>
  <si>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</si>
  <si>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</si>
  <si>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</si>
  <si>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</si>
  <si>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</si>
  <si>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</si>
  <si>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</si>
  <si>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</si>
  <si>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</si>
  <si>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</si>
  <si>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</si>
  <si>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</si>
  <si>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</si>
  <si>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</si>
  <si>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</si>
  <si>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</si>
  <si>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</si>
  <si>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We haven't put in the CBO rate because the CBO assumes the TCJA expires</t>
  </si>
  <si>
    <t>Customs</t>
  </si>
  <si>
    <t>Excise</t>
  </si>
  <si>
    <t>Corporate Profits with IVA and CCAdj</t>
  </si>
  <si>
    <t>Taxable Personal Income</t>
  </si>
  <si>
    <t>Judgmental Growth Rate</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</si>
  <si>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</si>
  <si>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</si>
  <si>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</si>
  <si>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</si>
  <si>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</si>
  <si>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</si>
  <si>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</si>
  <si>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</si>
  <si>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</si>
  <si>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</si>
  <si>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</si>
  <si>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</si>
  <si>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</si>
  <si>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</si>
  <si>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</si>
  <si>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</si>
  <si>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</si>
  <si>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</si>
  <si>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</si>
  <si>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</si>
  <si>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</si>
  <si>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</si>
  <si>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</si>
  <si>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</si>
  <si>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</si>
  <si>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</si>
  <si>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</si>
  <si>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</si>
  <si>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</si>
  <si>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</si>
  <si>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</si>
  <si>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</si>
  <si>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</si>
  <si>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</si>
  <si>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</si>
  <si>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</si>
  <si>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</si>
  <si>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</si>
  <si>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</si>
  <si>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</si>
  <si>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</si>
  <si>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</si>
  <si>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</si>
  <si>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</si>
  <si>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</si>
  <si>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</si>
  <si>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</si>
  <si>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</si>
  <si>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</si>
  <si>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</si>
  <si>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</si>
  <si>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</si>
  <si>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</si>
  <si>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</si>
  <si>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</si>
  <si>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</si>
  <si>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</si>
  <si>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</si>
  <si>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</si>
  <si>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II growth rate</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</si>
  <si>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</si>
  <si>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</si>
  <si>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</si>
  <si>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</si>
  <si>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</si>
  <si>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</si>
  <si>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</si>
  <si>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</si>
  <si>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</si>
  <si>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</si>
  <si>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</si>
  <si>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</si>
  <si>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</si>
  <si>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</si>
  <si>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</si>
  <si>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</si>
  <si>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</si>
  <si>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</si>
  <si>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</si>
  <si>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</si>
  <si>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</si>
  <si>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</si>
  <si>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</si>
  <si>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Hutchins Center calculated Federal Purchases Growth</t>
  </si>
  <si>
    <t>January 2025 CBO Projection of Federal Purchases (billions)</t>
  </si>
  <si>
    <t>add factor due to OBBBA (billions)</t>
  </si>
  <si>
    <t>Personal income add factor due to OBBBA</t>
  </si>
  <si>
    <t xml:space="preserve">   Corporate taxes add factor due to OBBBA</t>
  </si>
  <si>
    <t>Done?</t>
  </si>
  <si>
    <t>2025 Q3 Initial Release (July)</t>
  </si>
  <si>
    <t>May r</t>
  </si>
  <si>
    <t>June p</t>
  </si>
  <si>
    <t>everything else "we've accounted for in detail" (pandemic) = rebate checks (ARP and non-ARP) + ARP other direct aid + SNAP + PPP to NPISH + Social Security + IRA</t>
  </si>
  <si>
    <t>Customs duties</t>
  </si>
  <si>
    <t>Excise and other</t>
  </si>
  <si>
    <t>gfrid</t>
  </si>
  <si>
    <t>gfrie+gfrio</t>
  </si>
  <si>
    <t xml:space="preserve">Personal Income </t>
  </si>
  <si>
    <t>Customs duties add factor</t>
  </si>
  <si>
    <t>historical overrides</t>
  </si>
  <si>
    <t>deflators_override</t>
  </si>
  <si>
    <t>Monthly Personal Income (MPI)</t>
  </si>
  <si>
    <t>forecast comparison</t>
  </si>
  <si>
    <t>forecast</t>
  </si>
  <si>
    <t>mpc</t>
  </si>
  <si>
    <t>Old Component Sheets and Helper Sheets: Social Benefits (BETA VERSION), Social Benefits (EXPLANATION), PPP (expired), Provider Relief (expired), Rebate Checks (expired), Cares ACT Scores, IRA and CHIPS, Response and Relief Act Score, ARP Score, ARP Timing, and ARP Quarterly</t>
  </si>
  <si>
    <t>Component Sheet: Unemployment Insurance, Grants, Federal and State Purchases, Subsidies, Medicaid, Medicare, Student loans, Social Benefits, Supply Side, IRA, Taxes</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</si>
  <si>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</si>
  <si>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</si>
  <si>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</si>
  <si>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</si>
  <si>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</si>
  <si>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</si>
  <si>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</si>
  <si>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</si>
  <si>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</si>
  <si>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</si>
  <si>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</si>
  <si>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</si>
  <si>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</si>
  <si>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</si>
  <si>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</si>
  <si>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</si>
  <si>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</si>
  <si>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</si>
  <si>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</si>
  <si>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</si>
  <si>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</si>
  <si>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</si>
  <si>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</si>
  <si>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</si>
  <si>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</si>
  <si>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</si>
  <si>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</si>
  <si>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</si>
  <si>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</si>
  <si>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</si>
  <si>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</si>
  <si>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</si>
  <si>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</si>
  <si>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</si>
  <si>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</si>
  <si>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 xml:space="preserve">MPCs for the spending out of our forecast variables, where applicable. This is not read into the code - just for reference on what our current MPCs are. </t>
  </si>
  <si>
    <t xml:space="preserve">NOTE: The sheet names that are bolded are the only ones that are read into the code. Do not change the format of these sheets unless you also change the code that imports the data as well. </t>
  </si>
  <si>
    <t xml:space="preserve">Calls from the Deflators forecast sheet. This is also read into the code. </t>
  </si>
  <si>
    <t>If this table has been released, create a new sheet called MPI with the table. You don't need to include the month to month changes, just the levels. It's helpful to highlight the rows in the table that are relevant to us.</t>
  </si>
  <si>
    <t>Before the BEA releases data on a quarter, we can use their monthly estimates to inform our assumptions about the quarter. Don't forget another PCE at the bottom! Drag over cells in yellow before copy pasting (the yellow cell should be the first forecast).</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</si>
  <si>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</si>
  <si>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</si>
  <si>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</si>
  <si>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</si>
  <si>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</si>
  <si>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</si>
  <si>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 xml:space="preserve">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</si>
  <si>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NOTE: This table is only a tabular representation of our current MPCs. To create or edit an MPC matrix, please follow the steps in Georgia's FIM book located in FIM/docs/technical_methodology/_book/economics-methodology.html</t>
  </si>
  <si>
    <t>add factor due to OBBBA</t>
  </si>
  <si>
    <t>Add factor for one-time state refunds</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</si>
  <si>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</si>
  <si>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Uncertainty Override</t>
  </si>
  <si>
    <t>uncertainty_override</t>
  </si>
  <si>
    <t>2025 Q3 First Revision (August)</t>
  </si>
  <si>
    <t>yes</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</si>
  <si>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</si>
  <si>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</si>
  <si>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</si>
  <si>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</si>
  <si>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</si>
  <si>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</si>
  <si>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</si>
  <si>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</si>
  <si>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</si>
  <si>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</si>
  <si>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</si>
  <si>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</si>
  <si>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</si>
  <si>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</si>
  <si>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</si>
  <si>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</si>
  <si>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</si>
  <si>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</si>
  <si>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</si>
  <si>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</si>
  <si>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</si>
  <si>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</si>
  <si>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</si>
  <si>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</si>
  <si>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</si>
  <si>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</si>
  <si>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</si>
  <si>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</si>
  <si>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</si>
  <si>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</si>
  <si>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</si>
  <si>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</si>
  <si>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</si>
  <si>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</si>
  <si>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</si>
  <si>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</si>
  <si>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</si>
  <si>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</si>
  <si>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</si>
  <si>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</si>
  <si>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</si>
  <si>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</si>
  <si>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</si>
  <si>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</si>
  <si>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</si>
  <si>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</si>
  <si>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</si>
  <si>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</si>
  <si>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</si>
  <si>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</si>
  <si>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</si>
  <si>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</si>
  <si>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</si>
  <si>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</si>
  <si>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</si>
  <si>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</si>
  <si>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</si>
  <si>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</si>
  <si>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</si>
  <si>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</si>
  <si>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</si>
  <si>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</si>
  <si>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</si>
  <si>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</si>
  <si>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</si>
  <si>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</si>
  <si>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</si>
  <si>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</si>
  <si>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</si>
  <si>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</si>
  <si>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</si>
  <si>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</si>
  <si>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</si>
  <si>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</si>
  <si>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</si>
  <si>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</si>
  <si>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</si>
  <si>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</si>
  <si>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</si>
  <si>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</si>
  <si>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</si>
  <si>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</si>
  <si>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</si>
  <si>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</si>
  <si>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</si>
  <si>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</si>
  <si>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</si>
  <si>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</si>
  <si>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</si>
  <si>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</si>
  <si>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</si>
  <si>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</si>
  <si>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</si>
  <si>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</si>
  <si>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</si>
  <si>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</si>
  <si>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</si>
  <si>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</si>
  <si>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</si>
  <si>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</si>
  <si>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</si>
  <si>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</si>
  <si>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</si>
  <si>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</si>
  <si>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</si>
  <si>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</si>
  <si>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</si>
  <si>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</si>
  <si>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</si>
  <si>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</si>
  <si>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</si>
  <si>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</si>
  <si>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</si>
  <si>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</si>
  <si>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</si>
  <si>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</si>
  <si>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</si>
  <si>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</si>
  <si>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</si>
  <si>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</si>
  <si>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</si>
  <si>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</si>
  <si>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</si>
  <si>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</si>
  <si>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</si>
  <si>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</si>
  <si>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</si>
  <si>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</si>
  <si>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</si>
  <si>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</si>
  <si>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</si>
  <si>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</si>
  <si>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</si>
  <si>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</si>
  <si>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</si>
  <si>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</si>
  <si>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</si>
  <si>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</si>
  <si>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</si>
  <si>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</si>
  <si>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</si>
  <si>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</si>
  <si>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</si>
  <si>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</si>
  <si>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</si>
  <si>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</si>
  <si>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</si>
  <si>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</si>
  <si>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</si>
  <si>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</si>
  <si>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</si>
  <si>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</si>
  <si>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</si>
  <si>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</si>
  <si>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</si>
  <si>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</si>
  <si>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</si>
  <si>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</si>
  <si>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</si>
  <si>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</si>
  <si>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</si>
  <si>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</si>
  <si>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</si>
  <si>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</si>
  <si>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</si>
  <si>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</si>
  <si>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</si>
  <si>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</si>
  <si>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</si>
  <si>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</si>
  <si>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</si>
  <si>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</si>
  <si>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</si>
  <si>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</si>
  <si>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</si>
  <si>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</si>
  <si>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</si>
  <si>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</si>
  <si>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</si>
  <si>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</si>
  <si>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</si>
  <si>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</si>
  <si>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</si>
  <si>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</si>
  <si>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</si>
  <si>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</si>
  <si>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</si>
  <si>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</si>
  <si>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</si>
  <si>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</si>
  <si>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</si>
  <si>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</si>
  <si>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</si>
  <si>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</si>
  <si>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</si>
  <si>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</si>
  <si>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</si>
  <si>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</si>
  <si>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</si>
  <si>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</si>
  <si>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</si>
  <si>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</si>
  <si>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</si>
  <si>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</si>
  <si>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</si>
  <si>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</si>
  <si>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</si>
  <si>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</si>
  <si>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</si>
  <si>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</si>
  <si>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</si>
  <si>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</si>
  <si>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</si>
  <si>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</si>
  <si>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</si>
  <si>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</si>
  <si>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</si>
  <si>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</si>
  <si>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</si>
  <si>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</si>
  <si>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</si>
  <si>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</si>
  <si>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</si>
  <si>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</si>
  <si>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</si>
  <si>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</si>
  <si>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</si>
  <si>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</si>
  <si>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</si>
  <si>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</si>
  <si>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</si>
  <si>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</si>
  <si>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</si>
  <si>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</si>
  <si>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</si>
  <si>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</si>
  <si>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</si>
  <si>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</si>
  <si>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</si>
  <si>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</si>
  <si>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</si>
  <si>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</si>
  <si>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</si>
  <si>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</si>
  <si>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</si>
  <si>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</si>
  <si>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</si>
  <si>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</si>
  <si>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</si>
  <si>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</si>
  <si>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</si>
  <si>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</si>
  <si>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</si>
  <si>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</si>
  <si>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</si>
  <si>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</si>
  <si>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</si>
  <si>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</si>
  <si>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</si>
  <si>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</si>
  <si>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</si>
  <si>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</si>
  <si>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</si>
  <si>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</si>
  <si>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</si>
  <si>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</si>
  <si>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</si>
  <si>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</si>
  <si>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</si>
  <si>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</si>
  <si>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</si>
  <si>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</si>
  <si>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</si>
  <si>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</si>
  <si>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</si>
  <si>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</si>
  <si>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</si>
  <si>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</si>
  <si>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</si>
  <si>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</si>
  <si>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</si>
  <si>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</si>
  <si>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</si>
  <si>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</si>
  <si>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</si>
  <si>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</si>
  <si>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</si>
  <si>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</si>
  <si>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</si>
  <si>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</si>
  <si>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</si>
  <si>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</si>
  <si>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</si>
  <si>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</si>
  <si>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</si>
  <si>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</si>
  <si>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</si>
  <si>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</si>
  <si>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</si>
  <si>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</si>
  <si>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</si>
  <si>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</si>
  <si>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</si>
  <si>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</si>
  <si>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</si>
  <si>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</si>
  <si>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</si>
  <si>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</si>
  <si>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</si>
  <si>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</si>
  <si>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</si>
  <si>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</si>
  <si>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</si>
  <si>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</si>
  <si>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 xml:space="preserve">name</t>
  </si>
  <si>
    <t xml:space="preserve">1970 Q1</t>
  </si>
  <si>
    <t xml:space="preserve">1970 Q2</t>
  </si>
  <si>
    <t xml:space="preserve">1970 Q3</t>
  </si>
  <si>
    <t xml:space="preserve">1970 Q4</t>
  </si>
  <si>
    <t xml:space="preserve">1971 Q1</t>
  </si>
  <si>
    <t xml:space="preserve">1971 Q2</t>
  </si>
  <si>
    <t xml:space="preserve">1971 Q3</t>
  </si>
  <si>
    <t xml:space="preserve">1971 Q4</t>
  </si>
  <si>
    <t xml:space="preserve">1972 Q1</t>
  </si>
  <si>
    <t xml:space="preserve">1972 Q2</t>
  </si>
  <si>
    <t xml:space="preserve">1972 Q3</t>
  </si>
  <si>
    <t xml:space="preserve">1972 Q4</t>
  </si>
  <si>
    <t xml:space="preserve">1973 Q1</t>
  </si>
  <si>
    <t xml:space="preserve">1973 Q2</t>
  </si>
  <si>
    <t xml:space="preserve">1973 Q3</t>
  </si>
  <si>
    <t xml:space="preserve">1973 Q4</t>
  </si>
  <si>
    <t xml:space="preserve">1974 Q1</t>
  </si>
  <si>
    <t xml:space="preserve">1974 Q2</t>
  </si>
  <si>
    <t xml:space="preserve">1974 Q3</t>
  </si>
  <si>
    <t xml:space="preserve">1974 Q4</t>
  </si>
  <si>
    <t xml:space="preserve">1975 Q1</t>
  </si>
  <si>
    <t xml:space="preserve">1975 Q2</t>
  </si>
  <si>
    <t xml:space="preserve">1975 Q3</t>
  </si>
  <si>
    <t xml:space="preserve">1975 Q4</t>
  </si>
  <si>
    <t xml:space="preserve">1976 Q1</t>
  </si>
  <si>
    <t xml:space="preserve">1976 Q2</t>
  </si>
  <si>
    <t xml:space="preserve">1976 Q3</t>
  </si>
  <si>
    <t xml:space="preserve">1976 Q4</t>
  </si>
  <si>
    <t xml:space="preserve">1977 Q1</t>
  </si>
  <si>
    <t xml:space="preserve">1977 Q2</t>
  </si>
  <si>
    <t xml:space="preserve">1977 Q3</t>
  </si>
  <si>
    <t xml:space="preserve">1977 Q4</t>
  </si>
  <si>
    <t xml:space="preserve">1978 Q1</t>
  </si>
  <si>
    <t xml:space="preserve">1978 Q2</t>
  </si>
  <si>
    <t xml:space="preserve">1978 Q3</t>
  </si>
  <si>
    <t xml:space="preserve">1978 Q4</t>
  </si>
  <si>
    <t xml:space="preserve">1979 Q1</t>
  </si>
  <si>
    <t xml:space="preserve">1979 Q2</t>
  </si>
  <si>
    <t xml:space="preserve">1979 Q3</t>
  </si>
  <si>
    <t xml:space="preserve">1979 Q4</t>
  </si>
  <si>
    <t xml:space="preserve">1980 Q1</t>
  </si>
  <si>
    <t xml:space="preserve">1980 Q2</t>
  </si>
  <si>
    <t xml:space="preserve">1980 Q3</t>
  </si>
  <si>
    <t xml:space="preserve">1980 Q4</t>
  </si>
  <si>
    <t xml:space="preserve">1981 Q1</t>
  </si>
  <si>
    <t xml:space="preserve">1981 Q2</t>
  </si>
  <si>
    <t xml:space="preserve">1981 Q3</t>
  </si>
  <si>
    <t xml:space="preserve">1981 Q4</t>
  </si>
  <si>
    <t xml:space="preserve">1982 Q1</t>
  </si>
  <si>
    <t xml:space="preserve">1982 Q2</t>
  </si>
  <si>
    <t xml:space="preserve">1982 Q3</t>
  </si>
  <si>
    <t xml:space="preserve">1982 Q4</t>
  </si>
  <si>
    <t xml:space="preserve">1983 Q1</t>
  </si>
  <si>
    <t xml:space="preserve">1983 Q2</t>
  </si>
  <si>
    <t xml:space="preserve">1983 Q3</t>
  </si>
  <si>
    <t xml:space="preserve">1983 Q4</t>
  </si>
  <si>
    <t xml:space="preserve">1984 Q1</t>
  </si>
  <si>
    <t xml:space="preserve">1984 Q2</t>
  </si>
  <si>
    <t xml:space="preserve">1984 Q3</t>
  </si>
  <si>
    <t xml:space="preserve">1984 Q4</t>
  </si>
  <si>
    <t xml:space="preserve">1985 Q1</t>
  </si>
  <si>
    <t xml:space="preserve">1985 Q2</t>
  </si>
  <si>
    <t xml:space="preserve">1985 Q3</t>
  </si>
  <si>
    <t xml:space="preserve">1985 Q4</t>
  </si>
  <si>
    <t xml:space="preserve">1986 Q1</t>
  </si>
  <si>
    <t xml:space="preserve">1986 Q2</t>
  </si>
  <si>
    <t xml:space="preserve">1986 Q3</t>
  </si>
  <si>
    <t xml:space="preserve">1986 Q4</t>
  </si>
  <si>
    <t xml:space="preserve">1987 Q1</t>
  </si>
  <si>
    <t xml:space="preserve">1987 Q2</t>
  </si>
  <si>
    <t xml:space="preserve">1987 Q3</t>
  </si>
  <si>
    <t xml:space="preserve">1987 Q4</t>
  </si>
  <si>
    <t xml:space="preserve">1988 Q1</t>
  </si>
  <si>
    <t xml:space="preserve">1988 Q2</t>
  </si>
  <si>
    <t xml:space="preserve">1988 Q3</t>
  </si>
  <si>
    <t xml:space="preserve">1988 Q4</t>
  </si>
  <si>
    <t xml:space="preserve">1989 Q1</t>
  </si>
  <si>
    <t xml:space="preserve">1989 Q2</t>
  </si>
  <si>
    <t xml:space="preserve">1989 Q3</t>
  </si>
  <si>
    <t xml:space="preserve">1989 Q4</t>
  </si>
  <si>
    <t xml:space="preserve">1990 Q1</t>
  </si>
  <si>
    <t xml:space="preserve">1990 Q2</t>
  </si>
  <si>
    <t xml:space="preserve">1990 Q3</t>
  </si>
  <si>
    <t xml:space="preserve">1990 Q4</t>
  </si>
  <si>
    <t xml:space="preserve">1991 Q1</t>
  </si>
  <si>
    <t xml:space="preserve">1991 Q2</t>
  </si>
  <si>
    <t xml:space="preserve">1991 Q3</t>
  </si>
  <si>
    <t xml:space="preserve">1991 Q4</t>
  </si>
  <si>
    <t xml:space="preserve">1992 Q1</t>
  </si>
  <si>
    <t xml:space="preserve">1992 Q2</t>
  </si>
  <si>
    <t xml:space="preserve">1992 Q3</t>
  </si>
  <si>
    <t xml:space="preserve">1992 Q4</t>
  </si>
  <si>
    <t xml:space="preserve">1993 Q1</t>
  </si>
  <si>
    <t xml:space="preserve">1993 Q2</t>
  </si>
  <si>
    <t xml:space="preserve">1993 Q3</t>
  </si>
  <si>
    <t xml:space="preserve">1993 Q4</t>
  </si>
  <si>
    <t xml:space="preserve">1994 Q1</t>
  </si>
  <si>
    <t xml:space="preserve">1994 Q2</t>
  </si>
  <si>
    <t xml:space="preserve">1994 Q3</t>
  </si>
  <si>
    <t xml:space="preserve">1994 Q4</t>
  </si>
  <si>
    <t xml:space="preserve">1995 Q1</t>
  </si>
  <si>
    <t xml:space="preserve">1995 Q2</t>
  </si>
  <si>
    <t xml:space="preserve">1995 Q3</t>
  </si>
  <si>
    <t xml:space="preserve">1995 Q4</t>
  </si>
  <si>
    <t xml:space="preserve">1996 Q1</t>
  </si>
  <si>
    <t xml:space="preserve">1996 Q2</t>
  </si>
  <si>
    <t xml:space="preserve">1996 Q3</t>
  </si>
  <si>
    <t xml:space="preserve">1996 Q4</t>
  </si>
  <si>
    <t xml:space="preserve">1997 Q1</t>
  </si>
  <si>
    <t xml:space="preserve">1997 Q2</t>
  </si>
  <si>
    <t xml:space="preserve">1997 Q3</t>
  </si>
  <si>
    <t xml:space="preserve">1997 Q4</t>
  </si>
  <si>
    <t xml:space="preserve">1998 Q1</t>
  </si>
  <si>
    <t xml:space="preserve">1998 Q2</t>
  </si>
  <si>
    <t xml:space="preserve">1998 Q3</t>
  </si>
  <si>
    <t xml:space="preserve">1998 Q4</t>
  </si>
  <si>
    <t xml:space="preserve">1999 Q1</t>
  </si>
  <si>
    <t xml:space="preserve">1999 Q2</t>
  </si>
  <si>
    <t xml:space="preserve">1999 Q3</t>
  </si>
  <si>
    <t xml:space="preserve">1999 Q4</t>
  </si>
  <si>
    <t xml:space="preserve">2000 Q1</t>
  </si>
  <si>
    <t xml:space="preserve">2000 Q2</t>
  </si>
  <si>
    <t xml:space="preserve">2000 Q3</t>
  </si>
  <si>
    <t xml:space="preserve">2000 Q4</t>
  </si>
  <si>
    <t xml:space="preserve">2001 Q1</t>
  </si>
  <si>
    <t xml:space="preserve">2001 Q2</t>
  </si>
  <si>
    <t xml:space="preserve">2001 Q3</t>
  </si>
  <si>
    <t xml:space="preserve">2001 Q4</t>
  </si>
  <si>
    <t xml:space="preserve">2002 Q1</t>
  </si>
  <si>
    <t xml:space="preserve">2002 Q2</t>
  </si>
  <si>
    <t xml:space="preserve">2002 Q3</t>
  </si>
  <si>
    <t xml:space="preserve">2002 Q4</t>
  </si>
  <si>
    <t xml:space="preserve">2003 Q1</t>
  </si>
  <si>
    <t xml:space="preserve">2003 Q2</t>
  </si>
  <si>
    <t xml:space="preserve">2003 Q3</t>
  </si>
  <si>
    <t xml:space="preserve">2003 Q4</t>
  </si>
  <si>
    <t xml:space="preserve">2004 Q1</t>
  </si>
  <si>
    <t xml:space="preserve">2004 Q2</t>
  </si>
  <si>
    <t xml:space="preserve">2004 Q3</t>
  </si>
  <si>
    <t xml:space="preserve">2004 Q4</t>
  </si>
  <si>
    <t xml:space="preserve">2005 Q1</t>
  </si>
  <si>
    <t xml:space="preserve">2005 Q2</t>
  </si>
  <si>
    <t xml:space="preserve">2005 Q3</t>
  </si>
  <si>
    <t xml:space="preserve">2005 Q4</t>
  </si>
  <si>
    <t xml:space="preserve">2006 Q1</t>
  </si>
  <si>
    <t xml:space="preserve">2006 Q2</t>
  </si>
  <si>
    <t xml:space="preserve">2006 Q3</t>
  </si>
  <si>
    <t xml:space="preserve">2006 Q4</t>
  </si>
  <si>
    <t xml:space="preserve">2007 Q1</t>
  </si>
  <si>
    <t xml:space="preserve">2007 Q2</t>
  </si>
  <si>
    <t xml:space="preserve">2007 Q3</t>
  </si>
  <si>
    <t xml:space="preserve">2007 Q4</t>
  </si>
  <si>
    <t xml:space="preserve">2008 Q1</t>
  </si>
  <si>
    <t xml:space="preserve">2008 Q2</t>
  </si>
  <si>
    <t xml:space="preserve">2008 Q3</t>
  </si>
  <si>
    <t xml:space="preserve">2008 Q4</t>
  </si>
  <si>
    <t xml:space="preserve">2009 Q1</t>
  </si>
  <si>
    <t xml:space="preserve">2009 Q2</t>
  </si>
  <si>
    <t xml:space="preserve">2009 Q3</t>
  </si>
  <si>
    <t xml:space="preserve">2009 Q4</t>
  </si>
  <si>
    <t xml:space="preserve">2010 Q1</t>
  </si>
  <si>
    <t xml:space="preserve">2010 Q2</t>
  </si>
  <si>
    <t xml:space="preserve">2010 Q3</t>
  </si>
  <si>
    <t xml:space="preserve">2010 Q4</t>
  </si>
  <si>
    <t xml:space="preserve">2011 Q1</t>
  </si>
  <si>
    <t xml:space="preserve">2011 Q2</t>
  </si>
  <si>
    <t xml:space="preserve">2011 Q3</t>
  </si>
  <si>
    <t xml:space="preserve">2011 Q4</t>
  </si>
  <si>
    <t xml:space="preserve">2012 Q1</t>
  </si>
  <si>
    <t xml:space="preserve">2012 Q2</t>
  </si>
  <si>
    <t xml:space="preserve">2012 Q3</t>
  </si>
  <si>
    <t xml:space="preserve">2012 Q4</t>
  </si>
  <si>
    <t xml:space="preserve">2013 Q1</t>
  </si>
  <si>
    <t xml:space="preserve">2013 Q2</t>
  </si>
  <si>
    <t xml:space="preserve">2013 Q3</t>
  </si>
  <si>
    <t xml:space="preserve">2013 Q4</t>
  </si>
  <si>
    <t xml:space="preserve">2014 Q1</t>
  </si>
  <si>
    <t xml:space="preserve">2014 Q2</t>
  </si>
  <si>
    <t xml:space="preserve">2014 Q3</t>
  </si>
  <si>
    <t xml:space="preserve">2014 Q4</t>
  </si>
  <si>
    <t xml:space="preserve">2015 Q1</t>
  </si>
  <si>
    <t xml:space="preserve">2015 Q2</t>
  </si>
  <si>
    <t xml:space="preserve">2015 Q3</t>
  </si>
  <si>
    <t xml:space="preserve">2015 Q4</t>
  </si>
  <si>
    <t xml:space="preserve">2016 Q1</t>
  </si>
  <si>
    <t xml:space="preserve">2016 Q2</t>
  </si>
  <si>
    <t xml:space="preserve">2016 Q3</t>
  </si>
  <si>
    <t xml:space="preserve">2016 Q4</t>
  </si>
  <si>
    <t xml:space="preserve">2017 Q1</t>
  </si>
  <si>
    <t xml:space="preserve">2017 Q2</t>
  </si>
  <si>
    <t xml:space="preserve">2017 Q3</t>
  </si>
  <si>
    <t xml:space="preserve">2017 Q4</t>
  </si>
  <si>
    <t xml:space="preserve">2018 Q1</t>
  </si>
  <si>
    <t xml:space="preserve">2018 Q2</t>
  </si>
  <si>
    <t xml:space="preserve">2018 Q3</t>
  </si>
  <si>
    <t xml:space="preserve">2018 Q4</t>
  </si>
  <si>
    <t xml:space="preserve">2019 Q1</t>
  </si>
  <si>
    <t xml:space="preserve">2019 Q2</t>
  </si>
  <si>
    <t xml:space="preserve">2019 Q3</t>
  </si>
  <si>
    <t xml:space="preserve">2019 Q4</t>
  </si>
  <si>
    <t xml:space="preserve">2020 Q1</t>
  </si>
  <si>
    <t xml:space="preserve">2020 Q2</t>
  </si>
  <si>
    <t xml:space="preserve">2020 Q3</t>
  </si>
  <si>
    <t xml:space="preserve">2020 Q4</t>
  </si>
  <si>
    <t xml:space="preserve">2021 Q1</t>
  </si>
  <si>
    <t xml:space="preserve">2021 Q2</t>
  </si>
  <si>
    <t xml:space="preserve">2021 Q3</t>
  </si>
  <si>
    <t xml:space="preserve">2021 Q4</t>
  </si>
  <si>
    <t xml:space="preserve">2022 Q1</t>
  </si>
  <si>
    <t xml:space="preserve">2022 Q2</t>
  </si>
  <si>
    <t xml:space="preserve">2022 Q3</t>
  </si>
  <si>
    <t xml:space="preserve">2022 Q4</t>
  </si>
  <si>
    <t xml:space="preserve">2023 Q1</t>
  </si>
  <si>
    <t xml:space="preserve">2023 Q2</t>
  </si>
  <si>
    <t xml:space="preserve">2023 Q3</t>
  </si>
  <si>
    <t xml:space="preserve">2023 Q4</t>
  </si>
  <si>
    <t xml:space="preserve">2024 Q1</t>
  </si>
  <si>
    <t xml:space="preserve">2024 Q2</t>
  </si>
  <si>
    <t xml:space="preserve">2024 Q3</t>
  </si>
  <si>
    <t xml:space="preserve">2024 Q4</t>
  </si>
  <si>
    <t xml:space="preserve">2025 Q1</t>
  </si>
  <si>
    <t xml:space="preserve">2025 Q2</t>
  </si>
  <si>
    <t xml:space="preserve">gdp</t>
  </si>
  <si>
    <t xml:space="preserve">gdph</t>
  </si>
  <si>
    <t xml:space="preserve">jgdp</t>
  </si>
  <si>
    <t xml:space="preserve">c</t>
  </si>
  <si>
    <t xml:space="preserve">ch</t>
  </si>
  <si>
    <t xml:space="preserve">jc</t>
  </si>
  <si>
    <t xml:space="preserve">jgf</t>
  </si>
  <si>
    <t xml:space="preserve">jgs</t>
  </si>
  <si>
    <t xml:space="preserve">jgse</t>
  </si>
  <si>
    <t xml:space="preserve">jgsi</t>
  </si>
  <si>
    <t xml:space="preserve">yptmr</t>
  </si>
  <si>
    <t xml:space="preserve">yptmd</t>
  </si>
  <si>
    <t xml:space="preserve">yptu</t>
  </si>
  <si>
    <t xml:space="preserve">gtfp</t>
  </si>
  <si>
    <t xml:space="preserve">ypog</t>
  </si>
  <si>
    <t xml:space="preserve">yptx</t>
  </si>
  <si>
    <t xml:space="preserve">ytpi</t>
  </si>
  <si>
    <t xml:space="preserve">yctlg</t>
  </si>
  <si>
    <t xml:space="preserve">g</t>
  </si>
  <si>
    <t xml:space="preserve">grcsi</t>
  </si>
  <si>
    <t xml:space="preserve">dc</t>
  </si>
  <si>
    <t xml:space="preserve">gf</t>
  </si>
  <si>
    <t xml:space="preserve">gs</t>
  </si>
  <si>
    <t xml:space="preserve">gfh</t>
  </si>
  <si>
    <t xml:space="preserve">gsh</t>
  </si>
  <si>
    <t xml:space="preserve">gfrpt</t>
  </si>
  <si>
    <t xml:space="preserve">gfrpri</t>
  </si>
  <si>
    <t xml:space="preserve">gfrcp</t>
  </si>
  <si>
    <t xml:space="preserve">gfrs</t>
  </si>
  <si>
    <t xml:space="preserve">gftfp</t>
  </si>
  <si>
    <t xml:space="preserve">gfeg</t>
  </si>
  <si>
    <t xml:space="preserve">gsrpt</t>
  </si>
  <si>
    <t xml:space="preserve">gsrpri</t>
  </si>
  <si>
    <t xml:space="preserve">gsrcp</t>
  </si>
  <si>
    <t xml:space="preserve">gsrs</t>
  </si>
  <si>
    <t xml:space="preserve">gstfp</t>
  </si>
  <si>
    <t xml:space="preserve">gset</t>
  </si>
  <si>
    <t xml:space="preserve">gfeghhx</t>
  </si>
  <si>
    <t xml:space="preserve">gfeghdx</t>
  </si>
  <si>
    <t xml:space="preserve">gfeigx</t>
  </si>
  <si>
    <t xml:space="preserve">gfsub</t>
  </si>
  <si>
    <t xml:space="preserve">gssub</t>
  </si>
  <si>
    <t xml:space="preserve">gsub</t>
  </si>
  <si>
    <t xml:space="preserve">gftfpe</t>
  </si>
  <si>
    <t xml:space="preserve">gftfpr</t>
  </si>
  <si>
    <t xml:space="preserve">gftfpp</t>
  </si>
  <si>
    <t xml:space="preserve">gftfpv</t>
  </si>
  <si>
    <t xml:space="preserve">gfsubp</t>
  </si>
  <si>
    <t xml:space="preserve">gfsubg</t>
  </si>
  <si>
    <t xml:space="preserve">gfsube</t>
  </si>
  <si>
    <t xml:space="preserve">gfsubs</t>
  </si>
  <si>
    <t xml:space="preserve">gfsubf</t>
  </si>
  <si>
    <t xml:space="preserve">gfsubv</t>
  </si>
  <si>
    <t xml:space="preserve">gfsubk</t>
  </si>
  <si>
    <t xml:space="preserve">gfegc</t>
  </si>
  <si>
    <t xml:space="preserve">gfege</t>
  </si>
  <si>
    <t xml:space="preserve">gfegv</t>
  </si>
  <si>
    <t xml:space="preserve">yptue</t>
  </si>
  <si>
    <t xml:space="preserve">yptup</t>
  </si>
  <si>
    <t xml:space="preserve">yptuc</t>
  </si>
  <si>
    <t xml:space="preserve">gftfpu</t>
  </si>
  <si>
    <t xml:space="preserve">yptub</t>
  </si>
  <si>
    <t xml:space="preserve">yptol</t>
  </si>
  <si>
    <t xml:space="preserve">gfctp</t>
  </si>
  <si>
    <t xml:space="preserve">gftffx</t>
  </si>
  <si>
    <t xml:space="preserve">cpiu</t>
  </si>
  <si>
    <t xml:space="preserve">pcw</t>
  </si>
  <si>
    <t xml:space="preserve">gdppothq</t>
  </si>
  <si>
    <t xml:space="preserve">gdppotq</t>
  </si>
  <si>
    <t xml:space="preserve">recessq</t>
  </si>
  <si>
    <t xml:space="preserve">lasgova</t>
  </si>
  <si>
    <t xml:space="preserve">lalgova</t>
  </si>
  <si>
    <t xml:space="preserve">cpgs</t>
  </si>
  <si>
    <t xml:space="preserve">jgdp_growth</t>
  </si>
  <si>
    <t xml:space="preserve">jc_growth</t>
  </si>
  <si>
    <t xml:space="preserve">jgf_growth</t>
  </si>
  <si>
    <t xml:space="preserve">jgs_growth</t>
  </si>
  <si>
    <t xml:space="preserve">jgse_growth</t>
  </si>
  <si>
    <t xml:space="preserve">jgsi_growth</t>
  </si>
  <si>
    <t xml:space="preserve">ylwsd</t>
  </si>
  <si>
    <t xml:space="preserve">yop</t>
  </si>
  <si>
    <t xml:space="preserve">yri</t>
  </si>
  <si>
    <t xml:space="preserve">ypiar</t>
  </si>
  <si>
    <t xml:space="preserve">ycpd</t>
  </si>
  <si>
    <t xml:space="preserve">gfsubr</t>
  </si>
  <si>
    <t xml:space="preserve">gfsubd</t>
  </si>
  <si>
    <t xml:space="preserve">gftfbdx</t>
  </si>
  <si>
    <t xml:space="preserve">yptocm</t>
  </si>
  <si>
    <t xml:space="preserve">gfrid</t>
  </si>
  <si>
    <t xml:space="preserve">gfrie</t>
  </si>
  <si>
    <t xml:space="preserve">gfrio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</si>
</sst>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
    <numFmt numFmtId="165" formatCode="0.000%"/>
    <numFmt numFmtId="166" formatCode="0.0"/>
    <numFmt numFmtId="167" formatCode="#,##0.0"/>
    <numFmt numFmtId="168" formatCode="0.0000%"/>
    <numFmt numFmtId="169" formatCode="0.000"/>
    <numFmt numFmtId="170" formatCode="#,##0.0000"/>
    <numFmt numFmtId="171" formatCode="#,##0.000"/>
    <numFmt numFmtId="172" formatCode="0.00000000000000"/>
    <numFmt numFmtId="173" formatCode="0.0000000000000"/>
    <numFmt numFmtId="174" formatCode="[$-409]mmm\-yy;@"/>
    <numFmt numFmtId="175" formatCode="yyyy\-mm\-dd"/>
    <numFmt numFmtId="176" formatCode="0_);\(0\)"/>
    <numFmt numFmtId="177" formatCode="_(* #,##0_);_(* \(#,##0\);_(* &quot;-&quot;??_);_(@_)"/>
    <numFmt numFmtId="178" formatCode="0.0000"/>
  </numFmts>
  <fonts count="61">
    <font>
      <sz val="11"/>
      <color theme="1"/>
      <name val="Calibri"/>
      <family val="2"/>
      <scheme val="minor"/>
    </font>
    <font>
      <sz val="11"/>
      <color theme="1"/>
      <name val="Calibri"/>
      <family val="2"/>
    </font>
    <font>
      <sz val="11"/>
      <color theme="1"/>
      <name val="Calibri"/>
      <family val="2"/>
      <b/>
    </font>
    <font>
      <sz val="11"/>
      <color theme="1"/>
      <name val="Arial"/>
      <family val="2"/>
    </font>
    <font>
      <sz val="11"/>
      <color theme="1"/>
      <name val="Calibri"/>
      <family val="2"/>
      <i/>
    </font>
    <font>
      <sz val="14"/>
      <color theme="1"/>
      <name val="Calibri"/>
      <family val="2"/>
      <scheme val="minor"/>
      <b/>
    </font>
    <font>
      <sz val="11"/>
      <color theme="1"/>
      <name val="Calibri"/>
      <family val="2"/>
      <b/>
      <i/>
    </font>
    <font>
      <sz val="11"/>
      <color rgb="FF000000"/>
      <name val="Calibri"/>
      <family val="2"/>
      <b/>
      <i/>
    </font>
    <font>
      <sz val="11"/>
      <color rgb="FF000000"/>
      <name val="Calibri"/>
      <family val="2"/>
    </font>
    <font>
      <sz val="11"/>
      <color rgb="FF000000"/>
      <name val="Calibri"/>
      <family val="2"/>
      <b/>
    </font>
    <font>
      <sz val="11"/>
      <color rgb="FF44546A"/>
      <name val="Arial"/>
      <family val="2"/>
    </font>
    <font>
      <sz val="7"/>
      <color theme="1"/>
      <name val="Segoe UI"/>
      <family val="2"/>
    </font>
    <font>
      <sz val="11"/>
      <color theme="10"/>
      <name val="Calibri"/>
      <family val="2"/>
      <u val="single"/>
    </font>
    <font>
      <sz val="16"/>
      <color theme="1"/>
      <name val="Calibri"/>
      <family val="2"/>
      <b/>
    </font>
    <font>
      <sz val="11"/>
      <color theme="1"/>
      <name val="Arial"/>
      <family val="2"/>
      <b/>
    </font>
    <font>
      <sz val="11"/>
      <color theme="5" tint="0.79998168889431442"/>
      <name val="Calibri"/>
      <family val="2"/>
    </font>
    <font>
      <sz val="11"/>
      <color rgb="FF4F4F4F"/>
      <name val="Segoe UI"/>
      <family val="2"/>
      <b/>
    </font>
    <font>
      <sz val="8"/>
      <color rgb="FF4F4F4F"/>
      <name val="Segoe UI"/>
      <family val="2"/>
      <b/>
    </font>
    <font>
      <sz val="11"/>
      <color theme="10"/>
      <name val="Calibri"/>
      <family val="2"/>
      <scheme val="minor"/>
      <u val="single"/>
    </font>
    <font>
      <sz val="11"/>
      <color theme="1"/>
      <name val="Calibri"/>
    </font>
    <font>
      <sz val="11"/>
      <color theme="1"/>
      <name val="Arial"/>
      <family val="2"/>
      <i/>
    </font>
    <font>
      <sz val="11"/>
      <color theme="1"/>
      <name val="Arial"/>
      <family val="2"/>
      <b/>
      <i/>
    </font>
    <font>
      <sz val="10"/>
      <color theme="1"/>
      <name val="Arial"/>
      <family val="2"/>
    </font>
    <font>
      <sz val="10"/>
      <color theme="1"/>
      <name val="Arial"/>
      <family val="2"/>
      <b/>
    </font>
    <font>
      <sz val="10"/>
      <color theme="1"/>
      <name val="Calibri"/>
      <family val="2"/>
    </font>
    <font>
      <sz val="10"/>
      <color theme="1"/>
      <name val="Arial"/>
      <family val="2"/>
      <i/>
    </font>
    <font>
      <sz val="12"/>
      <color theme="1"/>
      <name val="Calibri"/>
      <family val="2"/>
    </font>
    <font>
      <sz val="12"/>
      <color theme="1"/>
      <name val="Calibri"/>
      <family val="2"/>
      <b/>
    </font>
    <font>
      <sz val="11"/>
      <color rgb="FFFF0000"/>
      <name val="Arial"/>
      <family val="2"/>
    </font>
    <font>
      <sz val="11"/>
      <color rgb="FF393B3E"/>
      <name val="Arial"/>
      <family val="2"/>
    </font>
    <font>
      <sz val="11"/>
      <color rgb="FF000000"/>
      <name val="Arial"/>
      <family val="2"/>
    </font>
    <font>
      <sz val="7"/>
      <color rgb="FF242424"/>
      <name val="Segoe UI"/>
      <family val="2"/>
    </font>
    <font>
      <sz val="10"/>
      <color theme="1"/>
      <name val="Arial"/>
      <family val="2"/>
      <b/>
      <i/>
    </font>
    <font>
      <sz val="9"/>
      <color theme="1"/>
      <name val="Arial"/>
      <family val="2"/>
      <b/>
    </font>
    <font>
      <sz val="11"/>
      <color indexed="8"/>
      <name val="Arial"/>
      <family val="2"/>
    </font>
    <font>
      <sz val="11"/>
      <color rgb="FF0070C0"/>
      <name val="Arial"/>
      <family val="2"/>
    </font>
    <font>
      <sz val="11"/>
      <color theme="8" tint="-0.249977111117893"/>
      <name val="Arial"/>
      <family val="2"/>
    </font>
    <font>
      <sz val="11"/>
      <color rgb="FF000000"/>
      <name val="Arial"/>
      <family val="2"/>
      <b/>
    </font>
    <font>
      <sz val="11"/>
      <color theme="0"/>
      <name val="Arial"/>
      <family val="2"/>
      <b/>
    </font>
    <font>
      <sz val="11"/>
      <color rgb="FF000000"/>
      <name val="Arial"/>
      <family val="2"/>
      <i/>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sz val="9"/>
      <color theme="10"/>
      <name val="Arial"/>
      <family val="2"/>
      <u val="single"/>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sz val="8"/>
      <color rgb="FF980000"/>
      <name val="Arial"/>
      <family val="2"/>
      <b/>
      <i/>
    </font>
    <font>
      <sz val="10"/>
      <color rgb="FF000000"/>
      <name val="Arial"/>
      <family val="2"/>
    </font>
    <font>
      <sz val="10"/>
      <color rgb="FF980000"/>
      <name val="Arial"/>
      <family val="2"/>
    </font>
    <font>
      <sz val="8"/>
      <color rgb="FF000000"/>
      <name val="Arial"/>
      <family val="2"/>
      <b/>
      <i/>
    </font>
    <font>
      <sz val="11"/>
      <color rgb="FF980000"/>
      <name val="Calibri"/>
      <family val="2"/>
    </font>
    <font>
      <sz val="11"/>
      <color theme="1"/>
      <name val="Calibri"/>
      <b/>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border>
    <border>
      <right style="thin">
        <color indexed="64"/>
      </right>
    </border>
    <border>
      <left style="thin">
        <color indexed="64"/>
      </left>
      <top style="thin">
        <color indexed="64"/>
      </top>
    </border>
    <border>
      <top style="thin">
        <color auto="1"/>
      </top>
    </border>
    <border>
      <right style="thin">
        <color indexed="64"/>
      </right>
      <top style="thin">
        <color indexed="64"/>
      </top>
    </border>
    <border>
      <left style="thin">
        <color indexed="64"/>
      </left>
      <bottom style="thin">
        <color indexed="64"/>
      </bottom>
    </border>
    <border>
      <bottom style="thin">
        <color indexed="64"/>
      </bottom>
    </border>
    <border>
      <right style="thin">
        <color indexed="64"/>
      </right>
      <bottom style="thin">
        <color indexed="64"/>
      </bottom>
    </border>
    <border>
      <right style="thin">
        <color auto="1"/>
      </right>
    </border>
    <border>
      <left style="thin">
        <color indexed="64"/>
      </left>
      <top style="thin">
        <color indexed="64"/>
      </top>
      <bottom style="thin">
        <color indexed="64"/>
      </bottom>
    </border>
    <border>
      <top style="thin">
        <color indexed="64"/>
      </top>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left style="thin">
        <color indexed="64"/>
      </left>
      <right style="thin">
        <color indexed="64"/>
      </right>
    </border>
    <border>
      <left style="thin">
        <color indexed="64"/>
      </left>
      <right style="thin">
        <color indexed="64"/>
      </right>
      <top style="thin">
        <color indexed="64"/>
      </top>
    </border>
    <border>
      <right style="thin">
        <color indexed="64"/>
      </right>
      <top style="thin">
        <color auto="1"/>
      </top>
      <bottom style="thin">
        <color indexed="64"/>
      </bottom>
    </border>
    <border>
      <bottom style="medium">
        <color theme="0" tint="-0.499984740745262"/>
      </bottom>
    </border>
    <border>
      <right style="hair">
        <color auto="1"/>
      </right>
      <top style="hair">
        <color auto="1"/>
      </top>
    </border>
    <border>
      <right style="hair">
        <color auto="1"/>
      </right>
    </border>
    <border>
      <right style="hair">
        <color auto="1"/>
      </right>
      <bottom style="hair">
        <color auto="1"/>
      </bottom>
    </border>
    <border>
      <left style="hair">
        <color auto="1"/>
      </left>
      <right style="hair">
        <color auto="1"/>
      </right>
      <top style="hair">
        <color auto="1"/>
      </top>
    </border>
    <border>
      <left style="hair">
        <color auto="1"/>
      </left>
      <right style="hair">
        <color auto="1"/>
      </right>
    </border>
    <border>
      <left style="hair">
        <color auto="1"/>
      </left>
      <right style="hair">
        <color auto="1"/>
      </right>
      <bottom style="hair">
        <color auto="1"/>
      </bottom>
    </border>
    <border>
      <top style="hair">
        <color indexed="64"/>
      </top>
      <bottom style="hair">
        <color indexed="64"/>
      </bottom>
    </border>
    <border>
      <right style="hair">
        <color auto="1"/>
      </right>
      <top style="hair">
        <color auto="1"/>
      </top>
      <bottom style="hair">
        <color auto="1"/>
      </bottom>
    </border>
    <border>
      <left style="hair">
        <color auto="1"/>
      </left>
      <top style="hair">
        <color auto="1"/>
      </top>
      <bottom style="hair">
        <color auto="1"/>
      </bottom>
    </border>
    <border>
      <top style="hair">
        <color indexed="64"/>
      </top>
    </border>
    <border>
      <top style="thin">
        <color theme="0" tint="-0.14999847407452621"/>
      </top>
      <bottom style="thin">
        <color theme="0" tint="-0.14999847407452621"/>
      </bottom>
    </border>
    <border>
      <bottom style="hair">
        <color indexed="64"/>
      </bottom>
    </border>
    <border>
      <left style="hair">
        <color auto="1"/>
      </left>
      <top style="hair">
        <color auto="1"/>
      </top>
    </border>
    <border>
      <left style="hair">
        <color auto="1"/>
      </left>
    </border>
    <border>
      <left style="hair">
        <color auto="1"/>
      </left>
      <bottom style="hair">
        <color auto="1"/>
      </bottom>
    </border>
    <border>
      <right style="thin">
        <color indexed="64"/>
      </right>
      <top style="thin">
        <color theme="0" tint="-0.14999847407452621"/>
      </top>
      <bottom style="thin">
        <color theme="0" tint="-0.14999847407452621"/>
      </bottom>
    </border>
    <border>
      <left style="hair">
        <color auto="1"/>
      </left>
      <right style="hair">
        <color auto="1"/>
      </right>
      <top style="hair">
        <color auto="1"/>
      </top>
      <bottom style="hair">
        <color auto="1"/>
      </bottom>
    </border>
    <border>
      <left style="thin">
        <color indexed="64"/>
      </left>
      <top style="thin">
        <color auto="1"/>
      </top>
      <bottom style="thin">
        <color indexed="64"/>
      </bottom>
    </border>
    <border>
      <top style="thin">
        <color auto="1"/>
      </top>
      <bottom style="thin">
        <color indexed="64"/>
      </bottom>
    </border>
    <border>
      <top style="thin">
        <color indexed="64"/>
      </top>
    </border>
    <border>
      <top style="dashed">
        <color indexed="64"/>
      </top>
    </border>
    <border>
      <left style="thin">
        <color indexed="64"/>
      </left>
      <bottom style="dashed">
        <color indexed="64"/>
      </bottom>
    </border>
    <border>
      <bottom style="dashed">
        <color indexed="64"/>
      </bottom>
    </border>
    <border>
      <left style="thin">
        <color auto="1"/>
      </left>
      <right style="thin">
        <color auto="1"/>
      </right>
      <top style="thin">
        <color auto="1"/>
      </top>
      <bottom style="thin">
        <color auto="1"/>
      </bottom>
    </border>
    <border>
      <bottom style="thin">
        <color rgb="FFFFFF00"/>
      </bottom>
    </border>
    <border>
      <left style="thin">
        <color indexed="64"/>
      </left>
      <bottom style="thin">
        <color rgb="FFFFFF00"/>
      </bottom>
    </border>
    <border>
      <right style="thin">
        <color rgb="FFFFFF00"/>
      </right>
      <bottom style="thin">
        <color rgb="FFFFFF00"/>
      </bottom>
    </border>
    <border>
      <left style="thin">
        <color indexed="64"/>
      </left>
      <bottom style="hair">
        <color indexed="64"/>
      </bottom>
    </border>
    <border>
      <left style="thin">
        <color indexed="64"/>
      </left>
      <top style="hair">
        <color indexed="64"/>
      </top>
    </border>
    <border>
      <right style="thin">
        <color indexed="9"/>
      </right>
    </border>
    <border>
      <left style="thick">
        <color theme="9"/>
      </left>
      <right style="thick">
        <color theme="9"/>
      </right>
      <top style="thick">
        <color theme="9"/>
      </top>
      <bottom style="thick">
        <color theme="9"/>
      </bottom>
    </border>
    <border>
      <bottom style="thin">
        <color rgb="FF000000"/>
      </bottom>
    </border>
    <border>
      <top style="thin">
        <color rgb="FF000000"/>
      </top>
    </border>
  </borders>
  <cellStyleXfs count="1">
    <xf numFmtId="0" fontId="0" fillId="0" borderId="0"/>
  </cellStyleXfs>
  <cellXfs count="1401">
    <xf numFmtId="0" fontId="0" fillId="0" borderId="0" xfId="0"/>
    <xf numFmtId="0" fontId="1" fillId="2" borderId="1" xfId="0" applyFont="1" applyFill="1" applyBorder="1" applyAlignment="1">
      <alignment vertical="top" wrapText="1"/>
    </xf>
    <xf numFmtId="9" fontId="1" fillId="2" borderId="0" xfId="0" applyFont="1" applyNumberFormat="1" applyFill="1" applyAlignment="1">
      <alignment vertical="center"/>
    </xf>
    <xf numFmtId="0" fontId="2" fillId="2" borderId="1" xfId="0" applyFont="1" applyFill="1" applyBorder="1" applyAlignment="1">
      <alignment vertical="center"/>
    </xf>
    <xf numFmtId="0" fontId="1" fillId="2" borderId="0" xfId="0" applyFont="1" applyFill="1" applyAlignment="1">
      <alignment horizontal="left" vertical="center"/>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2" xfId="0" applyFont="1" applyFill="1" applyBorder="1" applyAlignment="1">
      <alignment horizontal="left" vertical="center"/>
    </xf>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9" xfId="0" applyFont="1" applyFill="1" applyBorder="1" applyAlignment="1">
      <alignment horizontal="left" vertical="center"/>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2" xfId="0" applyFont="1" applyFill="1" applyBorder="1" applyAlignment="1">
      <alignment vertical="top"/>
    </xf>
    <xf numFmtId="0" fontId="1" fillId="2" borderId="8" xfId="0" applyFont="1" applyFill="1" applyBorder="1" applyAlignment="1">
      <alignment vertical="top"/>
    </xf>
    <xf numFmtId="0" fontId="1" fillId="2" borderId="6" xfId="0" applyFont="1" applyFill="1" applyBorder="1" applyAlignment="1">
      <alignment vertical="top"/>
    </xf>
    <xf numFmtId="0" fontId="4" fillId="2" borderId="1" xfId="0" applyFont="1" applyFill="1" applyBorder="1" applyAlignment="1">
      <alignment vertical="top"/>
    </xf>
    <xf numFmtId="0" fontId="1" fillId="2" borderId="5" xfId="0" applyFont="1" applyFill="1" applyBorder="1" applyAlignment="1">
      <alignment vertical="top"/>
    </xf>
    <xf numFmtId="0" fontId="1" fillId="2" borderId="4"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1" fillId="2" borderId="1" xfId="0" applyFont="1" applyFill="1" applyBorder="1" applyAlignment="1">
      <alignment horizontal="left" vertical="center"/>
    </xf>
    <xf numFmtId="9" fontId="1" fillId="2" borderId="1" xfId="0" applyFont="1" applyNumberFormat="1" applyFill="1" applyBorder="1" applyAlignment="1">
      <alignment vertical="top"/>
    </xf>
    <xf numFmtId="0" fontId="5" fillId="0" borderId="0" xfId="0" applyFont="1"/>
    <xf numFmtId="0" fontId="1" fillId="2" borderId="0" xfId="0" applyFont="1" applyFill="1" applyAlignment="1">
      <alignment vertical="center"/>
    </xf>
    <xf numFmtId="0" fontId="1" fillId="2" borderId="2" xfId="0" applyFont="1" applyFill="1" applyBorder="1" applyAlignment="1">
      <alignmen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7" fillId="4" borderId="12"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8" fillId="0" borderId="0" xfId="0" applyFont="1" applyAlignment="1">
      <alignment horizontal="left" wrapText="1"/>
    </xf>
    <xf numFmtId="0" fontId="1" fillId="0" borderId="0" xfId="0" applyFont="1" applyAlignment="1">
      <alignment wrapText="1"/>
    </xf>
    <xf numFmtId="0" fontId="1" fillId="0" borderId="13" xfId="0" applyFont="1" applyBorder="1" applyAlignment="1">
      <alignment wrapText="1"/>
    </xf>
    <xf numFmtId="0" fontId="9" fillId="0" borderId="0" xfId="0" applyFont="1" applyAlignment="1">
      <alignment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4" xfId="0" applyFont="1" applyBorder="1" applyAlignment="1">
      <alignment wrapText="1"/>
    </xf>
    <xf numFmtId="0" fontId="1" fillId="0" borderId="15" xfId="0" applyFont="1" applyBorder="1" applyAlignment="1">
      <alignment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9" fillId="5" borderId="12" xfId="0" applyFont="1" applyFill="1" applyBorder="1" applyAlignment="1">
      <alignment horizontal="center" wrapText="1"/>
    </xf>
    <xf numFmtId="0" fontId="10" fillId="0" borderId="0" xfId="0" applyFont="1" applyAlignment="1">
      <alignment wrapText="1"/>
    </xf>
    <xf numFmtId="0" fontId="11" fillId="0" borderId="0" xfId="0" applyFont="1" applyAlignment="1">
      <alignment vertic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12" fillId="0" borderId="0" xfId="0" applyFont="1" applyAlignment="1">
      <alignment wrapText="1"/>
    </xf>
    <xf numFmtId="0" fontId="2" fillId="0" borderId="0" xfId="0" applyFont="1" applyAlignment="1">
      <alignment wrapText="1"/>
    </xf>
    <xf numFmtId="0" fontId="7" fillId="0" borderId="15" xfId="0" applyFont="1" applyBorder="1" applyAlignment="1">
      <alignment horizontal="center" wrapText="1"/>
    </xf>
    <xf numFmtId="0" fontId="8" fillId="0" borderId="0" xfId="0" applyFont="1" applyAlignment="1">
      <alignment wrapText="1"/>
    </xf>
    <xf numFmtId="0" fontId="8" fillId="0" borderId="14" xfId="0" applyFont="1" applyBorder="1" applyAlignment="1">
      <alignment wrapText="1"/>
    </xf>
    <xf numFmtId="0" fontId="1" fillId="0" borderId="4" xfId="0" applyFont="1" applyBorder="1" applyAlignment="1">
      <alignment horizontal="left" wrapText="1"/>
    </xf>
    <xf numFmtId="0" fontId="4" fillId="0" borderId="0" xfId="0" applyFont="1" applyAlignment="1">
      <alignment horizontal="left" wrapText="1"/>
    </xf>
    <xf numFmtId="0" fontId="1" fillId="0" borderId="7" xfId="0" applyFont="1" applyBorder="1" applyAlignment="1">
      <alignment horizontal="left" wrapText="1"/>
    </xf>
    <xf numFmtId="0" fontId="1" fillId="0" borderId="0" xfId="0" applyFont="1" applyAlignment="1">
      <alignment horizontal="left" wrapText="1"/>
    </xf>
    <xf numFmtId="0" fontId="1" fillId="0" borderId="7" xfId="0" applyFont="1" applyBorder="1"/>
    <xf numFmtId="0" fontId="1" fillId="0" borderId="0" xfId="0" applyFont="1"/>
    <xf numFmtId="0" fontId="1" fillId="0" borderId="15" xfId="0" applyFont="1" applyBorder="1"/>
    <xf numFmtId="0" fontId="1" fillId="0" borderId="3" xfId="0" applyFont="1" applyBorder="1" applyAlignment="1">
      <alignment wrapText="1"/>
    </xf>
    <xf numFmtId="0" fontId="1" fillId="0" borderId="4" xfId="0" applyFont="1" applyBorder="1" applyAlignment="1">
      <alignment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2" fillId="6" borderId="12" xfId="0" applyFont="1" applyFill="1" applyBorder="1" applyAlignment="1">
      <alignment horizontal="center" wrapText="1"/>
    </xf>
    <xf numFmtId="0" fontId="1" fillId="0" borderId="1" xfId="0" applyFont="1" applyBorder="1"/>
    <xf numFmtId="0" fontId="2" fillId="0" borderId="0" xfId="0" applyFont="1"/>
    <xf numFmtId="0" fontId="2" fillId="0" borderId="0" xfId="0" applyFont="1" applyAlignment="1">
      <alignment horizontal="center"/>
    </xf>
    <xf numFmtId="3" fontId="1" fillId="0" borderId="0" xfId="0" applyFont="1" applyNumberFormat="1"/>
    <xf numFmtId="1" fontId="1" fillId="0" borderId="0" xfId="0" applyFont="1" applyNumberFormat="1"/>
    <xf numFmtId="164" fontId="1" fillId="7" borderId="0" xfId="0" applyFont="1" applyNumberFormat="1" applyFill="1" applyAlignment="1">
      <alignment horizontal="center"/>
    </xf>
    <xf numFmtId="10" fontId="1" fillId="0" borderId="1" xfId="0" applyFont="1" applyNumberFormat="1" applyBorder="1"/>
    <xf numFmtId="0" fontId="2" fillId="8" borderId="0" xfId="0" applyFont="1" applyFill="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164" fontId="1" fillId="0" borderId="0" xfId="0" applyFont="1" applyNumberFormat="1" applyAlignment="1">
      <alignment horizontal="center"/>
    </xf>
    <xf numFmtId="1" fontId="1" fillId="0" borderId="0" xfId="0" applyFont="1" applyNumberFormat="1" applyAlignment="1">
      <alignment horizontal="center"/>
    </xf>
    <xf numFmtId="165" fontId="1" fillId="0" borderId="0" xfId="0" applyFont="1" applyNumberFormat="1"/>
    <xf numFmtId="164" fontId="1" fillId="0" borderId="0" xfId="0" applyFont="1" applyNumberFormat="1"/>
    <xf numFmtId="165" fontId="1" fillId="0" borderId="0" xfId="0" applyFont="1" applyNumberFormat="1" applyAlignment="1">
      <alignment horizontal="center"/>
    </xf>
    <xf numFmtId="0" fontId="2" fillId="9"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indent="2" wrapText="1"/>
    </xf>
    <xf numFmtId="166" fontId="13" fillId="10" borderId="0" xfId="0" applyFont="1" applyNumberFormat="1" applyFill="1" applyAlignment="1">
      <alignment horizontal="center"/>
    </xf>
    <xf numFmtId="0" fontId="1" fillId="0" borderId="0" xfId="0" applyFont="1" applyAlignment="1">
      <alignment horizontal="left" indent="3"/>
    </xf>
    <xf numFmtId="0" fontId="2" fillId="10" borderId="0" xfId="0" applyFont="1" applyFill="1" applyAlignment="1">
      <alignment horizontal="center"/>
    </xf>
    <xf numFmtId="166" fontId="1" fillId="10" borderId="0" xfId="0" applyFont="1" applyNumberFormat="1" applyFill="1" applyAlignment="1">
      <alignment horizontal="center"/>
    </xf>
    <xf numFmtId="1" fontId="1" fillId="10" borderId="0" xfId="0" applyFont="1" applyNumberFormat="1" applyFill="1" applyAlignment="1">
      <alignment horizontal="center"/>
    </xf>
    <xf numFmtId="166" fontId="1" fillId="10" borderId="0" xfId="0" applyFont="1" applyNumberFormat="1" applyFill="1" applyAlignment="1">
      <alignment horizontal="left" indent="1"/>
    </xf>
    <xf numFmtId="49" fontId="1" fillId="10" borderId="0" xfId="0" applyFont="1" applyNumberFormat="1" applyFill="1" applyAlignment="1">
      <alignment horizontal="left" indent="1" wrapText="1"/>
    </xf>
    <xf numFmtId="166" fontId="1" fillId="10" borderId="0" xfId="0" applyFont="1" applyNumberFormat="1" applyFill="1" applyAlignment="1">
      <alignment horizontal="left" indent="1" wrapText="1"/>
    </xf>
    <xf numFmtId="0" fontId="1" fillId="10" borderId="0" xfId="0" applyFont="1" applyFill="1" applyAlignment="1">
      <alignment horizontal="left" indent="1"/>
    </xf>
    <xf numFmtId="17" fontId="14" fillId="10" borderId="16" xfId="0" applyFont="1" applyNumberFormat="1" applyFill="1" applyBorder="1" applyAlignment="1">
      <alignment horizontal="left" wrapText="1"/>
    </xf>
    <xf numFmtId="0" fontId="1" fillId="0" borderId="0" xfId="0" applyFont="1" applyAlignment="1">
      <alignment horizontal="left" indent="5"/>
    </xf>
    <xf numFmtId="166" fontId="13" fillId="11" borderId="0" xfId="0" applyFont="1" applyNumberFormat="1" applyFill="1" applyAlignment="1">
      <alignment horizontal="center"/>
    </xf>
    <xf numFmtId="0" fontId="2" fillId="11" borderId="0" xfId="0" applyFont="1" applyFill="1"/>
    <xf numFmtId="0" fontId="2" fillId="11" borderId="0" xfId="0" applyFont="1" applyFill="1" applyAlignment="1">
      <alignment horizontal="center"/>
    </xf>
    <xf numFmtId="166" fontId="1" fillId="11" borderId="0" xfId="0" applyFont="1" applyNumberFormat="1" applyFill="1" applyAlignment="1">
      <alignment horizontal="center"/>
    </xf>
    <xf numFmtId="1" fontId="1" fillId="11" borderId="0" xfId="0" applyFont="1" applyNumberFormat="1" applyFill="1" applyAlignment="1">
      <alignment horizontal="center"/>
    </xf>
    <xf numFmtId="0" fontId="1" fillId="0" borderId="0" xfId="0" applyFont="1" applyAlignment="1">
      <alignment horizontal="left" indent="5" wrapText="1"/>
    </xf>
    <xf numFmtId="166" fontId="1" fillId="11" borderId="0" xfId="0" applyFont="1" applyNumberFormat="1" applyFill="1" applyAlignment="1">
      <alignment horizontal="left" indent="1"/>
    </xf>
    <xf numFmtId="49" fontId="1" fillId="11" borderId="0" xfId="0" applyFont="1" applyNumberFormat="1" applyFill="1" applyAlignment="1">
      <alignment horizontal="left" indent="1" wrapText="1"/>
    </xf>
    <xf numFmtId="166" fontId="1" fillId="11" borderId="0" xfId="0" applyFont="1" applyNumberFormat="1" applyFill="1" applyAlignment="1">
      <alignment horizontal="left" indent="1" wrapText="1"/>
    </xf>
    <xf numFmtId="0" fontId="1" fillId="11" borderId="0" xfId="0" applyFont="1" applyFill="1" applyAlignment="1">
      <alignment horizontal="left" indent="1"/>
    </xf>
    <xf numFmtId="49" fontId="1" fillId="0" borderId="0" xfId="0" applyFont="1" applyNumberFormat="1" applyAlignment="1">
      <alignment horizontal="left" indent="1" wrapText="1"/>
    </xf>
    <xf numFmtId="166" fontId="13" fillId="0" borderId="0" xfId="0" applyFont="1" applyNumberFormat="1" applyAlignment="1">
      <alignment horizontal="center"/>
    </xf>
    <xf numFmtId="0" fontId="2" fillId="0" borderId="17" xfId="0" applyFont="1" applyBorder="1" applyAlignment="1">
      <alignment horizontal="center"/>
    </xf>
    <xf numFmtId="166" fontId="1" fillId="0" borderId="18" xfId="0" applyFont="1" applyNumberFormat="1" applyBorder="1" applyAlignment="1">
      <alignment horizontal="center" vertical="center"/>
    </xf>
    <xf numFmtId="166" fontId="1" fillId="0" borderId="19" xfId="0" applyFont="1" applyNumberFormat="1" applyBorder="1" applyAlignment="1">
      <alignment horizontal="center" vertical="center"/>
    </xf>
    <xf numFmtId="166" fontId="1" fillId="0" borderId="20" xfId="0" applyFont="1" applyNumberFormat="1" applyBorder="1" applyAlignment="1">
      <alignment horizontal="center" vertical="center"/>
    </xf>
    <xf numFmtId="166" fontId="1" fillId="0" borderId="21" xfId="0" applyFont="1" applyNumberFormat="1" applyBorder="1" applyAlignment="1">
      <alignment horizontal="center"/>
    </xf>
    <xf numFmtId="166" fontId="1" fillId="0" borderId="22" xfId="0" applyFont="1" applyNumberFormat="1" applyBorder="1" applyAlignment="1">
      <alignment horizontal="center"/>
    </xf>
    <xf numFmtId="17" fontId="14" fillId="11" borderId="16" xfId="0" applyFont="1" applyNumberFormat="1" applyFill="1" applyBorder="1" applyAlignment="1">
      <alignment horizontal="left" wrapText="1"/>
    </xf>
    <xf numFmtId="166" fontId="1" fillId="0" borderId="23" xfId="0" applyFont="1" applyNumberFormat="1" applyBorder="1" applyAlignment="1">
      <alignment horizontal="center"/>
    </xf>
    <xf numFmtId="166" fontId="1" fillId="0" borderId="24" xfId="0" applyFont="1" applyNumberFormat="1" applyBorder="1" applyAlignment="1">
      <alignment horizontal="center"/>
    </xf>
    <xf numFmtId="166" fontId="1" fillId="0" borderId="25" xfId="0" applyFont="1" applyNumberFormat="1" applyBorder="1" applyAlignment="1">
      <alignment horizontal="center"/>
    </xf>
    <xf numFmtId="1" fontId="1" fillId="0" borderId="26" xfId="0" applyFont="1" applyNumberFormat="1" applyBorder="1" applyAlignment="1">
      <alignment horizontal="center"/>
    </xf>
    <xf numFmtId="1" fontId="1" fillId="0" borderId="24" xfId="0" applyFont="1" applyNumberFormat="1" applyBorder="1" applyAlignment="1">
      <alignment horizontal="center"/>
    </xf>
    <xf numFmtId="1" fontId="1" fillId="0" borderId="25" xfId="0" applyFont="1" applyNumberFormat="1" applyBorder="1" applyAlignment="1">
      <alignment horizontal="center"/>
    </xf>
    <xf numFmtId="166" fontId="1" fillId="0" borderId="27" xfId="0" applyFont="1" applyNumberFormat="1" applyBorder="1" applyAlignment="1">
      <alignment horizontal="left" inden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166" fontId="13" fillId="12" borderId="0" xfId="0" applyFont="1" applyNumberFormat="1" applyFill="1" applyAlignment="1">
      <alignment horizontal="center"/>
    </xf>
    <xf numFmtId="166" fontId="1" fillId="0" borderId="0" xfId="0" applyFont="1" applyNumberFormat="1" applyAlignment="1">
      <alignment horizontal="left" indent="1" wrapText="1"/>
    </xf>
    <xf numFmtId="0" fontId="1" fillId="0" borderId="0" xfId="0" applyFont="1" applyAlignment="1">
      <alignment horizontal="left" indent="1"/>
    </xf>
    <xf numFmtId="0" fontId="2" fillId="12" borderId="0" xfId="0" applyFont="1" applyFill="1"/>
    <xf numFmtId="167" fontId="2" fillId="10" borderId="27" xfId="0" applyFont="1" applyNumberFormat="1" applyFill="1" applyBorder="1" applyAlignment="1">
      <alignment horizontal="right"/>
    </xf>
    <xf numFmtId="167" fontId="2" fillId="10" borderId="0" xfId="0" applyFont="1" applyNumberFormat="1" applyFill="1" applyAlignment="1">
      <alignment horizontal="right"/>
    </xf>
    <xf numFmtId="0" fontId="2" fillId="12" borderId="0" xfId="0" applyFont="1" applyFill="1" applyAlignment="1">
      <alignment horizontal="center"/>
    </xf>
    <xf numFmtId="2" fontId="1" fillId="10" borderId="0" xfId="0" applyFont="1" applyNumberFormat="1" applyFill="1"/>
    <xf numFmtId="2" fontId="1" fillId="10" borderId="28" xfId="0" applyFont="1" applyNumberFormat="1" applyFill="1" applyBorder="1"/>
    <xf numFmtId="2" fontId="2" fillId="10" borderId="0" xfId="0" applyFont="1" applyNumberFormat="1" applyFill="1"/>
    <xf numFmtId="0" fontId="15" fillId="10" borderId="0" xfId="0" applyFont="1" applyFill="1"/>
    <xf numFmtId="0" fontId="2" fillId="10" borderId="0" xfId="0" applyFont="1" applyFill="1"/>
    <xf numFmtId="167" fontId="1" fillId="10" borderId="0" xfId="0" applyFont="1" applyNumberFormat="1" applyFill="1" applyAlignment="1">
      <alignment horizontal="right"/>
    </xf>
    <xf numFmtId="0" fontId="16" fillId="13" borderId="0" xfId="0" applyFont="1" applyFill="1" applyAlignment="1">
      <alignment horizontal="right" vertical="center"/>
    </xf>
    <xf numFmtId="2" fontId="1" fillId="11" borderId="0" xfId="0" applyFont="1" applyNumberFormat="1" applyFill="1"/>
    <xf numFmtId="2" fontId="2" fillId="11" borderId="0" xfId="0" applyFont="1" applyNumberFormat="1" applyFill="1"/>
    <xf numFmtId="2" fontId="2" fillId="12" borderId="0" xfId="0" applyFont="1" applyNumberFormat="1" applyFill="1"/>
    <xf numFmtId="3" fontId="1" fillId="10" borderId="0" xfId="0" applyFont="1" applyNumberFormat="1" applyFill="1" applyAlignment="1">
      <alignment horizontal="right"/>
    </xf>
    <xf numFmtId="3" fontId="1" fillId="10" borderId="29" xfId="0" applyFont="1" applyNumberFormat="1" applyFill="1" applyBorder="1" applyAlignment="1">
      <alignment horizontal="right"/>
    </xf>
    <xf numFmtId="0" fontId="2" fillId="0" borderId="0" xfId="0" applyFont="1" applyAlignment="1">
      <alignment horizontal="left" indent="1" wrapText="1"/>
    </xf>
    <xf numFmtId="166" fontId="1" fillId="12" borderId="0" xfId="0" applyFont="1" applyNumberFormat="1" applyFill="1" applyAlignment="1">
      <alignment horizontal="center"/>
    </xf>
    <xf numFmtId="167" fontId="2" fillId="11" borderId="30" xfId="0" applyFont="1" applyNumberFormat="1" applyFill="1" applyBorder="1" applyAlignment="1">
      <alignment horizontal="right"/>
    </xf>
    <xf numFmtId="167" fontId="2" fillId="11" borderId="31" xfId="0" applyFont="1" applyNumberFormat="1" applyFill="1" applyBorder="1" applyAlignment="1">
      <alignment horizontal="right"/>
    </xf>
    <xf numFmtId="167" fontId="1" fillId="11" borderId="31" xfId="0" applyFont="1" applyNumberFormat="1" applyFill="1" applyBorder="1" applyAlignment="1">
      <alignment horizontal="right"/>
    </xf>
    <xf numFmtId="1" fontId="1" fillId="12" borderId="0" xfId="0" applyFont="1" applyNumberFormat="1" applyFill="1" applyAlignment="1">
      <alignment horizontal="center"/>
    </xf>
    <xf numFmtId="3" fontId="1" fillId="11" borderId="31" xfId="0" applyFont="1" applyNumberFormat="1" applyFill="1" applyBorder="1" applyAlignment="1">
      <alignment horizontal="right"/>
    </xf>
    <xf numFmtId="0" fontId="17" fillId="13" borderId="0" xfId="0" applyFont="1" applyFill="1" applyAlignment="1">
      <alignment horizontal="right" vertical="center"/>
    </xf>
    <xf numFmtId="3" fontId="1" fillId="11" borderId="32" xfId="0" applyFont="1" applyNumberFormat="1" applyFill="1" applyBorder="1" applyAlignment="1">
      <alignment horizontal="right"/>
    </xf>
    <xf numFmtId="2" fontId="1" fillId="11" borderId="2" xfId="0" applyFont="1" applyNumberFormat="1" applyFill="1" applyBorder="1"/>
    <xf numFmtId="2" fontId="1" fillId="11" borderId="33" xfId="0" applyFont="1" applyNumberFormat="1" applyFill="1" applyBorder="1"/>
    <xf numFmtId="2" fontId="1" fillId="0" borderId="0" xfId="0" applyFont="1" applyNumberFormat="1"/>
    <xf numFmtId="10" fontId="1" fillId="0" borderId="0" xfId="0" applyFont="1" applyNumberFormat="1"/>
    <xf numFmtId="166" fontId="1" fillId="12" borderId="0" xfId="0" applyFont="1" applyNumberFormat="1" applyFill="1" applyAlignment="1">
      <alignment horizontal="left" indent="1"/>
    </xf>
    <xf numFmtId="49" fontId="1" fillId="12" borderId="0" xfId="0" applyFont="1" applyNumberFormat="1" applyFill="1" applyAlignment="1">
      <alignment horizontal="left" indent="1" wrapText="1"/>
    </xf>
    <xf numFmtId="0" fontId="1" fillId="0" borderId="0" xfId="0" applyFont="1" applyAlignment="1">
      <alignment horizontal="left" indent="3" wrapText="1"/>
    </xf>
    <xf numFmtId="2" fontId="1" fillId="12" borderId="0" xfId="0" applyFont="1" applyNumberFormat="1" applyFill="1"/>
    <xf numFmtId="166" fontId="1" fillId="11" borderId="34" xfId="0" applyFont="1" applyNumberFormat="1" applyFill="1" applyBorder="1" applyAlignment="1">
      <alignment horizontal="center"/>
    </xf>
    <xf numFmtId="2" fontId="1" fillId="12" borderId="2" xfId="0" applyFont="1" applyNumberFormat="1" applyFill="1" applyBorder="1"/>
    <xf numFmtId="2" fontId="1" fillId="12" borderId="33" xfId="0" applyFont="1" applyNumberFormat="1" applyFill="1" applyBorder="1"/>
    <xf numFmtId="10" fontId="1" fillId="9" borderId="0" xfId="0" applyFont="1" applyNumberFormat="1" applyFill="1"/>
    <xf numFmtId="167" fontId="2" fillId="11" borderId="27" xfId="0" applyFont="1" applyNumberFormat="1" applyFill="1" applyBorder="1" applyAlignment="1">
      <alignment horizontal="right"/>
    </xf>
    <xf numFmtId="167" fontId="2" fillId="11" borderId="0" xfId="0" applyFont="1" applyNumberFormat="1" applyFill="1" applyAlignment="1">
      <alignment horizontal="right"/>
    </xf>
    <xf numFmtId="167" fontId="1" fillId="11" borderId="0" xfId="0" applyFont="1" applyNumberFormat="1" applyFill="1" applyAlignment="1">
      <alignment horizontal="right"/>
    </xf>
    <xf numFmtId="3" fontId="1" fillId="11" borderId="0" xfId="0" applyFont="1" applyNumberFormat="1" applyFill="1" applyAlignment="1">
      <alignment horizontal="right"/>
    </xf>
    <xf numFmtId="0" fontId="1" fillId="0" borderId="0" xfId="0" applyFont="1" applyAlignment="1">
      <alignment horizontal="left" indent="2"/>
    </xf>
    <xf numFmtId="0" fontId="2" fillId="0" borderId="0" xfId="0" applyFont="1" applyAlignment="1">
      <alignment horizontal="left"/>
    </xf>
    <xf numFmtId="3" fontId="1" fillId="11" borderId="29" xfId="0" applyFont="1" applyNumberFormat="1" applyFill="1" applyBorder="1" applyAlignment="1">
      <alignment horizontal="right"/>
    </xf>
    <xf numFmtId="166" fontId="1" fillId="12" borderId="34" xfId="0" applyFont="1" applyNumberFormat="1" applyFill="1" applyBorder="1" applyAlignment="1">
      <alignment horizontal="center"/>
    </xf>
    <xf numFmtId="167" fontId="2" fillId="12" borderId="27" xfId="0" applyFont="1" applyNumberFormat="1" applyFill="1" applyBorder="1" applyAlignment="1">
      <alignment horizontal="right"/>
    </xf>
    <xf numFmtId="167" fontId="2" fillId="12" borderId="0" xfId="0" applyFont="1" applyNumberFormat="1" applyFill="1" applyAlignment="1">
      <alignment horizontal="right"/>
    </xf>
    <xf numFmtId="167" fontId="1" fillId="12" borderId="0" xfId="0" applyFont="1" applyNumberFormat="1" applyFill="1" applyAlignment="1">
      <alignment horizontal="right"/>
    </xf>
    <xf numFmtId="0" fontId="1" fillId="10" borderId="0" xfId="0" applyFont="1" applyFill="1"/>
    <xf numFmtId="2" fontId="1" fillId="10" borderId="2" xfId="0" applyFont="1" applyNumberFormat="1" applyFill="1" applyBorder="1"/>
    <xf numFmtId="2" fontId="1" fillId="10" borderId="33" xfId="0" applyFont="1" applyNumberFormat="1" applyFill="1" applyBorder="1"/>
    <xf numFmtId="0" fontId="1" fillId="11" borderId="0" xfId="0" applyFont="1" applyFill="1"/>
    <xf numFmtId="0" fontId="1" fillId="12" borderId="0" xfId="0" applyFont="1" applyFill="1"/>
    <xf numFmtId="0" fontId="18" fillId="0" borderId="0" xfId="0" applyFont="1" applyAlignment="1">
      <alignment wrapText="1"/>
    </xf>
    <xf numFmtId="3" fontId="1" fillId="12" borderId="0" xfId="0" applyFont="1" applyNumberFormat="1" applyFill="1" applyAlignment="1">
      <alignment horizontal="right"/>
    </xf>
    <xf numFmtId="2" fontId="1" fillId="9" borderId="2" xfId="0" applyFont="1" applyNumberFormat="1" applyFill="1" applyBorder="1"/>
    <xf numFmtId="3" fontId="1" fillId="12" borderId="29" xfId="0" applyFont="1" applyNumberFormat="1" applyFill="1" applyBorder="1" applyAlignment="1">
      <alignment horizontal="right"/>
    </xf>
    <xf numFmtId="166" fontId="1" fillId="10" borderId="34" xfId="0" applyFont="1" applyNumberFormat="1" applyFill="1" applyBorder="1" applyAlignment="1">
      <alignment horizontal="center"/>
    </xf>
    <xf numFmtId="167" fontId="2" fillId="10" borderId="18" xfId="0" applyFont="1" applyNumberFormat="1" applyFill="1" applyBorder="1" applyAlignment="1">
      <alignment horizontal="right"/>
    </xf>
    <xf numFmtId="167" fontId="2" fillId="10" borderId="19" xfId="0" applyFont="1" applyNumberFormat="1" applyFill="1" applyBorder="1" applyAlignment="1">
      <alignment horizontal="right"/>
    </xf>
    <xf numFmtId="167" fontId="1" fillId="10" borderId="19" xfId="0" applyFont="1" applyNumberFormat="1" applyFill="1" applyBorder="1" applyAlignment="1">
      <alignment horizontal="right"/>
    </xf>
    <xf numFmtId="3" fontId="1" fillId="10" borderId="19" xfId="0" applyFont="1" applyNumberFormat="1" applyFill="1" applyBorder="1" applyAlignment="1">
      <alignment horizontal="right"/>
    </xf>
    <xf numFmtId="3" fontId="1" fillId="10" borderId="20" xfId="0" applyFont="1" applyNumberFormat="1" applyFill="1" applyBorder="1" applyAlignment="1">
      <alignment horizontal="right"/>
    </xf>
    <xf numFmtId="166" fontId="1" fillId="12" borderId="0" xfId="0" applyFont="1" applyNumberFormat="1" applyFill="1" applyAlignment="1">
      <alignment horizontal="left" indent="1" wrapText="1"/>
    </xf>
    <xf numFmtId="0" fontId="1" fillId="12" borderId="0" xfId="0" applyFont="1" applyFill="1" applyAlignment="1">
      <alignment horizontal="left" indent="1"/>
    </xf>
    <xf numFmtId="17" fontId="14" fillId="12" borderId="16" xfId="0" applyFont="1" applyNumberFormat="1" applyFill="1" applyBorder="1" applyAlignment="1">
      <alignment horizontal="left" wrapText="1"/>
    </xf>
    <xf numFmtId="1" fontId="1" fillId="0" borderId="18" xfId="0" applyFont="1" applyNumberFormat="1" applyBorder="1" applyAlignment="1">
      <alignment horizontal="center"/>
    </xf>
    <xf numFmtId="1" fontId="1" fillId="0" borderId="19" xfId="0" applyFont="1" applyNumberFormat="1" applyBorder="1" applyAlignment="1">
      <alignment horizontal="center"/>
    </xf>
    <xf numFmtId="1" fontId="1" fillId="0" borderId="19" xfId="0" applyFont="1" applyNumberFormat="1" applyBorder="1" applyAlignment="1">
      <alignment horizontal="center" vertical="top"/>
    </xf>
    <xf numFmtId="1" fontId="1" fillId="0" borderId="20" xfId="0" applyFont="1" applyNumberFormat="1" applyBorder="1" applyAlignment="1">
      <alignment horizontal="center"/>
    </xf>
    <xf numFmtId="166" fontId="1" fillId="0" borderId="0" xfId="0" applyFont="1" applyNumberFormat="1" applyAlignment="1">
      <alignment horizontal="center"/>
    </xf>
    <xf numFmtId="17" fontId="14" fillId="3" borderId="16" xfId="0" applyFont="1" applyNumberFormat="1" applyFill="1" applyBorder="1" applyAlignment="1">
      <alignment horizontal="left" wrapText="1"/>
    </xf>
    <xf numFmtId="166" fontId="1" fillId="0" borderId="0" xfId="0" applyFont="1" applyNumberFormat="1" applyAlignment="1">
      <alignment horizontal="left" indent="1"/>
    </xf>
    <xf numFmtId="166" fontId="1" fillId="0" borderId="34" xfId="0" applyFont="1" applyNumberFormat="1" applyBorder="1" applyAlignment="1">
      <alignment horizontal="center"/>
    </xf>
    <xf numFmtId="167" fontId="2" fillId="0" borderId="30" xfId="0" applyFont="1" applyNumberFormat="1" applyBorder="1" applyAlignment="1">
      <alignment horizontal="right"/>
    </xf>
    <xf numFmtId="167" fontId="2" fillId="0" borderId="27" xfId="0" applyFont="1" applyNumberFormat="1" applyBorder="1" applyAlignment="1">
      <alignment horizontal="right"/>
    </xf>
    <xf numFmtId="167" fontId="2" fillId="0" borderId="31" xfId="0" applyFont="1" applyNumberFormat="1" applyBorder="1" applyAlignment="1">
      <alignment horizontal="right"/>
    </xf>
    <xf numFmtId="167" fontId="2" fillId="0" borderId="0" xfId="0" applyFont="1" applyNumberFormat="1" applyAlignment="1">
      <alignment horizontal="right"/>
    </xf>
    <xf numFmtId="167" fontId="1" fillId="0" borderId="31" xfId="0" applyFont="1" applyNumberFormat="1" applyBorder="1" applyAlignment="1">
      <alignment horizontal="right"/>
    </xf>
    <xf numFmtId="167" fontId="1" fillId="0" borderId="0" xfId="0" applyFont="1" applyNumberFormat="1" applyAlignment="1">
      <alignment horizontal="right"/>
    </xf>
    <xf numFmtId="3" fontId="1" fillId="0" borderId="31" xfId="0" applyFont="1" applyNumberFormat="1" applyBorder="1" applyAlignment="1">
      <alignment horizontal="right"/>
    </xf>
    <xf numFmtId="3" fontId="1" fillId="0" borderId="0" xfId="0" applyFont="1" applyNumberFormat="1" applyAlignment="1">
      <alignment horizontal="right"/>
    </xf>
    <xf numFmtId="3" fontId="1" fillId="0" borderId="32" xfId="0" applyFont="1" applyNumberFormat="1" applyBorder="1" applyAlignment="1">
      <alignment horizontal="right"/>
    </xf>
    <xf numFmtId="3" fontId="1" fillId="0" borderId="29" xfId="0" applyFont="1" applyNumberFormat="1" applyBorder="1" applyAlignment="1">
      <alignment horizontal="right"/>
    </xf>
    <xf numFmtId="1" fontId="1" fillId="9" borderId="19" xfId="0" applyFont="1" applyNumberFormat="1" applyFill="1" applyBorder="1" applyAlignment="1">
      <alignment horizontal="center"/>
    </xf>
    <xf numFmtId="0" fontId="12" fillId="0" borderId="0" xfId="0" applyFont="1"/>
    <xf numFmtId="0" fontId="1" fillId="9" borderId="0" xfId="0" applyFont="1" applyFill="1" applyAlignment="1">
      <alignment horizontal="left" indent="3"/>
    </xf>
    <xf numFmtId="167" fontId="1" fillId="9" borderId="31" xfId="0" applyFont="1" applyNumberFormat="1" applyFill="1" applyBorder="1" applyAlignment="1">
      <alignment horizontal="right"/>
    </xf>
    <xf numFmtId="167" fontId="1" fillId="9" borderId="0" xfId="0" applyFont="1" applyNumberFormat="1" applyFill="1" applyAlignment="1">
      <alignment horizontal="right"/>
    </xf>
    <xf numFmtId="167" fontId="2" fillId="10" borderId="30" xfId="0" applyFont="1" applyNumberFormat="1" applyFill="1" applyBorder="1" applyAlignment="1">
      <alignment horizontal="right"/>
    </xf>
    <xf numFmtId="2" fontId="1" fillId="9" borderId="33" xfId="0" applyFont="1" applyNumberFormat="1" applyFill="1" applyBorder="1"/>
    <xf numFmtId="167" fontId="2" fillId="10" borderId="31" xfId="0" applyFont="1" applyNumberFormat="1" applyFill="1" applyBorder="1" applyAlignment="1">
      <alignment horizontal="right"/>
    </xf>
    <xf numFmtId="167" fontId="1" fillId="10" borderId="31" xfId="0" applyFont="1" applyNumberFormat="1" applyFill="1" applyBorder="1" applyAlignment="1">
      <alignment horizontal="right"/>
    </xf>
    <xf numFmtId="3" fontId="1" fillId="10" borderId="31" xfId="0" applyFont="1" applyNumberFormat="1" applyFill="1" applyBorder="1" applyAlignment="1">
      <alignment horizontal="right"/>
    </xf>
    <xf numFmtId="3" fontId="1" fillId="10" borderId="32" xfId="0" applyFont="1" applyNumberFormat="1" applyFill="1" applyBorder="1" applyAlignment="1">
      <alignment horizontal="right"/>
    </xf>
    <xf numFmtId="0" fontId="2" fillId="9" borderId="0" xfId="0" applyFont="1" applyFill="1" applyAlignment="1">
      <alignment horizontal="left" indent="1" wrapText="1"/>
    </xf>
    <xf numFmtId="167" fontId="2" fillId="9" borderId="31" xfId="0" applyFont="1" applyNumberFormat="1" applyFill="1" applyBorder="1" applyAlignment="1">
      <alignment horizontal="right"/>
    </xf>
    <xf numFmtId="167" fontId="2" fillId="9" borderId="0" xfId="0" applyFont="1" applyNumberFormat="1" applyFill="1" applyAlignment="1">
      <alignment horizontal="right"/>
    </xf>
    <xf numFmtId="0" fontId="19" fillId="0" borderId="0" xfId="0" applyFont="1" applyAlignment="1">
      <alignment horizontal="center" wrapText="1"/>
    </xf>
    <xf numFmtId="0" fontId="14" fillId="7" borderId="35" xfId="0" applyFont="1" applyFill="1" applyBorder="1" applyAlignment="1">
      <alignment horizontal="center"/>
    </xf>
    <xf numFmtId="0" fontId="14" fillId="7" borderId="36" xfId="0" applyFont="1" applyFill="1" applyBorder="1" applyAlignment="1">
      <alignment horizontal="center"/>
    </xf>
    <xf numFmtId="0" fontId="14" fillId="7" borderId="16" xfId="0" applyFont="1" applyFill="1" applyBorder="1" applyAlignment="1">
      <alignment horizontal="center"/>
    </xf>
    <xf numFmtId="0" fontId="14" fillId="8" borderId="35" xfId="0" applyFont="1" applyFill="1" applyBorder="1" applyAlignment="1">
      <alignment horizontal="center"/>
    </xf>
    <xf numFmtId="0" fontId="14" fillId="8" borderId="36" xfId="0" applyFont="1" applyFill="1" applyBorder="1" applyAlignment="1">
      <alignment horizontal="center"/>
    </xf>
    <xf numFmtId="0" fontId="14" fillId="8" borderId="16" xfId="0" applyFont="1" applyFill="1" applyBorder="1" applyAlignment="1">
      <alignment horizontal="center"/>
    </xf>
    <xf numFmtId="0" fontId="3" fillId="7" borderId="3" xfId="0" applyFont="1" applyFill="1" applyBorder="1" applyAlignment="1">
      <alignment horizontal="center"/>
    </xf>
    <xf numFmtId="0" fontId="3" fillId="7" borderId="37" xfId="0" applyFont="1" applyFill="1" applyBorder="1" applyAlignment="1">
      <alignment horizontal="center"/>
    </xf>
    <xf numFmtId="0" fontId="3" fillId="7" borderId="5"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7" borderId="3" xfId="0" applyFont="1" applyFill="1" applyBorder="1" applyAlignment="1">
      <alignment horizontal="right"/>
    </xf>
    <xf numFmtId="0" fontId="3" fillId="7" borderId="37" xfId="0" applyFont="1" applyFill="1" applyBorder="1" applyAlignment="1">
      <alignment horizontal="right"/>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37" xfId="0" applyFont="1" applyFill="1" applyBorder="1" applyAlignment="1">
      <alignment horizontal="center"/>
    </xf>
    <xf numFmtId="0" fontId="3" fillId="0" borderId="7" xfId="0" applyFont="1" applyBorder="1" applyAlignment="1">
      <alignment horizontal="left" vertical="top" wrapText="1"/>
    </xf>
    <xf numFmtId="0" fontId="14" fillId="3" borderId="0" xfId="0" applyFont="1" applyFill="1" applyAlignment="1">
      <alignment horizontal="center"/>
    </xf>
    <xf numFmtId="0" fontId="3" fillId="0" borderId="0" xfId="0" applyFont="1" applyAlignment="1">
      <alignment horizontal="left" vertical="top" wrapText="1"/>
    </xf>
    <xf numFmtId="0" fontId="14" fillId="7" borderId="3" xfId="0" applyFont="1" applyFill="1" applyBorder="1" applyAlignment="1">
      <alignment horizontal="center"/>
    </xf>
    <xf numFmtId="0" fontId="14" fillId="7" borderId="5" xfId="0" applyFont="1" applyFill="1" applyBorder="1" applyAlignment="1">
      <alignment horizontal="center"/>
    </xf>
    <xf numFmtId="0" fontId="14" fillId="7" borderId="1" xfId="0" applyFont="1" applyFill="1" applyBorder="1" applyAlignment="1">
      <alignment horizontal="center"/>
    </xf>
    <xf numFmtId="0" fontId="14" fillId="7" borderId="2" xfId="0" applyFont="1" applyFill="1" applyBorder="1" applyAlignment="1">
      <alignment horizontal="center"/>
    </xf>
    <xf numFmtId="0" fontId="14" fillId="7" borderId="6" xfId="0" applyFont="1" applyFill="1" applyBorder="1" applyAlignment="1">
      <alignment horizontal="center"/>
    </xf>
    <xf numFmtId="0" fontId="14"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2" xfId="0" applyFont="1" applyFill="1" applyBorder="1" applyAlignment="1">
      <alignment horizontal="center"/>
    </xf>
    <xf numFmtId="0" fontId="3" fillId="8" borderId="1" xfId="0" applyFont="1" applyFill="1" applyBorder="1" applyAlignment="1">
      <alignment horizontal="center"/>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6" fillId="14" borderId="35" xfId="0" applyFont="1" applyFill="1" applyBorder="1" applyAlignment="1">
      <alignment horizontal="center"/>
    </xf>
    <xf numFmtId="0" fontId="6" fillId="14" borderId="36" xfId="0" applyFont="1" applyFill="1" applyBorder="1" applyAlignment="1">
      <alignment horizontal="center"/>
    </xf>
    <xf numFmtId="0" fontId="6" fillId="14" borderId="16" xfId="0" applyFont="1" applyFill="1" applyBorder="1" applyAlignment="1">
      <alignment horizontal="center"/>
    </xf>
    <xf numFmtId="0" fontId="21" fillId="15" borderId="35" xfId="0" applyFont="1" applyFill="1" applyBorder="1" applyAlignment="1">
      <alignment horizontal="center"/>
    </xf>
    <xf numFmtId="0" fontId="21" fillId="15" borderId="36" xfId="0" applyFont="1" applyFill="1" applyBorder="1" applyAlignment="1">
      <alignment horizontal="center"/>
    </xf>
    <xf numFmtId="0" fontId="21" fillId="15" borderId="16" xfId="0" applyFont="1" applyFill="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8" borderId="7" xfId="0" applyFont="1" applyNumberForma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Font="1" applyNumberForma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37" xfId="0" applyFont="1" applyFill="1" applyBorder="1"/>
    <xf numFmtId="3" fontId="3" fillId="7" borderId="0" xfId="0" applyFont="1" applyNumberForma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36" xfId="0" applyFont="1" applyBorder="1"/>
    <xf numFmtId="0" fontId="3" fillId="7" borderId="4" xfId="0" applyFont="1" applyFill="1" applyBorder="1"/>
    <xf numFmtId="0" fontId="3" fillId="7" borderId="3" xfId="0" applyFont="1" applyFill="1" applyBorder="1"/>
    <xf numFmtId="0" fontId="22" fillId="0" borderId="0" xfId="0" applyFont="1" applyAlignment="1">
      <alignment horizontal="center"/>
    </xf>
    <xf numFmtId="0" fontId="1" fillId="0" borderId="5" xfId="0" applyFont="1" applyBorder="1"/>
    <xf numFmtId="0" fontId="1" fillId="0" borderId="3" xfId="0" applyFont="1" applyBorder="1"/>
    <xf numFmtId="10" fontId="22" fillId="0" borderId="2" xfId="0" applyFont="1" applyNumberFormat="1" applyBorder="1" applyAlignment="1">
      <alignment horizontal="center"/>
    </xf>
    <xf numFmtId="0" fontId="14" fillId="7" borderId="36" xfId="0" applyFont="1" applyFill="1" applyBorder="1"/>
    <xf numFmtId="0" fontId="22" fillId="0" borderId="0" xfId="0" applyFont="1"/>
    <xf numFmtId="0" fontId="3" fillId="7" borderId="15" xfId="0" applyFont="1" applyFill="1" applyBorder="1" applyAlignment="1">
      <alignment horizontal="center"/>
    </xf>
    <xf numFmtId="0" fontId="3" fillId="7" borderId="13" xfId="0" applyFont="1" applyFill="1" applyBorder="1" applyAlignment="1">
      <alignment horizontal="center"/>
    </xf>
    <xf numFmtId="10" fontId="22" fillId="0" borderId="38" xfId="0" applyFont="1" applyNumberFormat="1" applyBorder="1" applyAlignment="1">
      <alignment horizontal="center"/>
    </xf>
    <xf numFmtId="0" fontId="1" fillId="7" borderId="35" xfId="0" applyFont="1" applyFill="1" applyBorder="1"/>
    <xf numFmtId="1" fontId="22" fillId="0" borderId="0" xfId="0" applyFont="1" applyNumberFormat="1"/>
    <xf numFmtId="1" fontId="22" fillId="0" borderId="7" xfId="0" applyFont="1" applyNumberFormat="1" applyBorder="1"/>
    <xf numFmtId="0" fontId="22" fillId="0" borderId="7" xfId="0" applyFont="1" applyBorder="1"/>
    <xf numFmtId="0" fontId="23" fillId="0" borderId="1" xfId="0" applyFont="1" applyBorder="1" applyAlignment="1">
      <alignment wrapText="1"/>
    </xf>
    <xf numFmtId="0" fontId="1" fillId="0" borderId="4" xfId="0" applyFont="1" applyBorder="1"/>
    <xf numFmtId="10" fontId="22" fillId="0" borderId="0" xfId="0" applyFont="1" applyNumberFormat="1" applyAlignment="1">
      <alignment horizontal="center"/>
    </xf>
    <xf numFmtId="0" fontId="1" fillId="14" borderId="1" xfId="0" applyFont="1" applyFill="1" applyBorder="1"/>
    <xf numFmtId="0" fontId="1" fillId="14" borderId="6" xfId="0" applyFont="1" applyFill="1" applyBorder="1"/>
    <xf numFmtId="10" fontId="22" fillId="0" borderId="6" xfId="0" applyFont="1" applyNumberFormat="1" applyBorder="1" applyAlignment="1">
      <alignment horizontal="center"/>
    </xf>
    <xf numFmtId="10" fontId="22" fillId="0" borderId="7" xfId="0" applyFont="1" applyNumberFormat="1" applyBorder="1" applyAlignment="1">
      <alignment horizontal="center"/>
    </xf>
    <xf numFmtId="10" fontId="22" fillId="0" borderId="8" xfId="0" applyFont="1" applyNumberFormat="1" applyBorder="1" applyAlignment="1">
      <alignment horizontal="center"/>
    </xf>
    <xf numFmtId="0" fontId="22" fillId="0" borderId="1" xfId="0" applyFont="1" applyBorder="1" applyAlignment="1">
      <alignment wrapText="1"/>
    </xf>
    <xf numFmtId="2" fontId="22" fillId="0" borderId="0" xfId="0" applyFont="1" applyNumberFormat="1" applyAlignment="1">
      <alignment horizontal="center"/>
    </xf>
    <xf numFmtId="2" fontId="24" fillId="0" borderId="0" xfId="0" applyFont="1" applyNumberFormat="1" applyAlignment="1">
      <alignment horizontal="center"/>
    </xf>
    <xf numFmtId="0" fontId="24" fillId="0" borderId="0" xfId="0" applyFont="1" applyAlignment="1">
      <alignment horizontal="center"/>
    </xf>
    <xf numFmtId="2" fontId="22" fillId="0" borderId="7" xfId="0" applyFont="1" applyNumberFormat="1" applyBorder="1" applyAlignment="1">
      <alignment horizontal="center"/>
    </xf>
    <xf numFmtId="2" fontId="22" fillId="0" borderId="4" xfId="0" applyFont="1" applyNumberFormat="1" applyBorder="1" applyAlignment="1">
      <alignment horizontal="center"/>
    </xf>
    <xf numFmtId="0" fontId="14" fillId="0" borderId="3" xfId="0" applyFont="1" applyBorder="1" applyAlignment="1">
      <alignment vertical="center" wrapText="1"/>
    </xf>
    <xf numFmtId="0" fontId="25" fillId="0" borderId="5" xfId="0" applyFont="1" applyBorder="1" applyAlignment="1">
      <alignment wrapText="1"/>
    </xf>
    <xf numFmtId="0" fontId="25" fillId="0" borderId="36" xfId="0" applyFont="1" applyBorder="1" applyAlignment="1">
      <alignment wrapText="1"/>
    </xf>
    <xf numFmtId="10" fontId="22" fillId="14" borderId="0" xfId="0" applyFont="1" applyNumberFormat="1" applyFill="1" applyAlignment="1">
      <alignment horizontal="center"/>
    </xf>
    <xf numFmtId="10" fontId="22" fillId="14" borderId="2" xfId="0" applyFont="1" applyNumberFormat="1" applyFill="1" applyBorder="1" applyAlignment="1">
      <alignment horizontal="center"/>
    </xf>
    <xf numFmtId="10" fontId="1" fillId="14" borderId="1" xfId="0" applyFont="1" applyNumberFormat="1" applyFill="1" applyBorder="1"/>
    <xf numFmtId="10" fontId="22" fillId="9" borderId="0" xfId="0" applyFont="1" applyNumberFormat="1" applyFill="1" applyAlignment="1">
      <alignment horizontal="center"/>
    </xf>
    <xf numFmtId="0" fontId="4" fillId="0" borderId="0" xfId="0" applyFont="1" applyAlignment="1">
      <alignment horizontal="left"/>
    </xf>
    <xf numFmtId="10" fontId="22" fillId="7" borderId="0" xfId="0" applyFont="1" applyNumberFormat="1" applyFill="1" applyAlignment="1">
      <alignment horizontal="center"/>
    </xf>
    <xf numFmtId="0" fontId="3" fillId="0" borderId="0" xfId="0" applyFont="1" applyAlignment="1">
      <alignment vertical="top"/>
    </xf>
    <xf numFmtId="10" fontId="22" fillId="0" borderId="5" xfId="0" applyFont="1" applyNumberFormat="1" applyBorder="1" applyAlignment="1">
      <alignment horizontal="center"/>
    </xf>
    <xf numFmtId="10" fontId="22" fillId="7" borderId="4" xfId="0" applyFont="1" applyNumberFormat="1" applyFill="1" applyBorder="1" applyAlignment="1">
      <alignment horizontal="center"/>
    </xf>
    <xf numFmtId="10" fontId="22" fillId="0" borderId="37" xfId="0" applyFont="1" applyNumberForma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22" fillId="14" borderId="7" xfId="0" applyFont="1" applyNumberFormat="1" applyFill="1" applyBorder="1" applyAlignment="1">
      <alignment horizontal="center"/>
    </xf>
    <xf numFmtId="10" fontId="22" fillId="14" borderId="8" xfId="0" applyFont="1" applyNumberFormat="1" applyFill="1" applyBorder="1" applyAlignment="1">
      <alignment horizontal="center"/>
    </xf>
    <xf numFmtId="10" fontId="1" fillId="0" borderId="3" xfId="0" applyFont="1" applyNumberFormat="1" applyBorder="1"/>
    <xf numFmtId="0" fontId="4" fillId="0" borderId="5" xfId="0" applyFont="1" applyBorder="1" applyAlignment="1">
      <alignment horizontal="left"/>
    </xf>
    <xf numFmtId="0" fontId="4" fillId="0" borderId="8" xfId="0" applyFont="1" applyBorder="1" applyAlignment="1">
      <alignment horizontal="left"/>
    </xf>
    <xf numFmtId="10" fontId="22" fillId="0" borderId="39" xfId="0" applyFont="1" applyNumberFormat="1" applyBorder="1" applyAlignment="1">
      <alignment horizontal="center"/>
    </xf>
    <xf numFmtId="10" fontId="22" fillId="0" borderId="40" xfId="0" applyFont="1" applyNumberFormat="1" applyBorder="1" applyAlignment="1">
      <alignment horizontal="center"/>
    </xf>
    <xf numFmtId="10" fontId="1" fillId="0" borderId="6" xfId="0" applyFont="1" applyNumberFormat="1" applyBorder="1"/>
    <xf numFmtId="0" fontId="14" fillId="0" borderId="37" xfId="0" applyFont="1" applyBorder="1" applyAlignment="1">
      <alignment vertical="center" wrapText="1"/>
    </xf>
    <xf numFmtId="10" fontId="22" fillId="7" borderId="7" xfId="0" applyFont="1" applyNumberFormat="1" applyFill="1" applyBorder="1" applyAlignment="1">
      <alignment horizontal="center"/>
    </xf>
    <xf numFmtId="10" fontId="22" fillId="0" borderId="3" xfId="0" applyFont="1" applyNumberFormat="1" applyBorder="1" applyAlignment="1">
      <alignment horizontal="center"/>
    </xf>
    <xf numFmtId="10" fontId="22" fillId="7" borderId="37" xfId="0" applyFont="1" applyNumberFormat="1" applyFill="1" applyBorder="1" applyAlignment="1">
      <alignment horizontal="center"/>
    </xf>
    <xf numFmtId="0" fontId="25" fillId="0" borderId="0" xfId="0" applyFont="1" applyAlignment="1">
      <alignment wrapText="1"/>
    </xf>
    <xf numFmtId="0" fontId="25" fillId="0" borderId="7" xfId="0" applyFont="1" applyBorder="1" applyAlignment="1">
      <alignment wrapText="1"/>
    </xf>
    <xf numFmtId="164" fontId="2" fillId="0" borderId="0" xfId="0" applyFont="1" applyNumberFormat="1" applyAlignment="1">
      <alignment wrapText="1"/>
    </xf>
    <xf numFmtId="0" fontId="4" fillId="0" borderId="4" xfId="0" applyFont="1" applyBorder="1" applyAlignment="1">
      <alignment horizontal="left"/>
    </xf>
    <xf numFmtId="0" fontId="4" fillId="0" borderId="7" xfId="0" applyFont="1" applyBorder="1" applyAlignment="1">
      <alignment horizontal="left"/>
    </xf>
    <xf numFmtId="168" fontId="1" fillId="0" borderId="0" xfId="0" applyFont="1" applyNumberFormat="1"/>
    <xf numFmtId="10" fontId="22" fillId="0" borderId="4" xfId="0" applyFont="1" applyNumberFormat="1" applyBorder="1" applyAlignment="1">
      <alignment horizontal="center"/>
    </xf>
    <xf numFmtId="10" fontId="22" fillId="0" borderId="1" xfId="0" applyFont="1" applyNumberFormat="1" applyBorder="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center"/>
    </xf>
    <xf numFmtId="0" fontId="26" fillId="0" borderId="0" xfId="0" applyFont="1" applyAlignment="1">
      <alignment horizontal="left" indent="1"/>
    </xf>
    <xf numFmtId="0" fontId="26" fillId="0" borderId="0" xfId="0" applyFont="1" applyAlignment="1">
      <alignment horizontal="left" indent="1" wrapText="1"/>
    </xf>
    <xf numFmtId="0" fontId="26" fillId="0" borderId="0" xfId="0" applyFont="1" applyAlignment="1">
      <alignment horizontal="center" wrapText="1"/>
    </xf>
    <xf numFmtId="9" fontId="26" fillId="0" borderId="0" xfId="0" applyFont="1" applyNumberFormat="1" applyAlignment="1">
      <alignment horizontal="center"/>
    </xf>
    <xf numFmtId="164" fontId="26" fillId="0" borderId="0" xfId="0" applyFont="1" applyNumberFormat="1" applyAlignment="1">
      <alignment horizontal="center"/>
    </xf>
    <xf numFmtId="0" fontId="14" fillId="0" borderId="0" xfId="0" applyFont="1" applyAlignment="1">
      <alignment horizontal="left" vertical="top" wrapText="1"/>
    </xf>
    <xf numFmtId="0" fontId="3" fillId="7" borderId="9" xfId="0" applyFont="1" applyFill="1" applyBorder="1" applyAlignment="1">
      <alignment horizontal="center"/>
    </xf>
    <xf numFmtId="0" fontId="14" fillId="7" borderId="41" xfId="0" applyFont="1" applyFill="1" applyBorder="1" applyAlignment="1">
      <alignment horizontal="center"/>
    </xf>
    <xf numFmtId="0" fontId="1" fillId="8" borderId="0" xfId="0" applyFont="1" applyFill="1"/>
    <xf numFmtId="0" fontId="3" fillId="7" borderId="9" xfId="0" applyFont="1" applyFill="1" applyBorder="1"/>
    <xf numFmtId="0" fontId="3" fillId="7" borderId="0" xfId="0" applyFont="1" applyFill="1"/>
    <xf numFmtId="0" fontId="3" fillId="0" borderId="0" xfId="0" applyFont="1" applyAlignment="1">
      <alignment horizontal="left"/>
    </xf>
    <xf numFmtId="167" fontId="3" fillId="8" borderId="0" xfId="0" applyFont="1" applyNumberFormat="1" applyFill="1" applyAlignment="1">
      <alignment horizontal="center"/>
    </xf>
    <xf numFmtId="3" fontId="3" fillId="8" borderId="6" xfId="0" applyFont="1" applyNumberFormat="1" applyFill="1" applyBorder="1" applyAlignment="1">
      <alignment horizontal="center"/>
    </xf>
    <xf numFmtId="166" fontId="3" fillId="8" borderId="0" xfId="0" applyFont="1" applyNumberFormat="1" applyFill="1"/>
    <xf numFmtId="166" fontId="3" fillId="0" borderId="0" xfId="0" applyFont="1" applyNumberFormat="1"/>
    <xf numFmtId="167" fontId="3" fillId="0" borderId="0" xfId="0" applyFont="1" applyNumberFormat="1" applyAlignment="1">
      <alignment horizontal="center"/>
    </xf>
    <xf numFmtId="167" fontId="3" fillId="0" borderId="2" xfId="0" applyFont="1" applyNumberFormat="1" applyBorder="1" applyAlignment="1">
      <alignment horizontal="center"/>
    </xf>
    <xf numFmtId="167" fontId="20" fillId="0" borderId="0" xfId="0" applyFont="1" applyNumberFormat="1" applyAlignment="1">
      <alignment horizontal="center"/>
    </xf>
    <xf numFmtId="3" fontId="20" fillId="0" borderId="0" xfId="0" applyFont="1" applyNumberFormat="1" applyAlignment="1">
      <alignment horizontal="center"/>
    </xf>
    <xf numFmtId="0" fontId="3" fillId="0" borderId="0" xfId="0" applyFont="1" applyAlignment="1">
      <alignment horizontal="center" wrapText="1"/>
    </xf>
    <xf numFmtId="3" fontId="3" fillId="0" borderId="0" xfId="0" applyFont="1" applyNumberFormat="1" applyAlignment="1">
      <alignment horizontal="center"/>
    </xf>
    <xf numFmtId="0" fontId="3" fillId="7" borderId="0" xfId="0" applyFont="1" applyFill="1" applyAlignment="1">
      <alignment horizontal="center" wrapText="1"/>
    </xf>
    <xf numFmtId="167" fontId="20" fillId="8" borderId="0" xfId="0" applyFont="1" applyNumberFormat="1" applyFill="1" applyAlignment="1">
      <alignment horizontal="center"/>
    </xf>
    <xf numFmtId="166" fontId="3" fillId="9" borderId="0" xfId="0" applyFont="1" applyNumberFormat="1" applyFill="1"/>
    <xf numFmtId="2" fontId="1" fillId="3" borderId="3" xfId="0" applyFont="1" applyNumberFormat="1" applyFill="1" applyBorder="1"/>
    <xf numFmtId="0" fontId="3" fillId="3" borderId="37" xfId="0" applyFont="1" applyFill="1" applyBorder="1"/>
    <xf numFmtId="0" fontId="3" fillId="3" borderId="37"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Font="1" applyNumberForma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7" fontId="20" fillId="0" borderId="1" xfId="0" applyFont="1" applyNumberForma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Font="1" applyNumberFormat="1" applyAlignment="1">
      <alignment horizontal="right"/>
    </xf>
    <xf numFmtId="0" fontId="20" fillId="0" borderId="1" xfId="0" applyFont="1" applyBorder="1" applyAlignment="1">
      <alignment horizontal="left" wrapText="1"/>
    </xf>
    <xf numFmtId="0" fontId="3" fillId="0" borderId="4"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Font="1" applyNumberFormat="1" applyBorder="1"/>
    <xf numFmtId="14" fontId="1" fillId="0" borderId="6" xfId="0" applyFont="1" applyNumberFormat="1" applyBorder="1"/>
    <xf numFmtId="167" fontId="3" fillId="8" borderId="4" xfId="0" applyFont="1" applyNumberFormat="1" applyFill="1" applyBorder="1" applyAlignment="1">
      <alignment horizontal="center"/>
    </xf>
    <xf numFmtId="0" fontId="2" fillId="0" borderId="0" xfId="0" applyFont="1" applyAlignment="1">
      <alignment horizontal="center" wrapText="1"/>
    </xf>
    <xf numFmtId="169" fontId="1" fillId="0" borderId="0" xfId="0" applyFont="1" applyNumberFormat="1"/>
    <xf numFmtId="0" fontId="2" fillId="3" borderId="3"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4" xfId="0" applyFont="1" applyBorder="1" applyAlignment="1">
      <alignment horizontal="center"/>
    </xf>
    <xf numFmtId="0" fontId="14" fillId="0" borderId="1" xfId="0" applyFont="1" applyBorder="1"/>
    <xf numFmtId="3" fontId="3" fillId="8" borderId="8" xfId="0" applyFont="1" applyNumberForma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1" fillId="0" borderId="0" xfId="0" applyFont="1" applyAlignment="1">
      <alignment horizontal="left"/>
    </xf>
    <xf numFmtId="0" fontId="14" fillId="7" borderId="10" xfId="0" applyFont="1" applyFill="1" applyBorder="1" applyAlignment="1">
      <alignment horizontal="center"/>
    </xf>
    <xf numFmtId="0" fontId="14" fillId="7" borderId="11" xfId="0" applyFont="1" applyFill="1" applyBorder="1" applyAlignment="1">
      <alignment horizontal="center"/>
    </xf>
    <xf numFmtId="0" fontId="14" fillId="7" borderId="12" xfId="0" applyFont="1" applyFill="1" applyBorder="1" applyAlignment="1">
      <alignment horizontal="center"/>
    </xf>
    <xf numFmtId="0" fontId="14" fillId="8" borderId="10" xfId="0" applyFont="1" applyFill="1" applyBorder="1" applyAlignment="1">
      <alignment horizontal="center"/>
    </xf>
    <xf numFmtId="0" fontId="14" fillId="8" borderId="11" xfId="0" applyFont="1" applyFill="1" applyBorder="1" applyAlignment="1">
      <alignment horizontal="center"/>
    </xf>
    <xf numFmtId="0" fontId="14" fillId="8" borderId="12" xfId="0" applyFont="1" applyFill="1" applyBorder="1" applyAlignment="1">
      <alignment horizontal="center"/>
    </xf>
    <xf numFmtId="0" fontId="3" fillId="7" borderId="4" xfId="0" applyFont="1" applyFill="1" applyBorder="1" applyAlignment="1">
      <alignment horizontal="center"/>
    </xf>
    <xf numFmtId="0" fontId="3" fillId="3" borderId="0" xfId="0" applyFont="1" applyFill="1" applyAlignment="1">
      <alignment horizontal="center"/>
    </xf>
    <xf numFmtId="0" fontId="3" fillId="8" borderId="15" xfId="0" applyFont="1" applyFill="1" applyBorder="1" applyAlignment="1">
      <alignment horizontal="center"/>
    </xf>
    <xf numFmtId="0" fontId="3" fillId="8" borderId="13" xfId="0" applyFont="1" applyFill="1" applyBorder="1" applyAlignment="1">
      <alignment horizontal="center"/>
    </xf>
    <xf numFmtId="3" fontId="20" fillId="7" borderId="0" xfId="0" applyFont="1" applyNumberFormat="1" applyFill="1" applyAlignment="1">
      <alignment horizontal="center"/>
    </xf>
    <xf numFmtId="167" fontId="3" fillId="8" borderId="5" xfId="0" applyFont="1" applyNumberFormat="1" applyFill="1" applyBorder="1" applyAlignment="1">
      <alignment horizontal="center"/>
    </xf>
    <xf numFmtId="0" fontId="3" fillId="3" borderId="0" xfId="0" applyFont="1" applyFill="1"/>
    <xf numFmtId="167" fontId="20" fillId="8" borderId="2" xfId="0" applyFont="1" applyNumberFormat="1" applyFill="1" applyBorder="1" applyAlignment="1">
      <alignment horizontal="center"/>
    </xf>
    <xf numFmtId="3" fontId="20" fillId="7" borderId="2" xfId="0" applyFont="1" applyNumberFormat="1" applyFill="1" applyBorder="1" applyAlignment="1">
      <alignment horizontal="center"/>
    </xf>
    <xf numFmtId="0" fontId="3" fillId="7" borderId="2" xfId="0" applyFont="1" applyFill="1" applyBorder="1" applyAlignment="1">
      <alignment horizontal="center" wrapText="1"/>
    </xf>
    <xf numFmtId="167" fontId="3" fillId="8" borderId="2" xfId="0" applyFont="1" applyNumberFormat="1" applyFill="1" applyBorder="1" applyAlignment="1">
      <alignment horizontal="center"/>
    </xf>
    <xf numFmtId="3" fontId="3" fillId="7" borderId="2" xfId="0" applyFont="1" applyNumberForma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7" fontId="3" fillId="0" borderId="42" xfId="0" applyFont="1" applyNumberFormat="1" applyBorder="1" applyAlignment="1">
      <alignment horizontal="center"/>
    </xf>
    <xf numFmtId="0" fontId="3" fillId="0" borderId="37" xfId="0" applyFont="1" applyBorder="1" applyAlignment="1">
      <alignment horizontal="center"/>
    </xf>
    <xf numFmtId="2" fontId="1" fillId="3" borderId="0" xfId="0" applyFont="1" applyNumberFormat="1" applyFill="1"/>
    <xf numFmtId="0" fontId="1" fillId="3" borderId="0" xfId="0" applyFont="1" applyFill="1"/>
    <xf numFmtId="4" fontId="3" fillId="0" borderId="2" xfId="0" applyFont="1" applyNumberFormat="1" applyBorder="1" applyAlignment="1">
      <alignment horizontal="center"/>
    </xf>
    <xf numFmtId="166" fontId="3" fillId="8" borderId="42" xfId="0" applyFont="1" applyNumberFormat="1" applyFill="1" applyBorder="1"/>
    <xf numFmtId="166" fontId="3" fillId="8" borderId="44" xfId="0" applyFont="1" applyNumberFormat="1" applyFill="1" applyBorder="1"/>
    <xf numFmtId="0" fontId="3" fillId="3" borderId="5"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4" fillId="10" borderId="35" xfId="0" applyFont="1" applyFill="1" applyBorder="1" applyAlignment="1">
      <alignment horizontal="center" vertical="center" wrapText="1"/>
    </xf>
    <xf numFmtId="0" fontId="14" fillId="10" borderId="36" xfId="0" applyFont="1" applyFill="1" applyBorder="1" applyAlignment="1">
      <alignment horizontal="center" vertical="center" wrapText="1"/>
    </xf>
    <xf numFmtId="0" fontId="14" fillId="0" borderId="0" xfId="0" applyFont="1" applyAlignment="1">
      <alignment horizontal="center"/>
    </xf>
    <xf numFmtId="0" fontId="3" fillId="0" borderId="2" xfId="0" applyFont="1" applyBorder="1" applyAlignment="1">
      <alignment horizontal="center" wrapText="1"/>
    </xf>
    <xf numFmtId="0" fontId="3" fillId="7" borderId="1" xfId="0" applyFont="1" applyFill="1" applyBorder="1" applyAlignment="1">
      <alignment wrapText="1"/>
    </xf>
    <xf numFmtId="0" fontId="3" fillId="7" borderId="0" xfId="0" applyFont="1" applyFill="1" applyAlignment="1">
      <alignment wrapText="1"/>
    </xf>
    <xf numFmtId="0" fontId="3" fillId="7" borderId="9" xfId="0" applyFont="1" applyFill="1" applyBorder="1" applyAlignment="1">
      <alignment wrapText="1"/>
    </xf>
    <xf numFmtId="167" fontId="3" fillId="8" borderId="0" xfId="0" applyFont="1" applyNumberFormat="1" applyFill="1" applyAlignment="1">
      <alignment horizontal="center" vertical="top" wrapText="1"/>
    </xf>
    <xf numFmtId="3" fontId="3" fillId="8" borderId="2" xfId="0" applyFont="1" applyNumberFormat="1" applyFill="1" applyBorder="1" applyAlignment="1">
      <alignment horizontal="center"/>
    </xf>
    <xf numFmtId="0" fontId="3" fillId="8" borderId="37" xfId="0" applyFont="1" applyFill="1" applyBorder="1"/>
    <xf numFmtId="167" fontId="1" fillId="0" borderId="0" xfId="0" applyFont="1" applyNumberFormat="1"/>
    <xf numFmtId="3" fontId="3" fillId="0" borderId="7" xfId="0" applyFont="1" applyNumberFormat="1" applyBorder="1" applyAlignment="1">
      <alignment horizontal="center" vertical="top"/>
    </xf>
    <xf numFmtId="166" fontId="3" fillId="0" borderId="2" xfId="0" applyFont="1" applyNumberFormat="1" applyBorder="1" applyAlignment="1">
      <alignment horizontal="center"/>
    </xf>
    <xf numFmtId="167" fontId="3" fillId="0" borderId="8" xfId="0" applyFont="1" applyNumberFormat="1" applyBorder="1" applyAlignment="1">
      <alignment horizontal="center"/>
    </xf>
    <xf numFmtId="167" fontId="3" fillId="0" borderId="0" xfId="0" applyFont="1" applyNumberFormat="1" applyAlignment="1">
      <alignment horizontal="center" vertical="top"/>
    </xf>
    <xf numFmtId="167" fontId="3" fillId="0" borderId="0" xfId="0" applyFont="1" applyNumberFormat="1" applyAlignment="1">
      <alignment horizontal="center" wrapText="1"/>
    </xf>
    <xf numFmtId="167" fontId="3" fillId="0" borderId="7" xfId="0" applyFont="1" applyNumberFormat="1" applyBorder="1" applyAlignment="1">
      <alignment horizontal="center" wrapText="1"/>
    </xf>
    <xf numFmtId="167" fontId="14" fillId="0" borderId="0" xfId="0" applyFont="1" applyNumberFormat="1" applyAlignment="1">
      <alignment horizontal="center" vertical="top" wrapText="1"/>
    </xf>
    <xf numFmtId="167" fontId="20" fillId="0" borderId="37" xfId="0" applyFont="1" applyNumberFormat="1" applyBorder="1" applyAlignment="1">
      <alignment horizontal="center"/>
    </xf>
    <xf numFmtId="2" fontId="3" fillId="0" borderId="7" xfId="0" applyFont="1" applyNumberFormat="1" applyBorder="1"/>
    <xf numFmtId="167" fontId="3" fillId="8" borderId="0" xfId="0" applyFont="1" applyNumberFormat="1" applyFill="1" applyAlignment="1">
      <alignment horizontal="center" wrapText="1"/>
    </xf>
    <xf numFmtId="167" fontId="3" fillId="16" borderId="0" xfId="0" applyFont="1" applyNumberFormat="1" applyFill="1" applyAlignment="1">
      <alignment horizontal="center" wrapText="1"/>
    </xf>
    <xf numFmtId="167" fontId="3" fillId="16" borderId="0" xfId="0" applyFont="1" applyNumberFormat="1" applyFill="1" applyAlignment="1">
      <alignment horizontal="center" vertical="top" wrapText="1"/>
    </xf>
    <xf numFmtId="1" fontId="3" fillId="7" borderId="0" xfId="0" applyFont="1" applyNumberFormat="1" applyFill="1" applyAlignment="1">
      <alignment horizontal="center" wrapText="1"/>
    </xf>
    <xf numFmtId="1" fontId="3" fillId="7" borderId="0" xfId="0" applyFont="1" applyNumberFormat="1" applyFill="1" applyAlignment="1">
      <alignment horizontal="center"/>
    </xf>
    <xf numFmtId="3" fontId="3" fillId="9" borderId="0" xfId="0" applyFont="1" applyNumberFormat="1" applyFill="1" applyAlignment="1">
      <alignment horizontal="center" wrapText="1"/>
    </xf>
    <xf numFmtId="3" fontId="3" fillId="8" borderId="0" xfId="0" applyFont="1" applyNumberFormat="1" applyFill="1" applyAlignment="1">
      <alignment horizontal="center"/>
    </xf>
    <xf numFmtId="3" fontId="3" fillId="8" borderId="0" xfId="0" applyFont="1" applyNumberFormat="1" applyFill="1" applyAlignment="1">
      <alignment horizontal="center" wrapText="1"/>
    </xf>
    <xf numFmtId="167" fontId="20" fillId="0" borderId="0" xfId="0" applyFont="1" applyNumberFormat="1" applyAlignment="1">
      <alignment horizontal="center" wrapText="1"/>
    </xf>
    <xf numFmtId="0" fontId="3" fillId="0" borderId="0" xfId="0" applyFont="1" applyAlignment="1">
      <alignment horizontal="left" vertical="top" indent="2" wrapText="1"/>
    </xf>
    <xf numFmtId="167" fontId="14" fillId="8" borderId="0" xfId="0" applyFont="1" applyNumberFormat="1" applyFill="1" applyAlignment="1">
      <alignment horizontal="center" vertical="top" wrapText="1"/>
    </xf>
    <xf numFmtId="166" fontId="3" fillId="8" borderId="0" xfId="0" applyFont="1" applyNumberFormat="1" applyFill="1" applyAlignment="1">
      <alignment horizontal="center" wrapText="1"/>
    </xf>
    <xf numFmtId="0" fontId="3" fillId="3" borderId="16" xfId="0" applyFont="1" applyFill="1" applyBorder="1" applyAlignment="1">
      <alignment horizontal="center" vertical="center" wrapText="1"/>
    </xf>
    <xf numFmtId="167" fontId="3" fillId="9" borderId="0" xfId="0" applyFont="1" applyNumberFormat="1" applyFill="1" applyAlignment="1">
      <alignment horizontal="center" vertical="top" wrapText="1"/>
    </xf>
    <xf numFmtId="167" fontId="3" fillId="2" borderId="0" xfId="0" applyFont="1" applyNumberForma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7" xfId="0" applyFont="1" applyBorder="1" applyAlignment="1">
      <alignment horizontal="center" wrapText="1"/>
    </xf>
    <xf numFmtId="167" fontId="3" fillId="0" borderId="37" xfId="0" applyFont="1" applyNumberFormat="1" applyBorder="1" applyAlignment="1">
      <alignment horizontal="center" wrapText="1"/>
    </xf>
    <xf numFmtId="3" fontId="3" fillId="0" borderId="2" xfId="0" applyFont="1" applyNumberFormat="1" applyBorder="1" applyAlignment="1">
      <alignment horizontal="center" wrapText="1"/>
    </xf>
    <xf numFmtId="0" fontId="3" fillId="0" borderId="7" xfId="0" applyFont="1" applyBorder="1"/>
    <xf numFmtId="3" fontId="3" fillId="0" borderId="1" xfId="0" applyFont="1" applyNumberFormat="1" applyBorder="1" applyAlignment="1">
      <alignment horizontal="center" vertical="top" wrapText="1"/>
    </xf>
    <xf numFmtId="2" fontId="3" fillId="8" borderId="7" xfId="0" applyFont="1" applyNumberFormat="1" applyFill="1" applyBorder="1"/>
    <xf numFmtId="167" fontId="20" fillId="8" borderId="37" xfId="0" applyFont="1" applyNumberFormat="1" applyFill="1" applyBorder="1" applyAlignment="1">
      <alignment horizontal="center"/>
    </xf>
    <xf numFmtId="0" fontId="3" fillId="0" borderId="1" xfId="0" applyFont="1" applyBorder="1" applyAlignment="1">
      <alignment horizontal="left" vertical="top" indent="2" wrapText="1"/>
    </xf>
    <xf numFmtId="3" fontId="3" fillId="0" borderId="2" xfId="0" applyFont="1" applyNumberFormat="1" applyBorder="1" applyAlignment="1">
      <alignment horizontal="center"/>
    </xf>
    <xf numFmtId="3" fontId="3" fillId="7" borderId="7" xfId="0" applyFont="1" applyNumberFormat="1" applyFill="1" applyBorder="1" applyAlignment="1">
      <alignment horizontal="center" vertical="top" wrapText="1"/>
    </xf>
    <xf numFmtId="1" fontId="3" fillId="0" borderId="3" xfId="0" applyFont="1" applyNumberFormat="1" applyBorder="1" applyAlignment="1">
      <alignment horizontal="center"/>
    </xf>
    <xf numFmtId="1" fontId="3" fillId="0" borderId="37" xfId="0" applyFont="1" applyNumberFormat="1" applyBorder="1" applyAlignment="1">
      <alignment horizontal="center"/>
    </xf>
    <xf numFmtId="1" fontId="3" fillId="7" borderId="37" xfId="0" applyFont="1" applyNumberFormat="1" applyFill="1" applyBorder="1" applyAlignment="1">
      <alignment horizontal="center"/>
    </xf>
    <xf numFmtId="3" fontId="3" fillId="0" borderId="0" xfId="0" applyFont="1" applyNumberFormat="1" applyAlignment="1">
      <alignment horizontal="center" vertical="top" wrapText="1"/>
    </xf>
    <xf numFmtId="0" fontId="20" fillId="0" borderId="0" xfId="0" applyFont="1" applyAlignment="1">
      <alignment horizontal="left"/>
    </xf>
    <xf numFmtId="0" fontId="20" fillId="0" borderId="3" xfId="0" applyFont="1" applyBorder="1" applyAlignment="1">
      <alignment horizontal="left"/>
    </xf>
    <xf numFmtId="0" fontId="20" fillId="0" borderId="37" xfId="0" applyFont="1" applyBorder="1" applyAlignment="1">
      <alignment horizontal="left"/>
    </xf>
    <xf numFmtId="1" fontId="3" fillId="0" borderId="1" xfId="0" applyFont="1" applyNumberFormat="1" applyBorder="1" applyAlignment="1">
      <alignment horizontal="center" wrapText="1"/>
    </xf>
    <xf numFmtId="167" fontId="3" fillId="0" borderId="4" xfId="0" applyFont="1" applyNumberFormat="1" applyBorder="1" applyAlignment="1">
      <alignment horizontal="center" wrapText="1"/>
    </xf>
    <xf numFmtId="167" fontId="3" fillId="17" borderId="0" xfId="0" applyFont="1" applyNumberFormat="1" applyFill="1" applyAlignment="1">
      <alignment horizontal="center" wrapText="1"/>
    </xf>
    <xf numFmtId="167" fontId="3" fillId="0" borderId="0" xfId="0" applyFont="1" applyNumberFormat="1" applyAlignment="1">
      <alignment vertical="top" wrapText="1"/>
    </xf>
    <xf numFmtId="0" fontId="3" fillId="0" borderId="6" xfId="0" applyFont="1" applyBorder="1" applyAlignment="1">
      <alignment horizontal="left" vertical="top" indent="2" wrapText="1"/>
    </xf>
    <xf numFmtId="0" fontId="3" fillId="0" borderId="2" xfId="0" applyFont="1" applyBorder="1" applyAlignment="1">
      <alignment vertical="top" wrapText="1"/>
    </xf>
    <xf numFmtId="0" fontId="3" fillId="0" borderId="1" xfId="0" applyFont="1" applyBorder="1" applyAlignment="1">
      <alignment horizontal="left" indent="4" wrapText="1"/>
    </xf>
    <xf numFmtId="3" fontId="3" fillId="0" borderId="0" xfId="0" applyFont="1" applyNumberFormat="1" applyAlignment="1">
      <alignment horizontal="center" wrapText="1"/>
    </xf>
    <xf numFmtId="0" fontId="14" fillId="0" borderId="0" xfId="0" applyFont="1" applyAlignment="1">
      <alignment horizontal="left" wrapText="1"/>
    </xf>
    <xf numFmtId="3" fontId="3" fillId="0" borderId="0" xfId="0" applyFont="1" applyNumberFormat="1" applyAlignment="1">
      <alignment horizontal="center" vertical="top"/>
    </xf>
    <xf numFmtId="3" fontId="3" fillId="0" borderId="8" xfId="0" applyFont="1" applyNumberFormat="1" applyBorder="1" applyAlignment="1">
      <alignment horizontal="center" wrapText="1"/>
    </xf>
    <xf numFmtId="0" fontId="3" fillId="0" borderId="35" xfId="0" applyFont="1" applyBorder="1" applyAlignment="1">
      <alignment wrapText="1"/>
    </xf>
    <xf numFmtId="3" fontId="3" fillId="0" borderId="0" xfId="0" applyFont="1" applyNumberFormat="1" applyAlignment="1">
      <alignment vertical="top" wrapText="1"/>
    </xf>
    <xf numFmtId="3" fontId="3" fillId="0" borderId="5" xfId="0" applyFont="1" applyNumberFormat="1" applyBorder="1" applyAlignment="1">
      <alignment horizontal="center"/>
    </xf>
    <xf numFmtId="3" fontId="3" fillId="0" borderId="6" xfId="0" applyFont="1" applyNumberFormat="1" applyBorder="1" applyAlignment="1">
      <alignment horizontal="center" vertical="top" wrapText="1"/>
    </xf>
    <xf numFmtId="0" fontId="3" fillId="0" borderId="0" xfId="0" applyFont="1" applyAlignment="1">
      <alignment horizontal="left" indent="2" wrapText="1"/>
    </xf>
    <xf numFmtId="3" fontId="3" fillId="0" borderId="7" xfId="0" applyFont="1" applyNumberFormat="1" applyBorder="1" applyAlignment="1">
      <alignment horizontal="center" vertical="top" wrapText="1"/>
    </xf>
    <xf numFmtId="167" fontId="3" fillId="0" borderId="0" xfId="0" applyFont="1" applyNumberFormat="1" applyAlignment="1">
      <alignment horizontal="center" vertical="top" wrapText="1"/>
    </xf>
    <xf numFmtId="0" fontId="3" fillId="0" borderId="0" xfId="0" applyFont="1" applyAlignment="1">
      <alignment horizontal="left" indent="4" wrapText="1"/>
    </xf>
    <xf numFmtId="0" fontId="3" fillId="0" borderId="2" xfId="0" applyFont="1" applyBorder="1" applyAlignment="1">
      <alignment wrapText="1"/>
    </xf>
    <xf numFmtId="0" fontId="3" fillId="0" borderId="6" xfId="0" applyFont="1" applyBorder="1" applyAlignment="1">
      <alignment horizontal="left" indent="4" wrapText="1"/>
    </xf>
    <xf numFmtId="3" fontId="28" fillId="0" borderId="0" xfId="0" applyFont="1" applyNumberFormat="1" applyAlignment="1">
      <alignment horizontal="center" wrapText="1"/>
    </xf>
    <xf numFmtId="3" fontId="3" fillId="0" borderId="7" xfId="0" applyFont="1" applyNumberFormat="1" applyBorder="1" applyAlignment="1">
      <alignment horizontal="center" wrapText="1"/>
    </xf>
    <xf numFmtId="166" fontId="3" fillId="0" borderId="1" xfId="0" applyFont="1" applyNumberFormat="1" applyBorder="1" applyAlignment="1">
      <alignment horizontal="center" wrapText="1"/>
    </xf>
    <xf numFmtId="166" fontId="3" fillId="0" borderId="6" xfId="0" applyFont="1" applyNumberFormat="1" applyBorder="1" applyAlignment="1">
      <alignment horizontal="center" wrapText="1"/>
    </xf>
    <xf numFmtId="0" fontId="29" fillId="0" borderId="0" xfId="0" applyFont="1"/>
    <xf numFmtId="167" fontId="3" fillId="8" borderId="7" xfId="0" applyFont="1" applyNumberFormat="1" applyFill="1" applyBorder="1" applyAlignment="1">
      <alignment horizontal="center" wrapText="1"/>
    </xf>
    <xf numFmtId="0" fontId="14" fillId="0" borderId="0" xfId="0" applyFont="1" applyAlignment="1">
      <alignment wrapText="1"/>
    </xf>
    <xf numFmtId="3" fontId="3" fillId="0" borderId="0" xfId="0" applyFont="1" applyNumberFormat="1" applyAlignment="1">
      <alignment horizontal="left" vertical="top" wrapText="1"/>
    </xf>
    <xf numFmtId="166" fontId="3" fillId="0" borderId="0" xfId="0" applyFont="1" applyNumberFormat="1" applyAlignment="1">
      <alignment horizontal="center" wrapText="1"/>
    </xf>
    <xf numFmtId="167" fontId="3" fillId="0" borderId="0" xfId="0" applyFont="1" applyNumberFormat="1" applyAlignment="1">
      <alignment wrapText="1"/>
    </xf>
    <xf numFmtId="0" fontId="14" fillId="0" borderId="1" xfId="0" applyFont="1" applyBorder="1" applyAlignment="1">
      <alignment horizontal="left" vertical="top" wrapText="1"/>
    </xf>
    <xf numFmtId="3" fontId="14" fillId="0" borderId="16" xfId="0" applyFont="1" applyNumberFormat="1" applyBorder="1" applyAlignment="1">
      <alignment horizontal="left" wrapText="1"/>
    </xf>
    <xf numFmtId="167" fontId="3" fillId="0" borderId="14" xfId="0" applyFont="1" applyNumberFormat="1" applyBorder="1" applyAlignment="1">
      <alignment horizontal="center" wrapText="1"/>
    </xf>
    <xf numFmtId="166" fontId="3" fillId="0" borderId="14" xfId="0" applyFont="1" applyNumberFormat="1" applyBorder="1" applyAlignment="1">
      <alignment horizontal="center" wrapText="1"/>
    </xf>
    <xf numFmtId="3" fontId="3" fillId="0" borderId="13" xfId="0" applyFont="1" applyNumberFormat="1" applyBorder="1" applyAlignment="1">
      <alignment horizontal="center" vertical="top"/>
    </xf>
    <xf numFmtId="0" fontId="14" fillId="0" borderId="0" xfId="0" applyFont="1" applyAlignment="1">
      <alignment horizontal="center" vertical="center" wrapText="1"/>
    </xf>
    <xf numFmtId="167" fontId="3" fillId="0" borderId="8" xfId="0" applyFont="1" applyNumberFormat="1" applyBorder="1" applyAlignment="1">
      <alignment horizontal="center" wrapText="1"/>
    </xf>
    <xf numFmtId="3" fontId="3" fillId="0" borderId="8" xfId="0" applyFont="1" applyNumberFormat="1" applyBorder="1" applyAlignment="1">
      <alignment horizontal="center"/>
    </xf>
    <xf numFmtId="167" fontId="3" fillId="8" borderId="4" xfId="0" applyFont="1" applyNumberFormat="1" applyFill="1" applyBorder="1" applyAlignment="1">
      <alignment horizontal="center" wrapText="1"/>
    </xf>
    <xf numFmtId="0" fontId="14" fillId="0" borderId="1" xfId="0" applyFont="1" applyBorder="1" applyAlignment="1">
      <alignment horizontal="left" vertical="top" indent="2" wrapText="1"/>
    </xf>
    <xf numFmtId="167" fontId="3" fillId="16" borderId="7" xfId="0" applyFont="1" applyNumberFormat="1" applyFill="1" applyBorder="1" applyAlignment="1">
      <alignment horizontal="center" wrapText="1"/>
    </xf>
    <xf numFmtId="0" fontId="3" fillId="0" borderId="1" xfId="0" applyFont="1" applyBorder="1" applyAlignment="1">
      <alignment horizontal="left" indent="2" wrapText="1"/>
    </xf>
    <xf numFmtId="0" fontId="3" fillId="0" borderId="4" xfId="0" applyFont="1" applyBorder="1" applyAlignment="1">
      <alignment horizontal="center" wrapText="1"/>
    </xf>
    <xf numFmtId="0" fontId="3" fillId="0" borderId="15" xfId="0" applyFont="1" applyBorder="1" applyAlignment="1">
      <alignment horizontal="center"/>
    </xf>
    <xf numFmtId="0" fontId="14" fillId="0" borderId="35" xfId="0" applyFont="1" applyBorder="1" applyAlignment="1">
      <alignment horizontal="center" wrapText="1"/>
    </xf>
    <xf numFmtId="0" fontId="14" fillId="0" borderId="35" xfId="0" applyFont="1" applyBorder="1" applyAlignment="1">
      <alignment wrapText="1"/>
    </xf>
    <xf numFmtId="3" fontId="14" fillId="0" borderId="36" xfId="0" applyFont="1" applyNumberForma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indent="1" wrapText="1"/>
    </xf>
    <xf numFmtId="0" fontId="3" fillId="0" borderId="1" xfId="0" applyFont="1" applyBorder="1" applyAlignment="1">
      <alignment horizontal="left" indent="1" wrapText="1"/>
    </xf>
    <xf numFmtId="0" fontId="14" fillId="0" borderId="1" xfId="0" applyFont="1" applyBorder="1" applyAlignment="1">
      <alignment horizontal="left" wrapText="1"/>
    </xf>
    <xf numFmtId="3" fontId="3" fillId="0" borderId="1" xfId="0" applyFont="1" applyNumberFormat="1" applyBorder="1" applyAlignment="1">
      <alignment horizontal="center" wrapText="1"/>
    </xf>
    <xf numFmtId="0" fontId="20" fillId="0" borderId="1" xfId="0" applyFont="1" applyBorder="1" applyAlignment="1">
      <alignment wrapText="1"/>
    </xf>
    <xf numFmtId="167" fontId="3" fillId="0" borderId="1" xfId="0" applyFont="1" applyNumberFormat="1" applyBorder="1" applyAlignment="1">
      <alignment horizontal="center" vertical="top" wrapText="1"/>
    </xf>
    <xf numFmtId="0" fontId="3" fillId="0" borderId="8" xfId="0" applyFont="1" applyBorder="1"/>
    <xf numFmtId="167" fontId="3" fillId="0" borderId="37" xfId="0" applyFont="1" applyNumberFormat="1" applyBorder="1" applyAlignment="1">
      <alignment horizontal="center"/>
    </xf>
    <xf numFmtId="3" fontId="3" fillId="0" borderId="0" xfId="0" applyFont="1" applyNumberFormat="1" applyAlignment="1">
      <alignment vertical="top"/>
    </xf>
    <xf numFmtId="1" fontId="3" fillId="0" borderId="0" xfId="0" applyFont="1" applyNumberFormat="1" applyAlignment="1">
      <alignment horizontal="center"/>
    </xf>
    <xf numFmtId="0" fontId="3" fillId="0" borderId="35" xfId="0" applyFont="1" applyBorder="1"/>
    <xf numFmtId="1" fontId="3" fillId="0" borderId="0" xfId="0" applyFont="1" applyNumberFormat="1" applyAlignment="1">
      <alignment horizontal="center" wrapText="1"/>
    </xf>
    <xf numFmtId="0" fontId="14" fillId="0" borderId="0" xfId="0" applyFont="1" applyAlignment="1">
      <alignment horizontal="center" vertical="top" wrapText="1"/>
    </xf>
    <xf numFmtId="0" fontId="14" fillId="7" borderId="41" xfId="0" applyFont="1" applyFill="1" applyBorder="1" applyAlignment="1">
      <alignment horizontal="center" vertical="center"/>
    </xf>
    <xf numFmtId="0" fontId="14" fillId="7" borderId="3" xfId="0" applyFont="1" applyFill="1" applyBorder="1" applyAlignment="1">
      <alignment horizontal="center" vertical="center"/>
    </xf>
    <xf numFmtId="0" fontId="14" fillId="7" borderId="5" xfId="0" applyFont="1" applyFill="1" applyBorder="1" applyAlignment="1">
      <alignment horizontal="center" vertical="center"/>
    </xf>
    <xf numFmtId="0" fontId="14" fillId="7" borderId="1" xfId="0" applyFont="1" applyFill="1" applyBorder="1" applyAlignment="1">
      <alignment horizontal="center" vertical="center"/>
    </xf>
    <xf numFmtId="0" fontId="14" fillId="7" borderId="2"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9" xfId="0" applyFont="1" applyFill="1" applyBorder="1" applyAlignment="1">
      <alignment horizontal="center" vertical="center"/>
    </xf>
    <xf numFmtId="0" fontId="14" fillId="7" borderId="37" xfId="0" applyFont="1" applyFill="1" applyBorder="1" applyAlignment="1">
      <alignment horizontal="center"/>
    </xf>
    <xf numFmtId="0" fontId="14" fillId="18" borderId="0" xfId="0" applyFont="1" applyFill="1" applyAlignment="1">
      <alignment horizontal="center"/>
    </xf>
    <xf numFmtId="0" fontId="14" fillId="7" borderId="4" xfId="0" applyFont="1" applyFill="1" applyBorder="1" applyAlignment="1">
      <alignment horizontal="center"/>
    </xf>
    <xf numFmtId="0" fontId="14" fillId="7" borderId="0" xfId="0" applyFont="1" applyFill="1" applyAlignment="1">
      <alignment horizontal="center"/>
    </xf>
    <xf numFmtId="0" fontId="14" fillId="7" borderId="7" xfId="0" applyFont="1" applyFill="1" applyBorder="1" applyAlignment="1">
      <alignment horizontal="center"/>
    </xf>
    <xf numFmtId="0" fontId="3" fillId="0" borderId="0" xfId="0" applyFont="1" applyAlignment="1">
      <alignment horizontal="center" vertical="center"/>
    </xf>
    <xf numFmtId="2" fontId="3" fillId="19" borderId="0" xfId="0" applyFont="1" applyNumberFormat="1" applyFill="1"/>
    <xf numFmtId="0" fontId="3" fillId="19" borderId="0" xfId="0" applyFont="1" applyFill="1"/>
    <xf numFmtId="166" fontId="3" fillId="19" borderId="0" xfId="0" applyFont="1" applyNumberFormat="1" applyFill="1"/>
    <xf numFmtId="0" fontId="21" fillId="20" borderId="1" xfId="0" applyFont="1" applyFill="1" applyBorder="1" applyAlignment="1">
      <alignment horizontal="center" vertical="center" wrapText="1"/>
    </xf>
    <xf numFmtId="10" fontId="3" fillId="7" borderId="0" xfId="0" applyFont="1" applyNumberFormat="1" applyFill="1" applyAlignment="1">
      <alignment horizontal="center" vertical="center"/>
    </xf>
    <xf numFmtId="166" fontId="3" fillId="8" borderId="0" xfId="0" applyFont="1" applyNumberFormat="1" applyFill="1" applyAlignment="1">
      <alignment horizontal="center" vertical="center"/>
    </xf>
    <xf numFmtId="10" fontId="3" fillId="8" borderId="0" xfId="0" applyFont="1" applyNumberFormat="1" applyFill="1" applyAlignment="1">
      <alignment horizontal="center" vertical="center"/>
    </xf>
    <xf numFmtId="0" fontId="8" fillId="0" borderId="0" xfId="0" applyFont="1" applyAlignment="1">
      <alignment horizontal="left" vertical="center" wrapText="1"/>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2" fillId="0" borderId="4" xfId="0" applyFont="1" applyBorder="1"/>
    <xf numFmtId="167" fontId="3" fillId="8" borderId="7" xfId="0" applyFont="1" applyNumberFormat="1" applyFill="1" applyBorder="1" applyAlignment="1">
      <alignment horizontal="center"/>
    </xf>
    <xf numFmtId="1" fontId="3" fillId="0" borderId="0" xfId="0" applyFont="1" applyNumberFormat="1"/>
    <xf numFmtId="1" fontId="3" fillId="19" borderId="0" xfId="0" applyFont="1" applyNumberForma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7" fontId="3" fillId="7" borderId="0" xfId="0" applyFont="1" applyNumberFormat="1" applyFill="1" applyAlignment="1">
      <alignment horizontal="center"/>
    </xf>
    <xf numFmtId="17" fontId="14" fillId="3" borderId="41" xfId="0" applyFont="1" applyNumberFormat="1" applyFill="1" applyBorder="1" applyAlignment="1">
      <alignment horizontal="left" wrapText="1"/>
    </xf>
    <xf numFmtId="0" fontId="14" fillId="3" borderId="3" xfId="0" applyFont="1" applyFill="1" applyBorder="1" applyAlignment="1">
      <alignment horizontal="left" wrapText="1"/>
    </xf>
    <xf numFmtId="17" fontId="14" fillId="3" borderId="4" xfId="0" applyFont="1" applyNumberFormat="1" applyFill="1" applyBorder="1" applyAlignment="1">
      <alignment horizontal="left" vertical="top" wrapText="1"/>
    </xf>
    <xf numFmtId="3" fontId="3" fillId="0" borderId="7" xfId="0" applyFont="1" applyNumberFormat="1" applyBorder="1" applyAlignment="1">
      <alignment horizontal="center" vertical="center"/>
    </xf>
    <xf numFmtId="3" fontId="3" fillId="0" borderId="0" xfId="0" applyFont="1" applyNumberFormat="1" applyAlignment="1">
      <alignment horizontal="center" vertical="center"/>
    </xf>
    <xf numFmtId="166" fontId="3" fillId="0" borderId="0" xfId="0" applyFont="1" applyNumberFormat="1" applyAlignment="1">
      <alignment horizontal="center" vertical="center"/>
    </xf>
    <xf numFmtId="3" fontId="3" fillId="8" borderId="0" xfId="0" applyFont="1" applyNumberFormat="1" applyFill="1" applyAlignment="1">
      <alignment horizontal="center" vertical="center"/>
    </xf>
    <xf numFmtId="1" fontId="20" fillId="8" borderId="0" xfId="0" applyFont="1" applyNumberFormat="1" applyFill="1" applyAlignment="1">
      <alignment horizontal="center" vertical="center"/>
    </xf>
    <xf numFmtId="167" fontId="3" fillId="9" borderId="0" xfId="0" applyFont="1" applyNumberFormat="1" applyFill="1" applyAlignment="1">
      <alignment horizontal="center"/>
    </xf>
    <xf numFmtId="3" fontId="20" fillId="8" borderId="0" xfId="0" applyFont="1" applyNumberFormat="1" applyFill="1" applyAlignment="1">
      <alignment horizontal="center"/>
    </xf>
    <xf numFmtId="3" fontId="3" fillId="0" borderId="37" xfId="0" applyFont="1" applyNumberFormat="1" applyBorder="1" applyAlignment="1">
      <alignment horizontal="center"/>
    </xf>
    <xf numFmtId="167" fontId="3" fillId="0" borderId="4" xfId="0" applyFont="1" applyNumberFormat="1" applyBorder="1" applyAlignment="1">
      <alignment horizontal="center"/>
    </xf>
    <xf numFmtId="167" fontId="3" fillId="0" borderId="7" xfId="0" applyFont="1" applyNumberFormat="1" applyBorder="1" applyAlignment="1">
      <alignment horizontal="center"/>
    </xf>
    <xf numFmtId="0" fontId="3" fillId="0" borderId="0" xfId="0" applyFont="1" applyAlignment="1">
      <alignment horizontal="center" vertical="center" wrapText="1"/>
    </xf>
    <xf numFmtId="167" fontId="3" fillId="0" borderId="0" xfId="0" applyFont="1" applyNumberFormat="1" applyAlignment="1">
      <alignment horizontal="center" vertical="center"/>
    </xf>
    <xf numFmtId="166" fontId="3" fillId="7" borderId="0" xfId="0" applyFont="1" applyNumberFormat="1" applyFill="1" applyAlignment="1">
      <alignment horizontal="center" vertical="center"/>
    </xf>
    <xf numFmtId="0" fontId="21" fillId="0" borderId="3" xfId="0" applyFont="1" applyBorder="1" applyAlignment="1">
      <alignment horizontal="center" vertical="center" wrapText="1"/>
    </xf>
    <xf numFmtId="0" fontId="3" fillId="0" borderId="37" xfId="0" applyFont="1" applyBorder="1" applyAlignment="1">
      <alignment horizontal="center" vertical="center"/>
    </xf>
    <xf numFmtId="3" fontId="3" fillId="0" borderId="37" xfId="0" applyFont="1" applyNumberFormat="1" applyBorder="1" applyAlignment="1">
      <alignment horizontal="center" vertical="center"/>
    </xf>
    <xf numFmtId="3" fontId="3" fillId="7" borderId="37" xfId="0" applyFont="1" applyNumberFormat="1" applyFill="1" applyBorder="1" applyAlignment="1">
      <alignment horizontal="center"/>
    </xf>
    <xf numFmtId="0" fontId="21" fillId="0" borderId="1" xfId="0" applyFont="1" applyBorder="1" applyAlignment="1">
      <alignment horizontal="center" vertical="center" wrapText="1"/>
    </xf>
    <xf numFmtId="0" fontId="3" fillId="7" borderId="2"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Font="1" applyNumberForma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37" xfId="0" applyFont="1" applyBorder="1" applyAlignment="1">
      <alignment horizontal="left"/>
    </xf>
    <xf numFmtId="167" fontId="3" fillId="2" borderId="37" xfId="0" applyFont="1" applyNumberFormat="1" applyFill="1" applyBorder="1" applyAlignment="1">
      <alignment horizontal="center"/>
    </xf>
    <xf numFmtId="166" fontId="14" fillId="0" borderId="0" xfId="0" applyFont="1" applyNumberFormat="1"/>
    <xf numFmtId="170" fontId="3" fillId="0" borderId="0" xfId="0" applyFont="1" applyNumberFormat="1" applyAlignment="1">
      <alignment horizontal="center"/>
    </xf>
    <xf numFmtId="3" fontId="3" fillId="0" borderId="7" xfId="0" applyFont="1" applyNumberFormat="1" applyBorder="1" applyAlignment="1">
      <alignment horizontal="center"/>
    </xf>
    <xf numFmtId="167" fontId="3" fillId="0" borderId="0" xfId="0" applyFont="1" applyNumberFormat="1"/>
    <xf numFmtId="0" fontId="3" fillId="0" borderId="3" xfId="0" applyFont="1" applyBorder="1" applyAlignment="1">
      <alignment wrapText="1"/>
    </xf>
    <xf numFmtId="0" fontId="3" fillId="0" borderId="6"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7" xfId="0" applyFont="1" applyBorder="1" applyAlignment="1">
      <alignment horizontal="center" wrapText="1"/>
    </xf>
    <xf numFmtId="166" fontId="3" fillId="0" borderId="0" xfId="0" applyFont="1" applyNumberFormat="1" applyAlignment="1">
      <alignment horizontal="center"/>
    </xf>
    <xf numFmtId="0" fontId="1" fillId="7" borderId="0" xfId="0" applyFont="1" applyFill="1"/>
    <xf numFmtId="0" fontId="14" fillId="0" borderId="3" xfId="0" applyFont="1" applyBorder="1" applyAlignment="1">
      <alignment horizontal="center" vertical="top" wrapText="1"/>
    </xf>
    <xf numFmtId="0" fontId="14" fillId="0" borderId="4" xfId="0" applyFont="1" applyBorder="1" applyAlignment="1">
      <alignment horizontal="center" vertical="top" wrapText="1"/>
    </xf>
    <xf numFmtId="0" fontId="14" fillId="0" borderId="3" xfId="0" applyFont="1" applyBorder="1" applyAlignment="1">
      <alignment horizontal="center" wrapText="1"/>
    </xf>
    <xf numFmtId="0" fontId="14" fillId="0" borderId="0" xfId="0" applyFont="1" applyAlignment="1">
      <alignment horizontal="center" wrapText="1"/>
    </xf>
    <xf numFmtId="3" fontId="3" fillId="0" borderId="4" xfId="0" applyFont="1" applyNumberFormat="1" applyBorder="1" applyAlignment="1">
      <alignment horizontal="center" wrapText="1"/>
    </xf>
    <xf numFmtId="166" fontId="14" fillId="0" borderId="0" xfId="0" applyFont="1" applyNumberFormat="1" applyAlignment="1">
      <alignment horizontal="center" wrapText="1"/>
    </xf>
    <xf numFmtId="166" fontId="14" fillId="0" borderId="7" xfId="0" applyFont="1" applyNumberFormat="1" applyBorder="1" applyAlignment="1">
      <alignment horizontal="center" wrapText="1"/>
    </xf>
    <xf numFmtId="0" fontId="4" fillId="0" borderId="0" xfId="0" applyFont="1"/>
    <xf numFmtId="0" fontId="1" fillId="0" borderId="37" xfId="0" applyFont="1" applyBorder="1"/>
    <xf numFmtId="3" fontId="14" fillId="0" borderId="0" xfId="0" applyFont="1" applyNumberFormat="1" applyAlignment="1">
      <alignment horizontal="center" wrapText="1"/>
    </xf>
    <xf numFmtId="3" fontId="14" fillId="0" borderId="7" xfId="0" applyFont="1" applyNumberFormat="1" applyBorder="1" applyAlignment="1">
      <alignment horizontal="center" wrapText="1"/>
    </xf>
    <xf numFmtId="0" fontId="1" fillId="18" borderId="0" xfId="0" applyFont="1" applyFill="1"/>
    <xf numFmtId="0" fontId="1" fillId="8" borderId="37" xfId="0" applyFont="1" applyFill="1" applyBorder="1"/>
    <xf numFmtId="3" fontId="20" fillId="8" borderId="0" xfId="0" applyFont="1" applyNumberFormat="1" applyFill="1" applyAlignment="1">
      <alignment horizontal="center" wrapText="1"/>
    </xf>
    <xf numFmtId="3" fontId="3" fillId="0" borderId="37" xfId="0" applyFont="1" applyNumberFormat="1" applyBorder="1" applyAlignment="1">
      <alignment horizontal="center" wrapText="1"/>
    </xf>
    <xf numFmtId="3" fontId="20" fillId="0" borderId="0" xfId="0" applyFont="1" applyNumberFormat="1" applyAlignment="1">
      <alignment horizontal="center" wrapText="1"/>
    </xf>
    <xf numFmtId="1" fontId="20" fillId="0" borderId="7" xfId="0" applyFont="1" applyNumberFormat="1" applyBorder="1" applyAlignment="1">
      <alignment horizontal="center"/>
    </xf>
    <xf numFmtId="3" fontId="3" fillId="8" borderId="37" xfId="0" applyFont="1" applyNumberFormat="1" applyFill="1" applyBorder="1" applyAlignment="1">
      <alignment horizontal="center" wrapText="1"/>
    </xf>
    <xf numFmtId="1" fontId="3" fillId="8" borderId="0" xfId="0" applyFont="1" applyNumberFormat="1" applyFill="1" applyAlignment="1">
      <alignment horizontal="center" wrapText="1"/>
    </xf>
    <xf numFmtId="3" fontId="14" fillId="8" borderId="0" xfId="0" applyFont="1" applyNumberFormat="1" applyFill="1" applyAlignment="1">
      <alignment horizontal="center" wrapText="1"/>
    </xf>
    <xf numFmtId="1" fontId="1" fillId="8" borderId="0" xfId="0" applyFont="1" applyNumberFormat="1" applyFill="1"/>
    <xf numFmtId="0" fontId="14" fillId="0" borderId="0" xfId="0" applyFont="1"/>
    <xf numFmtId="1" fontId="14" fillId="0" borderId="0" xfId="0" applyFont="1" applyNumberFormat="1"/>
    <xf numFmtId="3" fontId="14" fillId="0" borderId="0" xfId="0" applyFont="1" applyNumberFormat="1"/>
    <xf numFmtId="166" fontId="1" fillId="0" borderId="0" xfId="0" applyFont="1" applyNumberFormat="1"/>
    <xf numFmtId="1" fontId="1" fillId="9" borderId="0" xfId="0" applyFont="1" applyNumberFormat="1" applyFill="1"/>
    <xf numFmtId="3" fontId="20" fillId="9" borderId="0" xfId="0" applyFont="1" applyNumberFormat="1" applyFill="1" applyAlignment="1">
      <alignment horizontal="center"/>
    </xf>
    <xf numFmtId="0" fontId="30" fillId="0" borderId="1" xfId="0" applyFont="1" applyBorder="1" applyAlignment="1">
      <alignment horizontal="left" indent="2"/>
    </xf>
    <xf numFmtId="3" fontId="14" fillId="8" borderId="7" xfId="0" applyFont="1" applyNumberFormat="1" applyFill="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Font="1" applyNumberFormat="1" applyAlignment="1">
      <alignment horizontal="center" wrapText="1"/>
    </xf>
    <xf numFmtId="0" fontId="20" fillId="0" borderId="0" xfId="0" applyFont="1" applyAlignment="1">
      <alignment wrapText="1"/>
    </xf>
    <xf numFmtId="171" fontId="20" fillId="0" borderId="0" xfId="0" applyFont="1" applyNumberFormat="1" applyAlignment="1">
      <alignment wrapText="1"/>
    </xf>
    <xf numFmtId="0" fontId="14" fillId="0" borderId="37" xfId="0" applyFont="1" applyBorder="1" applyAlignment="1">
      <alignment horizontal="center" vertical="top" wrapText="1"/>
    </xf>
    <xf numFmtId="171" fontId="3" fillId="0" borderId="7" xfId="0" applyFont="1" applyNumberFormat="1" applyBorder="1" applyAlignment="1">
      <alignment horizontal="center" wrapText="1"/>
    </xf>
    <xf numFmtId="1" fontId="14" fillId="0" borderId="0" xfId="0" applyFont="1" applyNumberFormat="1" applyAlignment="1">
      <alignment horizontal="center" wrapText="1"/>
    </xf>
    <xf numFmtId="0" fontId="31" fillId="0" borderId="0" xfId="0" applyFont="1"/>
    <xf numFmtId="1" fontId="3" fillId="0" borderId="37" xfId="0" applyFont="1" applyNumberFormat="1" applyBorder="1" applyAlignment="1">
      <alignment horizontal="center" wrapText="1"/>
    </xf>
    <xf numFmtId="1" fontId="3" fillId="7" borderId="37" xfId="0" applyFont="1" applyNumberFormat="1" applyFill="1" applyBorder="1" applyAlignment="1">
      <alignment horizontal="center" wrapText="1"/>
    </xf>
    <xf numFmtId="0" fontId="20" fillId="0" borderId="6" xfId="0" applyFont="1" applyBorder="1"/>
    <xf numFmtId="0" fontId="20" fillId="0" borderId="7" xfId="0" applyFont="1" applyBorder="1"/>
    <xf numFmtId="1" fontId="20" fillId="0" borderId="0" xfId="0" applyFont="1" applyNumberFormat="1" applyAlignment="1">
      <alignment horizontal="center"/>
    </xf>
    <xf numFmtId="1" fontId="20" fillId="8" borderId="7" xfId="0" applyFont="1" applyNumberForma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indent="5" wrapText="1"/>
    </xf>
    <xf numFmtId="166" fontId="3" fillId="7" borderId="0" xfId="0" applyFont="1" applyNumberFormat="1" applyFill="1" applyAlignment="1">
      <alignment horizontal="center" wrapText="1"/>
    </xf>
    <xf numFmtId="0" fontId="3" fillId="0" borderId="8" xfId="0" applyFont="1" applyBorder="1" applyAlignment="1">
      <alignment horizontal="left" wrapText="1"/>
    </xf>
    <xf numFmtId="0" fontId="3" fillId="10" borderId="1" xfId="0" applyFont="1" applyFill="1" applyBorder="1" applyAlignment="1">
      <alignment horizontal="left" vertical="top" indent="3" wrapText="1"/>
    </xf>
    <xf numFmtId="0" fontId="3" fillId="10" borderId="0" xfId="0" applyFont="1" applyFill="1" applyAlignment="1">
      <alignment horizontal="left" vertical="top" indent="3" wrapText="1"/>
    </xf>
    <xf numFmtId="0" fontId="3" fillId="10" borderId="2" xfId="0" applyFont="1" applyFill="1" applyBorder="1" applyAlignment="1">
      <alignment horizontal="left" vertical="top" indent="3" wrapText="1"/>
    </xf>
    <xf numFmtId="0" fontId="3" fillId="0" borderId="1" xfId="0" applyFont="1" applyBorder="1" applyAlignment="1">
      <alignment horizontal="left" indent="3" wrapText="1"/>
    </xf>
    <xf numFmtId="0" fontId="3" fillId="0" borderId="0" xfId="0" applyFont="1" applyAlignment="1">
      <alignment horizontal="left" indent="3" wrapText="1"/>
    </xf>
    <xf numFmtId="0" fontId="3" fillId="0" borderId="2" xfId="0" applyFont="1" applyBorder="1" applyAlignment="1">
      <alignment horizontal="left" indent="3" wrapText="1"/>
    </xf>
    <xf numFmtId="0" fontId="3" fillId="0" borderId="3" xfId="0" applyFont="1" applyBorder="1" applyAlignment="1">
      <alignment horizontal="left" indent="3" wrapText="1"/>
    </xf>
    <xf numFmtId="0" fontId="3" fillId="0" borderId="37" xfId="0" applyFont="1" applyBorder="1" applyAlignment="1">
      <alignment horizontal="left" indent="3" wrapText="1"/>
    </xf>
    <xf numFmtId="0" fontId="3" fillId="0" borderId="5" xfId="0" applyFont="1" applyBorder="1" applyAlignment="1">
      <alignment horizontal="left" indent="3" wrapText="1"/>
    </xf>
    <xf numFmtId="0" fontId="3" fillId="10" borderId="1" xfId="0" applyFont="1" applyFill="1" applyBorder="1" applyAlignment="1">
      <alignment horizontal="left" indent="3" wrapText="1"/>
    </xf>
    <xf numFmtId="0" fontId="3" fillId="10" borderId="0" xfId="0" applyFont="1" applyFill="1" applyAlignment="1">
      <alignment horizontal="left" indent="3" wrapText="1"/>
    </xf>
    <xf numFmtId="0" fontId="3" fillId="10" borderId="2" xfId="0" applyFont="1" applyFill="1" applyBorder="1" applyAlignment="1">
      <alignment horizontal="left" indent="3" wrapText="1"/>
    </xf>
    <xf numFmtId="0" fontId="23" fillId="0" borderId="0" xfId="0" applyFont="1" applyAlignment="1">
      <alignment horizontal="left" vertical="top" wrapText="1"/>
    </xf>
    <xf numFmtId="0" fontId="14" fillId="0" borderId="7" xfId="0" applyFont="1" applyBorder="1" applyAlignment="1">
      <alignment horizontal="center" vertical="top" wrapText="1"/>
    </xf>
    <xf numFmtId="0" fontId="3" fillId="0" borderId="2" xfId="0" applyFont="1" applyBorder="1" applyAlignment="1">
      <alignment horizontal="left" wrapText="1"/>
    </xf>
    <xf numFmtId="166" fontId="3" fillId="7" borderId="3" xfId="0" applyFont="1" applyNumberFormat="1" applyFill="1" applyBorder="1" applyAlignment="1">
      <alignment horizontal="center"/>
    </xf>
    <xf numFmtId="166" fontId="3" fillId="7" borderId="1" xfId="0" applyFont="1" applyNumberFormat="1" applyFill="1" applyBorder="1" applyAlignment="1">
      <alignment horizontal="center"/>
    </xf>
    <xf numFmtId="0" fontId="32" fillId="0" borderId="1" xfId="0" applyFont="1" applyBorder="1" applyAlignment="1">
      <alignment wrapText="1"/>
    </xf>
    <xf numFmtId="0" fontId="14" fillId="10" borderId="3" xfId="0" applyFont="1" applyFill="1" applyBorder="1"/>
    <xf numFmtId="166" fontId="20" fillId="17" borderId="37" xfId="0" applyFont="1" applyNumberFormat="1" applyFill="1" applyBorder="1" applyAlignment="1">
      <alignment horizontal="center"/>
    </xf>
    <xf numFmtId="0" fontId="1" fillId="17" borderId="0" xfId="0" applyFont="1" applyFill="1"/>
    <xf numFmtId="166" fontId="3" fillId="0" borderId="3" xfId="0" applyFont="1" applyNumberFormat="1" applyBorder="1" applyAlignment="1">
      <alignment horizontal="center"/>
    </xf>
    <xf numFmtId="169" fontId="3" fillId="7" borderId="7" xfId="0" applyFont="1" applyNumberFormat="1" applyFill="1" applyBorder="1" applyAlignment="1">
      <alignment horizontal="center"/>
    </xf>
    <xf numFmtId="0" fontId="20" fillId="0" borderId="3" xfId="0" applyFont="1" applyBorder="1"/>
    <xf numFmtId="0" fontId="20" fillId="20"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6" xfId="0" applyFont="1" applyBorder="1"/>
    <xf numFmtId="0" fontId="3" fillId="0" borderId="1" xfId="0" applyFont="1" applyBorder="1"/>
    <xf numFmtId="166" fontId="20" fillId="0" borderId="0" xfId="0" applyFont="1" applyNumberFormat="1" applyAlignment="1">
      <alignment horizontal="center"/>
    </xf>
    <xf numFmtId="166" fontId="3" fillId="0" borderId="7" xfId="0" applyFont="1" applyNumberFormat="1" applyBorder="1" applyAlignment="1">
      <alignment horizontal="center"/>
    </xf>
    <xf numFmtId="166" fontId="20" fillId="8" borderId="0" xfId="0" applyFont="1" applyNumberFormat="1" applyFill="1" applyAlignment="1">
      <alignment horizontal="center"/>
    </xf>
    <xf numFmtId="169" fontId="3" fillId="0" borderId="0" xfId="0" applyFont="1" applyNumberFormat="1" applyAlignment="1">
      <alignment horizontal="center"/>
    </xf>
    <xf numFmtId="166" fontId="20" fillId="7" borderId="4" xfId="0" applyFont="1" applyNumberFormat="1" applyFill="1" applyBorder="1" applyAlignment="1">
      <alignment horizontal="center"/>
    </xf>
    <xf numFmtId="0" fontId="3" fillId="0" borderId="3" xfId="0" applyFont="1" applyBorder="1"/>
    <xf numFmtId="0" fontId="3" fillId="10" borderId="37" xfId="0" applyFont="1" applyFill="1" applyBorder="1" applyAlignment="1">
      <alignment horizontal="center"/>
    </xf>
    <xf numFmtId="0" fontId="3" fillId="10" borderId="5" xfId="0" applyFont="1" applyFill="1" applyBorder="1" applyAlignment="1">
      <alignment horizontal="center"/>
    </xf>
    <xf numFmtId="0" fontId="3" fillId="0" borderId="8" xfId="0" applyFont="1" applyBorder="1" applyAlignment="1">
      <alignment horizontal="center"/>
    </xf>
    <xf numFmtId="166" fontId="3" fillId="0" borderId="37" xfId="0" applyFont="1" applyNumberFormat="1" applyBorder="1" applyAlignment="1">
      <alignment horizontal="center"/>
    </xf>
    <xf numFmtId="166" fontId="3" fillId="7" borderId="37" xfId="0" applyFont="1" applyNumberFormat="1" applyFill="1" applyBorder="1" applyAlignment="1">
      <alignment horizontal="center"/>
    </xf>
    <xf numFmtId="166" fontId="20" fillId="0" borderId="3" xfId="0" applyFont="1" applyNumberFormat="1" applyBorder="1" applyAlignment="1">
      <alignment horizontal="center"/>
    </xf>
    <xf numFmtId="166" fontId="20" fillId="0" borderId="37" xfId="0" applyFont="1" applyNumberFormat="1" applyBorder="1" applyAlignment="1">
      <alignment horizontal="center"/>
    </xf>
    <xf numFmtId="166" fontId="20" fillId="7" borderId="37" xfId="0" applyFont="1" applyNumberFormat="1" applyFill="1" applyBorder="1" applyAlignment="1">
      <alignment horizontal="center"/>
    </xf>
    <xf numFmtId="169" fontId="3" fillId="0" borderId="7" xfId="0" applyFont="1" applyNumberFormat="1" applyBorder="1" applyAlignment="1">
      <alignment horizontal="center"/>
    </xf>
    <xf numFmtId="0" fontId="20" fillId="0" borderId="1" xfId="0" applyFont="1" applyBorder="1"/>
    <xf numFmtId="172" fontId="3" fillId="0" borderId="0" xfId="0" applyFont="1" applyNumberFormat="1"/>
    <xf numFmtId="0" fontId="14" fillId="3" borderId="35" xfId="0" applyFont="1" applyFill="1" applyBorder="1"/>
    <xf numFmtId="0" fontId="14" fillId="3" borderId="36" xfId="0" applyFont="1" applyFill="1" applyBorder="1"/>
    <xf numFmtId="0" fontId="14" fillId="3" borderId="16" xfId="0" applyFont="1" applyFill="1" applyBorder="1"/>
    <xf numFmtId="0" fontId="14" fillId="3" borderId="36" xfId="0" applyFont="1" applyFill="1" applyBorder="1" applyAlignment="1">
      <alignment horizontal="center"/>
    </xf>
    <xf numFmtId="0" fontId="14" fillId="3" borderId="16" xfId="0" applyFont="1" applyFill="1" applyBorder="1" applyAlignment="1">
      <alignment horizontal="center"/>
    </xf>
    <xf numFmtId="166" fontId="3" fillId="8" borderId="7" xfId="0" applyFont="1" applyNumberFormat="1" applyFill="1" applyBorder="1" applyAlignment="1">
      <alignment horizontal="center"/>
    </xf>
    <xf numFmtId="166" fontId="20" fillId="8" borderId="4" xfId="0" applyFont="1" applyNumberFormat="1" applyFill="1" applyBorder="1" applyAlignment="1">
      <alignment horizontal="center"/>
    </xf>
    <xf numFmtId="0" fontId="20" fillId="0" borderId="4" xfId="0" applyFont="1" applyBorder="1"/>
    <xf numFmtId="166" fontId="20" fillId="0" borderId="1" xfId="0" applyFont="1" applyNumberFormat="1" applyBorder="1" applyAlignment="1">
      <alignment horizontal="center"/>
    </xf>
    <xf numFmtId="166" fontId="3" fillId="0" borderId="1" xfId="0" applyFont="1" applyNumberFormat="1" applyBorder="1" applyAlignment="1">
      <alignment horizontal="center"/>
    </xf>
    <xf numFmtId="166" fontId="3" fillId="0" borderId="6" xfId="0" applyFont="1" applyNumberFormat="1" applyBorder="1" applyAlignment="1">
      <alignment horizontal="center"/>
    </xf>
    <xf numFmtId="169" fontId="3" fillId="0" borderId="6" xfId="0" applyFont="1" applyNumberFormat="1" applyBorder="1" applyAlignment="1">
      <alignment horizontal="center"/>
    </xf>
    <xf numFmtId="0" fontId="14" fillId="0" borderId="0" xfId="0" applyFont="1" applyAlignment="1">
      <alignment vertical="top" wrapText="1"/>
    </xf>
    <xf numFmtId="169" fontId="3" fillId="8" borderId="7" xfId="0" applyFont="1" applyNumberFormat="1" applyFill="1" applyBorder="1" applyAlignment="1">
      <alignment horizontal="center"/>
    </xf>
    <xf numFmtId="0" fontId="3" fillId="0" borderId="37" xfId="0" applyFont="1" applyBorder="1"/>
    <xf numFmtId="0" fontId="33" fillId="0" borderId="0" xfId="0" applyFont="1" applyAlignment="1">
      <alignment horizontal="left" vertical="top" wrapText="1"/>
    </xf>
    <xf numFmtId="0" fontId="3" fillId="12" borderId="36" xfId="0" applyFont="1" applyFill="1" applyBorder="1"/>
    <xf numFmtId="0" fontId="3" fillId="12" borderId="16" xfId="0" applyFont="1" applyFill="1" applyBorder="1"/>
    <xf numFmtId="0" fontId="1" fillId="7" borderId="41" xfId="0" applyFont="1" applyFill="1" applyBorder="1"/>
    <xf numFmtId="2" fontId="3" fillId="0" borderId="4" xfId="0" applyFont="1" applyNumberFormat="1" applyBorder="1" applyAlignment="1">
      <alignment horizontal="center"/>
    </xf>
    <xf numFmtId="2" fontId="3" fillId="0" borderId="2" xfId="0" applyFont="1" applyNumberFormat="1" applyBorder="1" applyAlignment="1">
      <alignment horizontal="center"/>
    </xf>
    <xf numFmtId="166" fontId="20" fillId="7" borderId="0" xfId="0" applyFont="1" applyNumberFormat="1" applyFill="1" applyAlignment="1">
      <alignment horizontal="center"/>
    </xf>
    <xf numFmtId="0" fontId="20" fillId="0" borderId="1" xfId="0" applyFont="1" applyBorder="1" applyAlignment="1">
      <alignment horizontal="left"/>
    </xf>
    <xf numFmtId="169" fontId="3" fillId="0" borderId="0" xfId="0" applyFont="1" applyNumberFormat="1"/>
    <xf numFmtId="166" fontId="3" fillId="21" borderId="0" xfId="0" applyFont="1" applyNumberFormat="1" applyFill="1" applyAlignment="1">
      <alignment horizontal="center" wrapText="1"/>
    </xf>
    <xf numFmtId="169" fontId="3" fillId="17" borderId="7" xfId="0" applyFont="1" applyNumberFormat="1" applyFill="1" applyBorder="1" applyAlignment="1">
      <alignment horizontal="center"/>
    </xf>
    <xf numFmtId="2" fontId="3" fillId="0" borderId="0" xfId="0" applyFont="1" applyNumberFormat="1" applyAlignment="1">
      <alignment horizontal="right"/>
    </xf>
    <xf numFmtId="0" fontId="14" fillId="0" borderId="15" xfId="0" applyFont="1" applyBorder="1"/>
    <xf numFmtId="0" fontId="14" fillId="0" borderId="14" xfId="0" applyFont="1" applyBorder="1"/>
    <xf numFmtId="0" fontId="3" fillId="0" borderId="14" xfId="0" applyFont="1" applyBorder="1" applyAlignment="1">
      <alignment horizontal="right"/>
    </xf>
    <xf numFmtId="0" fontId="3" fillId="0" borderId="13" xfId="0" applyFont="1" applyBorder="1"/>
    <xf numFmtId="166" fontId="3" fillId="14" borderId="0" xfId="0" applyFont="1" applyNumberFormat="1" applyFill="1" applyAlignment="1">
      <alignment horizontal="center"/>
    </xf>
    <xf numFmtId="166" fontId="3" fillId="14" borderId="0" xfId="0" applyFont="1" applyNumberFormat="1" applyFill="1" applyAlignment="1">
      <alignment horizontal="center" wrapText="1"/>
    </xf>
    <xf numFmtId="169" fontId="3" fillId="11" borderId="7" xfId="0" applyFont="1" applyNumberFormat="1" applyFill="1" applyBorder="1" applyAlignment="1">
      <alignment horizontal="center"/>
    </xf>
    <xf numFmtId="0" fontId="1" fillId="14" borderId="0" xfId="0" applyFont="1" applyFill="1"/>
    <xf numFmtId="0" fontId="3" fillId="0" borderId="0" xfId="0" applyFont="1" applyAlignment="1">
      <alignment horizontal="left" indent="4"/>
    </xf>
    <xf numFmtId="169" fontId="3" fillId="0" borderId="7" xfId="0" applyFont="1" applyNumberFormat="1" applyBorder="1"/>
    <xf numFmtId="0" fontId="3" fillId="0" borderId="6" xfId="0" applyFont="1" applyBorder="1" applyAlignment="1">
      <alignment horizontal="left" indent="4"/>
    </xf>
    <xf numFmtId="3" fontId="34" fillId="0" borderId="0" xfId="0" applyFont="1" applyNumberFormat="1"/>
    <xf numFmtId="173" fontId="3" fillId="0" borderId="0" xfId="0" applyFont="1" applyNumberFormat="1"/>
    <xf numFmtId="0" fontId="3" fillId="12" borderId="3" xfId="0" applyFont="1" applyFill="1" applyBorder="1"/>
    <xf numFmtId="0" fontId="3" fillId="12" borderId="4" xfId="0" applyFont="1" applyFill="1" applyBorder="1"/>
    <xf numFmtId="0" fontId="3" fillId="14" borderId="1" xfId="0" applyFont="1" applyFill="1" applyBorder="1" applyAlignment="1">
      <alignment horizontal="left" vertical="top" indent="3" wrapText="1"/>
    </xf>
    <xf numFmtId="166" fontId="3" fillId="14" borderId="1" xfId="0" applyFont="1" applyNumberFormat="1" applyFill="1" applyBorder="1" applyAlignment="1">
      <alignment horizontal="center"/>
    </xf>
    <xf numFmtId="0" fontId="3" fillId="0" borderId="14" xfId="0" applyFont="1" applyBorder="1"/>
    <xf numFmtId="2" fontId="3" fillId="0" borderId="0" xfId="0" applyFont="1" applyNumberFormat="1" applyAlignment="1">
      <alignment horizontal="center"/>
    </xf>
    <xf numFmtId="2" fontId="3" fillId="0" borderId="9" xfId="0" applyFont="1" applyNumberFormat="1" applyBorder="1" applyAlignment="1">
      <alignment horizontal="center"/>
    </xf>
    <xf numFmtId="0" fontId="14" fillId="8" borderId="6" xfId="0" applyFont="1" applyFill="1" applyBorder="1" applyAlignment="1">
      <alignment horizontal="center"/>
    </xf>
    <xf numFmtId="0" fontId="14" fillId="8" borderId="7" xfId="0" applyFont="1" applyFill="1" applyBorder="1" applyAlignment="1">
      <alignment horizontal="center"/>
    </xf>
    <xf numFmtId="0" fontId="14" fillId="8" borderId="0" xfId="0" applyFont="1" applyFill="1" applyAlignment="1">
      <alignment horizontal="center"/>
    </xf>
    <xf numFmtId="0" fontId="3" fillId="7" borderId="4" xfId="0" applyFont="1" applyFill="1" applyBorder="1" applyAlignment="1">
      <alignment horizontal="right"/>
    </xf>
    <xf numFmtId="0" fontId="6" fillId="20" borderId="0" xfId="0" applyFont="1" applyFill="1" applyAlignment="1">
      <alignment horizontal="center"/>
    </xf>
    <xf numFmtId="0" fontId="6" fillId="20" borderId="9" xfId="0" applyFont="1" applyFill="1" applyBorder="1" applyAlignment="1">
      <alignment horizontal="center"/>
    </xf>
    <xf numFmtId="0" fontId="18" fillId="0" borderId="0" xfId="0" applyFont="1"/>
    <xf numFmtId="0" fontId="1" fillId="0" borderId="0" xfId="0" applyFont="1" applyAlignment="1">
      <alignment horizontal="center"/>
    </xf>
    <xf numFmtId="0" fontId="3" fillId="8" borderId="4" xfId="0" applyFont="1" applyFill="1" applyBorder="1"/>
    <xf numFmtId="0" fontId="20" fillId="0" borderId="0" xfId="0" applyFont="1" applyAlignment="1">
      <alignment horizontal="center"/>
    </xf>
    <xf numFmtId="10" fontId="3" fillId="0" borderId="0" xfId="0" applyFont="1" applyNumberFormat="1" applyAlignment="1">
      <alignment horizontal="center"/>
    </xf>
    <xf numFmtId="10" fontId="1" fillId="0" borderId="0" xfId="0" applyFont="1" applyNumberFormat="1" applyAlignment="1">
      <alignment horizontal="center"/>
    </xf>
    <xf numFmtId="10" fontId="1" fillId="0" borderId="37" xfId="0" applyFont="1" applyNumberFormat="1" applyBorder="1" applyAlignment="1">
      <alignment horizontal="center"/>
    </xf>
    <xf numFmtId="10" fontId="1" fillId="14" borderId="37" xfId="0" applyFont="1" applyNumberFormat="1" applyFill="1" applyBorder="1" applyAlignment="1">
      <alignment horizontal="center"/>
    </xf>
    <xf numFmtId="0" fontId="1" fillId="14" borderId="0" xfId="0" applyFont="1" applyFill="1" applyAlignment="1">
      <alignment horizontal="center"/>
    </xf>
    <xf numFmtId="10" fontId="1" fillId="14" borderId="0" xfId="0" applyFont="1" applyNumberFormat="1" applyFill="1" applyAlignment="1">
      <alignment horizontal="center"/>
    </xf>
    <xf numFmtId="10" fontId="3" fillId="14" borderId="4" xfId="0" applyFont="1" applyNumberFormat="1" applyFill="1" applyBorder="1"/>
    <xf numFmtId="10" fontId="3" fillId="14" borderId="3" xfId="0" applyFont="1" applyNumberFormat="1" applyFill="1" applyBorder="1"/>
    <xf numFmtId="10" fontId="3" fillId="14" borderId="4" xfId="0" applyFont="1" applyNumberFormat="1" applyFill="1" applyBorder="1" applyAlignment="1">
      <alignment horizontal="center"/>
    </xf>
    <xf numFmtId="10" fontId="1" fillId="14" borderId="4" xfId="0" applyFont="1" applyNumberForma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7" xfId="0" applyFont="1" applyFill="1" applyBorder="1"/>
    <xf numFmtId="0" fontId="20" fillId="14" borderId="6" xfId="0" applyFont="1" applyFill="1" applyBorder="1"/>
    <xf numFmtId="0" fontId="20"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Font="1" applyNumberFormat="1" applyFill="1" applyBorder="1" applyAlignment="1">
      <alignment horizontal="center"/>
    </xf>
    <xf numFmtId="0" fontId="1" fillId="0" borderId="7" xfId="0" applyFont="1" applyBorder="1" applyAlignment="1">
      <alignment horizontal="center"/>
    </xf>
    <xf numFmtId="0" fontId="20" fillId="0" borderId="7" xfId="0" applyFont="1" applyBorder="1" applyAlignment="1">
      <alignment horizontal="center"/>
    </xf>
    <xf numFmtId="10" fontId="3" fillId="0" borderId="4" xfId="0" applyFont="1" applyNumberFormat="1" applyBorder="1"/>
    <xf numFmtId="10" fontId="3" fillId="0" borderId="3" xfId="0" applyFont="1" applyNumberFormat="1" applyBorder="1"/>
    <xf numFmtId="10" fontId="3" fillId="0" borderId="4" xfId="0" applyFont="1" applyNumberFormat="1" applyBorder="1" applyAlignment="1">
      <alignment horizontal="center"/>
    </xf>
    <xf numFmtId="1" fontId="1" fillId="0" borderId="7" xfId="0" applyFont="1" applyNumberFormat="1" applyBorder="1" applyAlignment="1">
      <alignment horizontal="center"/>
    </xf>
    <xf numFmtId="0" fontId="14" fillId="7" borderId="3" xfId="0" applyFont="1" applyFill="1" applyBorder="1" applyAlignment="1">
      <alignment horizontal="center" wrapText="1"/>
    </xf>
    <xf numFmtId="0" fontId="14" fillId="7" borderId="5" xfId="0" applyFont="1" applyFill="1" applyBorder="1" applyAlignment="1">
      <alignment horizontal="center" wrapText="1"/>
    </xf>
    <xf numFmtId="0" fontId="14" fillId="7" borderId="1" xfId="0" applyFont="1" applyFill="1" applyBorder="1" applyAlignment="1">
      <alignment horizontal="center" wrapText="1"/>
    </xf>
    <xf numFmtId="0" fontId="14" fillId="7" borderId="0" xfId="0" applyFont="1" applyFill="1" applyAlignment="1">
      <alignment horizontal="center" wrapText="1"/>
    </xf>
    <xf numFmtId="0" fontId="14" fillId="0" borderId="3" xfId="0" applyFont="1" applyBorder="1" applyAlignment="1">
      <alignment horizontal="center"/>
    </xf>
    <xf numFmtId="0" fontId="14" fillId="0" borderId="4" xfId="0" applyFont="1" applyBorder="1" applyAlignment="1">
      <alignment horizontal="center"/>
    </xf>
    <xf numFmtId="0" fontId="14" fillId="10" borderId="0" xfId="0" applyFont="1" applyFill="1" applyAlignment="1">
      <alignment horizontal="center"/>
    </xf>
    <xf numFmtId="0" fontId="20" fillId="8" borderId="0" xfId="0" applyFont="1" applyFill="1" applyAlignment="1">
      <alignment horizontal="center"/>
    </xf>
    <xf numFmtId="166" fontId="3" fillId="8" borderId="1" xfId="0" applyFont="1" applyNumberForma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6" xfId="0" applyFont="1" applyBorder="1" applyAlignment="1">
      <alignment horizontal="left"/>
    </xf>
    <xf numFmtId="0" fontId="3" fillId="8" borderId="0" xfId="0" applyFont="1" applyFill="1" applyAlignment="1">
      <alignment horizontal="left" indent="1" wrapText="1"/>
    </xf>
    <xf numFmtId="166" fontId="3" fillId="7" borderId="0" xfId="0" applyFont="1" applyNumberFormat="1" applyFill="1" applyAlignment="1">
      <alignment horizontal="center"/>
    </xf>
    <xf numFmtId="0" fontId="3" fillId="20" borderId="1" xfId="0" applyFont="1" applyFill="1" applyBorder="1"/>
    <xf numFmtId="2" fontId="3" fillId="8" borderId="0" xfId="0" applyFont="1" applyNumberFormat="1" applyFill="1"/>
    <xf numFmtId="0" fontId="3" fillId="0" borderId="4" xfId="0" applyFont="1" applyBorder="1"/>
    <xf numFmtId="166" fontId="3" fillId="7" borderId="4" xfId="0" applyFont="1" applyNumberFormat="1" applyFill="1" applyBorder="1" applyAlignment="1">
      <alignment horizontal="center"/>
    </xf>
    <xf numFmtId="0" fontId="3" fillId="22" borderId="35" xfId="0" applyFont="1" applyFill="1" applyBorder="1" applyAlignment="1">
      <alignment wrapText="1"/>
    </xf>
    <xf numFmtId="0" fontId="3" fillId="22" borderId="36" xfId="0" applyFont="1" applyFill="1" applyBorder="1"/>
    <xf numFmtId="1" fontId="3" fillId="22" borderId="36" xfId="0" applyFont="1" applyNumberFormat="1" applyFill="1" applyBorder="1"/>
    <xf numFmtId="0" fontId="1" fillId="8" borderId="7" xfId="0" applyFont="1" applyFill="1" applyBorder="1"/>
    <xf numFmtId="166" fontId="3" fillId="8" borderId="0" xfId="0" applyFont="1" applyNumberFormat="1" applyFill="1" applyAlignment="1">
      <alignment horizontal="center"/>
    </xf>
    <xf numFmtId="1" fontId="3" fillId="8" borderId="0" xfId="0" applyFont="1" applyNumberFormat="1" applyFill="1"/>
    <xf numFmtId="0" fontId="14" fillId="0" borderId="6" xfId="0" applyFont="1" applyBorder="1" applyAlignment="1">
      <alignment wrapText="1"/>
    </xf>
    <xf numFmtId="0" fontId="1" fillId="7" borderId="0" xfId="0" applyFont="1" applyFill="1" applyAlignment="1">
      <alignment horizontal="center"/>
    </xf>
    <xf numFmtId="1" fontId="3" fillId="0" borderId="29" xfId="0" applyFont="1" applyNumberFormat="1" applyBorder="1"/>
    <xf numFmtId="164" fontId="3" fillId="0" borderId="29" xfId="0" applyFont="1" applyNumberFormat="1" applyBorder="1"/>
    <xf numFmtId="0" fontId="35" fillId="0" borderId="1" xfId="0" applyFont="1" applyBorder="1" applyAlignment="1">
      <alignment horizontal="left" indent="1" wrapTex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3" xfId="0" applyFont="1" applyFill="1" applyBorder="1"/>
    <xf numFmtId="0" fontId="3" fillId="0" borderId="0" xfId="0" applyFont="1" applyAlignment="1">
      <alignment horizontal="left" indent="1" wrapText="1"/>
    </xf>
    <xf numFmtId="1" fontId="3" fillId="7" borderId="0" xfId="0" applyFont="1" applyNumberFormat="1" applyFill="1"/>
    <xf numFmtId="164" fontId="3" fillId="7" borderId="29" xfId="0" applyFont="1" applyNumberFormat="1" applyFill="1" applyBorder="1"/>
    <xf numFmtId="164" fontId="3" fillId="0" borderId="0" xfId="0" applyFont="1" applyNumberFormat="1"/>
    <xf numFmtId="1" fontId="3" fillId="7" borderId="4" xfId="0" applyFont="1" applyNumberFormat="1" applyFill="1" applyBorder="1" applyAlignment="1">
      <alignment horizontal="center"/>
    </xf>
    <xf numFmtId="0" fontId="14" fillId="7" borderId="3" xfId="0" applyFont="1" applyFill="1" applyBorder="1" applyAlignment="1">
      <alignment horizontal="centerContinuous" vertical="center"/>
    </xf>
    <xf numFmtId="0" fontId="14" fillId="7" borderId="5" xfId="0" applyFont="1" applyFill="1" applyBorder="1" applyAlignment="1">
      <alignment horizontal="centerContinuous" vertical="center"/>
    </xf>
    <xf numFmtId="0" fontId="14" fillId="7" borderId="1" xfId="0" applyFont="1" applyFill="1" applyBorder="1" applyAlignment="1">
      <alignment horizontal="centerContinuous" vertical="center"/>
    </xf>
    <xf numFmtId="0" fontId="14" fillId="7" borderId="0" xfId="0" applyFont="1" applyFill="1" applyAlignment="1">
      <alignment horizontal="centerContinuous" vertical="center"/>
    </xf>
    <xf numFmtId="0" fontId="3" fillId="0" borderId="32" xfId="0" applyFont="1" applyBorder="1" applyAlignment="1">
      <alignment horizontal="left" indent="2" wrapText="1"/>
    </xf>
    <xf numFmtId="0" fontId="3" fillId="0" borderId="29" xfId="0" applyFont="1" applyBorder="1"/>
    <xf numFmtId="1" fontId="3" fillId="0" borderId="45" xfId="0" applyFont="1" applyNumberFormat="1" applyBorder="1"/>
    <xf numFmtId="1" fontId="3" fillId="3" borderId="29" xfId="0" applyFont="1" applyNumberFormat="1" applyFill="1" applyBorder="1"/>
    <xf numFmtId="1" fontId="3" fillId="20" borderId="29" xfId="0" applyFont="1" applyNumberFormat="1" applyFill="1" applyBorder="1"/>
    <xf numFmtId="1" fontId="3" fillId="7" borderId="29" xfId="0" applyFont="1" applyNumberFormat="1" applyFill="1" applyBorder="1"/>
    <xf numFmtId="164" fontId="3" fillId="8" borderId="29" xfId="0" applyFont="1" applyNumberFormat="1" applyFill="1" applyBorder="1"/>
    <xf numFmtId="1" fontId="3" fillId="0" borderId="1" xfId="0" applyFont="1" applyNumberFormat="1" applyBorder="1"/>
    <xf numFmtId="0" fontId="3" fillId="0" borderId="6" xfId="0" applyFont="1" applyBorder="1" applyAlignment="1">
      <alignment horizontal="center"/>
    </xf>
    <xf numFmtId="0" fontId="14" fillId="0" borderId="37" xfId="0" applyFont="1" applyBorder="1" applyAlignment="1">
      <alignment horizontal="center"/>
    </xf>
    <xf numFmtId="166" fontId="3" fillId="8" borderId="4" xfId="0" applyFont="1" applyNumberFormat="1" applyFill="1" applyBorder="1" applyAlignment="1">
      <alignment horizontal="center"/>
    </xf>
    <xf numFmtId="0" fontId="14" fillId="0" borderId="0" xfId="0" applyFont="1" applyAlignment="1">
      <alignment horizontal="left" indent="1"/>
    </xf>
    <xf numFmtId="1" fontId="3" fillId="8" borderId="37" xfId="0" applyFont="1" applyNumberFormat="1" applyFill="1" applyBorder="1"/>
    <xf numFmtId="166" fontId="14" fillId="0" borderId="0" xfId="0" applyFont="1" applyNumberFormat="1" applyAlignment="1">
      <alignment horizontal="center"/>
    </xf>
    <xf numFmtId="166" fontId="14" fillId="8" borderId="0" xfId="0" applyFont="1" applyNumberFormat="1" applyFill="1" applyAlignment="1">
      <alignment horizontal="center"/>
    </xf>
    <xf numFmtId="0" fontId="3" fillId="0" borderId="6" xfId="0" applyFont="1" applyBorder="1" applyAlignment="1">
      <alignment horizontal="right"/>
    </xf>
    <xf numFmtId="0" fontId="20" fillId="0" borderId="1" xfId="0" applyFont="1" applyBorder="1" applyAlignment="1">
      <alignment horizontal="center"/>
    </xf>
    <xf numFmtId="1" fontId="3" fillId="0" borderId="27" xfId="0" applyFont="1" applyNumberFormat="1" applyBorder="1"/>
    <xf numFmtId="0" fontId="3" fillId="18" borderId="0" xfId="0" applyFont="1" applyFill="1" applyAlignment="1">
      <alignment horizontal="left" indent="1" wrapText="1"/>
    </xf>
    <xf numFmtId="1" fontId="3" fillId="3" borderId="0" xfId="0" applyFont="1" applyNumberFormat="1" applyFill="1"/>
    <xf numFmtId="166" fontId="20" fillId="0" borderId="7" xfId="0" applyFont="1" applyNumberFormat="1" applyBorder="1" applyAlignment="1">
      <alignment horizontal="center"/>
    </xf>
    <xf numFmtId="0" fontId="3" fillId="0" borderId="30" xfId="0" applyFont="1" applyBorder="1"/>
    <xf numFmtId="0" fontId="3" fillId="0" borderId="27" xfId="0" applyFont="1" applyBorder="1"/>
    <xf numFmtId="1" fontId="3" fillId="8" borderId="27" xfId="0" applyFont="1" applyNumberFormat="1" applyFill="1" applyBorder="1"/>
    <xf numFmtId="0" fontId="3" fillId="0" borderId="31" xfId="0" applyFont="1" applyBorder="1" applyAlignment="1">
      <alignment horizontal="left" indent="1" wrapText="1"/>
    </xf>
    <xf numFmtId="0" fontId="3" fillId="0" borderId="31" xfId="0" applyFont="1" applyBorder="1" applyAlignment="1">
      <alignment horizontal="left" indent="2" wrapText="1"/>
    </xf>
    <xf numFmtId="1" fontId="3" fillId="0" borderId="46" xfId="0" applyFont="1" applyNumberFormat="1" applyBorder="1"/>
    <xf numFmtId="1" fontId="3" fillId="3" borderId="27" xfId="0" applyFont="1" applyNumberFormat="1" applyFill="1" applyBorder="1"/>
    <xf numFmtId="1" fontId="3" fillId="20" borderId="27" xfId="0" applyFont="1" applyNumberFormat="1" applyFill="1" applyBorder="1"/>
    <xf numFmtId="1" fontId="3" fillId="20" borderId="0" xfId="0" applyFont="1" applyNumberFormat="1" applyFill="1"/>
    <xf numFmtId="1" fontId="3" fillId="8" borderId="29" xfId="0" applyFont="1" applyNumberFormat="1" applyFill="1" applyBorder="1"/>
    <xf numFmtId="166" fontId="3" fillId="8" borderId="37" xfId="0" applyFont="1" applyNumberFormat="1" applyFill="1" applyBorder="1" applyAlignment="1">
      <alignment horizontal="center"/>
    </xf>
    <xf numFmtId="0" fontId="1" fillId="0" borderId="0" xfId="0" applyFont="1" applyAlignment="1">
      <alignment horizontal="center" wrapText="1"/>
    </xf>
    <xf numFmtId="174" fontId="1" fillId="0" borderId="0" xfId="0" applyFont="1" applyNumberForma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75" fontId="1" fillId="0" borderId="0" xfId="0" applyFont="1" applyNumberFormat="1" applyAlignment="1">
      <alignment horizontal="center"/>
    </xf>
    <xf numFmtId="169" fontId="1" fillId="0" borderId="0" xfId="0" applyFont="1" applyNumberFormat="1" applyAlignment="1">
      <alignment horizontal="center"/>
    </xf>
    <xf numFmtId="169" fontId="22" fillId="0" borderId="0" xfId="0" applyFont="1" applyNumberFormat="1" applyAlignment="1">
      <alignment horizontal="center"/>
    </xf>
    <xf numFmtId="175" fontId="22" fillId="0" borderId="0" xfId="0" applyFont="1" applyNumberFormat="1" applyAlignment="1">
      <alignment horizontal="center"/>
    </xf>
    <xf numFmtId="0" fontId="8" fillId="0" borderId="0" xfId="0" applyFont="1"/>
    <xf numFmtId="2" fontId="1" fillId="18" borderId="0" xfId="0" applyFont="1" applyNumberFormat="1" applyFill="1"/>
    <xf numFmtId="0" fontId="8" fillId="25" borderId="0" xfId="0" applyFont="1" applyFill="1" applyAlignment="1">
      <alignment horizontal="center"/>
    </xf>
    <xf numFmtId="0" fontId="14" fillId="0" borderId="3" xfId="0" applyFont="1" applyBorder="1" applyAlignment="1">
      <alignment horizontal="left"/>
    </xf>
    <xf numFmtId="0" fontId="14" fillId="0" borderId="4" xfId="0" applyFont="1" applyBorder="1" applyAlignment="1">
      <alignment horizontal="left"/>
    </xf>
    <xf numFmtId="0" fontId="6" fillId="0" borderId="7" xfId="0" applyFont="1" applyBorder="1" applyAlignment="1">
      <alignment horizontal="center"/>
    </xf>
    <xf numFmtId="0" fontId="14" fillId="0" borderId="5"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35" xfId="0" applyFont="1" applyBorder="1" applyAlignment="1">
      <alignment horizontal="center"/>
    </xf>
    <xf numFmtId="0" fontId="14" fillId="0" borderId="36" xfId="0" applyFont="1" applyBorder="1" applyAlignment="1">
      <alignment horizontal="center"/>
    </xf>
    <xf numFmtId="0" fontId="14" fillId="0" borderId="16" xfId="0" applyFont="1" applyBorder="1" applyAlignment="1">
      <alignment horizontal="center"/>
    </xf>
    <xf numFmtId="0" fontId="14" fillId="7" borderId="35" xfId="0" applyFont="1" applyFill="1" applyBorder="1" applyAlignment="1">
      <alignment horizontal="center" wrapText="1"/>
    </xf>
    <xf numFmtId="0" fontId="14" fillId="7" borderId="36" xfId="0" applyFont="1" applyFill="1" applyBorder="1" applyAlignment="1">
      <alignment horizontal="center" wrapText="1"/>
    </xf>
    <xf numFmtId="0" fontId="14" fillId="7" borderId="16" xfId="0" applyFont="1" applyFill="1" applyBorder="1" applyAlignment="1">
      <alignment horizontal="center" wrapText="1"/>
    </xf>
    <xf numFmtId="166" fontId="20" fillId="26" borderId="6" xfId="0" applyFont="1" applyNumberFormat="1" applyFill="1" applyBorder="1" applyAlignment="1">
      <alignment horizontal="center" vertical="top" wrapText="1"/>
    </xf>
    <xf numFmtId="0" fontId="30" fillId="0" borderId="3" xfId="0" applyFont="1" applyBorder="1" applyAlignment="1">
      <alignment wrapText="1"/>
    </xf>
    <xf numFmtId="0" fontId="30" fillId="0" borderId="6" xfId="0" applyFont="1" applyBorder="1"/>
    <xf numFmtId="10" fontId="20" fillId="16" borderId="0" xfId="0" applyFont="1" applyNumberFormat="1" applyFill="1" applyAlignment="1">
      <alignment horizontal="center" vertical="top" wrapText="1"/>
    </xf>
    <xf numFmtId="1" fontId="3" fillId="0" borderId="0" xfId="0" applyFont="1" applyNumberFormat="1" applyAlignment="1">
      <alignment horizontal="center" vertical="top" wrapText="1"/>
    </xf>
    <xf numFmtId="166" fontId="3" fillId="8" borderId="1" xfId="0" applyFont="1" applyNumberFormat="1" applyFill="1" applyBorder="1" applyAlignment="1">
      <alignment horizontal="center" vertical="top" wrapText="1"/>
    </xf>
    <xf numFmtId="166" fontId="3" fillId="8" borderId="1" xfId="0" applyFont="1" applyNumberFormat="1" applyFill="1" applyBorder="1" applyAlignment="1">
      <alignment horizontal="center" vertical="center" wrapText="1"/>
    </xf>
    <xf numFmtId="1" fontId="3" fillId="8" borderId="0" xfId="0" applyFont="1" applyNumberFormat="1" applyFill="1" applyAlignment="1">
      <alignment horizontal="center" vertical="center" wrapText="1"/>
    </xf>
    <xf numFmtId="0" fontId="3" fillId="8" borderId="0" xfId="0" applyFont="1" applyFill="1" applyAlignment="1">
      <alignment horizontal="center" vertical="center"/>
    </xf>
    <xf numFmtId="1" fontId="3" fillId="8" borderId="0" xfId="0" applyFont="1" applyNumberFormat="1" applyFill="1" applyAlignment="1">
      <alignment horizontal="center" vertical="top" wrapText="1"/>
    </xf>
    <xf numFmtId="166" fontId="3" fillId="8" borderId="0" xfId="0" applyFont="1" applyNumberFormat="1" applyFill="1" applyAlignment="1">
      <alignment horizontal="center" vertical="center" wrapText="1"/>
    </xf>
    <xf numFmtId="166" fontId="3" fillId="8" borderId="3" xfId="0" applyFont="1" applyNumberFormat="1" applyFill="1" applyBorder="1" applyAlignment="1">
      <alignment horizontal="right" vertical="top" wrapText="1"/>
    </xf>
    <xf numFmtId="1" fontId="20" fillId="8" borderId="1" xfId="0" applyFont="1" applyNumberFormat="1" applyFill="1" applyBorder="1" applyAlignment="1">
      <alignment horizontal="center" vertical="top" wrapText="1"/>
    </xf>
    <xf numFmtId="166" fontId="3" fillId="8" borderId="45" xfId="0" applyFont="1" applyNumberFormat="1" applyFill="1" applyBorder="1" applyAlignment="1">
      <alignment horizontal="center" vertical="top" wrapText="1"/>
    </xf>
    <xf numFmtId="166" fontId="3" fillId="8" borderId="29" xfId="0" applyFont="1" applyNumberFormat="1" applyFill="1" applyBorder="1" applyAlignment="1">
      <alignment horizontal="center" vertical="top" wrapText="1"/>
    </xf>
    <xf numFmtId="166" fontId="3" fillId="8" borderId="0" xfId="0" applyFont="1" applyNumberFormat="1" applyFill="1" applyAlignment="1">
      <alignment horizontal="center" vertical="top" wrapText="1"/>
    </xf>
    <xf numFmtId="166" fontId="20" fillId="8" borderId="1" xfId="0" applyFont="1" applyNumberFormat="1" applyFill="1" applyBorder="1" applyAlignment="1">
      <alignment horizontal="center" vertical="top" wrapText="1"/>
    </xf>
    <xf numFmtId="166" fontId="20" fillId="8" borderId="0" xfId="0" applyFont="1" applyNumberFormat="1" applyFill="1" applyAlignment="1">
      <alignment horizontal="center" vertical="top" wrapText="1"/>
    </xf>
    <xf numFmtId="166" fontId="20" fillId="26" borderId="1" xfId="0" applyFont="1" applyNumberFormat="1" applyFill="1" applyBorder="1" applyAlignment="1">
      <alignment horizontal="center" vertical="top" wrapText="1"/>
    </xf>
    <xf numFmtId="166" fontId="3" fillId="7" borderId="1" xfId="0" applyFont="1" applyNumberFormat="1" applyFill="1" applyBorder="1" applyAlignment="1">
      <alignment horizontal="center" vertical="top" wrapText="1"/>
    </xf>
    <xf numFmtId="10" fontId="20" fillId="8" borderId="0" xfId="0" applyFont="1" applyNumberFormat="1" applyFill="1" applyAlignment="1">
      <alignment horizontal="center" vertical="top" wrapText="1"/>
    </xf>
    <xf numFmtId="0" fontId="30" fillId="0" borderId="0" xfId="0" applyFont="1"/>
    <xf numFmtId="0" fontId="30" fillId="20" borderId="1" xfId="0" applyFont="1" applyFill="1" applyBorder="1" applyAlignment="1">
      <alignment horizontal="left" indent="2"/>
    </xf>
    <xf numFmtId="0" fontId="3" fillId="20" borderId="1" xfId="0" applyFont="1" applyFill="1" applyBorder="1" applyAlignment="1">
      <alignment horizontal="left" vertical="top" indent="1" wrapText="1"/>
    </xf>
    <xf numFmtId="3" fontId="3" fillId="0" borderId="0" xfId="0" applyFont="1" applyNumberFormat="1"/>
    <xf numFmtId="0" fontId="3" fillId="8" borderId="2" xfId="0" applyFont="1" applyFill="1" applyBorder="1"/>
    <xf numFmtId="0" fontId="3" fillId="14" borderId="8" xfId="0" applyFont="1" applyFill="1" applyBorder="1"/>
    <xf numFmtId="164" fontId="3" fillId="14" borderId="7" xfId="0" applyFont="1" applyNumberFormat="1" applyFill="1" applyBorder="1" applyAlignment="1">
      <alignment horizontal="center"/>
    </xf>
    <xf numFmtId="0" fontId="3" fillId="14" borderId="7" xfId="0" applyFont="1" applyFill="1" applyBorder="1" applyAlignment="1">
      <alignment horizontal="center"/>
    </xf>
    <xf numFmtId="0" fontId="14" fillId="0" borderId="3" xfId="0" applyFont="1" applyBorder="1"/>
    <xf numFmtId="0" fontId="37" fillId="0" borderId="3" xfId="0" applyFont="1" applyBorder="1" applyAlignment="1">
      <alignment wrapText="1"/>
    </xf>
    <xf numFmtId="167" fontId="2" fillId="0" borderId="19" xfId="0" applyFont="1" applyNumberFormat="1" applyBorder="1" applyAlignment="1">
      <alignment horizontal="right"/>
    </xf>
    <xf numFmtId="176" fontId="37" fillId="0" borderId="37" xfId="0" applyFont="1" applyNumberFormat="1" applyBorder="1" applyAlignment="1">
      <alignment horizontal="center"/>
    </xf>
    <xf numFmtId="1" fontId="30" fillId="0" borderId="37" xfId="0" applyFont="1" applyNumberFormat="1" applyBorder="1" applyAlignment="1">
      <alignment horizontal="center"/>
    </xf>
    <xf numFmtId="1" fontId="30" fillId="0" borderId="7" xfId="0" applyFont="1" applyNumberFormat="1" applyBorder="1" applyAlignment="1">
      <alignment horizontal="center"/>
    </xf>
    <xf numFmtId="176" fontId="37" fillId="16" borderId="37" xfId="0" applyFont="1" applyNumberFormat="1" applyFill="1" applyBorder="1" applyAlignment="1">
      <alignment horizontal="center"/>
    </xf>
    <xf numFmtId="1" fontId="3" fillId="0" borderId="7" xfId="0" applyFont="1" applyNumberFormat="1" applyBorder="1" applyAlignment="1">
      <alignment horizontal="center" vertical="center"/>
    </xf>
    <xf numFmtId="169" fontId="3" fillId="0" borderId="37" xfId="0" applyFont="1" applyNumberFormat="1" applyBorder="1"/>
    <xf numFmtId="166" fontId="20" fillId="0" borderId="0" xfId="0" applyFont="1" applyNumberFormat="1"/>
    <xf numFmtId="1" fontId="3" fillId="8" borderId="5" xfId="0" applyFont="1" applyNumberFormat="1" applyFill="1" applyBorder="1" applyAlignment="1">
      <alignment horizontal="center"/>
    </xf>
    <xf numFmtId="1" fontId="3" fillId="8" borderId="37" xfId="0" applyFont="1" applyNumberFormat="1" applyFill="1" applyBorder="1" applyAlignment="1">
      <alignment horizontal="center"/>
    </xf>
    <xf numFmtId="1" fontId="3" fillId="0" borderId="7" xfId="0" applyFont="1" applyNumberFormat="1" applyBorder="1"/>
    <xf numFmtId="1" fontId="3" fillId="8" borderId="7" xfId="0" applyFont="1" applyNumberFormat="1" applyFill="1" applyBorder="1"/>
    <xf numFmtId="166" fontId="20" fillId="26" borderId="0" xfId="0" applyFont="1" applyNumberFormat="1" applyFill="1" applyAlignment="1">
      <alignment horizontal="center" vertical="top" wrapText="1"/>
    </xf>
    <xf numFmtId="1" fontId="3" fillId="17" borderId="0" xfId="0" applyFont="1" applyNumberFormat="1" applyFill="1" applyAlignment="1">
      <alignment horizontal="center" vertical="top" wrapText="1"/>
    </xf>
    <xf numFmtId="166" fontId="20" fillId="0" borderId="0" xfId="0" applyFont="1" applyNumberFormat="1" applyAlignment="1">
      <alignment horizontal="center" vertical="top" wrapText="1"/>
    </xf>
    <xf numFmtId="10" fontId="3" fillId="0" borderId="0" xfId="0" applyFont="1" applyNumberFormat="1"/>
    <xf numFmtId="0" fontId="3" fillId="0" borderId="6" xfId="0" applyFont="1" applyBorder="1" applyAlignment="1">
      <alignment horizontal="left" indent="1"/>
    </xf>
    <xf numFmtId="9" fontId="3" fillId="0" borderId="7" xfId="0" applyFont="1" applyNumberFormat="1" applyBorder="1"/>
    <xf numFmtId="2" fontId="3" fillId="0" borderId="7" xfId="0" applyFont="1" applyNumberFormat="1" applyBorder="1" applyAlignment="1">
      <alignment horizontal="center"/>
    </xf>
    <xf numFmtId="164" fontId="3" fillId="0" borderId="6" xfId="0" applyFont="1" applyNumberFormat="1" applyBorder="1" applyAlignment="1">
      <alignment horizontal="center"/>
    </xf>
    <xf numFmtId="164" fontId="3" fillId="0" borderId="7" xfId="0" applyFont="1" applyNumberFormat="1" applyBorder="1" applyAlignment="1">
      <alignment horizontal="center"/>
    </xf>
    <xf numFmtId="1" fontId="3" fillId="0" borderId="1" xfId="0" applyFont="1" applyNumberFormat="1" applyBorder="1" applyAlignment="1">
      <alignment horizontal="center"/>
    </xf>
    <xf numFmtId="0" fontId="3" fillId="0" borderId="5" xfId="0" applyFont="1" applyBorder="1" applyAlignment="1">
      <alignment horizontal="center"/>
    </xf>
    <xf numFmtId="0" fontId="30" fillId="0" borderId="1" xfId="0" applyFont="1" applyBorder="1" applyAlignment="1">
      <alignment wrapText="1"/>
    </xf>
    <xf numFmtId="164" fontId="3" fillId="7" borderId="2" xfId="0" applyFont="1" applyNumberFormat="1" applyFill="1" applyBorder="1" applyAlignment="1">
      <alignment horizontal="center"/>
    </xf>
    <xf numFmtId="164" fontId="3" fillId="7" borderId="7" xfId="0" applyFont="1" applyNumberFormat="1" applyFill="1" applyBorder="1" applyAlignment="1">
      <alignment horizontal="center"/>
    </xf>
    <xf numFmtId="1" fontId="3" fillId="0" borderId="7" xfId="0" applyFont="1" applyNumberFormat="1" applyBorder="1" applyAlignment="1">
      <alignment horizontal="center"/>
    </xf>
    <xf numFmtId="164" fontId="3" fillId="0" borderId="1" xfId="0" applyFont="1" applyNumberFormat="1" applyBorder="1" applyAlignment="1">
      <alignment horizontal="center"/>
    </xf>
    <xf numFmtId="0" fontId="20" fillId="0" borderId="0" xfId="0" applyFont="1" applyAlignment="1">
      <alignment horizontal="center" vertical="top" wrapText="1"/>
    </xf>
    <xf numFmtId="3" fontId="20" fillId="0" borderId="0" xfId="0" applyFont="1" applyNumberFormat="1" applyAlignment="1">
      <alignment horizontal="center" vertical="top" wrapText="1"/>
    </xf>
    <xf numFmtId="0" fontId="30" fillId="0" borderId="45" xfId="0" applyFont="1" applyBorder="1" applyAlignment="1">
      <alignment horizontal="left" indent="2"/>
    </xf>
    <xf numFmtId="167" fontId="3" fillId="0" borderId="29" xfId="0" applyFont="1" applyNumberFormat="1" applyBorder="1" applyAlignment="1">
      <alignment horizontal="center" vertical="top" wrapText="1"/>
    </xf>
    <xf numFmtId="0" fontId="3" fillId="0" borderId="3"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4" fontId="20" fillId="0" borderId="0" xfId="0" applyFont="1" applyNumberFormat="1"/>
    <xf numFmtId="0" fontId="20" fillId="0" borderId="6" xfId="0" applyFont="1" applyBorder="1" applyAlignment="1">
      <alignment horizontal="left" vertical="top" wrapText="1"/>
    </xf>
    <xf numFmtId="0" fontId="3" fillId="0" borderId="47" xfId="0" applyFont="1" applyBorder="1"/>
    <xf numFmtId="166" fontId="20" fillId="0" borderId="0" xfId="0" applyFont="1" applyNumberFormat="1" applyAlignment="1">
      <alignment horizontal="right" vertical="top" wrapText="1"/>
    </xf>
    <xf numFmtId="176" fontId="37" fillId="0" borderId="0" xfId="0" applyFont="1" applyNumberFormat="1" applyAlignment="1">
      <alignment horizontal="center"/>
    </xf>
    <xf numFmtId="1" fontId="3" fillId="0" borderId="37" xfId="0" applyFont="1" applyNumberFormat="1" applyBorder="1" applyAlignment="1">
      <alignment horizontal="center" vertical="center"/>
    </xf>
    <xf numFmtId="166" fontId="3" fillId="7" borderId="0" xfId="0" applyFont="1" applyNumberFormat="1" applyFill="1" applyAlignment="1">
      <alignment horizontal="center" vertical="top" wrapText="1"/>
    </xf>
    <xf numFmtId="1" fontId="20" fillId="8" borderId="0" xfId="0" applyFont="1" applyNumberFormat="1" applyFill="1" applyAlignment="1">
      <alignment horizontal="center" vertical="top" wrapText="1"/>
    </xf>
    <xf numFmtId="166" fontId="20" fillId="26" borderId="7" xfId="0" applyFont="1" applyNumberFormat="1" applyFill="1" applyBorder="1" applyAlignment="1">
      <alignment horizontal="center" vertical="top" wrapText="1"/>
    </xf>
    <xf numFmtId="166" fontId="20" fillId="16" borderId="0" xfId="0" applyFont="1" applyNumberFormat="1" applyFill="1" applyAlignment="1">
      <alignment horizontal="center" vertical="top" wrapText="1"/>
    </xf>
    <xf numFmtId="164" fontId="3" fillId="7" borderId="0" xfId="0" applyFont="1" applyNumberFormat="1" applyFill="1" applyAlignment="1">
      <alignment horizontal="center"/>
    </xf>
    <xf numFmtId="164" fontId="3" fillId="8" borderId="0" xfId="0" applyFont="1" applyNumberFormat="1" applyFill="1" applyAlignment="1">
      <alignment horizontal="center"/>
    </xf>
    <xf numFmtId="164" fontId="3" fillId="0" borderId="0" xfId="0" applyFont="1" applyNumberFormat="1" applyAlignment="1">
      <alignment horizontal="center"/>
    </xf>
    <xf numFmtId="164" fontId="3" fillId="26" borderId="8" xfId="0" applyFont="1" applyNumberFormat="1" applyFill="1" applyBorder="1" applyAlignment="1">
      <alignment horizontal="center"/>
    </xf>
    <xf numFmtId="166" fontId="3" fillId="8" borderId="37" xfId="0" applyFont="1" applyNumberFormat="1" applyFill="1" applyBorder="1" applyAlignment="1">
      <alignment horizontal="right" vertical="top" wrapText="1"/>
    </xf>
    <xf numFmtId="166" fontId="3" fillId="0" borderId="0" xfId="0" applyFont="1" applyNumberFormat="1" applyAlignment="1">
      <alignment horizontal="right" vertical="top" wrapText="1"/>
    </xf>
    <xf numFmtId="0" fontId="3" fillId="0" borderId="1" xfId="0" applyFont="1" applyBorder="1" applyAlignment="1">
      <alignment horizontal="left" indent="1"/>
    </xf>
    <xf numFmtId="1" fontId="37" fillId="0" borderId="0" xfId="0" applyFont="1" applyNumberFormat="1" applyAlignment="1">
      <alignment horizontal="center"/>
    </xf>
    <xf numFmtId="176" fontId="37" fillId="0" borderId="0" xfId="0" applyFont="1" applyNumberFormat="1"/>
    <xf numFmtId="1" fontId="14" fillId="0" borderId="0" xfId="0" applyFont="1" applyNumberFormat="1" applyAlignment="1">
      <alignment horizontal="center"/>
    </xf>
    <xf numFmtId="166" fontId="3" fillId="0" borderId="1" xfId="0" applyFont="1" applyNumberFormat="1" applyBorder="1" applyAlignment="1">
      <alignment horizontal="right" vertical="top" wrapText="1"/>
    </xf>
    <xf numFmtId="3" fontId="20" fillId="0" borderId="7" xfId="0" applyFont="1" applyNumberFormat="1" applyBorder="1" applyAlignment="1">
      <alignment horizontal="center" vertical="top" wrapText="1"/>
    </xf>
    <xf numFmtId="0" fontId="14" fillId="16" borderId="36" xfId="0" applyFont="1" applyFill="1" applyBorder="1" applyAlignment="1">
      <alignment horizontal="center"/>
    </xf>
    <xf numFmtId="0" fontId="14" fillId="16" borderId="16" xfId="0" applyFont="1" applyFill="1" applyBorder="1" applyAlignment="1">
      <alignment horizontal="center"/>
    </xf>
    <xf numFmtId="0" fontId="30" fillId="0" borderId="1" xfId="0" applyFont="1" applyBorder="1"/>
    <xf numFmtId="2" fontId="3" fillId="0" borderId="8" xfId="0" applyFont="1" applyNumberFormat="1" applyBorder="1" applyAlignment="1">
      <alignment horizontal="center"/>
    </xf>
    <xf numFmtId="176" fontId="37" fillId="8" borderId="16" xfId="0" applyFont="1" applyNumberFormat="1" applyFill="1" applyBorder="1" applyAlignment="1">
      <alignment horizontal="center"/>
    </xf>
    <xf numFmtId="1" fontId="3" fillId="0" borderId="5" xfId="0" applyFont="1" applyNumberFormat="1" applyBorder="1" applyAlignment="1">
      <alignment horizontal="center"/>
    </xf>
    <xf numFmtId="177" fontId="3" fillId="0" borderId="0" xfId="0" applyFont="1" applyNumberFormat="1" applyAlignment="1">
      <alignment horizontal="center"/>
    </xf>
    <xf numFmtId="176" fontId="37" fillId="0" borderId="36" xfId="0" applyFont="1" applyNumberFormat="1" applyBorder="1" applyAlignment="1">
      <alignment horizontal="center"/>
    </xf>
    <xf numFmtId="3" fontId="3" fillId="0" borderId="9" xfId="0" applyFont="1" applyNumberFormat="1" applyBorder="1" applyAlignment="1">
      <alignment horizontal="center"/>
    </xf>
    <xf numFmtId="176" fontId="37" fillId="8" borderId="36" xfId="0" applyFont="1" applyNumberFormat="1" applyFill="1" applyBorder="1" applyAlignment="1">
      <alignment horizontal="center"/>
    </xf>
    <xf numFmtId="0" fontId="14" fillId="0" borderId="41" xfId="0" applyFont="1" applyBorder="1" applyAlignment="1">
      <alignment wrapText="1"/>
    </xf>
    <xf numFmtId="1" fontId="3" fillId="0" borderId="8" xfId="0" applyFont="1" applyNumberFormat="1" applyBorder="1" applyAlignment="1">
      <alignment horizontal="center"/>
    </xf>
    <xf numFmtId="0" fontId="40" fillId="0" borderId="0" xfId="0" applyFont="1"/>
    <xf numFmtId="3" fontId="3" fillId="0" borderId="4" xfId="0" applyFont="1" applyNumberFormat="1" applyBorder="1" applyAlignment="1">
      <alignment horizontal="center" vertical="top" wrapText="1"/>
    </xf>
    <xf numFmtId="9" fontId="1" fillId="0" borderId="0" xfId="0" applyFont="1" applyNumberFormat="1"/>
    <xf numFmtId="0" fontId="21" fillId="0" borderId="0" xfId="0" applyFont="1" applyAlignment="1">
      <alignment horizontal="left" vertical="top" wrapText="1"/>
    </xf>
    <xf numFmtId="166" fontId="3" fillId="8" borderId="0" xfId="0" applyFont="1" applyNumberFormat="1" applyFill="1" applyAlignment="1">
      <alignment horizontal="right" vertical="top" wrapText="1"/>
    </xf>
    <xf numFmtId="176" fontId="30" fillId="0" borderId="0" xfId="0" applyFont="1" applyNumberFormat="1" applyAlignment="1">
      <alignment horizontal="center"/>
    </xf>
    <xf numFmtId="2" fontId="3" fillId="0" borderId="5" xfId="0" applyFont="1" applyNumberFormat="1" applyBorder="1" applyAlignment="1">
      <alignment horizontal="center"/>
    </xf>
    <xf numFmtId="1" fontId="3" fillId="0" borderId="9" xfId="0" applyFont="1" applyNumberFormat="1" applyBorder="1" applyAlignment="1">
      <alignment horizontal="center"/>
    </xf>
    <xf numFmtId="37" fontId="3" fillId="0" borderId="0" xfId="0" applyFont="1" applyNumberFormat="1" applyAlignment="1">
      <alignment horizontal="center" wrapText="1"/>
    </xf>
    <xf numFmtId="1" fontId="30" fillId="0" borderId="0" xfId="0" applyFont="1" applyNumberFormat="1" applyAlignment="1">
      <alignment horizontal="center"/>
    </xf>
    <xf numFmtId="178" fontId="3" fillId="0" borderId="0" xfId="0" applyFont="1" applyNumberFormat="1" applyAlignment="1">
      <alignment horizontal="center"/>
    </xf>
    <xf numFmtId="176" fontId="37" fillId="8" borderId="37" xfId="0" applyFont="1" applyNumberFormat="1" applyFill="1" applyBorder="1" applyAlignment="1">
      <alignment horizontal="center"/>
    </xf>
    <xf numFmtId="0" fontId="14" fillId="16" borderId="37" xfId="0" applyFont="1" applyFill="1" applyBorder="1" applyAlignment="1">
      <alignment horizontal="center"/>
    </xf>
    <xf numFmtId="176" fontId="30" fillId="0" borderId="37" xfId="0" applyFont="1" applyNumberFormat="1" applyBorder="1" applyAlignment="1">
      <alignment horizontal="center"/>
    </xf>
    <xf numFmtId="176" fontId="30" fillId="0" borderId="7" xfId="0" applyFont="1" applyNumberFormat="1" applyBorder="1" applyAlignment="1">
      <alignment horizontal="center"/>
    </xf>
    <xf numFmtId="0" fontId="30" fillId="0" borderId="3" xfId="0" applyFont="1" applyBorder="1" applyAlignment="1">
      <alignment horizontal="left" indent="1"/>
    </xf>
    <xf numFmtId="164" fontId="3" fillId="0" borderId="37" xfId="0" applyFont="1" applyNumberFormat="1" applyBorder="1" applyAlignment="1">
      <alignment horizontal="center"/>
    </xf>
    <xf numFmtId="164" fontId="3" fillId="0" borderId="5" xfId="0" applyFont="1" applyNumberFormat="1" applyBorder="1" applyAlignment="1">
      <alignment vertical="center" wrapText="1"/>
    </xf>
    <xf numFmtId="164" fontId="3" fillId="0" borderId="9" xfId="0" applyFont="1" applyNumberFormat="1" applyBorder="1" applyAlignment="1">
      <alignment vertical="center" wrapText="1"/>
    </xf>
    <xf numFmtId="164" fontId="3" fillId="0" borderId="8" xfId="0" applyFont="1" applyNumberFormat="1" applyBorder="1" applyAlignment="1">
      <alignment vertical="center" wrapText="1"/>
    </xf>
    <xf numFmtId="1" fontId="3" fillId="0" borderId="0" xfId="0" applyFont="1" applyNumberFormat="1" applyAlignment="1">
      <alignment horizontal="center" vertical="center"/>
    </xf>
    <xf numFmtId="0" fontId="14" fillId="0" borderId="15" xfId="0" applyFont="1" applyBorder="1" applyAlignment="1">
      <alignment horizontal="left" indent="1"/>
    </xf>
    <xf numFmtId="2" fontId="3" fillId="0" borderId="37" xfId="0" applyFont="1" applyNumberFormat="1" applyBorder="1" applyAlignment="1">
      <alignment horizontal="center"/>
    </xf>
    <xf numFmtId="9" fontId="3" fillId="0" borderId="0" xfId="0" applyFont="1" applyNumberFormat="1"/>
    <xf numFmtId="176" fontId="30" fillId="0" borderId="3" xfId="0" applyFont="1" applyNumberFormat="1" applyBorder="1" applyAlignment="1">
      <alignment horizontal="center"/>
    </xf>
    <xf numFmtId="176" fontId="30" fillId="0" borderId="1" xfId="0" applyFont="1" applyNumberFormat="1" applyBorder="1" applyAlignment="1">
      <alignment horizontal="center"/>
    </xf>
    <xf numFmtId="176" fontId="30" fillId="0" borderId="9" xfId="0" applyFont="1" applyNumberFormat="1" applyBorder="1" applyAlignment="1">
      <alignment horizontal="center"/>
    </xf>
    <xf numFmtId="0" fontId="30" fillId="0" borderId="1" xfId="0" applyFont="1" applyBorder="1" applyAlignment="1">
      <alignment horizontal="left" indent="1"/>
    </xf>
    <xf numFmtId="0" fontId="30" fillId="0" borderId="6" xfId="0" applyFont="1" applyBorder="1" applyAlignment="1">
      <alignment horizontal="left" indent="1"/>
    </xf>
    <xf numFmtId="164" fontId="3" fillId="0" borderId="0" xfId="0" applyFont="1" applyNumberFormat="1" applyAlignment="1">
      <alignment vertical="center" wrapText="1"/>
    </xf>
    <xf numFmtId="0" fontId="3" fillId="0" borderId="1" xfId="0" applyFont="1" applyBorder="1" applyAlignment="1">
      <alignment horizontal="left" indent="4"/>
    </xf>
    <xf numFmtId="0" fontId="14" fillId="3" borderId="0" xfId="0" applyFont="1" applyFill="1" applyAlignment="1">
      <alignment horizontal="left"/>
    </xf>
    <xf numFmtId="0" fontId="14" fillId="3" borderId="0" xfId="0" applyFont="1" applyFill="1"/>
    <xf numFmtId="166" fontId="20" fillId="0" borderId="1" xfId="0" applyFont="1" applyNumberForma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6" fontId="30" fillId="0" borderId="8" xfId="0" applyFont="1" applyNumberFormat="1" applyBorder="1" applyAlignment="1">
      <alignment horizontal="center"/>
    </xf>
    <xf numFmtId="10" fontId="20" fillId="0" borderId="0" xfId="0" applyFont="1" applyNumberFormat="1" applyAlignment="1">
      <alignment horizontal="center" vertical="top" wrapText="1"/>
    </xf>
    <xf numFmtId="0" fontId="37" fillId="0" borderId="3" xfId="0" applyFont="1" applyBorder="1" applyAlignment="1">
      <alignment horizontal="left"/>
    </xf>
    <xf numFmtId="1" fontId="3" fillId="8" borderId="29" xfId="0" applyFont="1" applyNumberFormat="1" applyFill="1" applyBorder="1" applyAlignment="1">
      <alignment horizontal="center" vertical="top" wrapText="1"/>
    </xf>
    <xf numFmtId="166" fontId="3" fillId="0" borderId="4" xfId="0" applyFont="1" applyNumberFormat="1" applyBorder="1" applyAlignment="1">
      <alignment horizontal="right" vertical="top" wrapText="1"/>
    </xf>
    <xf numFmtId="166" fontId="3" fillId="8" borderId="4" xfId="0" applyFont="1" applyNumberFormat="1" applyFill="1" applyBorder="1" applyAlignment="1">
      <alignment horizontal="right" vertical="top" wrapText="1"/>
    </xf>
    <xf numFmtId="0" fontId="21" fillId="0" borderId="0" xfId="0" applyFont="1" applyAlignment="1">
      <alignment horizontal="center" vertical="top" wrapText="1"/>
    </xf>
    <xf numFmtId="0" fontId="14" fillId="0" borderId="3" xfId="0" applyFont="1" applyBorder="1" applyAlignment="1">
      <alignment horizontal="left" vertical="top" wrapText="1"/>
    </xf>
    <xf numFmtId="166" fontId="41" fillId="8" borderId="7" xfId="0" applyFont="1" applyNumberFormat="1" applyFill="1" applyBorder="1" applyAlignment="1">
      <alignment horizontal="center"/>
    </xf>
    <xf numFmtId="166" fontId="20" fillId="26" borderId="8" xfId="0" applyFont="1" applyNumberFormat="1" applyFill="1" applyBorder="1" applyAlignment="1">
      <alignment horizontal="center" vertical="top" wrapText="1"/>
    </xf>
    <xf numFmtId="1" fontId="3" fillId="0" borderId="4" xfId="0" applyFont="1" applyNumberFormat="1" applyBorder="1" applyAlignment="1">
      <alignment horizontal="center"/>
    </xf>
    <xf numFmtId="164" fontId="3" fillId="7" borderId="8" xfId="0" applyFont="1" applyNumberForma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4" fontId="3" fillId="14" borderId="0" xfId="0" applyFont="1" applyNumberForma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6" xfId="0" applyFont="1" applyFill="1" applyBorder="1" applyAlignment="1">
      <alignment horizontal="left" indent="2"/>
    </xf>
    <xf numFmtId="3" fontId="3" fillId="0" borderId="2" xfId="0" applyFont="1" applyNumberFormat="1" applyBorder="1"/>
    <xf numFmtId="169" fontId="3" fillId="9" borderId="8" xfId="0" applyFont="1" applyNumberFormat="1" applyFill="1" applyBorder="1"/>
    <xf numFmtId="3" fontId="3" fillId="0" borderId="3" xfId="0" applyFont="1" applyNumberFormat="1" applyBorder="1"/>
    <xf numFmtId="1" fontId="3" fillId="8" borderId="4" xfId="0" applyFont="1" applyNumberFormat="1" applyFill="1" applyBorder="1"/>
    <xf numFmtId="1" fontId="3" fillId="0" borderId="37" xfId="0" applyFont="1" applyNumberFormat="1" applyBorder="1"/>
    <xf numFmtId="166" fontId="3" fillId="0" borderId="5" xfId="0" applyFont="1" applyNumberFormat="1" applyBorder="1"/>
    <xf numFmtId="166" fontId="3" fillId="8" borderId="8" xfId="0" applyFont="1" applyNumberFormat="1" applyFill="1" applyBorder="1" applyAlignment="1">
      <alignment horizontal="center"/>
    </xf>
    <xf numFmtId="166" fontId="20" fillId="8" borderId="2" xfId="0" applyFont="1" applyNumberFormat="1" applyFill="1" applyBorder="1" applyAlignment="1">
      <alignment horizontal="center"/>
    </xf>
    <xf numFmtId="0" fontId="14" fillId="7" borderId="10" xfId="0" applyFont="1" applyFill="1" applyBorder="1" applyAlignment="1">
      <alignment horizontal="centerContinuous"/>
    </xf>
    <xf numFmtId="0" fontId="14" fillId="7" borderId="11" xfId="0" applyFont="1" applyFill="1" applyBorder="1" applyAlignment="1">
      <alignment horizontal="centerContinuous"/>
    </xf>
    <xf numFmtId="166" fontId="3" fillId="8" borderId="2" xfId="0" applyFont="1" applyNumberFormat="1" applyFill="1" applyBorder="1" applyAlignment="1">
      <alignment horizontal="center"/>
    </xf>
    <xf numFmtId="0" fontId="3" fillId="8" borderId="3" xfId="0" applyFont="1" applyFill="1" applyBorder="1"/>
    <xf numFmtId="0" fontId="3" fillId="0" borderId="0" xfId="0" applyFont="1" applyAlignment="1">
      <alignment horizontal="right"/>
    </xf>
    <xf numFmtId="166" fontId="3" fillId="9" borderId="0" xfId="0" applyFont="1" applyNumberFormat="1" applyFill="1" applyAlignment="1">
      <alignment horizontal="center"/>
    </xf>
    <xf numFmtId="166" fontId="3" fillId="27" borderId="0" xfId="0" applyFont="1" applyNumberFormat="1" applyFill="1" applyAlignment="1">
      <alignment horizontal="center"/>
    </xf>
    <xf numFmtId="166" fontId="20" fillId="28" borderId="0" xfId="0" applyFont="1" applyNumberForma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4" fillId="0" borderId="48" xfId="0" applyFont="1" applyBorder="1" applyAlignment="1">
      <alignment horizontal="left"/>
    </xf>
    <xf numFmtId="166" fontId="14" fillId="8" borderId="2" xfId="0" applyFont="1" applyNumberFormat="1" applyFill="1" applyBorder="1" applyAlignment="1">
      <alignment horizontal="center"/>
    </xf>
    <xf numFmtId="3" fontId="3" fillId="0" borderId="4" xfId="0" applyFont="1" applyNumberFormat="1" applyBorder="1"/>
    <xf numFmtId="3" fontId="3" fillId="0" borderId="5" xfId="0" applyFont="1" applyNumberFormat="1" applyBorder="1"/>
    <xf numFmtId="3" fontId="3" fillId="0" borderId="1" xfId="0" applyFont="1" applyNumberFormat="1" applyBorder="1"/>
    <xf numFmtId="0" fontId="3" fillId="0" borderId="13" xfId="0" applyFont="1" applyBorder="1" applyAlignment="1">
      <alignment horizontal="left" indent="8" wrapText="1"/>
    </xf>
    <xf numFmtId="0" fontId="14" fillId="0" borderId="36" xfId="0" applyFont="1" applyBorder="1"/>
    <xf numFmtId="0" fontId="14" fillId="0" borderId="16" xfId="0" applyFont="1" applyBorder="1"/>
    <xf numFmtId="169" fontId="3" fillId="9" borderId="7" xfId="0" applyFont="1" applyNumberFormat="1" applyFill="1" applyBorder="1"/>
    <xf numFmtId="4" fontId="3" fillId="0" borderId="0" xfId="0" applyFont="1" applyNumberFormat="1"/>
    <xf numFmtId="0" fontId="1" fillId="0" borderId="1" xfId="0" applyFont="1" applyBorder="1" applyAlignment="1">
      <alignment horizontal="left"/>
    </xf>
    <xf numFmtId="0" fontId="1" fillId="0" borderId="1" xfId="0" applyFont="1" applyBorder="1" applyAlignment="1">
      <alignment horizontal="left" indent="1"/>
    </xf>
    <xf numFmtId="0" fontId="1" fillId="0" borderId="2" xfId="0" applyFont="1" applyBorder="1" applyAlignment="1">
      <alignment horizontal="left" indent="1"/>
    </xf>
    <xf numFmtId="0" fontId="1" fillId="0" borderId="6" xfId="0" applyFont="1" applyBorder="1" applyAlignment="1">
      <alignment horizontal="left"/>
    </xf>
    <xf numFmtId="0" fontId="1" fillId="0" borderId="3" xfId="0" applyFont="1" applyBorder="1" applyAlignment="1">
      <alignment horizontal="left"/>
    </xf>
    <xf numFmtId="164" fontId="3" fillId="0" borderId="8" xfId="0" applyFont="1" applyNumberFormat="1" applyBorder="1" applyAlignment="1">
      <alignment horizontal="center"/>
    </xf>
    <xf numFmtId="0" fontId="3" fillId="8" borderId="13" xfId="0" applyFont="1" applyFill="1" applyBorder="1" applyAlignment="1">
      <alignment horizontal="center" wrapText="1"/>
    </xf>
    <xf numFmtId="0" fontId="3" fillId="7" borderId="41" xfId="0" applyFont="1" applyFill="1" applyBorder="1" applyAlignment="1">
      <alignment horizontal="center" wrapText="1"/>
    </xf>
    <xf numFmtId="0" fontId="3" fillId="7" borderId="16" xfId="0" applyFont="1" applyFill="1" applyBorder="1" applyAlignment="1">
      <alignment horizontal="center" wrapText="1"/>
    </xf>
    <xf numFmtId="14" fontId="3" fillId="7" borderId="15" xfId="0" applyFont="1" applyNumberFormat="1" applyFill="1" applyBorder="1" applyAlignment="1">
      <alignment horizontal="right"/>
    </xf>
    <xf numFmtId="3" fontId="3" fillId="0" borderId="3" xfId="0" applyFont="1" applyNumberFormat="1" applyBorder="1" applyAlignment="1">
      <alignment horizontal="center"/>
    </xf>
    <xf numFmtId="3" fontId="3" fillId="0" borderId="0" xfId="0" applyFont="1" applyNumberFormat="1" applyAlignment="1">
      <alignment wrapText="1"/>
    </xf>
    <xf numFmtId="0" fontId="42" fillId="0" borderId="0" xfId="0" applyFont="1"/>
    <xf numFmtId="164" fontId="3" fillId="0" borderId="0" xfId="0" applyFont="1" applyNumberFormat="1" applyAlignment="1">
      <alignment horizontal="left"/>
    </xf>
    <xf numFmtId="14" fontId="3" fillId="0" borderId="0" xfId="0" applyFont="1" applyNumberFormat="1" applyAlignment="1">
      <alignment horizontal="center"/>
    </xf>
    <xf numFmtId="14" fontId="3" fillId="7" borderId="14" xfId="0" applyFont="1" applyNumberFormat="1" applyFill="1" applyBorder="1" applyAlignment="1">
      <alignment horizontal="right"/>
    </xf>
    <xf numFmtId="14" fontId="3" fillId="7" borderId="13" xfId="0" applyFont="1" applyNumberForma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4" fillId="7" borderId="6" xfId="0" applyFont="1" applyFill="1" applyBorder="1" applyAlignment="1">
      <alignment horizontal="center" wrapText="1"/>
    </xf>
    <xf numFmtId="0" fontId="14" fillId="7" borderId="7" xfId="0" applyFont="1" applyFill="1" applyBorder="1" applyAlignment="1">
      <alignment horizontal="center" wrapText="1"/>
    </xf>
    <xf numFmtId="3" fontId="3" fillId="0" borderId="4" xfId="0" applyFont="1" applyNumberFormat="1" applyBorder="1" applyAlignment="1">
      <alignment horizontal="center"/>
    </xf>
    <xf numFmtId="2" fontId="3" fillId="0" borderId="1" xfId="0" applyFont="1" applyNumberFormat="1" applyBorder="1" applyAlignment="1">
      <alignment horizontal="center"/>
    </xf>
    <xf numFmtId="2" fontId="3" fillId="0" borderId="6" xfId="0" applyFont="1" applyNumberFormat="1" applyBorder="1" applyAlignment="1">
      <alignment horizontal="center"/>
    </xf>
    <xf numFmtId="2" fontId="3" fillId="0" borderId="0" xfId="0" applyFont="1" applyNumberFormat="1"/>
    <xf numFmtId="0" fontId="3" fillId="8" borderId="15" xfId="0" applyFont="1" applyFill="1" applyBorder="1"/>
    <xf numFmtId="3" fontId="3" fillId="0" borderId="1" xfId="0" applyFont="1" applyNumberFormat="1" applyBorder="1" applyAlignment="1">
      <alignment horizontal="center"/>
    </xf>
    <xf numFmtId="0" fontId="1" fillId="7" borderId="14" xfId="0" applyFont="1" applyFill="1" applyBorder="1" applyAlignment="1">
      <alignment horizontal="center" wrapText="1"/>
    </xf>
    <xf numFmtId="0" fontId="1" fillId="7" borderId="1" xfId="0" applyFont="1" applyFill="1" applyBorder="1" applyAlignment="1">
      <alignment horizontal="center" wrapText="1"/>
    </xf>
    <xf numFmtId="0" fontId="1" fillId="7" borderId="2" xfId="0" applyFont="1" applyFill="1" applyBorder="1" applyAlignment="1">
      <alignment horizontal="center"/>
    </xf>
    <xf numFmtId="167" fontId="1" fillId="9" borderId="8" xfId="0" applyFont="1" applyNumberFormat="1" applyFill="1" applyBorder="1" applyAlignment="1">
      <alignment horizontal="center"/>
    </xf>
    <xf numFmtId="0" fontId="4" fillId="0" borderId="3" xfId="0" applyFont="1" applyBorder="1" applyAlignment="1">
      <alignment horizontal="left" indent="2" wrapText="1"/>
    </xf>
    <xf numFmtId="0" fontId="1" fillId="7" borderId="7" xfId="0" applyFont="1" applyFill="1" applyBorder="1" applyAlignment="1">
      <alignment horizontal="center"/>
    </xf>
    <xf numFmtId="167" fontId="1" fillId="0" borderId="37" xfId="0" applyFont="1" applyNumberFormat="1" applyBorder="1" applyAlignment="1">
      <alignment horizontal="center"/>
    </xf>
    <xf numFmtId="167" fontId="1" fillId="7" borderId="5" xfId="0" applyFont="1" applyNumberFormat="1" applyFill="1" applyBorder="1" applyAlignment="1">
      <alignment horizontal="center"/>
    </xf>
    <xf numFmtId="167" fontId="1" fillId="0" borderId="0" xfId="0" applyFont="1" applyNumberFormat="1" applyAlignment="1">
      <alignment horizontal="center"/>
    </xf>
    <xf numFmtId="0" fontId="1" fillId="3" borderId="12" xfId="0" applyFont="1" applyFill="1" applyBorder="1" applyAlignment="1">
      <alignment wrapText="1"/>
    </xf>
    <xf numFmtId="0" fontId="1" fillId="9" borderId="8" xfId="0" applyFont="1" applyFill="1" applyBorder="1" applyAlignment="1">
      <alignment horizontal="center"/>
    </xf>
    <xf numFmtId="167" fontId="1" fillId="7" borderId="0" xfId="0" applyFont="1" applyNumberFormat="1" applyFill="1" applyAlignment="1">
      <alignment horizontal="center"/>
    </xf>
    <xf numFmtId="167" fontId="1" fillId="7" borderId="37" xfId="0" applyFont="1" applyNumberFormat="1" applyFill="1" applyBorder="1" applyAlignment="1">
      <alignment horizontal="center"/>
    </xf>
    <xf numFmtId="0" fontId="1" fillId="0" borderId="3" xfId="0" applyFont="1" applyBorder="1" applyAlignment="1">
      <alignment horizontal="left" indent="2" wrapText="1"/>
    </xf>
    <xf numFmtId="0" fontId="1" fillId="0" borderId="37" xfId="0" applyFont="1" applyBorder="1" applyAlignment="1">
      <alignment horizontal="left" indent="2" wrapText="1"/>
    </xf>
    <xf numFmtId="167" fontId="1" fillId="7" borderId="2" xfId="0" applyFont="1" applyNumberForma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indent="2"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5" xfId="0" applyFont="1" applyFill="1" applyBorder="1" applyAlignment="1">
      <alignment horizontal="center" wrapText="1"/>
    </xf>
    <xf numFmtId="0" fontId="1" fillId="3" borderId="16" xfId="0" applyFont="1" applyFill="1" applyBorder="1" applyAlignment="1">
      <alignment wrapText="1"/>
    </xf>
    <xf numFmtId="0" fontId="1" fillId="0" borderId="7" xfId="0" applyFont="1" applyBorder="1" applyAlignment="1">
      <alignment horizontal="left" indent="2"/>
    </xf>
    <xf numFmtId="0" fontId="1" fillId="0" borderId="4" xfId="0" applyFont="1" applyBorder="1" applyAlignment="1">
      <alignment horizontal="left" indent="2"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4"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4" xfId="0" applyFont="1" applyFill="1" applyBorder="1" applyAlignment="1">
      <alignment horizontal="center"/>
    </xf>
    <xf numFmtId="0" fontId="1" fillId="7" borderId="3" xfId="0" applyFont="1" applyFill="1" applyBorder="1" applyAlignment="1">
      <alignment horizontal="center" wrapText="1"/>
    </xf>
    <xf numFmtId="0" fontId="1" fillId="7" borderId="4" xfId="0" applyFont="1" applyFill="1" applyBorder="1" applyAlignment="1">
      <alignment horizontal="center" wrapText="1"/>
    </xf>
    <xf numFmtId="0" fontId="1" fillId="7" borderId="5" xfId="0" applyFont="1" applyFill="1" applyBorder="1" applyAlignment="1">
      <alignment horizontal="center" wrapText="1"/>
    </xf>
    <xf numFmtId="0" fontId="43" fillId="7" borderId="3" xfId="0" applyFont="1" applyFill="1" applyBorder="1" applyAlignment="1">
      <alignment horizontal="center"/>
    </xf>
    <xf numFmtId="0" fontId="43" fillId="7" borderId="4" xfId="0" applyFont="1" applyFill="1" applyBorder="1" applyAlignment="1">
      <alignment horizontal="center"/>
    </xf>
    <xf numFmtId="0" fontId="43" fillId="7" borderId="5" xfId="0" applyFont="1" applyFill="1" applyBorder="1" applyAlignment="1">
      <alignment horizontal="center"/>
    </xf>
    <xf numFmtId="0" fontId="1" fillId="7" borderId="37" xfId="0" applyFont="1" applyFill="1" applyBorder="1" applyAlignment="1">
      <alignment horizontal="center"/>
    </xf>
    <xf numFmtId="0" fontId="1" fillId="7" borderId="5" xfId="0" applyFont="1" applyFill="1" applyBorder="1" applyAlignment="1">
      <alignment horizontal="center"/>
    </xf>
    <xf numFmtId="0" fontId="20" fillId="8" borderId="8" xfId="0" applyFont="1" applyFill="1" applyBorder="1" applyAlignment="1">
      <alignment horizontal="center"/>
    </xf>
    <xf numFmtId="0" fontId="1" fillId="0" borderId="13" xfId="0" applyFont="1" applyBorder="1" applyAlignment="1">
      <alignment horizontal="left"/>
    </xf>
    <xf numFmtId="0" fontId="1" fillId="7" borderId="6" xfId="0" applyFont="1" applyFill="1" applyBorder="1" applyAlignment="1">
      <alignment horizontal="center"/>
    </xf>
    <xf numFmtId="167" fontId="1" fillId="0" borderId="7" xfId="0" applyFont="1" applyNumberFormat="1" applyBorder="1" applyAlignment="1">
      <alignment horizontal="center"/>
    </xf>
    <xf numFmtId="167" fontId="1" fillId="0" borderId="8" xfId="0" applyFont="1" applyNumberFormat="1" applyBorder="1" applyAlignment="1">
      <alignment horizontal="center"/>
    </xf>
    <xf numFmtId="0" fontId="20" fillId="8" borderId="2"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3" fillId="8" borderId="14" xfId="0" applyFont="1" applyFill="1" applyBorder="1" applyAlignment="1">
      <alignment horizontal="center"/>
    </xf>
    <xf numFmtId="0" fontId="20" fillId="7" borderId="2" xfId="0" applyFont="1" applyFill="1" applyBorder="1" applyAlignment="1">
      <alignment horizontal="center"/>
    </xf>
    <xf numFmtId="0" fontId="1" fillId="0" borderId="1" xfId="0" applyFont="1" applyBorder="1" applyAlignment="1">
      <alignment horizontal="center"/>
    </xf>
    <xf numFmtId="0" fontId="20" fillId="8" borderId="7" xfId="0" applyFont="1" applyFill="1" applyBorder="1" applyAlignment="1">
      <alignment horizontal="center"/>
    </xf>
    <xf numFmtId="0" fontId="1" fillId="7" borderId="15" xfId="0" applyFont="1" applyFill="1" applyBorder="1" applyAlignment="1">
      <alignment horizontal="center"/>
    </xf>
    <xf numFmtId="0" fontId="1" fillId="7" borderId="13" xfId="0" applyFont="1" applyFill="1" applyBorder="1" applyAlignment="1">
      <alignment horizontal="center"/>
    </xf>
    <xf numFmtId="0" fontId="3" fillId="0" borderId="7"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7" fontId="3" fillId="0" borderId="0" xfId="0" applyFont="1" applyNumberFormat="1" applyAlignment="1">
      <alignment horizontal="right"/>
    </xf>
    <xf numFmtId="3" fontId="3" fillId="0" borderId="7" xfId="0" applyFont="1" applyNumberFormat="1" applyBorder="1"/>
    <xf numFmtId="1" fontId="3" fillId="0" borderId="0" xfId="0" applyFont="1" applyNumberForma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4" xfId="0" applyFont="1" applyNumberFormat="1" applyBorder="1" applyAlignment="1">
      <alignment horizontal="right"/>
    </xf>
    <xf numFmtId="3" fontId="3" fillId="0" borderId="7" xfId="0" applyFont="1" applyNumberFormat="1" applyBorder="1" applyAlignment="1">
      <alignment horizontal="right"/>
    </xf>
    <xf numFmtId="0" fontId="3" fillId="0" borderId="0" xfId="0" applyFont="1" applyAlignment="1">
      <alignment horizontal="left" vertical="center" wrapText="1"/>
    </xf>
    <xf numFmtId="3" fontId="14" fillId="0" borderId="0" xfId="0" applyFont="1" applyNumberFormat="1" applyAlignment="1">
      <alignment horizontal="left" wrapText="1"/>
    </xf>
    <xf numFmtId="3" fontId="14" fillId="0" borderId="0" xfId="0" applyFont="1" applyNumberFormat="1" applyAlignment="1">
      <alignment horizontal="left"/>
    </xf>
    <xf numFmtId="0" fontId="3" fillId="0" borderId="0" xfId="0" applyFont="1" applyAlignment="1">
      <alignment vertical="center" wrapText="1"/>
    </xf>
    <xf numFmtId="0" fontId="3" fillId="9" borderId="0" xfId="0" applyFont="1" applyFill="1" applyAlignment="1">
      <alignment horizontal="left" vertical="top" wrapText="1"/>
    </xf>
    <xf numFmtId="0" fontId="45" fillId="0" borderId="0" xfId="0" applyFont="1" applyAlignment="1">
      <alignment horizontal="left"/>
    </xf>
    <xf numFmtId="0" fontId="45" fillId="0" borderId="0" xfId="0" applyFont="1" applyAlignment="1">
      <alignment horizontal="center" wrapText="1"/>
    </xf>
    <xf numFmtId="1" fontId="46" fillId="0" borderId="49" xfId="0" applyFont="1" applyNumberForma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Font="1" applyNumberForma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36" xfId="0" applyFont="1" applyBorder="1" applyAlignment="1">
      <alignment horizontal="left" vertical="top"/>
    </xf>
    <xf numFmtId="0" fontId="46" fillId="0" borderId="36" xfId="0" applyFont="1" applyBorder="1" applyAlignment="1">
      <alignment horizontal="center" vertical="top" wrapText="1"/>
    </xf>
    <xf numFmtId="1" fontId="46" fillId="3" borderId="36" xfId="0" applyFont="1" applyNumberFormat="1" applyFill="1" applyBorder="1" applyAlignment="1">
      <alignment horizontal="center" vertical="top"/>
    </xf>
    <xf numFmtId="3" fontId="46" fillId="3" borderId="36" xfId="0" applyFont="1" applyNumberFormat="1" applyFill="1" applyBorder="1" applyAlignment="1">
      <alignment horizontal="center" vertical="top"/>
    </xf>
    <xf numFmtId="0" fontId="45" fillId="3" borderId="36" xfId="0" applyFont="1" applyFill="1" applyBorder="1" applyAlignment="1">
      <alignment horizontal="center" vertical="top"/>
    </xf>
    <xf numFmtId="0" fontId="45" fillId="0" borderId="36" xfId="0" applyFont="1" applyBorder="1" applyAlignment="1">
      <alignment horizontal="left" vertical="top" wrapText="1"/>
    </xf>
    <xf numFmtId="0" fontId="46" fillId="0" borderId="4" xfId="0" applyFont="1" applyBorder="1" applyAlignment="1">
      <alignment horizontal="left" vertical="top"/>
    </xf>
    <xf numFmtId="0" fontId="46" fillId="0" borderId="4" xfId="0" applyFont="1" applyBorder="1" applyAlignment="1">
      <alignment horizontal="center" vertical="top" wrapText="1"/>
    </xf>
    <xf numFmtId="3" fontId="47" fillId="0" borderId="0" xfId="0" applyFont="1" applyNumberFormat="1" applyAlignment="1">
      <alignment vertical="top"/>
    </xf>
    <xf numFmtId="0" fontId="46" fillId="18" borderId="4" xfId="0" applyFont="1" applyFill="1" applyBorder="1" applyAlignment="1">
      <alignment horizontal="center" vertical="top"/>
    </xf>
    <xf numFmtId="0" fontId="45" fillId="0" borderId="4"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Font="1" applyNumberFormat="1" applyFill="1" applyAlignment="1">
      <alignment horizontal="center" vertical="top"/>
    </xf>
    <xf numFmtId="0" fontId="46" fillId="18" borderId="0" xfId="0" applyFont="1" applyFill="1" applyAlignment="1">
      <alignment horizontal="center" vertical="top"/>
    </xf>
    <xf numFmtId="1" fontId="45" fillId="18" borderId="0" xfId="0" applyFont="1" applyNumberFormat="1" applyFill="1" applyAlignment="1">
      <alignment horizontal="center" vertical="top"/>
    </xf>
    <xf numFmtId="0" fontId="45" fillId="0" borderId="0" xfId="0" applyFont="1" applyAlignment="1">
      <alignment horizontal="center" vertical="top"/>
    </xf>
    <xf numFmtId="1" fontId="45" fillId="18" borderId="0" xfId="0" applyFont="1" applyNumberFormat="1" applyFill="1" applyAlignment="1">
      <alignment horizontal="center"/>
    </xf>
    <xf numFmtId="1" fontId="45" fillId="18" borderId="0" xfId="0" applyFont="1" applyNumberFormat="1" applyFill="1" applyAlignment="1">
      <alignment horizontal="center" vertical="center"/>
    </xf>
    <xf numFmtId="1" fontId="46" fillId="18" borderId="0" xfId="0" applyFont="1" applyNumberForma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4" xfId="0" applyFont="1" applyNumberFormat="1" applyFill="1" applyBorder="1" applyAlignment="1">
      <alignment horizontal="center" vertical="top"/>
    </xf>
    <xf numFmtId="3" fontId="46" fillId="18" borderId="4" xfId="0" applyFont="1" applyNumberFormat="1" applyFill="1" applyBorder="1" applyAlignment="1">
      <alignment horizontal="center" vertical="top"/>
    </xf>
    <xf numFmtId="0" fontId="45" fillId="18" borderId="4" xfId="0" applyFont="1" applyFill="1" applyBorder="1" applyAlignment="1">
      <alignment horizontal="center" vertical="top"/>
    </xf>
    <xf numFmtId="0" fontId="12" fillId="18" borderId="4"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Font="1" applyNumberFormat="1" applyFill="1" applyAlignment="1">
      <alignment horizontal="center" vertical="top"/>
    </xf>
    <xf numFmtId="3" fontId="46" fillId="30" borderId="0" xfId="0" applyFont="1" applyNumberForma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Font="1" applyNumberForma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Font="1" applyNumberFormat="1" applyFill="1" applyAlignment="1">
      <alignment horizontal="center"/>
    </xf>
    <xf numFmtId="1" fontId="46" fillId="31" borderId="0" xfId="0" applyFont="1" applyNumberFormat="1" applyFill="1" applyAlignment="1">
      <alignment horizontal="center" vertical="top"/>
    </xf>
    <xf numFmtId="3" fontId="46" fillId="31" borderId="0" xfId="0" applyFont="1" applyNumberFormat="1" applyFill="1" applyAlignment="1">
      <alignment horizontal="center" vertical="top"/>
    </xf>
    <xf numFmtId="1" fontId="46" fillId="32" borderId="0" xfId="0" applyFont="1" applyNumberFormat="1" applyFill="1" applyAlignment="1">
      <alignment horizontal="center" vertical="top"/>
    </xf>
    <xf numFmtId="0" fontId="45" fillId="32" borderId="0" xfId="0" applyFont="1" applyFill="1" applyAlignment="1">
      <alignment horizontal="center" vertical="top"/>
    </xf>
    <xf numFmtId="3" fontId="46" fillId="32" borderId="0" xfId="0" applyFont="1" applyNumberForma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35" xfId="0" applyFont="1" applyNumberFormat="1" applyFill="1" applyBorder="1" applyAlignment="1">
      <alignment horizontal="center" vertical="top"/>
    </xf>
    <xf numFmtId="1" fontId="46" fillId="32" borderId="36" xfId="0" applyFont="1" applyNumberFormat="1" applyFill="1" applyBorder="1" applyAlignment="1">
      <alignment horizontal="center" vertical="top"/>
    </xf>
    <xf numFmtId="3" fontId="46" fillId="32" borderId="36" xfId="0" applyFont="1" applyNumberFormat="1" applyFill="1" applyBorder="1" applyAlignment="1">
      <alignment horizontal="center" vertical="top"/>
    </xf>
    <xf numFmtId="0" fontId="45" fillId="32" borderId="16" xfId="0" applyFont="1" applyFill="1" applyBorder="1" applyAlignment="1">
      <alignment horizontal="center" vertical="top" wrapText="1"/>
    </xf>
    <xf numFmtId="1" fontId="46" fillId="7" borderId="0" xfId="0" applyFont="1" applyNumberFormat="1" applyFill="1" applyAlignment="1">
      <alignment horizontal="center" vertical="top"/>
    </xf>
    <xf numFmtId="1" fontId="45" fillId="7" borderId="0" xfId="0" applyFont="1" applyNumberFormat="1" applyFill="1" applyAlignment="1">
      <alignment horizontal="center" vertical="top"/>
    </xf>
    <xf numFmtId="1" fontId="47" fillId="0" borderId="0" xfId="0" applyFont="1" applyNumberFormat="1" applyAlignment="1">
      <alignment horizontal="center" vertical="top"/>
    </xf>
    <xf numFmtId="0" fontId="48" fillId="29" borderId="0" xfId="0" applyFont="1" applyFill="1" applyAlignment="1">
      <alignment vertical="top"/>
    </xf>
    <xf numFmtId="0" fontId="46" fillId="18" borderId="37" xfId="0" applyFont="1" applyFill="1" applyBorder="1" applyAlignment="1">
      <alignment horizontal="center" vertical="top"/>
    </xf>
    <xf numFmtId="0" fontId="45" fillId="18" borderId="37"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Font="1" applyNumberFormat="1" applyFill="1" applyAlignment="1">
      <alignment horizontal="center" vertical="top"/>
    </xf>
    <xf numFmtId="3" fontId="46" fillId="19" borderId="0" xfId="0" applyFont="1" applyNumberForma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Font="1" applyNumberFormat="1" applyBorder="1" applyAlignment="1">
      <alignment vertical="top"/>
    </xf>
    <xf numFmtId="1" fontId="47" fillId="0" borderId="49" xfId="0" applyFont="1" applyNumberFormat="1" applyBorder="1" applyAlignment="1">
      <alignment horizontal="right" vertical="top"/>
    </xf>
    <xf numFmtId="0" fontId="48" fillId="29" borderId="49" xfId="0" applyFont="1" applyFill="1" applyBorder="1" applyAlignment="1">
      <alignment vertical="top"/>
    </xf>
    <xf numFmtId="0" fontId="1" fillId="0" borderId="35" xfId="0" applyFont="1" applyBorder="1"/>
    <xf numFmtId="0" fontId="1" fillId="0" borderId="36" xfId="0" applyFont="1" applyBorder="1"/>
    <xf numFmtId="3" fontId="1" fillId="0" borderId="36" xfId="0" applyFont="1" applyNumberFormat="1" applyBorder="1"/>
    <xf numFmtId="3" fontId="1" fillId="0" borderId="16" xfId="0" applyFont="1" applyNumberFormat="1" applyBorder="1"/>
    <xf numFmtId="1" fontId="47" fillId="0" borderId="0" xfId="0" applyFont="1" applyNumberFormat="1" applyAlignment="1">
      <alignment vertical="top"/>
    </xf>
    <xf numFmtId="1" fontId="47" fillId="0" borderId="0" xfId="0" applyFont="1" applyNumberFormat="1" applyAlignment="1">
      <alignment horizontal="right" vertical="top"/>
    </xf>
    <xf numFmtId="0" fontId="48" fillId="29" borderId="7" xfId="0" applyFont="1" applyFill="1" applyBorder="1" applyAlignment="1">
      <alignment vertical="top"/>
    </xf>
    <xf numFmtId="1" fontId="50" fillId="0" borderId="0" xfId="0" applyFont="1" applyNumberFormat="1"/>
    <xf numFmtId="1" fontId="45" fillId="19" borderId="0" xfId="0" applyFont="1" applyNumberForma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Font="1" applyNumberForma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50" fillId="0" borderId="0" xfId="0" applyFont="1" applyNumberFormat="1"/>
    <xf numFmtId="2" fontId="50" fillId="0" borderId="0" xfId="0" applyFont="1" applyNumberFormat="1"/>
    <xf numFmtId="0" fontId="51" fillId="0" borderId="0" xfId="0" applyFont="1"/>
    <xf numFmtId="0" fontId="1" fillId="0" borderId="0" xfId="0" applyFont="1" applyAlignment="1">
      <alignment horizontal="left" vertical="top"/>
    </xf>
    <xf numFmtId="0" fontId="1" fillId="0" borderId="0" xfId="0" applyFont="1" applyAlignment="1">
      <alignment vertical="top" wrapText="1"/>
    </xf>
    <xf numFmtId="1" fontId="47" fillId="0" borderId="50" xfId="0" applyFont="1" applyNumberFormat="1" applyBorder="1" applyAlignment="1">
      <alignment horizontal="center" vertical="top"/>
    </xf>
    <xf numFmtId="1" fontId="47" fillId="0" borderId="35" xfId="0" applyFont="1" applyNumberFormat="1" applyBorder="1" applyAlignment="1">
      <alignment horizontal="center" vertical="top"/>
    </xf>
    <xf numFmtId="1" fontId="47" fillId="0" borderId="36" xfId="0" applyFont="1" applyNumberFormat="1" applyBorder="1" applyAlignment="1">
      <alignment horizontal="center" vertical="top"/>
    </xf>
    <xf numFmtId="1" fontId="47" fillId="0" borderId="16" xfId="0" applyFont="1" applyNumberFormat="1" applyBorder="1" applyAlignment="1">
      <alignment horizontal="center" vertical="top"/>
    </xf>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4" fillId="0" borderId="0" xfId="0" applyFont="1" applyAlignment="1">
      <alignment horizontal="left"/>
    </xf>
    <xf numFmtId="0" fontId="53" fillId="0" borderId="0" xfId="0" applyFont="1"/>
    <xf numFmtId="0" fontId="14" fillId="35" borderId="0" xfId="0" applyFont="1" applyFill="1"/>
    <xf numFmtId="0" fontId="14"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14" fillId="36" borderId="0" xfId="0" applyFont="1" applyFill="1" applyAlignment="1">
      <alignment horizontal="center"/>
    </xf>
    <xf numFmtId="0" fontId="54" fillId="0" borderId="0" xfId="0" applyFont="1" applyAlignment="1">
      <alignment horizontal="right" vertical="top"/>
    </xf>
    <xf numFmtId="3" fontId="22" fillId="0" borderId="0" xfId="0" applyFont="1" applyNumberFormat="1"/>
    <xf numFmtId="3" fontId="55" fillId="0" borderId="0" xfId="0" applyFont="1" applyNumberForma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7" fontId="58" fillId="0" borderId="0" xfId="0" applyFont="1" applyNumberFormat="1" applyAlignment="1">
      <alignment horizontal="right" vertical="top"/>
    </xf>
    <xf numFmtId="167" fontId="56" fillId="37" borderId="0" xfId="0" applyFont="1" applyNumberFormat="1" applyFill="1" applyAlignment="1">
      <alignment horizontal="right"/>
    </xf>
    <xf numFmtId="3" fontId="8" fillId="0" borderId="0" xfId="0" applyFont="1" applyNumberFormat="1"/>
    <xf numFmtId="167" fontId="46" fillId="0" borderId="0" xfId="0" applyFont="1" applyNumberFormat="1" applyAlignment="1">
      <alignment horizontal="right"/>
    </xf>
    <xf numFmtId="3" fontId="46" fillId="0" borderId="0" xfId="0" applyFont="1" applyNumberForma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6" fontId="8" fillId="38" borderId="0" xfId="0" applyFont="1" applyNumberFormat="1" applyFill="1" applyAlignment="1">
      <alignment horizontal="center"/>
    </xf>
    <xf numFmtId="0" fontId="1" fillId="38" borderId="0" xfId="0" applyFont="1" applyFill="1" applyAlignment="1">
      <alignment wrapText="1"/>
    </xf>
    <xf numFmtId="171" fontId="8" fillId="0" borderId="0" xfId="0" applyFont="1" applyNumberForma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Font="1" applyNumberForma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Font="1" applyNumberForma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Font="1" applyNumberFormat="1" applyAlignment="1">
      <alignment vertical="top"/>
    </xf>
    <xf numFmtId="0" fontId="8" fillId="0" borderId="0" xfId="0" applyFont="1" applyAlignment="1">
      <alignment horizontal="right"/>
    </xf>
    <xf numFmtId="0" fontId="22" fillId="0" borderId="0" xfId="0" applyFont="1" applyAlignment="1">
      <alignment horizontal="right"/>
    </xf>
    <xf numFmtId="0" fontId="1" fillId="9" borderId="0" xfId="0" applyFont="1" applyFill="1" applyAlignment="1">
      <alignment wrapText="1"/>
    </xf>
    <xf numFmtId="0" fontId="9" fillId="9" borderId="0" xfId="0" applyFont="1" applyFill="1" applyAlignment="1">
      <alignment vertical="top"/>
    </xf>
    <xf numFmtId="0" fontId="9" fillId="9"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9" borderId="0" xfId="0" applyFont="1" applyFill="1" applyAlignment="1">
      <alignment horizontal="right"/>
    </xf>
    <xf numFmtId="0" fontId="8" fillId="9" borderId="0" xfId="0" applyFont="1" applyFill="1" applyAlignment="1">
      <alignment horizontal="right"/>
    </xf>
    <xf numFmtId="0" fontId="56" fillId="0" borderId="0" xfId="0" applyFont="1"/>
    <xf numFmtId="171" fontId="54" fillId="0" borderId="0" xfId="0" applyFont="1" applyNumberFormat="1" applyAlignment="1">
      <alignment horizontal="right" vertical="top"/>
    </xf>
    <xf numFmtId="1" fontId="8" fillId="0" borderId="0" xfId="0" applyFont="1" applyNumberFormat="1"/>
    <xf numFmtId="0" fontId="22" fillId="0" borderId="0" xfId="0" applyFont="1" applyAlignment="1">
      <alignment wrapText="1"/>
    </xf>
    <xf numFmtId="0" fontId="8" fillId="0" borderId="0" xfId="0" applyFont="1" applyAlignment="1">
      <alignment horizontal="center" wrapText="1"/>
    </xf>
    <xf numFmtId="0" fontId="8" fillId="43" borderId="0" xfId="0" applyFont="1" applyFill="1" applyAlignment="1">
      <alignment horizontal="center" wrapText="1"/>
    </xf>
    <xf numFmtId="0" fontId="1" fillId="9" borderId="0" xfId="0" applyFont="1" applyFill="1" applyAlignment="1">
      <alignment horizontal="center" wrapText="1"/>
    </xf>
    <xf numFmtId="0" fontId="8" fillId="44" borderId="0" xfId="0" applyFont="1" applyFill="1" applyAlignment="1">
      <alignment horizontal="center" wrapText="1"/>
    </xf>
    <xf numFmtId="0" fontId="22" fillId="45" borderId="0" xfId="0" applyFont="1" applyFill="1" applyAlignment="1">
      <alignment wrapText="1"/>
    </xf>
    <xf numFmtId="0" fontId="1" fillId="45" borderId="0" xfId="0" applyFont="1" applyFill="1"/>
    <xf numFmtId="2" fontId="8" fillId="0" borderId="0" xfId="0" applyFont="1" applyNumberFormat="1"/>
    <xf numFmtId="0" fontId="8" fillId="0" borderId="0" xfId="0" applyFont="1" applyAlignment="1">
      <alignment horizontal="center"/>
    </xf>
    <xf numFmtId="2" fontId="8" fillId="0" borderId="0" xfId="0" applyFont="1" applyNumberFormat="1" applyAlignment="1">
      <alignment horizontal="center"/>
    </xf>
    <xf numFmtId="0" fontId="24" fillId="0" borderId="0" xfId="0" applyFont="1" applyAlignment="1">
      <alignment horizontal="left" wrapText="1"/>
    </xf>
    <xf numFmtId="166" fontId="8" fillId="0" borderId="0" xfId="0" applyFont="1" applyNumberFormat="1" applyAlignment="1">
      <alignment horizontal="center"/>
    </xf>
    <xf numFmtId="1" fontId="8" fillId="0" borderId="0" xfId="0" applyFont="1" applyNumberForma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60" fillId="0" borderId="0" xfId="0" applyFont="1"/>
  </cellXfs>
  <cellStyles count="1">
    <cellStyle name="Normal" xfId="0" builtinId="0"/>
  </cellStyles>
  <dxfs count="77">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fill>
        <patternFill>
          <bgColor theme="9" tint="0.7999816888943144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externalLink" Target="externalLinks/externalLink1.xml"/><Relationship Id="rId39" Type="http://schemas.openxmlformats.org/officeDocument/2006/relationships/theme" Target="theme/theme1.xml"/><Relationship Id="rId40" Type="http://schemas.openxmlformats.org/officeDocument/2006/relationships/styles" Target="styles.xml"/><Relationship Id="rId41" Type="http://schemas.openxmlformats.org/officeDocument/2006/relationships/sharedStrings" Target="sharedStrings.xml"/><Relationship Id="rId42" Type="http://schemas.microsoft.com/office/2017/10/relationships/person" Target="persons/person.xml"/><Relationship Id="rId20001"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39.9</c:v>
                </c:pt>
                <c:pt idx="1">
                  <c:v>41.1</c:v>
                </c:pt>
                <c:pt idx="2">
                  <c:v>41.9</c:v>
                </c:pt>
                <c:pt idx="3">
                  <c:v>42.9</c:v>
                </c:pt>
                <c:pt idx="4">
                  <c:v>43.5</c:v>
                </c:pt>
                <c:pt idx="5">
                  <c:v>44.3</c:v>
                </c:pt>
                <c:pt idx="6">
                  <c:v>44.4</c:v>
                </c:pt>
                <c:pt idx="7">
                  <c:v>44.8</c:v>
                </c:pt>
                <c:pt idx="8">
                  <c:v>45.2</c:v>
                </c:pt>
                <c:pt idx="9">
                  <c:v>15.6</c:v>
                </c:pt>
                <c:pt idx="10">
                  <c:v>14.7</c:v>
                </c:pt>
                <c:pt idx="11">
                  <c:v>14.2</c:v>
                </c:pt>
                <c:pt idx="12">
                  <c:v>14.1</c:v>
                </c:pt>
                <c:pt idx="13">
                  <c:v>14.5</c:v>
                </c:pt>
                <c:pt idx="14">
                  <c:v>15</c:v>
                </c:pt>
                <c:pt idx="15">
                  <c:v>15.7</c:v>
                </c:pt>
                <c:pt idx="16">
                  <c:v>17.5</c:v>
                </c:pt>
                <c:pt idx="17">
                  <c:v>53.1</c:v>
                </c:pt>
                <c:pt idx="18">
                  <c:v>53.991428571428571</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9.xml.rels><?xml version="1.0" encoding="UTF-8" standalone="yes"?><Relationships xmlns="http://schemas.openxmlformats.org/package/2006/relationships"></Relationships>
</file>

<file path=xl/drawings/_rels/drawing10.xml.rels><?xml version="1.0" encoding="UTF-8" standalone="yes"?><Relationships xmlns="http://schemas.openxmlformats.org/package/2006/relationships"></Relationships>
</file>

<file path=xl/drawings/_rels/drawing11.xml.rels><?xml version="1.0" encoding="UTF-8" standalone="yes"?><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2.xml.rels><?xml version="1.0" encoding="UTF-8" standalone="yes"?><Relationships xmlns="http://schemas.openxmlformats.org/package/2006/relationships"></Relationships>
</file>

<file path=xl/drawings/_rels/drawing13.xml.rels><?xml version="1.0" encoding="UTF-8" standalone="yes"?><Relationships xmlns="http://schemas.openxmlformats.org/package/2006/relationships"><Relationship Id="rId1" Type="http://schemas.openxmlformats.org/officeDocument/2006/relationships/hyperlink" Target="#MPI!A1"/></Relationships>
</file>

<file path=xl/drawings/_rels/drawing14.xml.rels><?xml version="1.0" encoding="UTF-8" standalone="yes"?><Relationships xmlns="http://schemas.openxmlformats.org/package/2006/relationships"></Relationships>
</file>

<file path=xl/drawings/_rels/drawing15.xml.rels><?xml version="1.0" encoding="UTF-8" standalone="yes"?><Relationships xmlns="http://schemas.openxmlformats.org/package/2006/relationships"><Relationship Id="rId1" Type="http://schemas.openxmlformats.org/officeDocument/2006/relationships/hyperlink" Target="#'forecast comparison'!A1"/></Relationships>
</file>

<file path=xl/drawings/_rels/drawing16.xml.rels><?xml version="1.0" encoding="UTF-8" standalone="yes"?><Relationships xmlns="http://schemas.openxmlformats.org/package/2006/relationships"><Relationship Id="rId1" Type="http://schemas.openxmlformats.org/officeDocument/2006/relationships/hyperlink" Target="#'forecast comparison'!A1"/></Relationships>
</file>

<file path=xl/drawings/_rels/drawing17.xml.rels><?xml version="1.0" encoding="UTF-8" standalone="yes"?><Relationships xmlns="http://schemas.openxmlformats.org/package/2006/relationships"><Relationship Id="rId1" Type="http://schemas.openxmlformats.org/officeDocument/2006/relationships/hyperlink" Target="#'forecast comparison'!A1"/></Relationships>
</file>

<file path=xl/drawings/_rels/drawing18.xml.rels><?xml version="1.0" encoding="UTF-8" standalone="yes"?><Relationships xmlns="http://schemas.openxmlformats.org/package/2006/relationships"><Relationship Id="rId1" Type="http://schemas.openxmlformats.org/officeDocument/2006/relationships/hyperlink" Target="#MPI!A1"/></Relationships>
</file>

<file path=xl/drawings/_rels/drawing19.xml.rels><?xml version="1.0" encoding="UTF-8" standalone="yes"?><Relationships xmlns="http://schemas.openxmlformats.org/package/2006/relationships"><Relationship Id="rId1" Type="http://schemas.openxmlformats.org/officeDocument/2006/relationships/hyperlink" Target="#MPI!A1"/></Relationships>
</file>

<file path=xl/drawings/_rels/drawing20.xml.rels><?xml version="1.0" encoding="UTF-8" standalone="yes"?><Relationships xmlns="http://schemas.openxmlformats.org/package/2006/relationships"><Relationship Id="rId1" Type="http://schemas.openxmlformats.org/officeDocument/2006/relationships/hyperlink" Target="#'forecast comparison'!A1"/></Relationships>
</file>

<file path=xl/drawings/_rels/drawing21.xml.rels><?xml version="1.0" encoding="UTF-8" standalone="yes"?><Relationships xmlns="http://schemas.openxmlformats.org/package/2006/relationships"><Relationship Id="rId1" Type="http://schemas.openxmlformats.org/officeDocument/2006/relationships/hyperlink" Target="#MPI!A1"/></Relationships>
</file>

<file path=xl/drawings/_rels/drawing22.xml.rels><?xml version="1.0" encoding="UTF-8" standalone="yes"?><Relationships xmlns="http://schemas.openxmlformats.org/package/2006/relationships"><Relationship Id="rId1" Type="http://schemas.openxmlformats.org/officeDocument/2006/relationships/hyperlink" Target="#MPI!A1"/></Relationships>
</file>

<file path=xl/drawings/_rels/drawing23.xml.rels><?xml version="1.0" encoding="UTF-8" standalone="yes"?><Relationships xmlns="http://schemas.openxmlformats.org/package/2006/relationships"><Relationship Id="rId1" Type="http://schemas.openxmlformats.org/officeDocument/2006/relationships/hyperlink" Target="#MPI!A1"/></Relationships>
</file>

<file path=xl/drawings/_rels/drawing24.xml.rels><?xml version="1.0" encoding="UTF-8" standalone="yes"?><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25.xml.rels><?xml version="1.0" encoding="UTF-8" standalone="yes"?><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6.xml.rels><?xml version="1.0" encoding="UTF-8" standalone="yes"?><Relationships xmlns="http://schemas.openxmlformats.org/package/2006/relationships"><Relationship Id="rId1" Type="http://schemas.openxmlformats.org/officeDocument/2006/relationships/chart" Target="../charts/chart3.xml"/></Relationships>
</file>

<file path=xl/drawings/_rels/drawing29.xml.rels><?xml version="1.0" encoding="UTF-8" standalone="yes"?><Relationships xmlns="http://schemas.openxmlformats.org/package/2006/relationships"></Relationships>
</file>

<file path=xl/drawings/_rels/drawing33.xml.rels><?xml version="1.0" encoding="UTF-8" standalone="yes"?><Relationships xmlns="http://schemas.openxmlformats.org/package/2006/relationships"></Relationships>
</file>

<file path=xl/drawings/_rels/drawing34.xml.rels><?xml version="1.0" encoding="UTF-8" standalone="yes"?><Relationships xmlns="http://schemas.openxmlformats.org/package/2006/relationships"></Relationships>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F8CFA48E-5C92-0959-D7D5-FF1AA785F12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ABA78E66-8FDD-D3C7-2656-741662CD419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54ECE3F0-EE15-EE9A-CB8A-24BBB177DF19}"/>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82" name="Text Box 70" hidden="1">
          <a:extLst>
            <a:ext uri="{FF2B5EF4-FFF2-40B4-BE49-F238E27FC236}">
              <a16:creationId xmlns:a16="http://schemas.microsoft.com/office/drawing/2014/main" id="{A56D1F28-B817-22A9-5C18-58C712CCF4C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81" name="Text Box 69" hidden="1">
          <a:extLst>
            <a:ext uri="{FF2B5EF4-FFF2-40B4-BE49-F238E27FC236}">
              <a16:creationId xmlns:a16="http://schemas.microsoft.com/office/drawing/2014/main" id="{30419119-B445-6EEA-9FE0-F9F737DC24E1}"/>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80" name="Text Box 68" hidden="1">
          <a:extLst>
            <a:ext uri="{FF2B5EF4-FFF2-40B4-BE49-F238E27FC236}">
              <a16:creationId xmlns:a16="http://schemas.microsoft.com/office/drawing/2014/main" id="{4400B320-1316-C9DC-E656-929D8EE58BE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9" name="Text Box 67" hidden="1">
          <a:extLst>
            <a:ext uri="{FF2B5EF4-FFF2-40B4-BE49-F238E27FC236}">
              <a16:creationId xmlns:a16="http://schemas.microsoft.com/office/drawing/2014/main" id="{090B99AE-5801-5F70-D878-E7080AB0E2A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8" name="Text Box 66" hidden="1">
          <a:extLst>
            <a:ext uri="{FF2B5EF4-FFF2-40B4-BE49-F238E27FC236}">
              <a16:creationId xmlns:a16="http://schemas.microsoft.com/office/drawing/2014/main" id="{381BC04D-5625-3C9F-8C75-BC52AE2D7B95}"/>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7" name="Text Box 65" hidden="1">
          <a:extLst>
            <a:ext uri="{FF2B5EF4-FFF2-40B4-BE49-F238E27FC236}">
              <a16:creationId xmlns:a16="http://schemas.microsoft.com/office/drawing/2014/main" id="{DB7A5CDB-B419-C683-BDD5-BE4487C8531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76" name="Text Box 64" hidden="1">
          <a:extLst>
            <a:ext uri="{FF2B5EF4-FFF2-40B4-BE49-F238E27FC236}">
              <a16:creationId xmlns:a16="http://schemas.microsoft.com/office/drawing/2014/main" id="{615CE99C-F101-67FC-03D1-37523B84460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83335" name="Text Box 7" hidden="1">
          <a:extLst>
            <a:ext uri="{FF2B5EF4-FFF2-40B4-BE49-F238E27FC236}">
              <a16:creationId xmlns:a16="http://schemas.microsoft.com/office/drawing/2014/main" id="{332C114C-D96A-3ACC-491D-0F67ED80A77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83334" name="Text Box 6" hidden="1">
          <a:extLst>
            <a:ext uri="{FF2B5EF4-FFF2-40B4-BE49-F238E27FC236}">
              <a16:creationId xmlns:a16="http://schemas.microsoft.com/office/drawing/2014/main" id="{3597A1EF-E575-84B1-6387-55E363B4D18C}"/>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83333" name="Text Box 5" hidden="1">
          <a:extLst>
            <a:ext uri="{FF2B5EF4-FFF2-40B4-BE49-F238E27FC236}">
              <a16:creationId xmlns:a16="http://schemas.microsoft.com/office/drawing/2014/main" id="{FB39E490-53D3-8A6F-F755-F04678B07B53}"/>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83332" name="Text Box 4" hidden="1">
          <a:extLst>
            <a:ext uri="{FF2B5EF4-FFF2-40B4-BE49-F238E27FC236}">
              <a16:creationId xmlns:a16="http://schemas.microsoft.com/office/drawing/2014/main" id="{AD858E39-3B39-DE1F-65BD-CBA6883DFAAC}"/>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83331" name="Text Box 3" hidden="1">
          <a:extLst>
            <a:ext uri="{FF2B5EF4-FFF2-40B4-BE49-F238E27FC236}">
              <a16:creationId xmlns:a16="http://schemas.microsoft.com/office/drawing/2014/main" id="{7BC6042B-B8FE-9346-90F1-2FF9DA4D73C4}"/>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83330" name="Text Box 2" hidden="1">
          <a:extLst>
            <a:ext uri="{FF2B5EF4-FFF2-40B4-BE49-F238E27FC236}">
              <a16:creationId xmlns:a16="http://schemas.microsoft.com/office/drawing/2014/main" id="{BE754652-1C8B-239E-7215-5D4A4AB65E42}"/>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83329" name="Text Box 1" hidden="1">
          <a:extLst>
            <a:ext uri="{FF2B5EF4-FFF2-40B4-BE49-F238E27FC236}">
              <a16:creationId xmlns:a16="http://schemas.microsoft.com/office/drawing/2014/main" id="{15F06672-CB81-210D-7671-0D8140DEFCFD}"/>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83342" name="Text Box 1038" hidden="1">
          <a:extLst>
            <a:ext uri="{FF2B5EF4-FFF2-40B4-BE49-F238E27FC236}">
              <a16:creationId xmlns:a16="http://schemas.microsoft.com/office/drawing/2014/main" id="{B1F22E26-F5E8-5DC0-70B8-1A5B614BA7A8}"/>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83341" name="Text Box 1037" hidden="1">
          <a:extLst>
            <a:ext uri="{FF2B5EF4-FFF2-40B4-BE49-F238E27FC236}">
              <a16:creationId xmlns:a16="http://schemas.microsoft.com/office/drawing/2014/main" id="{1700A0FE-24CF-6FEF-C052-6ECE62CD0D3E}"/>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83340" name="Text Box 1036" hidden="1">
          <a:extLst>
            <a:ext uri="{FF2B5EF4-FFF2-40B4-BE49-F238E27FC236}">
              <a16:creationId xmlns:a16="http://schemas.microsoft.com/office/drawing/2014/main" id="{C5EE7398-BE9E-992E-2991-2AD58D01A83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83339" name="Text Box 1035" hidden="1">
          <a:extLst>
            <a:ext uri="{FF2B5EF4-FFF2-40B4-BE49-F238E27FC236}">
              <a16:creationId xmlns:a16="http://schemas.microsoft.com/office/drawing/2014/main" id="{C6A8937D-C761-3305-8406-BF721C2B135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83338" name="Text Box 1034" hidden="1">
          <a:extLst>
            <a:ext uri="{FF2B5EF4-FFF2-40B4-BE49-F238E27FC236}">
              <a16:creationId xmlns:a16="http://schemas.microsoft.com/office/drawing/2014/main" id="{A850E714-A738-4261-4972-09DB2AECCE5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83337" name="Text Box 1033" hidden="1">
          <a:extLst>
            <a:ext uri="{FF2B5EF4-FFF2-40B4-BE49-F238E27FC236}">
              <a16:creationId xmlns:a16="http://schemas.microsoft.com/office/drawing/2014/main" id="{CE0D36D3-4C82-6B40-61C9-A8A9231A6F8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83336" name="Text Box 1032" hidden="1">
          <a:extLst>
            <a:ext uri="{FF2B5EF4-FFF2-40B4-BE49-F238E27FC236}">
              <a16:creationId xmlns:a16="http://schemas.microsoft.com/office/drawing/2014/main" id="{76E1FBE5-0415-066F-18FC-8E90965EF115}"/>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absolute">
    <xdr:from>
      <xdr:col>17</xdr:col>
      <xdr:colOff>464656</xdr:colOff>
      <xdr:row>7</xdr:row>
      <xdr:rowOff>68316</xdr:rowOff>
    </xdr:from>
    <xdr:to>
      <xdr:col>19</xdr:col>
      <xdr:colOff>238196</xdr:colOff>
      <xdr:row>11</xdr:row>
      <xdr:rowOff>36423</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19</xdr:col>
      <xdr:colOff>238196</xdr:colOff>
      <xdr:row>11</xdr:row>
      <xdr:rowOff>36423</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1" name="Text Box 1035" hidden="1">
          <a:extLst>
            <a:ext uri="{FF2B5EF4-FFF2-40B4-BE49-F238E27FC236}">
              <a16:creationId xmlns:a16="http://schemas.microsoft.com/office/drawing/2014/main" id="{D2BC337C-9842-6353-E89F-1B762D9B672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464656</xdr:colOff>
      <xdr:row>7</xdr:row>
      <xdr:rowOff>68316</xdr:rowOff>
    </xdr:from>
    <xdr:to>
      <xdr:col>23</xdr:col>
      <xdr:colOff>238197</xdr:colOff>
      <xdr:row>32</xdr:row>
      <xdr:rowOff>64428</xdr:rowOff>
    </xdr:to>
    <xdr:sp macro="" textlink="">
      <xdr:nvSpPr>
        <xdr:cNvPr id="409612" name="Text Box 1036" hidden="1">
          <a:extLst>
            <a:ext uri="{FF2B5EF4-FFF2-40B4-BE49-F238E27FC236}">
              <a16:creationId xmlns:a16="http://schemas.microsoft.com/office/drawing/2014/main" id="{60E109FD-D231-63C2-6D1D-DC264B8AA1F3}"/>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4" name="Text Box 40" hidden="1">
          <a:extLst>
            <a:ext uri="{FF2B5EF4-FFF2-40B4-BE49-F238E27FC236}">
              <a16:creationId xmlns:a16="http://schemas.microsoft.com/office/drawing/2014/main" id="{C47BC126-E6F5-F51B-8078-FBDE9365AF9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3" name="Text Box 39" hidden="1">
          <a:extLst>
            <a:ext uri="{FF2B5EF4-FFF2-40B4-BE49-F238E27FC236}">
              <a16:creationId xmlns:a16="http://schemas.microsoft.com/office/drawing/2014/main" id="{7B86A62A-8957-AC89-47EE-4C6E0F5BA8F1}"/>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2" name="Text Box 38" hidden="1">
          <a:extLst>
            <a:ext uri="{FF2B5EF4-FFF2-40B4-BE49-F238E27FC236}">
              <a16:creationId xmlns:a16="http://schemas.microsoft.com/office/drawing/2014/main" id="{3D88D9F2-1064-53C6-E186-3F49E02F826A}"/>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1" name="Text Box 37" hidden="1">
          <a:extLst>
            <a:ext uri="{FF2B5EF4-FFF2-40B4-BE49-F238E27FC236}">
              <a16:creationId xmlns:a16="http://schemas.microsoft.com/office/drawing/2014/main" id="{A937421A-043C-9EAE-AA99-1653A319F4BD}"/>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8" name="Text Box 44" hidden="1">
          <a:extLst>
            <a:ext uri="{FF2B5EF4-FFF2-40B4-BE49-F238E27FC236}">
              <a16:creationId xmlns:a16="http://schemas.microsoft.com/office/drawing/2014/main" id="{80D08B49-B17A-A032-C983-9344B712C75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67" name="Text Box 43" hidden="1">
          <a:extLst>
            <a:ext uri="{FF2B5EF4-FFF2-40B4-BE49-F238E27FC236}">
              <a16:creationId xmlns:a16="http://schemas.microsoft.com/office/drawing/2014/main" id="{0D3871AE-12A4-E137-CD53-1042ECE719B6}"/>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66" name="Text Box 42" hidden="1">
          <a:extLst>
            <a:ext uri="{FF2B5EF4-FFF2-40B4-BE49-F238E27FC236}">
              <a16:creationId xmlns:a16="http://schemas.microsoft.com/office/drawing/2014/main" id="{3D76C427-3A4A-5364-6FC6-8C685C00237D}"/>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5" name="Text Box 41" hidden="1">
          <a:extLst>
            <a:ext uri="{FF2B5EF4-FFF2-40B4-BE49-F238E27FC236}">
              <a16:creationId xmlns:a16="http://schemas.microsoft.com/office/drawing/2014/main" id="{7198BD46-0CB2-B3C4-0931-AA705A0613CF}"/>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72" name="Text Box 48" hidden="1">
          <a:extLst>
            <a:ext uri="{FF2B5EF4-FFF2-40B4-BE49-F238E27FC236}">
              <a16:creationId xmlns:a16="http://schemas.microsoft.com/office/drawing/2014/main" id="{C18FEA71-7596-2373-D91D-CBDBD576B37C}"/>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71" name="Text Box 47" hidden="1">
          <a:extLst>
            <a:ext uri="{FF2B5EF4-FFF2-40B4-BE49-F238E27FC236}">
              <a16:creationId xmlns:a16="http://schemas.microsoft.com/office/drawing/2014/main" id="{B3178CD8-E735-269B-81D3-9FA59CCEE2DA}"/>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70" name="Text Box 46" hidden="1">
          <a:extLst>
            <a:ext uri="{FF2B5EF4-FFF2-40B4-BE49-F238E27FC236}">
              <a16:creationId xmlns:a16="http://schemas.microsoft.com/office/drawing/2014/main" id="{DCE650BA-2646-BCE5-4839-F232D59D6F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69" name="Text Box 45" hidden="1">
          <a:extLst>
            <a:ext uri="{FF2B5EF4-FFF2-40B4-BE49-F238E27FC236}">
              <a16:creationId xmlns:a16="http://schemas.microsoft.com/office/drawing/2014/main" id="{D5A3A55A-C538-E0A3-B7DB-7D211ECA398F}"/>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03951224-DBED-7F98-F96E-B54D4DBD4921}"/>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8205CE08-064E-5E59-2408-5216B49D90BD}"/>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D1AFC115-AFC5-DFD9-381A-CD0EBD4AFA8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81" name="Text Box 33" hidden="1">
          <a:extLst>
            <a:ext uri="{FF2B5EF4-FFF2-40B4-BE49-F238E27FC236}">
              <a16:creationId xmlns:a16="http://schemas.microsoft.com/office/drawing/2014/main" id="{6CE0B8B0-8B80-9DE2-A25B-9E36A86EF9B5}"/>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80" name="Text Box 32" hidden="1">
          <a:extLst>
            <a:ext uri="{FF2B5EF4-FFF2-40B4-BE49-F238E27FC236}">
              <a16:creationId xmlns:a16="http://schemas.microsoft.com/office/drawing/2014/main" id="{FB4DA398-4802-F2BE-91C0-4DF8C022DF6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9" name="Text Box 31" hidden="1">
          <a:extLst>
            <a:ext uri="{FF2B5EF4-FFF2-40B4-BE49-F238E27FC236}">
              <a16:creationId xmlns:a16="http://schemas.microsoft.com/office/drawing/2014/main" id="{88D44858-4C4A-2A73-2611-ED174B03076D}"/>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84" name="Text Box 36" hidden="1">
          <a:extLst>
            <a:ext uri="{FF2B5EF4-FFF2-40B4-BE49-F238E27FC236}">
              <a16:creationId xmlns:a16="http://schemas.microsoft.com/office/drawing/2014/main" id="{670EA758-A372-45BD-6F12-57B3942761DD}"/>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83" name="Text Box 35" hidden="1">
          <a:extLst>
            <a:ext uri="{FF2B5EF4-FFF2-40B4-BE49-F238E27FC236}">
              <a16:creationId xmlns:a16="http://schemas.microsoft.com/office/drawing/2014/main" id="{D9B4FE27-DD31-A5F1-D50F-3A9C95B9293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82" name="Text Box 34" hidden="1">
          <a:extLst>
            <a:ext uri="{FF2B5EF4-FFF2-40B4-BE49-F238E27FC236}">
              <a16:creationId xmlns:a16="http://schemas.microsoft.com/office/drawing/2014/main" id="{4465FFBF-2A72-C997-3D12-FF3FF21B989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3EE1AE44-AFFD-4AD0-37ED-25FA75EF2C8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BE9BAB1D-132E-B3F4-7FFE-F65BEE898CEA}"/>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F4AD6492-1172-8FDF-FEFF-A51A45FB6B9D}"/>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00D6579D-700F-5615-384C-92BC198F1C0C}"/>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28A39052-5767-4035-9073-7AB3AFCB4A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AAA8CFAC-44E5-9D0E-584F-42C0550E57A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4E2F9CD5-3A93-9949-F1D8-AECC49359E9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332A3F72-8E78-93EA-DFFD-D27236C1DAD6}"/>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F2E95906-7DF7-E94F-19FA-A8CE3B484BD7}"/>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75BABDD3-B710-C233-E810-08702244D58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184126D-FD9C-4BA4-2987-D89B3BCC608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C97C73C8-86FF-057D-FBF1-A7B97541A98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BF8C664-CC1C-5053-D33A-356878AB592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37D20AF8-B547-F66A-32A1-92FE107243C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6" name="Text Box 154" hidden="1">
          <a:extLst>
            <a:ext uri="{FF2B5EF4-FFF2-40B4-BE49-F238E27FC236}">
              <a16:creationId xmlns:a16="http://schemas.microsoft.com/office/drawing/2014/main" id="{AE738D6E-0B56-81CF-E083-9F39323198F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25" name="Text Box 153" hidden="1">
          <a:extLst>
            <a:ext uri="{FF2B5EF4-FFF2-40B4-BE49-F238E27FC236}">
              <a16:creationId xmlns:a16="http://schemas.microsoft.com/office/drawing/2014/main" id="{97117598-BA48-40A2-9172-F4BF3E37D34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24" name="Text Box 152" hidden="1">
          <a:extLst>
            <a:ext uri="{FF2B5EF4-FFF2-40B4-BE49-F238E27FC236}">
              <a16:creationId xmlns:a16="http://schemas.microsoft.com/office/drawing/2014/main" id="{127378FB-47E9-B4A7-E748-27173857E06E}"/>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23" name="Text Box 151" hidden="1">
          <a:extLst>
            <a:ext uri="{FF2B5EF4-FFF2-40B4-BE49-F238E27FC236}">
              <a16:creationId xmlns:a16="http://schemas.microsoft.com/office/drawing/2014/main" id="{9045F424-0AEC-9B75-6E08-44649F65D8F1}"/>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22" name="Text Box 150" hidden="1">
          <a:extLst>
            <a:ext uri="{FF2B5EF4-FFF2-40B4-BE49-F238E27FC236}">
              <a16:creationId xmlns:a16="http://schemas.microsoft.com/office/drawing/2014/main" id="{B6AE40FA-6AFC-462B-7F81-EB7BEE04129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21" name="Text Box 149" hidden="1">
          <a:extLst>
            <a:ext uri="{FF2B5EF4-FFF2-40B4-BE49-F238E27FC236}">
              <a16:creationId xmlns:a16="http://schemas.microsoft.com/office/drawing/2014/main" id="{F960B105-E439-D3CA-549A-04CCBBD662B5}"/>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20" name="Text Box 148" hidden="1">
          <a:extLst>
            <a:ext uri="{FF2B5EF4-FFF2-40B4-BE49-F238E27FC236}">
              <a16:creationId xmlns:a16="http://schemas.microsoft.com/office/drawing/2014/main" id="{F12C92D3-806C-1852-2BEF-9EAA46CA1DE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19" name="Text Box 147" hidden="1">
          <a:extLst>
            <a:ext uri="{FF2B5EF4-FFF2-40B4-BE49-F238E27FC236}">
              <a16:creationId xmlns:a16="http://schemas.microsoft.com/office/drawing/2014/main" id="{305DE6C1-FDE8-84C3-A095-81CE8637F90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18" name="Text Box 146" hidden="1">
          <a:extLst>
            <a:ext uri="{FF2B5EF4-FFF2-40B4-BE49-F238E27FC236}">
              <a16:creationId xmlns:a16="http://schemas.microsoft.com/office/drawing/2014/main" id="{18A101BC-97C7-C61A-D905-B9186055DE3F}"/>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17" name="Text Box 145" hidden="1">
          <a:extLst>
            <a:ext uri="{FF2B5EF4-FFF2-40B4-BE49-F238E27FC236}">
              <a16:creationId xmlns:a16="http://schemas.microsoft.com/office/drawing/2014/main" id="{12AE7561-4206-95FB-A7A9-3FB37A51DA2B}"/>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16" name="Text Box 144" hidden="1">
          <a:extLst>
            <a:ext uri="{FF2B5EF4-FFF2-40B4-BE49-F238E27FC236}">
              <a16:creationId xmlns:a16="http://schemas.microsoft.com/office/drawing/2014/main" id="{5F1C92DA-FDB9-0046-92E5-9EEA6D7DC5FD}"/>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15" name="Text Box 143" hidden="1">
          <a:extLst>
            <a:ext uri="{FF2B5EF4-FFF2-40B4-BE49-F238E27FC236}">
              <a16:creationId xmlns:a16="http://schemas.microsoft.com/office/drawing/2014/main" id="{D381E341-E67E-B719-30AF-3168700CBB63}"/>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14" name="Text Box 142" hidden="1">
          <a:extLst>
            <a:ext uri="{FF2B5EF4-FFF2-40B4-BE49-F238E27FC236}">
              <a16:creationId xmlns:a16="http://schemas.microsoft.com/office/drawing/2014/main" id="{4F6BE805-571E-120F-AAFE-AA1C007ADB3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813" name="Text Box 141" hidden="1">
          <a:extLst>
            <a:ext uri="{FF2B5EF4-FFF2-40B4-BE49-F238E27FC236}">
              <a16:creationId xmlns:a16="http://schemas.microsoft.com/office/drawing/2014/main" id="{EFB70D2D-37F5-1250-DBBC-3F8D93081FF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40" name="Text Box 168" hidden="1">
          <a:extLst>
            <a:ext uri="{FF2B5EF4-FFF2-40B4-BE49-F238E27FC236}">
              <a16:creationId xmlns:a16="http://schemas.microsoft.com/office/drawing/2014/main" id="{309FE9CB-C7D3-7C27-0C93-B273605417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39" name="Text Box 167" hidden="1">
          <a:extLst>
            <a:ext uri="{FF2B5EF4-FFF2-40B4-BE49-F238E27FC236}">
              <a16:creationId xmlns:a16="http://schemas.microsoft.com/office/drawing/2014/main" id="{222B7FA6-7D8B-66EF-7992-3F22D6BA6F6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38" name="Text Box 166" hidden="1">
          <a:extLst>
            <a:ext uri="{FF2B5EF4-FFF2-40B4-BE49-F238E27FC236}">
              <a16:creationId xmlns:a16="http://schemas.microsoft.com/office/drawing/2014/main" id="{67FD9175-A8F4-021D-C5C0-3FB834F6EEF5}"/>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37" name="Text Box 165" hidden="1">
          <a:extLst>
            <a:ext uri="{FF2B5EF4-FFF2-40B4-BE49-F238E27FC236}">
              <a16:creationId xmlns:a16="http://schemas.microsoft.com/office/drawing/2014/main" id="{7BAF6368-470C-4770-64D4-CAFA3555FAF6}"/>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36" name="Text Box 164" hidden="1">
          <a:extLst>
            <a:ext uri="{FF2B5EF4-FFF2-40B4-BE49-F238E27FC236}">
              <a16:creationId xmlns:a16="http://schemas.microsoft.com/office/drawing/2014/main" id="{EF6E8C53-D54F-7E1C-D2A4-10B6FC80313E}"/>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35" name="Text Box 163" hidden="1">
          <a:extLst>
            <a:ext uri="{FF2B5EF4-FFF2-40B4-BE49-F238E27FC236}">
              <a16:creationId xmlns:a16="http://schemas.microsoft.com/office/drawing/2014/main" id="{690D8495-A4BA-8EE5-1D61-3B1D0337074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34" name="Text Box 162" hidden="1">
          <a:extLst>
            <a:ext uri="{FF2B5EF4-FFF2-40B4-BE49-F238E27FC236}">
              <a16:creationId xmlns:a16="http://schemas.microsoft.com/office/drawing/2014/main" id="{08A73BF5-2982-BB07-CE05-D3907216827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33" name="Text Box 161" hidden="1">
          <a:extLst>
            <a:ext uri="{FF2B5EF4-FFF2-40B4-BE49-F238E27FC236}">
              <a16:creationId xmlns:a16="http://schemas.microsoft.com/office/drawing/2014/main" id="{6DBAC3D4-3776-794D-95FA-950F1BF8834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32" name="Text Box 160" hidden="1">
          <a:extLst>
            <a:ext uri="{FF2B5EF4-FFF2-40B4-BE49-F238E27FC236}">
              <a16:creationId xmlns:a16="http://schemas.microsoft.com/office/drawing/2014/main" id="{9E63C02F-DFEB-EE92-2820-0FD2A9B8A0B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31" name="Text Box 159" hidden="1">
          <a:extLst>
            <a:ext uri="{FF2B5EF4-FFF2-40B4-BE49-F238E27FC236}">
              <a16:creationId xmlns:a16="http://schemas.microsoft.com/office/drawing/2014/main" id="{CED8DAD8-263A-8EF4-AB36-4D5B66D8C71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30" name="Text Box 158" hidden="1">
          <a:extLst>
            <a:ext uri="{FF2B5EF4-FFF2-40B4-BE49-F238E27FC236}">
              <a16:creationId xmlns:a16="http://schemas.microsoft.com/office/drawing/2014/main" id="{48EFEEFD-21C6-268D-C682-5D87742D2AA8}"/>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29" name="Text Box 157" hidden="1">
          <a:extLst>
            <a:ext uri="{FF2B5EF4-FFF2-40B4-BE49-F238E27FC236}">
              <a16:creationId xmlns:a16="http://schemas.microsoft.com/office/drawing/2014/main" id="{3DEF311A-12CF-AA5D-AD10-5B7342D5AD2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28" name="Text Box 156" hidden="1">
          <a:extLst>
            <a:ext uri="{FF2B5EF4-FFF2-40B4-BE49-F238E27FC236}">
              <a16:creationId xmlns:a16="http://schemas.microsoft.com/office/drawing/2014/main" id="{6810D18C-5F7F-BF34-8732-8A2D240F862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827" name="Text Box 155" hidden="1">
          <a:extLst>
            <a:ext uri="{FF2B5EF4-FFF2-40B4-BE49-F238E27FC236}">
              <a16:creationId xmlns:a16="http://schemas.microsoft.com/office/drawing/2014/main" id="{86D42A0E-A559-ECDB-330E-4B64DCD349C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49197</xdr:rowOff>
    </xdr:from>
    <xdr:to>
      <xdr:col>37</xdr:col>
      <xdr:colOff>354371</xdr:colOff>
      <xdr:row>78</xdr:row>
      <xdr:rowOff>49197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49197</xdr:rowOff>
    </xdr:from>
    <xdr:to>
      <xdr:col>37</xdr:col>
      <xdr:colOff>430571</xdr:colOff>
      <xdr:row>78</xdr:row>
      <xdr:rowOff>49197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68909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107199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141643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141643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30941</xdr:rowOff>
    </xdr:from>
    <xdr:to>
      <xdr:col>40</xdr:col>
      <xdr:colOff>505806</xdr:colOff>
      <xdr:row>95</xdr:row>
      <xdr:rowOff>65925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62</xdr:row>
      <xdr:rowOff>1103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84928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142000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30877</xdr:rowOff>
    </xdr:from>
    <xdr:to>
      <xdr:col>37</xdr:col>
      <xdr:colOff>275105</xdr:colOff>
      <xdr:row>72</xdr:row>
      <xdr:rowOff>30962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30877</xdr:rowOff>
    </xdr:from>
    <xdr:to>
      <xdr:col>37</xdr:col>
      <xdr:colOff>370355</xdr:colOff>
      <xdr:row>72</xdr:row>
      <xdr:rowOff>30962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65692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62</xdr:row>
      <xdr:rowOff>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103848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9839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123218</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6" name="Text Box 60" hidden="1">
          <a:extLst>
            <a:ext uri="{FF2B5EF4-FFF2-40B4-BE49-F238E27FC236}">
              <a16:creationId xmlns:a16="http://schemas.microsoft.com/office/drawing/2014/main" id="{0373C287-8C52-E107-21D7-5A852C6B4E7D}"/>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55" name="Text Box 59" hidden="1">
          <a:extLst>
            <a:ext uri="{FF2B5EF4-FFF2-40B4-BE49-F238E27FC236}">
              <a16:creationId xmlns:a16="http://schemas.microsoft.com/office/drawing/2014/main" id="{FF13284B-3043-CB9F-2F85-2E8E1B91676B}"/>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54" name="Text Box 58" hidden="1">
          <a:extLst>
            <a:ext uri="{FF2B5EF4-FFF2-40B4-BE49-F238E27FC236}">
              <a16:creationId xmlns:a16="http://schemas.microsoft.com/office/drawing/2014/main" id="{5C682595-542E-4798-C74B-9C374D6FABA9}"/>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3" name="Text Box 57" hidden="1">
          <a:extLst>
            <a:ext uri="{FF2B5EF4-FFF2-40B4-BE49-F238E27FC236}">
              <a16:creationId xmlns:a16="http://schemas.microsoft.com/office/drawing/2014/main" id="{81139670-8B23-0587-13BF-670203F886ED}"/>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2" name="Text Box 56" hidden="1">
          <a:extLst>
            <a:ext uri="{FF2B5EF4-FFF2-40B4-BE49-F238E27FC236}">
              <a16:creationId xmlns:a16="http://schemas.microsoft.com/office/drawing/2014/main" id="{7717C0B1-6CFF-5414-1AD9-A01084AF6F99}"/>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1" name="Text Box 55" hidden="1">
          <a:extLst>
            <a:ext uri="{FF2B5EF4-FFF2-40B4-BE49-F238E27FC236}">
              <a16:creationId xmlns:a16="http://schemas.microsoft.com/office/drawing/2014/main" id="{7F5914C1-CFE1-682E-0E6F-51B44C021C17}"/>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62" name="Text Box 66" hidden="1">
          <a:extLst>
            <a:ext uri="{FF2B5EF4-FFF2-40B4-BE49-F238E27FC236}">
              <a16:creationId xmlns:a16="http://schemas.microsoft.com/office/drawing/2014/main" id="{625E8545-62C2-6688-992E-B377C715A1F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61" name="Text Box 65" hidden="1">
          <a:extLst>
            <a:ext uri="{FF2B5EF4-FFF2-40B4-BE49-F238E27FC236}">
              <a16:creationId xmlns:a16="http://schemas.microsoft.com/office/drawing/2014/main" id="{355F3162-49A8-C851-0156-0BC57A625408}"/>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60" name="Text Box 64" hidden="1">
          <a:extLst>
            <a:ext uri="{FF2B5EF4-FFF2-40B4-BE49-F238E27FC236}">
              <a16:creationId xmlns:a16="http://schemas.microsoft.com/office/drawing/2014/main" id="{22E8790A-67CB-1FCE-35EE-5E30984109D3}"/>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59" name="Text Box 63" hidden="1">
          <a:extLst>
            <a:ext uri="{FF2B5EF4-FFF2-40B4-BE49-F238E27FC236}">
              <a16:creationId xmlns:a16="http://schemas.microsoft.com/office/drawing/2014/main" id="{FD95949D-C770-BAE4-B773-B2F0F1E56181}"/>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58" name="Text Box 62" hidden="1">
          <a:extLst>
            <a:ext uri="{FF2B5EF4-FFF2-40B4-BE49-F238E27FC236}">
              <a16:creationId xmlns:a16="http://schemas.microsoft.com/office/drawing/2014/main" id="{B58BF6C5-153F-8A73-F7FC-90CE76DDC78B}"/>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57" name="Text Box 61" hidden="1">
          <a:extLst>
            <a:ext uri="{FF2B5EF4-FFF2-40B4-BE49-F238E27FC236}">
              <a16:creationId xmlns:a16="http://schemas.microsoft.com/office/drawing/2014/main" id="{472E5002-2784-24A0-EEF2-5897165C452C}"/>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68" name="Text Box 72" hidden="1">
          <a:extLst>
            <a:ext uri="{FF2B5EF4-FFF2-40B4-BE49-F238E27FC236}">
              <a16:creationId xmlns:a16="http://schemas.microsoft.com/office/drawing/2014/main" id="{C6098914-C795-025F-520C-502F7C62BE5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0</xdr:rowOff>
    </xdr:to>
    <xdr:sp macro="" textlink="">
      <xdr:nvSpPr>
        <xdr:cNvPr id="413767" name="Text Box 71" hidden="1">
          <a:extLst>
            <a:ext uri="{FF2B5EF4-FFF2-40B4-BE49-F238E27FC236}">
              <a16:creationId xmlns:a16="http://schemas.microsoft.com/office/drawing/2014/main" id="{2293207E-2D7F-6E0E-ACB0-52D85CF14BA6}"/>
            </a:ext>
          </a:extLst>
        </xdr:cNvPr>
        <xdr:cNvSpPr txBox="1">
          <a:spLocks noChangeArrowheads="1"/>
        </xdr:cNvSpPr>
      </xdr:nvSpPr>
      <xdr:spPr bwMode="auto">
        <a:xfrm>
          <a:off x="5772150" y="1517650"/>
          <a:ext cx="40894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66" name="Text Box 70" hidden="1">
          <a:extLst>
            <a:ext uri="{FF2B5EF4-FFF2-40B4-BE49-F238E27FC236}">
              <a16:creationId xmlns:a16="http://schemas.microsoft.com/office/drawing/2014/main" id="{D483FDE4-D55F-79A7-4FA6-0A98CF3EC43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65" name="Text Box 69" hidden="1">
          <a:extLst>
            <a:ext uri="{FF2B5EF4-FFF2-40B4-BE49-F238E27FC236}">
              <a16:creationId xmlns:a16="http://schemas.microsoft.com/office/drawing/2014/main" id="{6B55F1E7-3B47-5246-F4D9-C8672837B6E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64" name="Text Box 68" hidden="1">
          <a:extLst>
            <a:ext uri="{FF2B5EF4-FFF2-40B4-BE49-F238E27FC236}">
              <a16:creationId xmlns:a16="http://schemas.microsoft.com/office/drawing/2014/main" id="{CCC56928-1B4D-4A4C-ED4C-F806358E032D}"/>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63" name="Text Box 67" hidden="1">
          <a:extLst>
            <a:ext uri="{FF2B5EF4-FFF2-40B4-BE49-F238E27FC236}">
              <a16:creationId xmlns:a16="http://schemas.microsoft.com/office/drawing/2014/main" id="{0A3F7E8A-D194-CEBA-D771-6889134443B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8</xdr:row>
      <xdr:rowOff>152400</xdr:rowOff>
    </xdr:from>
    <xdr:to>
      <xdr:col>45</xdr:col>
      <xdr:colOff>647700</xdr:colOff>
      <xdr:row>28</xdr:row>
      <xdr:rowOff>19050</xdr:rowOff>
    </xdr:to>
    <xdr:sp macro="" textlink="">
      <xdr:nvSpPr>
        <xdr:cNvPr id="413769" name="Text Box 73" hidden="1">
          <a:extLst>
            <a:ext uri="{FF2B5EF4-FFF2-40B4-BE49-F238E27FC236}">
              <a16:creationId xmlns:a16="http://schemas.microsoft.com/office/drawing/2014/main" id="{87B23E35-5458-716D-69AF-B5BA26379069}"/>
            </a:ext>
          </a:extLst>
        </xdr:cNvPr>
        <xdr:cNvSpPr txBox="1">
          <a:spLocks noChangeArrowheads="1"/>
        </xdr:cNvSpPr>
      </xdr:nvSpPr>
      <xdr:spPr bwMode="auto">
        <a:xfrm>
          <a:off x="34347150" y="1778000"/>
          <a:ext cx="41338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A17B57E6-3C1C-26E1-3882-6F7688F7765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816A352A-9F8A-8901-51A2-BB8558D4563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0C3E9197-C58B-9047-521C-2CB05FE4B93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FB940907-D811-9373-2BDD-0B63FB44CC5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2C77982E-FF51-E1BB-B5EE-6CB0DA5A46CA}"/>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76C966BC-F0B9-DD60-E220-D0E01704E7D8}"/>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58B31E59-0F8B-52BD-8873-61E84E688D2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6EF2C2CA-719A-6E5C-0036-DE4070139FA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30F24727-198B-3306-C930-DA7AF6BBAC23}"/>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9" name="Text Box 99" hidden="1">
          <a:extLst>
            <a:ext uri="{FF2B5EF4-FFF2-40B4-BE49-F238E27FC236}">
              <a16:creationId xmlns:a16="http://schemas.microsoft.com/office/drawing/2014/main" id="{E513B150-E87E-B38D-9FD5-D6BB284DDC58}"/>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18" name="Text Box 98" hidden="1">
          <a:extLst>
            <a:ext uri="{FF2B5EF4-FFF2-40B4-BE49-F238E27FC236}">
              <a16:creationId xmlns:a16="http://schemas.microsoft.com/office/drawing/2014/main" id="{3E9DED7D-C8BF-745E-1FE7-8792AA7BC505}"/>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17" name="Text Box 97" hidden="1">
          <a:extLst>
            <a:ext uri="{FF2B5EF4-FFF2-40B4-BE49-F238E27FC236}">
              <a16:creationId xmlns:a16="http://schemas.microsoft.com/office/drawing/2014/main" id="{101CDD33-15A3-7069-F323-76772030A9B6}"/>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16" name="Text Box 96" hidden="1">
          <a:extLst>
            <a:ext uri="{FF2B5EF4-FFF2-40B4-BE49-F238E27FC236}">
              <a16:creationId xmlns:a16="http://schemas.microsoft.com/office/drawing/2014/main" id="{81E746CE-5680-6ADA-0082-457D5043F9DC}"/>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15" name="Text Box 95" hidden="1">
          <a:extLst>
            <a:ext uri="{FF2B5EF4-FFF2-40B4-BE49-F238E27FC236}">
              <a16:creationId xmlns:a16="http://schemas.microsoft.com/office/drawing/2014/main" id="{C6F8A454-F5BE-2A92-EC43-F017C81236E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14" name="Text Box 94" hidden="1">
          <a:extLst>
            <a:ext uri="{FF2B5EF4-FFF2-40B4-BE49-F238E27FC236}">
              <a16:creationId xmlns:a16="http://schemas.microsoft.com/office/drawing/2014/main" id="{207929B2-E388-50B9-5105-E333A0EB524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13" name="Text Box 93" hidden="1">
          <a:extLst>
            <a:ext uri="{FF2B5EF4-FFF2-40B4-BE49-F238E27FC236}">
              <a16:creationId xmlns:a16="http://schemas.microsoft.com/office/drawing/2014/main" id="{78CC99E4-2A3B-FBCD-EAF3-4375C1C3F6D8}"/>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12" name="Text Box 92" hidden="1">
          <a:extLst>
            <a:ext uri="{FF2B5EF4-FFF2-40B4-BE49-F238E27FC236}">
              <a16:creationId xmlns:a16="http://schemas.microsoft.com/office/drawing/2014/main" id="{6ACF5714-63D8-0853-2355-9AFD514174D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11" name="Text Box 91" hidden="1">
          <a:extLst>
            <a:ext uri="{FF2B5EF4-FFF2-40B4-BE49-F238E27FC236}">
              <a16:creationId xmlns:a16="http://schemas.microsoft.com/office/drawing/2014/main" id="{52C11302-4D16-5DF8-CAA2-F93B761D9DF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28" name="Text Box 108" hidden="1">
          <a:extLst>
            <a:ext uri="{FF2B5EF4-FFF2-40B4-BE49-F238E27FC236}">
              <a16:creationId xmlns:a16="http://schemas.microsoft.com/office/drawing/2014/main" id="{231A90E1-CFF7-C8D4-28E3-AB64267FFAE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27" name="Text Box 107" hidden="1">
          <a:extLst>
            <a:ext uri="{FF2B5EF4-FFF2-40B4-BE49-F238E27FC236}">
              <a16:creationId xmlns:a16="http://schemas.microsoft.com/office/drawing/2014/main" id="{85EA32DB-2BA5-C1A5-C614-C8D262D9B15D}"/>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26" name="Text Box 106" hidden="1">
          <a:extLst>
            <a:ext uri="{FF2B5EF4-FFF2-40B4-BE49-F238E27FC236}">
              <a16:creationId xmlns:a16="http://schemas.microsoft.com/office/drawing/2014/main" id="{D03310EA-7140-E66D-D3D6-92BC658E9C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25" name="Text Box 105" hidden="1">
          <a:extLst>
            <a:ext uri="{FF2B5EF4-FFF2-40B4-BE49-F238E27FC236}">
              <a16:creationId xmlns:a16="http://schemas.microsoft.com/office/drawing/2014/main" id="{3951A34E-5AE5-1B91-77F4-3C6AE17CBD52}"/>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24" name="Text Box 104" hidden="1">
          <a:extLst>
            <a:ext uri="{FF2B5EF4-FFF2-40B4-BE49-F238E27FC236}">
              <a16:creationId xmlns:a16="http://schemas.microsoft.com/office/drawing/2014/main" id="{2BC0C294-F9E0-3722-F473-7B86915C5A74}"/>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23" name="Text Box 103" hidden="1">
          <a:extLst>
            <a:ext uri="{FF2B5EF4-FFF2-40B4-BE49-F238E27FC236}">
              <a16:creationId xmlns:a16="http://schemas.microsoft.com/office/drawing/2014/main" id="{03673E69-432F-A9DB-921B-9D6C78951588}"/>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22" name="Text Box 102" hidden="1">
          <a:extLst>
            <a:ext uri="{FF2B5EF4-FFF2-40B4-BE49-F238E27FC236}">
              <a16:creationId xmlns:a16="http://schemas.microsoft.com/office/drawing/2014/main" id="{14E7A033-AC0D-9F9C-EDE7-1EAE7A346BF8}"/>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21" name="Text Box 101" hidden="1">
          <a:extLst>
            <a:ext uri="{FF2B5EF4-FFF2-40B4-BE49-F238E27FC236}">
              <a16:creationId xmlns:a16="http://schemas.microsoft.com/office/drawing/2014/main" id="{D52A6BD9-4BD3-D5BF-11B7-0E051739E59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20" name="Text Box 100" hidden="1">
          <a:extLst>
            <a:ext uri="{FF2B5EF4-FFF2-40B4-BE49-F238E27FC236}">
              <a16:creationId xmlns:a16="http://schemas.microsoft.com/office/drawing/2014/main" id="{880DECA4-200D-6891-55FA-C96B1919155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65" name="Text Box 521" hidden="1">
          <a:extLst>
            <a:ext uri="{FF2B5EF4-FFF2-40B4-BE49-F238E27FC236}">
              <a16:creationId xmlns:a16="http://schemas.microsoft.com/office/drawing/2014/main" id="{F262D875-4D76-8A75-07D3-D3B30B96948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64" name="Text Box 520" hidden="1">
          <a:extLst>
            <a:ext uri="{FF2B5EF4-FFF2-40B4-BE49-F238E27FC236}">
              <a16:creationId xmlns:a16="http://schemas.microsoft.com/office/drawing/2014/main" id="{E9C231F4-8287-DAA8-DCB5-4A474EDBB441}"/>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61" name="Text Box 517" hidden="1">
          <a:extLst>
            <a:ext uri="{FF2B5EF4-FFF2-40B4-BE49-F238E27FC236}">
              <a16:creationId xmlns:a16="http://schemas.microsoft.com/office/drawing/2014/main" id="{7D8ED3E1-87E3-C3F4-92FC-813E6F2664C4}"/>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0" name="Text Box 516" hidden="1">
          <a:extLst>
            <a:ext uri="{FF2B5EF4-FFF2-40B4-BE49-F238E27FC236}">
              <a16:creationId xmlns:a16="http://schemas.microsoft.com/office/drawing/2014/main" id="{5C78C7D3-DAFA-F964-946E-7ED7957F9B8F}"/>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59" name="Text Box 515" hidden="1">
          <a:extLst>
            <a:ext uri="{FF2B5EF4-FFF2-40B4-BE49-F238E27FC236}">
              <a16:creationId xmlns:a16="http://schemas.microsoft.com/office/drawing/2014/main" id="{0F0950A1-E266-3CB1-FF1F-9034FB94DA3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6" name="Text Box 522" hidden="1">
          <a:extLst>
            <a:ext uri="{FF2B5EF4-FFF2-40B4-BE49-F238E27FC236}">
              <a16:creationId xmlns:a16="http://schemas.microsoft.com/office/drawing/2014/main" id="{8917DC9B-ADB1-1730-5EEA-15FD2F73B002}"/>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72" name="Text Box 528" hidden="1">
          <a:extLst>
            <a:ext uri="{FF2B5EF4-FFF2-40B4-BE49-F238E27FC236}">
              <a16:creationId xmlns:a16="http://schemas.microsoft.com/office/drawing/2014/main" id="{A176B45C-348F-C322-C612-95B8B47AE5DA}"/>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71" name="Text Box 527" hidden="1">
          <a:extLst>
            <a:ext uri="{FF2B5EF4-FFF2-40B4-BE49-F238E27FC236}">
              <a16:creationId xmlns:a16="http://schemas.microsoft.com/office/drawing/2014/main" id="{324047CE-A70D-34CB-6302-38DB826E917A}"/>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70" name="Text Box 526" hidden="1">
          <a:extLst>
            <a:ext uri="{FF2B5EF4-FFF2-40B4-BE49-F238E27FC236}">
              <a16:creationId xmlns:a16="http://schemas.microsoft.com/office/drawing/2014/main" id="{C1DE302D-4DC6-7830-E755-2813550D792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69" name="Text Box 525" hidden="1">
          <a:extLst>
            <a:ext uri="{FF2B5EF4-FFF2-40B4-BE49-F238E27FC236}">
              <a16:creationId xmlns:a16="http://schemas.microsoft.com/office/drawing/2014/main" id="{29D5C297-E6C5-A83B-9E05-AB4CD9025D80}"/>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68" name="Text Box 524" hidden="1">
          <a:extLst>
            <a:ext uri="{FF2B5EF4-FFF2-40B4-BE49-F238E27FC236}">
              <a16:creationId xmlns:a16="http://schemas.microsoft.com/office/drawing/2014/main" id="{849CE73A-48E0-4FE2-6F74-49E137923F2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67" name="Text Box 523" hidden="1">
          <a:extLst>
            <a:ext uri="{FF2B5EF4-FFF2-40B4-BE49-F238E27FC236}">
              <a16:creationId xmlns:a16="http://schemas.microsoft.com/office/drawing/2014/main" id="{A3B91141-7BB1-5891-62CF-7AF3662E8D05}"/>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171450</xdr:rowOff>
    </xdr:to>
    <xdr:sp macro="" textlink="">
      <xdr:nvSpPr>
        <xdr:cNvPr id="416278" name="Text Box 534" hidden="1">
          <a:extLst>
            <a:ext uri="{FF2B5EF4-FFF2-40B4-BE49-F238E27FC236}">
              <a16:creationId xmlns:a16="http://schemas.microsoft.com/office/drawing/2014/main" id="{B001E19C-50DD-CD8C-242C-FD9723673EC8}"/>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171450</xdr:rowOff>
    </xdr:to>
    <xdr:sp macro="" textlink="">
      <xdr:nvSpPr>
        <xdr:cNvPr id="416277" name="Text Box 533" hidden="1">
          <a:extLst>
            <a:ext uri="{FF2B5EF4-FFF2-40B4-BE49-F238E27FC236}">
              <a16:creationId xmlns:a16="http://schemas.microsoft.com/office/drawing/2014/main" id="{BC7D5892-8AD6-2006-D35D-15DEDAB55D56}"/>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44</xdr:row>
      <xdr:rowOff>38100</xdr:rowOff>
    </xdr:to>
    <xdr:sp macro="" textlink="">
      <xdr:nvSpPr>
        <xdr:cNvPr id="416276" name="Text Box 532" hidden="1">
          <a:extLst>
            <a:ext uri="{FF2B5EF4-FFF2-40B4-BE49-F238E27FC236}">
              <a16:creationId xmlns:a16="http://schemas.microsoft.com/office/drawing/2014/main" id="{BAF427D8-1D01-E155-44B6-F95468113F27}"/>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44</xdr:row>
      <xdr:rowOff>38100</xdr:rowOff>
    </xdr:to>
    <xdr:sp macro="" textlink="">
      <xdr:nvSpPr>
        <xdr:cNvPr id="416275" name="Text Box 531" hidden="1">
          <a:extLst>
            <a:ext uri="{FF2B5EF4-FFF2-40B4-BE49-F238E27FC236}">
              <a16:creationId xmlns:a16="http://schemas.microsoft.com/office/drawing/2014/main" id="{8C8A9FEA-C575-CF94-1408-BB518E55B2F5}"/>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152400</xdr:rowOff>
    </xdr:to>
    <xdr:sp macro="" textlink="">
      <xdr:nvSpPr>
        <xdr:cNvPr id="416274" name="Text Box 530" hidden="1">
          <a:extLst>
            <a:ext uri="{FF2B5EF4-FFF2-40B4-BE49-F238E27FC236}">
              <a16:creationId xmlns:a16="http://schemas.microsoft.com/office/drawing/2014/main" id="{BD5E7ED1-36BC-B6DB-4B11-A1419F08A5C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7</xdr:col>
      <xdr:colOff>647700</xdr:colOff>
      <xdr:row>34</xdr:row>
      <xdr:rowOff>0</xdr:rowOff>
    </xdr:to>
    <xdr:sp macro="" textlink="">
      <xdr:nvSpPr>
        <xdr:cNvPr id="416273" name="Text Box 529" hidden="1">
          <a:extLst>
            <a:ext uri="{FF2B5EF4-FFF2-40B4-BE49-F238E27FC236}">
              <a16:creationId xmlns:a16="http://schemas.microsoft.com/office/drawing/2014/main" id="{7D9EFB8B-446A-3A3C-78D5-303045E2DDD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0F3C904-BFFF-9B87-0407-42E64F592E47}"/>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978C0468-72CC-B369-16F5-E132416B79F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5EB842BB-D12D-4014-9614-0CB8C6432988}"/>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801" name="Text Box 33" hidden="1">
          <a:extLst>
            <a:ext uri="{FF2B5EF4-FFF2-40B4-BE49-F238E27FC236}">
              <a16:creationId xmlns:a16="http://schemas.microsoft.com/office/drawing/2014/main" id="{BEAC57D8-7399-AE03-371D-35CBEEB8D185}"/>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800" name="Text Box 32" hidden="1">
          <a:extLst>
            <a:ext uri="{FF2B5EF4-FFF2-40B4-BE49-F238E27FC236}">
              <a16:creationId xmlns:a16="http://schemas.microsoft.com/office/drawing/2014/main" id="{59EF58BD-1554-974E-5A77-CBE4ED2F8FA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9" name="Text Box 31" hidden="1">
          <a:extLst>
            <a:ext uri="{FF2B5EF4-FFF2-40B4-BE49-F238E27FC236}">
              <a16:creationId xmlns:a16="http://schemas.microsoft.com/office/drawing/2014/main" id="{A415651A-9A60-315D-BB83-C7E20BE6793F}"/>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804" name="Text Box 36" hidden="1">
          <a:extLst>
            <a:ext uri="{FF2B5EF4-FFF2-40B4-BE49-F238E27FC236}">
              <a16:creationId xmlns:a16="http://schemas.microsoft.com/office/drawing/2014/main" id="{68D40F06-BEDE-B97C-DC13-EB8A9A06D7D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803" name="Text Box 35" hidden="1">
          <a:extLst>
            <a:ext uri="{FF2B5EF4-FFF2-40B4-BE49-F238E27FC236}">
              <a16:creationId xmlns:a16="http://schemas.microsoft.com/office/drawing/2014/main" id="{36C1A531-8BAB-C5FF-1713-87989E2CADFA}"/>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802" name="Text Box 34" hidden="1">
          <a:extLst>
            <a:ext uri="{FF2B5EF4-FFF2-40B4-BE49-F238E27FC236}">
              <a16:creationId xmlns:a16="http://schemas.microsoft.com/office/drawing/2014/main" id="{8F456945-B710-ED22-ADDC-E63220ED9CD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absolute">
    <xdr:from>
      <xdr:col>21</xdr:col>
      <xdr:colOff>266700</xdr:colOff>
      <xdr:row>9</xdr:row>
      <xdr:rowOff>95250</xdr:rowOff>
    </xdr:from>
    <xdr:to>
      <xdr:col>23</xdr:col>
      <xdr:colOff>190500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23</xdr:col>
      <xdr:colOff>190500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266700</xdr:colOff>
      <xdr:row>9</xdr:row>
      <xdr:rowOff>95250</xdr:rowOff>
    </xdr:from>
    <xdr:to>
      <xdr:col>26</xdr:col>
      <xdr:colOff>190500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9</xdr:row>
      <xdr:rowOff>95250</xdr:rowOff>
    </xdr:from>
    <xdr:to>
      <xdr:col>26</xdr:col>
      <xdr:colOff>615950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2" name="Text Box 10" hidden="1">
          <a:extLst>
            <a:ext uri="{FF2B5EF4-FFF2-40B4-BE49-F238E27FC236}">
              <a16:creationId xmlns:a16="http://schemas.microsoft.com/office/drawing/2014/main" id="{38E43B99-736B-BA1A-1BB0-27EFFE370E1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692150</xdr:colOff>
      <xdr:row>10</xdr:row>
      <xdr:rowOff>95250</xdr:rowOff>
    </xdr:from>
    <xdr:to>
      <xdr:col>26</xdr:col>
      <xdr:colOff>615950</xdr:colOff>
      <xdr:row>30</xdr:row>
      <xdr:rowOff>76200</xdr:rowOff>
    </xdr:to>
    <xdr:sp macro="" textlink="">
      <xdr:nvSpPr>
        <xdr:cNvPr id="417803" name="Text Box 11" hidden="1">
          <a:extLst>
            <a:ext uri="{FF2B5EF4-FFF2-40B4-BE49-F238E27FC236}">
              <a16:creationId xmlns:a16="http://schemas.microsoft.com/office/drawing/2014/main" id="{837A1D3F-9EB8-E9E7-4C52-7B0F780518B1}"/>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4" name="Text Box 12" hidden="1">
          <a:extLst>
            <a:ext uri="{FF2B5EF4-FFF2-40B4-BE49-F238E27FC236}">
              <a16:creationId xmlns:a16="http://schemas.microsoft.com/office/drawing/2014/main" id="{06E1F0CF-0D62-5B76-7D19-B811A22EB5D0}"/>
            </a:ext>
          </a:extLst>
        </xdr:cNvPr>
        <xdr:cNvSpPr txBox="1">
          <a:spLocks noChangeArrowheads="1"/>
        </xdr:cNvSpPr>
      </xdr:nvSpPr>
      <xdr:spPr bwMode="auto">
        <a:xfrm>
          <a:off x="1903095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absolute">
    <xdr:from>
      <xdr:col>6</xdr:col>
      <xdr:colOff>169232</xdr:colOff>
      <xdr:row>94</xdr:row>
      <xdr:rowOff>2017</xdr:rowOff>
    </xdr:from>
    <xdr:to>
      <xdr:col>8</xdr:col>
      <xdr:colOff>274913</xdr:colOff>
      <xdr:row>94</xdr:row>
      <xdr:rowOff>2017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50</xdr:row>
      <xdr:rowOff>320899</xdr:rowOff>
    </xdr:from>
    <xdr:to>
      <xdr:col>1</xdr:col>
      <xdr:colOff>4255844</xdr:colOff>
      <xdr:row>55</xdr:row>
      <xdr:rowOff>20957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94</xdr:row>
      <xdr:rowOff>2017</xdr:rowOff>
    </xdr:from>
    <xdr:to>
      <xdr:col>8</xdr:col>
      <xdr:colOff>274913</xdr:colOff>
      <xdr:row>94</xdr:row>
      <xdr:rowOff>2017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94</xdr:row>
      <xdr:rowOff>2017</xdr:rowOff>
    </xdr:from>
    <xdr:to>
      <xdr:col>11</xdr:col>
      <xdr:colOff>235329</xdr:colOff>
      <xdr:row>94</xdr:row>
      <xdr:rowOff>2017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50</xdr:row>
      <xdr:rowOff>249104</xdr:rowOff>
    </xdr:from>
    <xdr:to>
      <xdr:col>8</xdr:col>
      <xdr:colOff>274913</xdr:colOff>
      <xdr:row>50</xdr:row>
      <xdr:rowOff>249104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50</xdr:row>
      <xdr:rowOff>249104</xdr:rowOff>
    </xdr:from>
    <xdr:to>
      <xdr:col>11</xdr:col>
      <xdr:colOff>235329</xdr:colOff>
      <xdr:row>50</xdr:row>
      <xdr:rowOff>249104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105217</xdr:rowOff>
    </xdr:from>
    <xdr:to>
      <xdr:col>8</xdr:col>
      <xdr:colOff>274913</xdr:colOff>
      <xdr:row>75</xdr:row>
      <xdr:rowOff>105217</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105217</xdr:rowOff>
    </xdr:from>
    <xdr:to>
      <xdr:col>11</xdr:col>
      <xdr:colOff>235329</xdr:colOff>
      <xdr:row>75</xdr:row>
      <xdr:rowOff>105217</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76529</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75</xdr:row>
      <xdr:rowOff>277401</xdr:rowOff>
    </xdr:from>
    <xdr:to>
      <xdr:col>8</xdr:col>
      <xdr:colOff>274913</xdr:colOff>
      <xdr:row>75</xdr:row>
      <xdr:rowOff>277401</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75</xdr:row>
      <xdr:rowOff>277401</xdr:rowOff>
    </xdr:from>
    <xdr:to>
      <xdr:col>11</xdr:col>
      <xdr:colOff>235329</xdr:colOff>
      <xdr:row>75</xdr:row>
      <xdr:rowOff>277401</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75</xdr:row>
      <xdr:rowOff>277401</xdr:rowOff>
    </xdr:from>
    <xdr:to>
      <xdr:col>8</xdr:col>
      <xdr:colOff>287976</xdr:colOff>
      <xdr:row>75</xdr:row>
      <xdr:rowOff>277401</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75</xdr:row>
      <xdr:rowOff>277401</xdr:rowOff>
    </xdr:from>
    <xdr:to>
      <xdr:col>11</xdr:col>
      <xdr:colOff>248392</xdr:colOff>
      <xdr:row>75</xdr:row>
      <xdr:rowOff>277401</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231588</xdr:rowOff>
    </xdr:from>
    <xdr:to>
      <xdr:col>1</xdr:col>
      <xdr:colOff>4231079</xdr:colOff>
      <xdr:row>34</xdr:row>
      <xdr:rowOff>39624</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75</xdr:row>
      <xdr:rowOff>173820</xdr:rowOff>
    </xdr:from>
    <xdr:to>
      <xdr:col>8</xdr:col>
      <xdr:colOff>254321</xdr:colOff>
      <xdr:row>75</xdr:row>
      <xdr:rowOff>173820</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75</xdr:row>
      <xdr:rowOff>173820</xdr:rowOff>
    </xdr:from>
    <xdr:to>
      <xdr:col>11</xdr:col>
      <xdr:colOff>211562</xdr:colOff>
      <xdr:row>75</xdr:row>
      <xdr:rowOff>173820</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4197424</xdr:colOff>
      <xdr:row>34</xdr:row>
      <xdr:rowOff>39624</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554462</xdr:colOff>
      <xdr:row>28</xdr:row>
      <xdr:rowOff>504638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554462</xdr:colOff>
      <xdr:row>27</xdr:row>
      <xdr:rowOff>393326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85780</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173820</xdr:rowOff>
    </xdr:from>
    <xdr:to>
      <xdr:col>8</xdr:col>
      <xdr:colOff>249876</xdr:colOff>
      <xdr:row>75</xdr:row>
      <xdr:rowOff>173820</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173820</xdr:rowOff>
    </xdr:from>
    <xdr:to>
      <xdr:col>11</xdr:col>
      <xdr:colOff>210292</xdr:colOff>
      <xdr:row>75</xdr:row>
      <xdr:rowOff>173820</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164959</xdr:rowOff>
    </xdr:from>
    <xdr:to>
      <xdr:col>19</xdr:col>
      <xdr:colOff>591292</xdr:colOff>
      <xdr:row>75</xdr:row>
      <xdr:rowOff>36885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155347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344099</xdr:rowOff>
    </xdr:from>
    <xdr:to>
      <xdr:col>8</xdr:col>
      <xdr:colOff>249876</xdr:colOff>
      <xdr:row>75</xdr:row>
      <xdr:rowOff>344099</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344099</xdr:rowOff>
    </xdr:from>
    <xdr:to>
      <xdr:col>11</xdr:col>
      <xdr:colOff>210292</xdr:colOff>
      <xdr:row>75</xdr:row>
      <xdr:rowOff>344099</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231588</xdr:rowOff>
    </xdr:from>
    <xdr:to>
      <xdr:col>1</xdr:col>
      <xdr:colOff>4192979</xdr:colOff>
      <xdr:row>34</xdr:row>
      <xdr:rowOff>39624</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98384</xdr:rowOff>
    </xdr:from>
    <xdr:to>
      <xdr:col>19</xdr:col>
      <xdr:colOff>591292</xdr:colOff>
      <xdr:row>75</xdr:row>
      <xdr:rowOff>150902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211663</xdr:rowOff>
    </xdr:from>
    <xdr:to>
      <xdr:col>8</xdr:col>
      <xdr:colOff>249876</xdr:colOff>
      <xdr:row>62</xdr:row>
      <xdr:rowOff>211663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211663</xdr:rowOff>
    </xdr:from>
    <xdr:to>
      <xdr:col>11</xdr:col>
      <xdr:colOff>210292</xdr:colOff>
      <xdr:row>62</xdr:row>
      <xdr:rowOff>211663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27</xdr:row>
      <xdr:rowOff>304426</xdr:rowOff>
    </xdr:from>
    <xdr:to>
      <xdr:col>17</xdr:col>
      <xdr:colOff>553192</xdr:colOff>
      <xdr:row>28</xdr:row>
      <xdr:rowOff>504638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83111</xdr:rowOff>
    </xdr:from>
    <xdr:to>
      <xdr:col>17</xdr:col>
      <xdr:colOff>553192</xdr:colOff>
      <xdr:row>27</xdr:row>
      <xdr:rowOff>393326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78432</xdr:rowOff>
    </xdr:from>
    <xdr:to>
      <xdr:col>19</xdr:col>
      <xdr:colOff>591292</xdr:colOff>
      <xdr:row>62</xdr:row>
      <xdr:rowOff>78432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57150</xdr:rowOff>
    </xdr:from>
    <xdr:to>
      <xdr:col>19</xdr:col>
      <xdr:colOff>629392</xdr:colOff>
      <xdr:row>23</xdr:row>
      <xdr:rowOff>283135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2988</xdr:rowOff>
    </xdr:from>
    <xdr:to>
      <xdr:col>1</xdr:col>
      <xdr:colOff>4726379</xdr:colOff>
      <xdr:row>31</xdr:row>
      <xdr:rowOff>18490</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28132</xdr:rowOff>
    </xdr:from>
    <xdr:to>
      <xdr:col>8</xdr:col>
      <xdr:colOff>239774</xdr:colOff>
      <xdr:row>63</xdr:row>
      <xdr:rowOff>28132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28132</xdr:rowOff>
    </xdr:from>
    <xdr:to>
      <xdr:col>11</xdr:col>
      <xdr:colOff>200190</xdr:colOff>
      <xdr:row>63</xdr:row>
      <xdr:rowOff>28132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27</xdr:row>
      <xdr:rowOff>304426</xdr:rowOff>
    </xdr:from>
    <xdr:to>
      <xdr:col>17</xdr:col>
      <xdr:colOff>543090</xdr:colOff>
      <xdr:row>28</xdr:row>
      <xdr:rowOff>504638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83111</xdr:rowOff>
    </xdr:from>
    <xdr:to>
      <xdr:col>17</xdr:col>
      <xdr:colOff>543090</xdr:colOff>
      <xdr:row>27</xdr:row>
      <xdr:rowOff>393326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57150</xdr:rowOff>
    </xdr:from>
    <xdr:to>
      <xdr:col>19</xdr:col>
      <xdr:colOff>619290</xdr:colOff>
      <xdr:row>23</xdr:row>
      <xdr:rowOff>283135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4716277</xdr:colOff>
      <xdr:row>31</xdr:row>
      <xdr:rowOff>18490</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58</xdr:row>
      <xdr:rowOff>248549</xdr:rowOff>
    </xdr:from>
    <xdr:to>
      <xdr:col>20</xdr:col>
      <xdr:colOff>657390</xdr:colOff>
      <xdr:row>60</xdr:row>
      <xdr:rowOff>102109</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58</xdr:row>
      <xdr:rowOff>248549</xdr:rowOff>
    </xdr:from>
    <xdr:to>
      <xdr:col>24</xdr:col>
      <xdr:colOff>657390</xdr:colOff>
      <xdr:row>60</xdr:row>
      <xdr:rowOff>102109</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58</xdr:row>
      <xdr:rowOff>248549</xdr:rowOff>
    </xdr:from>
    <xdr:to>
      <xdr:col>28</xdr:col>
      <xdr:colOff>657390</xdr:colOff>
      <xdr:row>60</xdr:row>
      <xdr:rowOff>102109</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6350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323476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64861</xdr:rowOff>
    </xdr:from>
    <xdr:to>
      <xdr:col>8</xdr:col>
      <xdr:colOff>228600</xdr:colOff>
      <xdr:row>91</xdr:row>
      <xdr:rowOff>64861</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64861</xdr:rowOff>
    </xdr:from>
    <xdr:to>
      <xdr:col>11</xdr:col>
      <xdr:colOff>190500</xdr:colOff>
      <xdr:row>91</xdr:row>
      <xdr:rowOff>64861</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27</xdr:row>
      <xdr:rowOff>304426</xdr:rowOff>
    </xdr:from>
    <xdr:to>
      <xdr:col>17</xdr:col>
      <xdr:colOff>533400</xdr:colOff>
      <xdr:row>28</xdr:row>
      <xdr:rowOff>504638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83111</xdr:rowOff>
    </xdr:from>
    <xdr:to>
      <xdr:col>17</xdr:col>
      <xdr:colOff>533400</xdr:colOff>
      <xdr:row>27</xdr:row>
      <xdr:rowOff>393326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57150</xdr:rowOff>
    </xdr:from>
    <xdr:to>
      <xdr:col>19</xdr:col>
      <xdr:colOff>609600</xdr:colOff>
      <xdr:row>23</xdr:row>
      <xdr:rowOff>283135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28</xdr:row>
      <xdr:rowOff>542738</xdr:rowOff>
    </xdr:from>
    <xdr:to>
      <xdr:col>1</xdr:col>
      <xdr:colOff>4686300</xdr:colOff>
      <xdr:row>31</xdr:row>
      <xdr:rowOff>18490</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183</xdr:row>
      <xdr:rowOff>88352</xdr:rowOff>
    </xdr:from>
    <xdr:to>
      <xdr:col>1</xdr:col>
      <xdr:colOff>4724400</xdr:colOff>
      <xdr:row>183</xdr:row>
      <xdr:rowOff>139713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87</xdr:row>
      <xdr:rowOff>180466</xdr:rowOff>
    </xdr:from>
    <xdr:to>
      <xdr:col>20</xdr:col>
      <xdr:colOff>647700</xdr:colOff>
      <xdr:row>88</xdr:row>
      <xdr:rowOff>26509</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87</xdr:row>
      <xdr:rowOff>180466</xdr:rowOff>
    </xdr:from>
    <xdr:to>
      <xdr:col>24</xdr:col>
      <xdr:colOff>647700</xdr:colOff>
      <xdr:row>88</xdr:row>
      <xdr:rowOff>26509</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87</xdr:row>
      <xdr:rowOff>180466</xdr:rowOff>
    </xdr:from>
    <xdr:to>
      <xdr:col>28</xdr:col>
      <xdr:colOff>647700</xdr:colOff>
      <xdr:row>88</xdr:row>
      <xdr:rowOff>26509</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18</xdr:row>
      <xdr:rowOff>215900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50</xdr:row>
      <xdr:rowOff>209550</xdr:rowOff>
    </xdr:from>
    <xdr:to>
      <xdr:col>2</xdr:col>
      <xdr:colOff>685800</xdr:colOff>
      <xdr:row>54</xdr:row>
      <xdr:rowOff>27080</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101654</xdr:rowOff>
    </xdr:from>
    <xdr:to>
      <xdr:col>21</xdr:col>
      <xdr:colOff>685800</xdr:colOff>
      <xdr:row>100</xdr:row>
      <xdr:rowOff>134030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101654</xdr:rowOff>
    </xdr:from>
    <xdr:to>
      <xdr:col>25</xdr:col>
      <xdr:colOff>685800</xdr:colOff>
      <xdr:row>100</xdr:row>
      <xdr:rowOff>134030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101654</xdr:rowOff>
    </xdr:from>
    <xdr:to>
      <xdr:col>29</xdr:col>
      <xdr:colOff>685800</xdr:colOff>
      <xdr:row>100</xdr:row>
      <xdr:rowOff>134030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83111</xdr:rowOff>
    </xdr:from>
    <xdr:to>
      <xdr:col>22</xdr:col>
      <xdr:colOff>609600</xdr:colOff>
      <xdr:row>27</xdr:row>
      <xdr:rowOff>304426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101</xdr:row>
      <xdr:rowOff>125435</xdr:rowOff>
    </xdr:from>
    <xdr:to>
      <xdr:col>8</xdr:col>
      <xdr:colOff>228600</xdr:colOff>
      <xdr:row>101</xdr:row>
      <xdr:rowOff>125435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101</xdr:row>
      <xdr:rowOff>125435</xdr:rowOff>
    </xdr:from>
    <xdr:to>
      <xdr:col>11</xdr:col>
      <xdr:colOff>190500</xdr:colOff>
      <xdr:row>101</xdr:row>
      <xdr:rowOff>125435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34</xdr:row>
      <xdr:rowOff>102658</xdr:rowOff>
    </xdr:from>
    <xdr:to>
      <xdr:col>17</xdr:col>
      <xdr:colOff>533400</xdr:colOff>
      <xdr:row>34</xdr:row>
      <xdr:rowOff>102658</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74084</xdr:rowOff>
    </xdr:from>
    <xdr:to>
      <xdr:col>17</xdr:col>
      <xdr:colOff>533400</xdr:colOff>
      <xdr:row>34</xdr:row>
      <xdr:rowOff>102658</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192</xdr:row>
      <xdr:rowOff>68094</xdr:rowOff>
    </xdr:from>
    <xdr:to>
      <xdr:col>1</xdr:col>
      <xdr:colOff>4724400</xdr:colOff>
      <xdr:row>192</xdr:row>
      <xdr:rowOff>122904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97</xdr:row>
      <xdr:rowOff>58325</xdr:rowOff>
    </xdr:from>
    <xdr:to>
      <xdr:col>20</xdr:col>
      <xdr:colOff>647700</xdr:colOff>
      <xdr:row>100</xdr:row>
      <xdr:rowOff>85495</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97</xdr:row>
      <xdr:rowOff>58325</xdr:rowOff>
    </xdr:from>
    <xdr:to>
      <xdr:col>24</xdr:col>
      <xdr:colOff>647700</xdr:colOff>
      <xdr:row>100</xdr:row>
      <xdr:rowOff>85495</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97</xdr:row>
      <xdr:rowOff>58325</xdr:rowOff>
    </xdr:from>
    <xdr:to>
      <xdr:col>28</xdr:col>
      <xdr:colOff>647700</xdr:colOff>
      <xdr:row>100</xdr:row>
      <xdr:rowOff>85495</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18</xdr:row>
      <xdr:rowOff>209550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85288</xdr:rowOff>
    </xdr:from>
    <xdr:to>
      <xdr:col>2</xdr:col>
      <xdr:colOff>685800</xdr:colOff>
      <xdr:row>58</xdr:row>
      <xdr:rowOff>38100</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106</xdr:row>
      <xdr:rowOff>116487</xdr:rowOff>
    </xdr:from>
    <xdr:to>
      <xdr:col>21</xdr:col>
      <xdr:colOff>685800</xdr:colOff>
      <xdr:row>115</xdr:row>
      <xdr:rowOff>122904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106</xdr:row>
      <xdr:rowOff>116487</xdr:rowOff>
    </xdr:from>
    <xdr:to>
      <xdr:col>25</xdr:col>
      <xdr:colOff>685800</xdr:colOff>
      <xdr:row>115</xdr:row>
      <xdr:rowOff>122904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106</xdr:row>
      <xdr:rowOff>116487</xdr:rowOff>
    </xdr:from>
    <xdr:to>
      <xdr:col>29</xdr:col>
      <xdr:colOff>685800</xdr:colOff>
      <xdr:row>115</xdr:row>
      <xdr:rowOff>122904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74</xdr:row>
      <xdr:rowOff>29475</xdr:rowOff>
    </xdr:from>
    <xdr:to>
      <xdr:col>25</xdr:col>
      <xdr:colOff>57150</xdr:colOff>
      <xdr:row>74</xdr:row>
      <xdr:rowOff>29475</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87</xdr:row>
      <xdr:rowOff>335044</xdr:rowOff>
    </xdr:from>
    <xdr:to>
      <xdr:col>32</xdr:col>
      <xdr:colOff>666750</xdr:colOff>
      <xdr:row>92</xdr:row>
      <xdr:rowOff>44843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39927</xdr:rowOff>
    </xdr:from>
    <xdr:to>
      <xdr:col>20</xdr:col>
      <xdr:colOff>647700</xdr:colOff>
      <xdr:row>67</xdr:row>
      <xdr:rowOff>10976</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39927</xdr:rowOff>
    </xdr:from>
    <xdr:to>
      <xdr:col>24</xdr:col>
      <xdr:colOff>647700</xdr:colOff>
      <xdr:row>67</xdr:row>
      <xdr:rowOff>10976</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39927</xdr:rowOff>
    </xdr:from>
    <xdr:to>
      <xdr:col>28</xdr:col>
      <xdr:colOff>647700</xdr:colOff>
      <xdr:row>67</xdr:row>
      <xdr:rowOff>10976</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107054</xdr:rowOff>
    </xdr:from>
    <xdr:to>
      <xdr:col>21</xdr:col>
      <xdr:colOff>685800</xdr:colOff>
      <xdr:row>78</xdr:row>
      <xdr:rowOff>803118</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107054</xdr:rowOff>
    </xdr:from>
    <xdr:to>
      <xdr:col>25</xdr:col>
      <xdr:colOff>685800</xdr:colOff>
      <xdr:row>78</xdr:row>
      <xdr:rowOff>803118</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107054</xdr:rowOff>
    </xdr:from>
    <xdr:to>
      <xdr:col>29</xdr:col>
      <xdr:colOff>685800</xdr:colOff>
      <xdr:row>78</xdr:row>
      <xdr:rowOff>803118</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8</xdr:col>
      <xdr:colOff>228600</xdr:colOff>
      <xdr:row>70</xdr:row>
      <xdr:rowOff>58674</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11</xdr:col>
      <xdr:colOff>190500</xdr:colOff>
      <xdr:row>70</xdr:row>
      <xdr:rowOff>58674</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17</xdr:col>
      <xdr:colOff>533400</xdr:colOff>
      <xdr:row>34</xdr:row>
      <xdr:rowOff>102658</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17</xdr:col>
      <xdr:colOff>533400</xdr:colOff>
      <xdr:row>34</xdr:row>
      <xdr:rowOff>102658</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19</xdr:col>
      <xdr:colOff>609600</xdr:colOff>
      <xdr:row>30</xdr:row>
      <xdr:rowOff>6350</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1</xdr:col>
      <xdr:colOff>4686300</xdr:colOff>
      <xdr:row>44</xdr:row>
      <xdr:rowOff>95250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1</xdr:col>
      <xdr:colOff>4724400</xdr:colOff>
      <xdr:row>165</xdr:row>
      <xdr:rowOff>120788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20</xdr:col>
      <xdr:colOff>647700</xdr:colOff>
      <xdr:row>67</xdr:row>
      <xdr:rowOff>10976</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24</xdr:col>
      <xdr:colOff>647700</xdr:colOff>
      <xdr:row>67</xdr:row>
      <xdr:rowOff>10976</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28</xdr:col>
      <xdr:colOff>647700</xdr:colOff>
      <xdr:row>67</xdr:row>
      <xdr:rowOff>10976</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18</xdr:row>
      <xdr:rowOff>209550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76</xdr:row>
      <xdr:rowOff>98194</xdr:rowOff>
    </xdr:from>
    <xdr:to>
      <xdr:col>21</xdr:col>
      <xdr:colOff>685800</xdr:colOff>
      <xdr:row>78</xdr:row>
      <xdr:rowOff>803118</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76</xdr:row>
      <xdr:rowOff>98194</xdr:rowOff>
    </xdr:from>
    <xdr:to>
      <xdr:col>25</xdr:col>
      <xdr:colOff>685800</xdr:colOff>
      <xdr:row>78</xdr:row>
      <xdr:rowOff>803118</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76</xdr:row>
      <xdr:rowOff>98194</xdr:rowOff>
    </xdr:from>
    <xdr:to>
      <xdr:col>29</xdr:col>
      <xdr:colOff>685800</xdr:colOff>
      <xdr:row>78</xdr:row>
      <xdr:rowOff>803118</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22</xdr:col>
      <xdr:colOff>609600</xdr:colOff>
      <xdr:row>34</xdr:row>
      <xdr:rowOff>102658</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24</xdr:col>
      <xdr:colOff>647700</xdr:colOff>
      <xdr:row>30</xdr:row>
      <xdr:rowOff>215900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25</xdr:col>
      <xdr:colOff>57150</xdr:colOff>
      <xdr:row>47</xdr:row>
      <xdr:rowOff>172508</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35</xdr:col>
      <xdr:colOff>76200</xdr:colOff>
      <xdr:row>24</xdr:row>
      <xdr:rowOff>82550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35</xdr:col>
      <xdr:colOff>76200</xdr:colOff>
      <xdr:row>25</xdr:row>
      <xdr:rowOff>130175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32</xdr:col>
      <xdr:colOff>666750</xdr:colOff>
      <xdr:row>64</xdr:row>
      <xdr:rowOff>12557</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34</xdr:row>
      <xdr:rowOff>102658</xdr:rowOff>
    </xdr:from>
    <xdr:to>
      <xdr:col>20</xdr:col>
      <xdr:colOff>533400</xdr:colOff>
      <xdr:row>53</xdr:row>
      <xdr:rowOff>65181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74084</xdr:rowOff>
    </xdr:from>
    <xdr:to>
      <xdr:col>20</xdr:col>
      <xdr:colOff>533400</xdr:colOff>
      <xdr:row>51</xdr:row>
      <xdr:rowOff>48248</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173566</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6350</xdr:colOff>
      <xdr:row>52</xdr:row>
      <xdr:rowOff>25400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6350</xdr:colOff>
      <xdr:row>185</xdr:row>
      <xdr:rowOff>120788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84</xdr:row>
      <xdr:rowOff>10918</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84</xdr:row>
      <xdr:rowOff>10918</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84</xdr:row>
      <xdr:rowOff>10918</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37</xdr:row>
      <xdr:rowOff>29633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50</xdr:row>
      <xdr:rowOff>150283</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171450</xdr:rowOff>
    </xdr:from>
    <xdr:to>
      <xdr:col>28</xdr:col>
      <xdr:colOff>57150</xdr:colOff>
      <xdr:row>64</xdr:row>
      <xdr:rowOff>143229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142875</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48</xdr:row>
      <xdr:rowOff>162983</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7</xdr:col>
      <xdr:colOff>1727</xdr:colOff>
      <xdr:row>52</xdr:row>
      <xdr:rowOff>25400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7</xdr:col>
      <xdr:colOff>1727</xdr:colOff>
      <xdr:row>185</xdr:row>
      <xdr:rowOff>120788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11352</xdr:rowOff>
    </xdr:from>
    <xdr:to>
      <xdr:col>24</xdr:col>
      <xdr:colOff>647700</xdr:colOff>
      <xdr:row>84</xdr:row>
      <xdr:rowOff>10918</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11352</xdr:rowOff>
    </xdr:from>
    <xdr:to>
      <xdr:col>28</xdr:col>
      <xdr:colOff>647700</xdr:colOff>
      <xdr:row>84</xdr:row>
      <xdr:rowOff>10918</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11352</xdr:rowOff>
    </xdr:from>
    <xdr:to>
      <xdr:col>32</xdr:col>
      <xdr:colOff>647700</xdr:colOff>
      <xdr:row>84</xdr:row>
      <xdr:rowOff>10918</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82550</xdr:rowOff>
    </xdr:from>
    <xdr:to>
      <xdr:col>28</xdr:col>
      <xdr:colOff>647700</xdr:colOff>
      <xdr:row>50</xdr:row>
      <xdr:rowOff>161925</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143229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43</xdr:row>
      <xdr:rowOff>141817</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107576</xdr:rowOff>
    </xdr:from>
    <xdr:to>
      <xdr:col>36</xdr:col>
      <xdr:colOff>673100</xdr:colOff>
      <xdr:row>78</xdr:row>
      <xdr:rowOff>765018</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34</xdr:row>
      <xdr:rowOff>102658</xdr:rowOff>
    </xdr:from>
    <xdr:to>
      <xdr:col>20</xdr:col>
      <xdr:colOff>533400</xdr:colOff>
      <xdr:row>53</xdr:row>
      <xdr:rowOff>65181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74084</xdr:rowOff>
    </xdr:from>
    <xdr:to>
      <xdr:col>20</xdr:col>
      <xdr:colOff>533400</xdr:colOff>
      <xdr:row>51</xdr:row>
      <xdr:rowOff>48248</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165</xdr:row>
      <xdr:rowOff>69152</xdr:rowOff>
    </xdr:from>
    <xdr:to>
      <xdr:col>6</xdr:col>
      <xdr:colOff>0</xdr:colOff>
      <xdr:row>185</xdr:row>
      <xdr:rowOff>120788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37</xdr:row>
      <xdr:rowOff>29633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107576</xdr:rowOff>
    </xdr:from>
    <xdr:to>
      <xdr:col>36</xdr:col>
      <xdr:colOff>666750</xdr:colOff>
      <xdr:row>78</xdr:row>
      <xdr:rowOff>765018</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58674</xdr:rowOff>
    </xdr:from>
    <xdr:to>
      <xdr:col>11</xdr:col>
      <xdr:colOff>228600</xdr:colOff>
      <xdr:row>90</xdr:row>
      <xdr:rowOff>164469</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58674</xdr:rowOff>
    </xdr:from>
    <xdr:to>
      <xdr:col>14</xdr:col>
      <xdr:colOff>190500</xdr:colOff>
      <xdr:row>90</xdr:row>
      <xdr:rowOff>164469</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53</xdr:row>
      <xdr:rowOff>65181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51</xdr:row>
      <xdr:rowOff>48248</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52</xdr:row>
      <xdr:rowOff>25400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166</xdr:row>
      <xdr:rowOff>152539</xdr:rowOff>
    </xdr:from>
    <xdr:to>
      <xdr:col>6</xdr:col>
      <xdr:colOff>0</xdr:colOff>
      <xdr:row>187</xdr:row>
      <xdr:rowOff>47578</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8177</xdr:rowOff>
    </xdr:from>
    <xdr:to>
      <xdr:col>24</xdr:col>
      <xdr:colOff>647700</xdr:colOff>
      <xdr:row>82</xdr:row>
      <xdr:rowOff>49585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8177</xdr:rowOff>
    </xdr:from>
    <xdr:to>
      <xdr:col>28</xdr:col>
      <xdr:colOff>647700</xdr:colOff>
      <xdr:row>82</xdr:row>
      <xdr:rowOff>49585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8177</xdr:rowOff>
    </xdr:from>
    <xdr:to>
      <xdr:col>32</xdr:col>
      <xdr:colOff>647700</xdr:colOff>
      <xdr:row>82</xdr:row>
      <xdr:rowOff>49585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51</xdr:row>
      <xdr:rowOff>48248</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420283</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154793</xdr:rowOff>
    </xdr:from>
    <xdr:to>
      <xdr:col>11</xdr:col>
      <xdr:colOff>228600</xdr:colOff>
      <xdr:row>93</xdr:row>
      <xdr:rowOff>164594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154793</xdr:rowOff>
    </xdr:from>
    <xdr:to>
      <xdr:col>14</xdr:col>
      <xdr:colOff>190500</xdr:colOff>
      <xdr:row>93</xdr:row>
      <xdr:rowOff>164594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102658</xdr:rowOff>
    </xdr:from>
    <xdr:to>
      <xdr:col>20</xdr:col>
      <xdr:colOff>533400</xdr:colOff>
      <xdr:row>52</xdr:row>
      <xdr:rowOff>44450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74084</xdr:rowOff>
    </xdr:from>
    <xdr:to>
      <xdr:col>20</xdr:col>
      <xdr:colOff>533400</xdr:colOff>
      <xdr:row>50</xdr:row>
      <xdr:rowOff>304800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27</xdr:row>
      <xdr:rowOff>342900</xdr:rowOff>
    </xdr:from>
    <xdr:to>
      <xdr:col>23</xdr:col>
      <xdr:colOff>609600</xdr:colOff>
      <xdr:row>47</xdr:row>
      <xdr:rowOff>353483</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34</xdr:row>
      <xdr:rowOff>102658</xdr:rowOff>
    </xdr:from>
    <xdr:to>
      <xdr:col>6</xdr:col>
      <xdr:colOff>0</xdr:colOff>
      <xdr:row>51</xdr:row>
      <xdr:rowOff>17992</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168</xdr:row>
      <xdr:rowOff>114438</xdr:rowOff>
    </xdr:from>
    <xdr:to>
      <xdr:col>6</xdr:col>
      <xdr:colOff>0</xdr:colOff>
      <xdr:row>189</xdr:row>
      <xdr:rowOff>7546</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340139</xdr:rowOff>
    </xdr:from>
    <xdr:to>
      <xdr:col>24</xdr:col>
      <xdr:colOff>647700</xdr:colOff>
      <xdr:row>84</xdr:row>
      <xdr:rowOff>64649</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340139</xdr:rowOff>
    </xdr:from>
    <xdr:to>
      <xdr:col>28</xdr:col>
      <xdr:colOff>647700</xdr:colOff>
      <xdr:row>84</xdr:row>
      <xdr:rowOff>64649</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340139</xdr:rowOff>
    </xdr:from>
    <xdr:to>
      <xdr:col>32</xdr:col>
      <xdr:colOff>647700</xdr:colOff>
      <xdr:row>84</xdr:row>
      <xdr:rowOff>64649</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37</xdr:row>
      <xdr:rowOff>29633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74084</xdr:rowOff>
    </xdr:from>
    <xdr:to>
      <xdr:col>26</xdr:col>
      <xdr:colOff>609600</xdr:colOff>
      <xdr:row>50</xdr:row>
      <xdr:rowOff>304800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82550</xdr:rowOff>
    </xdr:from>
    <xdr:to>
      <xdr:col>28</xdr:col>
      <xdr:colOff>647700</xdr:colOff>
      <xdr:row>49</xdr:row>
      <xdr:rowOff>161925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160867</xdr:rowOff>
    </xdr:from>
    <xdr:to>
      <xdr:col>28</xdr:col>
      <xdr:colOff>57150</xdr:colOff>
      <xdr:row>64</xdr:row>
      <xdr:rowOff>487478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63500</xdr:rowOff>
    </xdr:from>
    <xdr:to>
      <xdr:col>38</xdr:col>
      <xdr:colOff>76200</xdr:colOff>
      <xdr:row>42</xdr:row>
      <xdr:rowOff>97366</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34925</xdr:rowOff>
    </xdr:from>
    <xdr:to>
      <xdr:col>38</xdr:col>
      <xdr:colOff>76200</xdr:colOff>
      <xdr:row>42</xdr:row>
      <xdr:rowOff>141816</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65" name="Text Box 1025" hidden="1">
          <a:extLst>
            <a:ext uri="{FF2B5EF4-FFF2-40B4-BE49-F238E27FC236}">
              <a16:creationId xmlns:a16="http://schemas.microsoft.com/office/drawing/2014/main" id="{3C6F33BD-DCCA-712D-D2DF-A8A7DBAA3062}"/>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66" name="Text Box 1026" hidden="1">
          <a:extLst>
            <a:ext uri="{FF2B5EF4-FFF2-40B4-BE49-F238E27FC236}">
              <a16:creationId xmlns:a16="http://schemas.microsoft.com/office/drawing/2014/main" id="{93C83BFA-8C13-4D3D-4BBF-4C920A2C9A31}"/>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67" name="Text Box 1027" hidden="1">
          <a:extLst>
            <a:ext uri="{FF2B5EF4-FFF2-40B4-BE49-F238E27FC236}">
              <a16:creationId xmlns:a16="http://schemas.microsoft.com/office/drawing/2014/main" id="{F7A17141-A4B0-F858-6DBF-28EFEE8DAA47}"/>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68" name="Text Box 1028" hidden="1">
          <a:extLst>
            <a:ext uri="{FF2B5EF4-FFF2-40B4-BE49-F238E27FC236}">
              <a16:creationId xmlns:a16="http://schemas.microsoft.com/office/drawing/2014/main" id="{C8A57E64-56F6-DE5D-510D-353EEF008BBA}"/>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69" name="Text Box 1029" hidden="1">
          <a:extLst>
            <a:ext uri="{FF2B5EF4-FFF2-40B4-BE49-F238E27FC236}">
              <a16:creationId xmlns:a16="http://schemas.microsoft.com/office/drawing/2014/main" id="{2735AB10-1D89-B96C-2988-CAD9C9618367}"/>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70" name="Text Box 1030" hidden="1">
          <a:extLst>
            <a:ext uri="{FF2B5EF4-FFF2-40B4-BE49-F238E27FC236}">
              <a16:creationId xmlns:a16="http://schemas.microsoft.com/office/drawing/2014/main" id="{27DED0C0-70A7-4F58-7E00-8E7FDA9592B6}"/>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71" name="Text Box 1031" hidden="1">
          <a:extLst>
            <a:ext uri="{FF2B5EF4-FFF2-40B4-BE49-F238E27FC236}">
              <a16:creationId xmlns:a16="http://schemas.microsoft.com/office/drawing/2014/main" id="{5248C41F-8B51-D514-26E0-34A93363E330}"/>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72" name="Text Box 1032" hidden="1">
          <a:extLst>
            <a:ext uri="{FF2B5EF4-FFF2-40B4-BE49-F238E27FC236}">
              <a16:creationId xmlns:a16="http://schemas.microsoft.com/office/drawing/2014/main" id="{E9DF2D0A-1DC3-B1EC-2D51-E7DC7CB29CE4}"/>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73" name="Text Box 1033" hidden="1">
          <a:extLst>
            <a:ext uri="{FF2B5EF4-FFF2-40B4-BE49-F238E27FC236}">
              <a16:creationId xmlns:a16="http://schemas.microsoft.com/office/drawing/2014/main" id="{A3E61847-3449-87B3-E6D3-D62D9E4BDE23}"/>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74" name="Text Box 1034" hidden="1">
          <a:extLst>
            <a:ext uri="{FF2B5EF4-FFF2-40B4-BE49-F238E27FC236}">
              <a16:creationId xmlns:a16="http://schemas.microsoft.com/office/drawing/2014/main" id="{7F7E8390-5ADE-CA15-2D4F-7DAFC76CEE5C}"/>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0" name="Text Box 1040" hidden="1">
          <a:extLst>
            <a:ext uri="{FF2B5EF4-FFF2-40B4-BE49-F238E27FC236}">
              <a16:creationId xmlns:a16="http://schemas.microsoft.com/office/drawing/2014/main" id="{0D2D5DB6-2E75-D732-EF3F-9FEDB1F44502}"/>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29</xdr:row>
      <xdr:rowOff>311150</xdr:rowOff>
    </xdr:to>
    <xdr:sp macro="" textlink="">
      <xdr:nvSpPr>
        <xdr:cNvPr id="446491" name="Text Box 1051" hidden="1">
          <a:extLst>
            <a:ext uri="{FF2B5EF4-FFF2-40B4-BE49-F238E27FC236}">
              <a16:creationId xmlns:a16="http://schemas.microsoft.com/office/drawing/2014/main" id="{DA849FAB-0BA2-2370-2C5A-0B066A2D2AAE}"/>
            </a:ext>
          </a:extLst>
        </xdr:cNvPr>
        <xdr:cNvSpPr txBox="1">
          <a:spLocks noChangeArrowheads="1"/>
        </xdr:cNvSpPr>
      </xdr:nvSpPr>
      <xdr:spPr bwMode="auto">
        <a:xfrm>
          <a:off x="21202650" y="1079500"/>
          <a:ext cx="4362450" cy="537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21</xdr:row>
      <xdr:rowOff>101600</xdr:rowOff>
    </xdr:from>
    <xdr:to>
      <xdr:col>25</xdr:col>
      <xdr:colOff>647700</xdr:colOff>
      <xdr:row>46</xdr:row>
      <xdr:rowOff>66675</xdr:rowOff>
    </xdr:to>
    <xdr:sp macro="" textlink="">
      <xdr:nvSpPr>
        <xdr:cNvPr id="446490" name="Text Box 1050" hidden="1">
          <a:extLst>
            <a:ext uri="{FF2B5EF4-FFF2-40B4-BE49-F238E27FC236}">
              <a16:creationId xmlns:a16="http://schemas.microsoft.com/office/drawing/2014/main" id="{5156C20E-082F-53B9-624D-DA6A4461D36A}"/>
            </a:ext>
          </a:extLst>
        </xdr:cNvPr>
        <xdr:cNvSpPr txBox="1">
          <a:spLocks noChangeArrowheads="1"/>
        </xdr:cNvSpPr>
      </xdr:nvSpPr>
      <xdr:spPr bwMode="auto">
        <a:xfrm>
          <a:off x="19678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101600</xdr:rowOff>
    </xdr:from>
    <xdr:to>
      <xdr:col>38</xdr:col>
      <xdr:colOff>647700</xdr:colOff>
      <xdr:row>46</xdr:row>
      <xdr:rowOff>66675</xdr:rowOff>
    </xdr:to>
    <xdr:sp macro="" textlink="">
      <xdr:nvSpPr>
        <xdr:cNvPr id="446489" name="Text Box 1049" hidden="1">
          <a:extLst>
            <a:ext uri="{FF2B5EF4-FFF2-40B4-BE49-F238E27FC236}">
              <a16:creationId xmlns:a16="http://schemas.microsoft.com/office/drawing/2014/main" id="{5E9D96ED-926B-9C03-338D-D8F3824AD70D}"/>
            </a:ext>
          </a:extLst>
        </xdr:cNvPr>
        <xdr:cNvSpPr txBox="1">
          <a:spLocks noChangeArrowheads="1"/>
        </xdr:cNvSpPr>
      </xdr:nvSpPr>
      <xdr:spPr bwMode="auto">
        <a:xfrm>
          <a:off x="29584650" y="3384550"/>
          <a:ext cx="4362450" cy="675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114300</xdr:rowOff>
    </xdr:from>
    <xdr:to>
      <xdr:col>38</xdr:col>
      <xdr:colOff>647700</xdr:colOff>
      <xdr:row>46</xdr:row>
      <xdr:rowOff>237067</xdr:rowOff>
    </xdr:to>
    <xdr:sp macro="" textlink="">
      <xdr:nvSpPr>
        <xdr:cNvPr id="446488" name="Text Box 1048" hidden="1">
          <a:extLst>
            <a:ext uri="{FF2B5EF4-FFF2-40B4-BE49-F238E27FC236}">
              <a16:creationId xmlns:a16="http://schemas.microsoft.com/office/drawing/2014/main" id="{83E45D63-B237-8ACE-31CD-81E7FFC4F2AD}"/>
            </a:ext>
          </a:extLst>
        </xdr:cNvPr>
        <xdr:cNvSpPr txBox="1">
          <a:spLocks noChangeArrowheads="1"/>
        </xdr:cNvSpPr>
      </xdr:nvSpPr>
      <xdr:spPr bwMode="auto">
        <a:xfrm>
          <a:off x="29584650" y="3651250"/>
          <a:ext cx="4362450" cy="666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114300</xdr:rowOff>
    </xdr:from>
    <xdr:to>
      <xdr:col>28</xdr:col>
      <xdr:colOff>647700</xdr:colOff>
      <xdr:row>47</xdr:row>
      <xdr:rowOff>46567</xdr:rowOff>
    </xdr:to>
    <xdr:sp macro="" textlink="">
      <xdr:nvSpPr>
        <xdr:cNvPr id="446487" name="Text Box 1047" hidden="1">
          <a:extLst>
            <a:ext uri="{FF2B5EF4-FFF2-40B4-BE49-F238E27FC236}">
              <a16:creationId xmlns:a16="http://schemas.microsoft.com/office/drawing/2014/main" id="{F4907FFB-0E2D-7257-7509-B7331EA517F6}"/>
            </a:ext>
          </a:extLst>
        </xdr:cNvPr>
        <xdr:cNvSpPr txBox="1">
          <a:spLocks noChangeArrowheads="1"/>
        </xdr:cNvSpPr>
      </xdr:nvSpPr>
      <xdr:spPr bwMode="auto">
        <a:xfrm>
          <a:off x="21964650" y="3924300"/>
          <a:ext cx="4362450" cy="657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24</xdr:row>
      <xdr:rowOff>114300</xdr:rowOff>
    </xdr:from>
    <xdr:to>
      <xdr:col>24</xdr:col>
      <xdr:colOff>647700</xdr:colOff>
      <xdr:row>47</xdr:row>
      <xdr:rowOff>229658</xdr:rowOff>
    </xdr:to>
    <xdr:sp macro="" textlink="">
      <xdr:nvSpPr>
        <xdr:cNvPr id="446486" name="Text Box 1046" hidden="1">
          <a:extLst>
            <a:ext uri="{FF2B5EF4-FFF2-40B4-BE49-F238E27FC236}">
              <a16:creationId xmlns:a16="http://schemas.microsoft.com/office/drawing/2014/main" id="{AD09C6D5-23A8-7FF7-97A7-B78D8E5346CD}"/>
            </a:ext>
          </a:extLst>
        </xdr:cNvPr>
        <xdr:cNvSpPr txBox="1">
          <a:spLocks noChangeArrowheads="1"/>
        </xdr:cNvSpPr>
      </xdr:nvSpPr>
      <xdr:spPr bwMode="auto">
        <a:xfrm>
          <a:off x="18916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24</xdr:row>
      <xdr:rowOff>114300</xdr:rowOff>
    </xdr:from>
    <xdr:to>
      <xdr:col>26</xdr:col>
      <xdr:colOff>647700</xdr:colOff>
      <xdr:row>47</xdr:row>
      <xdr:rowOff>229658</xdr:rowOff>
    </xdr:to>
    <xdr:sp macro="" textlink="">
      <xdr:nvSpPr>
        <xdr:cNvPr id="446485" name="Text Box 1045" hidden="1">
          <a:extLst>
            <a:ext uri="{FF2B5EF4-FFF2-40B4-BE49-F238E27FC236}">
              <a16:creationId xmlns:a16="http://schemas.microsoft.com/office/drawing/2014/main" id="{1A822FAE-7A18-D196-53AF-F61FD67A9BE2}"/>
            </a:ext>
          </a:extLst>
        </xdr:cNvPr>
        <xdr:cNvSpPr txBox="1">
          <a:spLocks noChangeArrowheads="1"/>
        </xdr:cNvSpPr>
      </xdr:nvSpPr>
      <xdr:spPr bwMode="auto">
        <a:xfrm>
          <a:off x="20440650" y="4394200"/>
          <a:ext cx="4362450" cy="629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26</xdr:row>
      <xdr:rowOff>114300</xdr:rowOff>
    </xdr:from>
    <xdr:to>
      <xdr:col>24</xdr:col>
      <xdr:colOff>647700</xdr:colOff>
      <xdr:row>48</xdr:row>
      <xdr:rowOff>285750</xdr:rowOff>
    </xdr:to>
    <xdr:sp macro="" textlink="">
      <xdr:nvSpPr>
        <xdr:cNvPr id="446484" name="Text Box 1044" hidden="1">
          <a:extLst>
            <a:ext uri="{FF2B5EF4-FFF2-40B4-BE49-F238E27FC236}">
              <a16:creationId xmlns:a16="http://schemas.microsoft.com/office/drawing/2014/main" id="{3CC54DA4-CAF3-4B52-40A5-42DD64676711}"/>
            </a:ext>
          </a:extLst>
        </xdr:cNvPr>
        <xdr:cNvSpPr txBox="1">
          <a:spLocks noChangeArrowheads="1"/>
        </xdr:cNvSpPr>
      </xdr:nvSpPr>
      <xdr:spPr bwMode="auto">
        <a:xfrm>
          <a:off x="18916650" y="4864100"/>
          <a:ext cx="4362450" cy="625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101600</xdr:rowOff>
    </xdr:from>
    <xdr:to>
      <xdr:col>7</xdr:col>
      <xdr:colOff>647700</xdr:colOff>
      <xdr:row>50</xdr:row>
      <xdr:rowOff>66675</xdr:rowOff>
    </xdr:to>
    <xdr:sp macro="" textlink="">
      <xdr:nvSpPr>
        <xdr:cNvPr id="446483" name="Text Box 1043" hidden="1">
          <a:extLst>
            <a:ext uri="{FF2B5EF4-FFF2-40B4-BE49-F238E27FC236}">
              <a16:creationId xmlns:a16="http://schemas.microsoft.com/office/drawing/2014/main" id="{43E4CF44-F34E-8A49-FC5A-B498414C27E1}"/>
            </a:ext>
          </a:extLst>
        </xdr:cNvPr>
        <xdr:cNvSpPr txBox="1">
          <a:spLocks noChangeArrowheads="1"/>
        </xdr:cNvSpPr>
      </xdr:nvSpPr>
      <xdr:spPr bwMode="auto">
        <a:xfrm>
          <a:off x="5829300" y="5118100"/>
          <a:ext cx="4419600" cy="651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50</xdr:row>
      <xdr:rowOff>358775</xdr:rowOff>
    </xdr:from>
    <xdr:to>
      <xdr:col>28</xdr:col>
      <xdr:colOff>647700</xdr:colOff>
      <xdr:row>71</xdr:row>
      <xdr:rowOff>78317</xdr:rowOff>
    </xdr:to>
    <xdr:sp macro="" textlink="">
      <xdr:nvSpPr>
        <xdr:cNvPr id="446482" name="Text Box 1042" hidden="1">
          <a:extLst>
            <a:ext uri="{FF2B5EF4-FFF2-40B4-BE49-F238E27FC236}">
              <a16:creationId xmlns:a16="http://schemas.microsoft.com/office/drawing/2014/main" id="{5548107D-5291-F80A-406C-8D89B96575FD}"/>
            </a:ext>
          </a:extLst>
        </xdr:cNvPr>
        <xdr:cNvSpPr txBox="1">
          <a:spLocks noChangeArrowheads="1"/>
        </xdr:cNvSpPr>
      </xdr:nvSpPr>
      <xdr:spPr bwMode="auto">
        <a:xfrm>
          <a:off x="21964650" y="11931650"/>
          <a:ext cx="4362450" cy="596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82</xdr:row>
      <xdr:rowOff>26458</xdr:rowOff>
    </xdr:from>
    <xdr:to>
      <xdr:col>7</xdr:col>
      <xdr:colOff>647700</xdr:colOff>
      <xdr:row>109</xdr:row>
      <xdr:rowOff>66675</xdr:rowOff>
    </xdr:to>
    <xdr:sp macro="" textlink="">
      <xdr:nvSpPr>
        <xdr:cNvPr id="446481" name="Text Box 1041" hidden="1">
          <a:extLst>
            <a:ext uri="{FF2B5EF4-FFF2-40B4-BE49-F238E27FC236}">
              <a16:creationId xmlns:a16="http://schemas.microsoft.com/office/drawing/2014/main" id="{BD8E1E0E-5675-CE21-78E2-5DB10F90995B}"/>
            </a:ext>
          </a:extLst>
        </xdr:cNvPr>
        <xdr:cNvSpPr txBox="1">
          <a:spLocks noChangeArrowheads="1"/>
        </xdr:cNvSpPr>
      </xdr:nvSpPr>
      <xdr:spPr bwMode="auto">
        <a:xfrm>
          <a:off x="5829300" y="21704300"/>
          <a:ext cx="441960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6502" name="Text Box 38" hidden="1">
          <a:extLst>
            <a:ext uri="{FF2B5EF4-FFF2-40B4-BE49-F238E27FC236}">
              <a16:creationId xmlns:a16="http://schemas.microsoft.com/office/drawing/2014/main" id="{E3B72DF0-001C-0D0F-0BCD-0D1B1320F995}"/>
            </a:ext>
          </a:extLst>
        </xdr:cNvPr>
        <xdr:cNvSpPr txBox="1">
          <a:spLocks noChangeArrowheads="1"/>
        </xdr:cNvSpPr>
      </xdr:nvSpPr>
      <xdr:spPr bwMode="auto">
        <a:xfrm>
          <a:off x="21202650" y="1079500"/>
          <a:ext cx="4362450" cy="558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152400</xdr:rowOff>
    </xdr:from>
    <xdr:to>
      <xdr:col>25</xdr:col>
      <xdr:colOff>647700</xdr:colOff>
      <xdr:row>40</xdr:row>
      <xdr:rowOff>133350</xdr:rowOff>
    </xdr:to>
    <xdr:sp macro="" textlink="">
      <xdr:nvSpPr>
        <xdr:cNvPr id="446501" name="Text Box 37" hidden="1">
          <a:extLst>
            <a:ext uri="{FF2B5EF4-FFF2-40B4-BE49-F238E27FC236}">
              <a16:creationId xmlns:a16="http://schemas.microsoft.com/office/drawing/2014/main" id="{7E36E27D-5E62-9FA7-76FD-599DD039FBD8}"/>
            </a:ext>
          </a:extLst>
        </xdr:cNvPr>
        <xdr:cNvSpPr txBox="1">
          <a:spLocks noChangeArrowheads="1"/>
        </xdr:cNvSpPr>
      </xdr:nvSpPr>
      <xdr:spPr bwMode="auto">
        <a:xfrm>
          <a:off x="19678650" y="3200400"/>
          <a:ext cx="4362450" cy="591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152400</xdr:rowOff>
    </xdr:from>
    <xdr:to>
      <xdr:col>38</xdr:col>
      <xdr:colOff>647700</xdr:colOff>
      <xdr:row>40</xdr:row>
      <xdr:rowOff>133350</xdr:rowOff>
    </xdr:to>
    <xdr:sp macro="" textlink="">
      <xdr:nvSpPr>
        <xdr:cNvPr id="446500" name="Text Box 36" hidden="1">
          <a:extLst>
            <a:ext uri="{FF2B5EF4-FFF2-40B4-BE49-F238E27FC236}">
              <a16:creationId xmlns:a16="http://schemas.microsoft.com/office/drawing/2014/main" id="{C819F974-2567-3803-B18A-5C587636D29B}"/>
            </a:ext>
          </a:extLst>
        </xdr:cNvPr>
        <xdr:cNvSpPr txBox="1">
          <a:spLocks noChangeArrowheads="1"/>
        </xdr:cNvSpPr>
      </xdr:nvSpPr>
      <xdr:spPr bwMode="auto">
        <a:xfrm>
          <a:off x="29584650" y="3200400"/>
          <a:ext cx="4362450" cy="591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190500</xdr:rowOff>
    </xdr:from>
    <xdr:to>
      <xdr:col>38</xdr:col>
      <xdr:colOff>647700</xdr:colOff>
      <xdr:row>41</xdr:row>
      <xdr:rowOff>95250</xdr:rowOff>
    </xdr:to>
    <xdr:sp macro="" textlink="">
      <xdr:nvSpPr>
        <xdr:cNvPr id="446499" name="Text Box 35" hidden="1">
          <a:extLst>
            <a:ext uri="{FF2B5EF4-FFF2-40B4-BE49-F238E27FC236}">
              <a16:creationId xmlns:a16="http://schemas.microsoft.com/office/drawing/2014/main" id="{F1B498B6-474E-794D-6F06-169D102F86F5}"/>
            </a:ext>
          </a:extLst>
        </xdr:cNvPr>
        <xdr:cNvSpPr txBox="1">
          <a:spLocks noChangeArrowheads="1"/>
        </xdr:cNvSpPr>
      </xdr:nvSpPr>
      <xdr:spPr bwMode="auto">
        <a:xfrm>
          <a:off x="29584650" y="3467100"/>
          <a:ext cx="436245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22</xdr:row>
      <xdr:rowOff>209550</xdr:rowOff>
    </xdr:from>
    <xdr:to>
      <xdr:col>28</xdr:col>
      <xdr:colOff>647700</xdr:colOff>
      <xdr:row>42</xdr:row>
      <xdr:rowOff>76200</xdr:rowOff>
    </xdr:to>
    <xdr:sp macro="" textlink="">
      <xdr:nvSpPr>
        <xdr:cNvPr id="446498" name="Text Box 34" hidden="1">
          <a:extLst>
            <a:ext uri="{FF2B5EF4-FFF2-40B4-BE49-F238E27FC236}">
              <a16:creationId xmlns:a16="http://schemas.microsoft.com/office/drawing/2014/main" id="{CF6EA274-20E3-1E30-081F-FDCEAF91A4D3}"/>
            </a:ext>
          </a:extLst>
        </xdr:cNvPr>
        <xdr:cNvSpPr txBox="1">
          <a:spLocks noChangeArrowheads="1"/>
        </xdr:cNvSpPr>
      </xdr:nvSpPr>
      <xdr:spPr bwMode="auto">
        <a:xfrm>
          <a:off x="21964650" y="3740150"/>
          <a:ext cx="4362450" cy="5683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23</xdr:row>
      <xdr:rowOff>400050</xdr:rowOff>
    </xdr:from>
    <xdr:to>
      <xdr:col>24</xdr:col>
      <xdr:colOff>647700</xdr:colOff>
      <xdr:row>43</xdr:row>
      <xdr:rowOff>95250</xdr:rowOff>
    </xdr:to>
    <xdr:sp macro="" textlink="">
      <xdr:nvSpPr>
        <xdr:cNvPr id="446497" name="Text Box 33" hidden="1">
          <a:extLst>
            <a:ext uri="{FF2B5EF4-FFF2-40B4-BE49-F238E27FC236}">
              <a16:creationId xmlns:a16="http://schemas.microsoft.com/office/drawing/2014/main" id="{8989CB6E-4E92-2281-8DF7-15EBA4F31567}"/>
            </a:ext>
          </a:extLst>
        </xdr:cNvPr>
        <xdr:cNvSpPr txBox="1">
          <a:spLocks noChangeArrowheads="1"/>
        </xdr:cNvSpPr>
      </xdr:nvSpPr>
      <xdr:spPr bwMode="auto">
        <a:xfrm>
          <a:off x="18916650" y="4210050"/>
          <a:ext cx="4362450" cy="541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23</xdr:row>
      <xdr:rowOff>400050</xdr:rowOff>
    </xdr:from>
    <xdr:to>
      <xdr:col>26</xdr:col>
      <xdr:colOff>647700</xdr:colOff>
      <xdr:row>43</xdr:row>
      <xdr:rowOff>95250</xdr:rowOff>
    </xdr:to>
    <xdr:sp macro="" textlink="">
      <xdr:nvSpPr>
        <xdr:cNvPr id="446496" name="Text Box 32" hidden="1">
          <a:extLst>
            <a:ext uri="{FF2B5EF4-FFF2-40B4-BE49-F238E27FC236}">
              <a16:creationId xmlns:a16="http://schemas.microsoft.com/office/drawing/2014/main" id="{FD2E1C18-2CCE-C47E-619B-8D2419A4584C}"/>
            </a:ext>
          </a:extLst>
        </xdr:cNvPr>
        <xdr:cNvSpPr txBox="1">
          <a:spLocks noChangeArrowheads="1"/>
        </xdr:cNvSpPr>
      </xdr:nvSpPr>
      <xdr:spPr bwMode="auto">
        <a:xfrm>
          <a:off x="20440650" y="4210050"/>
          <a:ext cx="4362450" cy="541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209550</xdr:rowOff>
    </xdr:from>
    <xdr:to>
      <xdr:col>24</xdr:col>
      <xdr:colOff>647700</xdr:colOff>
      <xdr:row>45</xdr:row>
      <xdr:rowOff>0</xdr:rowOff>
    </xdr:to>
    <xdr:sp macro="" textlink="">
      <xdr:nvSpPr>
        <xdr:cNvPr id="446495" name="Text Box 31" hidden="1">
          <a:extLst>
            <a:ext uri="{FF2B5EF4-FFF2-40B4-BE49-F238E27FC236}">
              <a16:creationId xmlns:a16="http://schemas.microsoft.com/office/drawing/2014/main" id="{80E8B324-4336-6CD0-D2DC-7EC0B058C98E}"/>
            </a:ext>
          </a:extLst>
        </xdr:cNvPr>
        <xdr:cNvSpPr txBox="1">
          <a:spLocks noChangeArrowheads="1"/>
        </xdr:cNvSpPr>
      </xdr:nvSpPr>
      <xdr:spPr bwMode="auto">
        <a:xfrm>
          <a:off x="18916650" y="4679950"/>
          <a:ext cx="4362450" cy="521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26</xdr:row>
      <xdr:rowOff>190500</xdr:rowOff>
    </xdr:from>
    <xdr:to>
      <xdr:col>7</xdr:col>
      <xdr:colOff>647700</xdr:colOff>
      <xdr:row>46</xdr:row>
      <xdr:rowOff>95250</xdr:rowOff>
    </xdr:to>
    <xdr:sp macro="" textlink="">
      <xdr:nvSpPr>
        <xdr:cNvPr id="446494" name="Text Box 30" hidden="1">
          <a:extLst>
            <a:ext uri="{FF2B5EF4-FFF2-40B4-BE49-F238E27FC236}">
              <a16:creationId xmlns:a16="http://schemas.microsoft.com/office/drawing/2014/main" id="{A3D28227-990C-1A50-21FA-B9BA6EC23BC4}"/>
            </a:ext>
          </a:extLst>
        </xdr:cNvPr>
        <xdr:cNvSpPr txBox="1">
          <a:spLocks noChangeArrowheads="1"/>
        </xdr:cNvSpPr>
      </xdr:nvSpPr>
      <xdr:spPr bwMode="auto">
        <a:xfrm>
          <a:off x="5829300" y="4933950"/>
          <a:ext cx="4419600" cy="524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42</xdr:row>
      <xdr:rowOff>114300</xdr:rowOff>
    </xdr:from>
    <xdr:to>
      <xdr:col>28</xdr:col>
      <xdr:colOff>647700</xdr:colOff>
      <xdr:row>62</xdr:row>
      <xdr:rowOff>209550</xdr:rowOff>
    </xdr:to>
    <xdr:sp macro="" textlink="">
      <xdr:nvSpPr>
        <xdr:cNvPr id="446493" name="Text Box 29" hidden="1">
          <a:extLst>
            <a:ext uri="{FF2B5EF4-FFF2-40B4-BE49-F238E27FC236}">
              <a16:creationId xmlns:a16="http://schemas.microsoft.com/office/drawing/2014/main" id="{DA8EEF0A-7FEE-F575-5044-6226464F83C1}"/>
            </a:ext>
          </a:extLst>
        </xdr:cNvPr>
        <xdr:cNvSpPr txBox="1">
          <a:spLocks noChangeArrowheads="1"/>
        </xdr:cNvSpPr>
      </xdr:nvSpPr>
      <xdr:spPr bwMode="auto">
        <a:xfrm>
          <a:off x="21964650" y="9461500"/>
          <a:ext cx="4362450" cy="6007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457200</xdr:rowOff>
    </xdr:from>
    <xdr:to>
      <xdr:col>7</xdr:col>
      <xdr:colOff>647700</xdr:colOff>
      <xdr:row>95</xdr:row>
      <xdr:rowOff>76200</xdr:rowOff>
    </xdr:to>
    <xdr:sp macro="" textlink="">
      <xdr:nvSpPr>
        <xdr:cNvPr id="446492" name="Text Box 28" hidden="1">
          <a:extLst>
            <a:ext uri="{FF2B5EF4-FFF2-40B4-BE49-F238E27FC236}">
              <a16:creationId xmlns:a16="http://schemas.microsoft.com/office/drawing/2014/main" id="{4A15AE3D-F9AD-D049-1706-77A0066C90B0}"/>
            </a:ext>
          </a:extLst>
        </xdr:cNvPr>
        <xdr:cNvSpPr txBox="1">
          <a:spLocks noChangeArrowheads="1"/>
        </xdr:cNvSpPr>
      </xdr:nvSpPr>
      <xdr:spPr bwMode="auto">
        <a:xfrm>
          <a:off x="5829300" y="19234150"/>
          <a:ext cx="44196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39D3618A-A310-3FAC-ADA0-D35C7E4D52BA}"/>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DC7E2595-4A5C-03E9-4A3E-2766BEC11CF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FDB64DFC-9EBF-98B9-8D9D-595334AE91DE}"/>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72CB5BDB-A1E3-603B-F5DA-967C6D81D439}"/>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577CADAC-77F9-A9E8-6D8B-38CE2ADE4693}"/>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459F7AEF-CB2A-0E76-AF08-E2D5FE903A8B}"/>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65CF0206-F890-853B-9943-0208222DBD45}"/>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9C4DC4A5-E500-2EBE-E5AF-F2288F63FF0C}"/>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923FA6F-A641-242F-C253-C5ABE902C7F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5C49E499-BF01-AE39-5F4B-04BD30F02ED6}"/>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B52EE42C-7B89-6808-A855-3DB33F85561D}"/>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68EC8D23-3B3E-F954-5FA9-8EF46283E023}"/>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073DB564-8AF2-6435-FC3F-3A2342722BE6}"/>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F5550FE7-F3D6-97D6-EF92-4163266BF62E}"/>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70EA253F-D07A-00A0-D956-9A4A82DFCB25}"/>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2BF80D78-E79E-CFA2-0A01-85A4AF41690C}"/>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275EC090-3AF4-2E5A-5B87-7F8B9E34B670}"/>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FA79D010-A63E-1073-4ED8-49CAF39C3C12}"/>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8E84A7B0-E49B-4875-4CA3-05920946718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F3680D86-9CCB-9FB2-8854-97C93620544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406D6273-361F-CBF9-3907-053AEB6A2832}"/>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5E2031F7-B4D6-1840-581B-A683B5910EC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04F6CD87-257A-6D27-ABA1-3AD84F580D9A}"/>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50E44101-C244-6346-7FE8-B4837D1F7B5F}"/>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DD06B73A-1F5F-D249-8DDC-909F9F5AB98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6EFC6F1E-515D-30A5-0456-7560C663A4A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B1F50F29-2AE2-94DE-04A3-8039E1C9EC22}"/>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60467411-D11B-83D0-049D-150404B443B5}"/>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8B5505D0-D7D7-8D51-C340-CE67058F16B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5C0117B0-3189-FF20-B811-0BD2E2A88004}"/>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525AE476-98A9-D59F-7524-E6DDF6020C4B}"/>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BBDF78CF-8CE7-1AC2-2426-B61FE6EE605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3C14BFC5-9F30-6C26-BB0E-E87516D6BBD7}"/>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708077F-C886-1267-1077-010BB01D263E}"/>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51D6E34B-5100-25F3-C5D4-F40C072E9EB2}"/>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00BA4A36-F20F-2DD6-FCBC-2441B0177D9D}"/>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54016395-A6C3-06AC-5CDC-82FEC828494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9D62B94D-7782-2579-1C60-589B44DE708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B8456512-3B1F-950C-B4DC-8FCB99240C7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98EDD1DC-1283-F87E-D93F-DD6425EFB38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C1057996-2898-4531-F9BD-6401BF8CD206}"/>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1981C5EC-1BA4-B7A0-1CA6-7B2EA71496C6}"/>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F2A6CE8-F1DE-8A39-6F69-5D5E510039CE}"/>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A40F5DED-0310-EB13-1BB3-1D878E2201AB}"/>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CCBE072-2543-BF5E-F7E1-D1EB1C5258A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0CE623FF-97A5-BBE1-1057-629F73448E8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18F578C1-6BA1-28CA-4E7B-526900F272A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AB6791F7-50D7-2712-1DCA-048EC7F954A5}"/>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F76DCA2D-87D8-A570-6E24-92266D0D4744}"/>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8A4817FB-20CA-C622-E0FB-90BC262223A0}"/>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E0F7CC74-F3CF-09FC-6F9B-F32F7BAAF09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DCDD3743-CA00-000D-58BD-80C518A97DF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CB6ACCF-1EDC-561D-6263-2112ABD4F248}"/>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D4619C55-9E53-4AB5-D49B-C4936BE5AFB3}"/>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7DB25A7D-1EF3-A0CB-504C-B07E9351FC76}"/>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CD669ED2-7102-7632-81AE-761835BE4372}"/>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A53E9C41-0B9C-D259-3923-FF6E33D68BFF}"/>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E5DE1C17-228B-9E44-59F5-B1BAB91C9CF8}"/>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552377F0-8D42-8C12-FC64-064B9C2CB0CB}"/>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6375BFE0-A632-F8E8-71B4-D17CBE26863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CCFC8B6C-4F39-A77D-0951-9B1DB789C7FA}"/>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A4059536-B8CA-EA7A-BEC3-FEF46D3C2F88}"/>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455FF2CC-9F44-0876-519A-05D824F4C692}"/>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B0DF3606-9270-B5A4-A9AD-EFECF01925B3}"/>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F5923F90-7815-AE31-BA22-22D7D3C7A81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A993848C-4DAC-E81F-5A4F-105D407C1A18}"/>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6CE55C6F-ECD1-8B63-ACA8-32F7D32342B2}"/>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00CD7069-F7ED-DA87-D93C-9A25E17FEBD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8614370F-C9FA-F0D6-463E-767D0FC15243}"/>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76BA0501-8AAD-801B-3C96-1D59AACB19E6}"/>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FB4C398B-2276-F353-1E6A-25398A8C4CD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7257505C-CE1E-6B54-1E9D-7EF1273E5BC3}"/>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788B5C38-D748-6F83-F7F8-6838A177649C}"/>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7BA30713-653B-7893-5B43-64CCE227A2EF}"/>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C6995CA4-8E42-7D05-FC98-5D9E8979223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2EC3D549-A3A1-8279-CD1F-506A1ABF84D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0D1A17BD-9057-FC2A-4453-2EBB63838A03}"/>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B970423E-7655-D367-03AB-99345BC9D2F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CA86930-C0E4-1215-E483-602E5E0CBD7B}"/>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8E73F925-2E43-28A3-680A-3BF07DF1BE4C}"/>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AB1F1F0A-2231-7F38-513D-1B2E15252A31}"/>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AEDFA92D-D426-4C15-8DA9-79682FDB32E6}"/>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2128216A-27BB-01B1-94C8-7F722F5435F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FFDBAB4C-1133-FDE5-B559-7CF078758354}"/>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6B26940C-2B45-FE45-0CC4-BE17329A7B35}"/>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BAEDAB1F-D018-D6FC-8E47-9F13C16A86F4}"/>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867DDE21-B2CF-3EBD-2A59-0BFD5D218221}"/>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17FDAC23-F2FB-B19C-C803-152CCA4155F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8F081B03-A1C9-7061-56AA-5D9F7626E191}"/>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FF43742D-89E0-74A6-2B82-E6CDDD0663F8}"/>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FECFDB-A6F7-861E-D49E-5DD901B466C2}"/>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209ABA81-FAF7-B6E9-B5CD-F403F1694738}"/>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4325F4F3-7ED3-F1A8-53ED-7FF925F5BFBE}"/>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E5E38C7C-16D6-DFE5-0AF9-9D7B91CD779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0E71A25F-7263-DE74-90B8-BE02E225E5F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5FF189E7-363D-41F2-7D11-19470F4D0BB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2277035</xdr:colOff>
      <xdr:row>78</xdr:row>
      <xdr:rowOff>50181</xdr:rowOff>
    </xdr:from>
    <xdr:to>
      <xdr:col>4</xdr:col>
      <xdr:colOff>464297</xdr:colOff>
      <xdr:row>83</xdr:row>
      <xdr:rowOff>123854</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80</xdr:row>
      <xdr:rowOff>1891</xdr:rowOff>
    </xdr:from>
    <xdr:to>
      <xdr:col>4</xdr:col>
      <xdr:colOff>464297</xdr:colOff>
      <xdr:row>84</xdr:row>
      <xdr:rowOff>121219</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81</xdr:row>
      <xdr:rowOff>85179</xdr:rowOff>
    </xdr:from>
    <xdr:to>
      <xdr:col>4</xdr:col>
      <xdr:colOff>464297</xdr:colOff>
      <xdr:row>85</xdr:row>
      <xdr:rowOff>68441</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82</xdr:row>
      <xdr:rowOff>96064</xdr:rowOff>
    </xdr:from>
    <xdr:to>
      <xdr:col>4</xdr:col>
      <xdr:colOff>464297</xdr:colOff>
      <xdr:row>87</xdr:row>
      <xdr:rowOff>18697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18688</xdr:rowOff>
    </xdr:from>
    <xdr:to>
      <xdr:col>4</xdr:col>
      <xdr:colOff>464297</xdr:colOff>
      <xdr:row>133</xdr:row>
      <xdr:rowOff>53991</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106</xdr:row>
      <xdr:rowOff>88616</xdr:rowOff>
    </xdr:from>
    <xdr:to>
      <xdr:col>4</xdr:col>
      <xdr:colOff>464297</xdr:colOff>
      <xdr:row>117</xdr:row>
      <xdr:rowOff>88652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78</xdr:row>
      <xdr:rowOff>83756</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74</xdr:row>
      <xdr:rowOff>88712</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29089</xdr:rowOff>
    </xdr:from>
    <xdr:to>
      <xdr:col>4</xdr:col>
      <xdr:colOff>464297</xdr:colOff>
      <xdr:row>67</xdr:row>
      <xdr:rowOff>39665</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143438</xdr:rowOff>
    </xdr:from>
    <xdr:to>
      <xdr:col>4</xdr:col>
      <xdr:colOff>464297</xdr:colOff>
      <xdr:row>66</xdr:row>
      <xdr:rowOff>160477</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64</xdr:row>
      <xdr:rowOff>46399</xdr:rowOff>
    </xdr:from>
    <xdr:to>
      <xdr:col>4</xdr:col>
      <xdr:colOff>464297</xdr:colOff>
      <xdr:row>65</xdr:row>
      <xdr:rowOff>183481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161128</xdr:rowOff>
    </xdr:from>
    <xdr:to>
      <xdr:col>5</xdr:col>
      <xdr:colOff>287804</xdr:colOff>
      <xdr:row>115</xdr:row>
      <xdr:rowOff>31742</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123240</xdr:rowOff>
    </xdr:from>
    <xdr:to>
      <xdr:col>18</xdr:col>
      <xdr:colOff>332478</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60</xdr:row>
      <xdr:rowOff>278659</xdr:rowOff>
    </xdr:from>
    <xdr:to>
      <xdr:col>4</xdr:col>
      <xdr:colOff>464297</xdr:colOff>
      <xdr:row>65</xdr:row>
      <xdr:rowOff>162286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61</xdr:row>
      <xdr:rowOff>73742</xdr:rowOff>
    </xdr:from>
    <xdr:to>
      <xdr:col>4</xdr:col>
      <xdr:colOff>464297</xdr:colOff>
      <xdr:row>66</xdr:row>
      <xdr:rowOff>67965</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62</xdr:row>
      <xdr:rowOff>83044</xdr:rowOff>
    </xdr:from>
    <xdr:to>
      <xdr:col>4</xdr:col>
      <xdr:colOff>464297</xdr:colOff>
      <xdr:row>67</xdr:row>
      <xdr:rowOff>40482</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63</xdr:row>
      <xdr:rowOff>106766</xdr:rowOff>
    </xdr:from>
    <xdr:to>
      <xdr:col>4</xdr:col>
      <xdr:colOff>464297</xdr:colOff>
      <xdr:row>68</xdr:row>
      <xdr:rowOff>25798</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87</xdr:row>
      <xdr:rowOff>58519</xdr:rowOff>
    </xdr:from>
    <xdr:to>
      <xdr:col>4</xdr:col>
      <xdr:colOff>464297</xdr:colOff>
      <xdr:row>112</xdr:row>
      <xdr:rowOff>101912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88</xdr:row>
      <xdr:rowOff>77141</xdr:rowOff>
    </xdr:from>
    <xdr:to>
      <xdr:col>4</xdr:col>
      <xdr:colOff>464297</xdr:colOff>
      <xdr:row>99</xdr:row>
      <xdr:rowOff>12256</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45</xdr:row>
      <xdr:rowOff>164685</xdr:rowOff>
    </xdr:from>
    <xdr:to>
      <xdr:col>4</xdr:col>
      <xdr:colOff>464297</xdr:colOff>
      <xdr:row>60</xdr:row>
      <xdr:rowOff>324047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58</xdr:row>
      <xdr:rowOff>259241</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46</xdr:row>
      <xdr:rowOff>1268</xdr:rowOff>
    </xdr:from>
    <xdr:to>
      <xdr:col>4</xdr:col>
      <xdr:colOff>464297</xdr:colOff>
      <xdr:row>53</xdr:row>
      <xdr:rowOff>164041</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49</xdr:row>
      <xdr:rowOff>29223</xdr:rowOff>
    </xdr:from>
    <xdr:to>
      <xdr:col>4</xdr:col>
      <xdr:colOff>464297</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2277035</xdr:colOff>
      <xdr:row>50</xdr:row>
      <xdr:rowOff>745</xdr:rowOff>
    </xdr:from>
    <xdr:to>
      <xdr:col>4</xdr:col>
      <xdr:colOff>464297</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162021</xdr:rowOff>
    </xdr:from>
    <xdr:to>
      <xdr:col>5</xdr:col>
      <xdr:colOff>287804</xdr:colOff>
      <xdr:row>97</xdr:row>
      <xdr:rowOff>85528</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525800</xdr:colOff>
      <xdr:row>13</xdr:row>
      <xdr:rowOff>65031</xdr:rowOff>
    </xdr:from>
    <xdr:to>
      <xdr:col>17</xdr:col>
      <xdr:colOff>268016</xdr:colOff>
      <xdr:row>17</xdr:row>
      <xdr:rowOff>164377</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17</xdr:row>
      <xdr:rowOff>85140</xdr:rowOff>
    </xdr:from>
    <xdr:to>
      <xdr:col>18</xdr:col>
      <xdr:colOff>259387</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11975</xdr:rowOff>
    </xdr:from>
    <xdr:to>
      <xdr:col>4</xdr:col>
      <xdr:colOff>464297</xdr:colOff>
      <xdr:row>86</xdr:row>
      <xdr:rowOff>85971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191664</xdr:rowOff>
    </xdr:from>
    <xdr:to>
      <xdr:col>4</xdr:col>
      <xdr:colOff>464297</xdr:colOff>
      <xdr:row>87</xdr:row>
      <xdr:rowOff>58669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355554</xdr:rowOff>
    </xdr:from>
    <xdr:to>
      <xdr:col>4</xdr:col>
      <xdr:colOff>464297</xdr:colOff>
      <xdr:row>88</xdr:row>
      <xdr:rowOff>68802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66668</xdr:rowOff>
    </xdr:from>
    <xdr:to>
      <xdr:col>4</xdr:col>
      <xdr:colOff>464297</xdr:colOff>
      <xdr:row>88</xdr:row>
      <xdr:rowOff>161930</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109</xdr:row>
      <xdr:rowOff>77887</xdr:rowOff>
    </xdr:from>
    <xdr:to>
      <xdr:col>4</xdr:col>
      <xdr:colOff>464297</xdr:colOff>
      <xdr:row>124</xdr:row>
      <xdr:rowOff>59126</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198148</xdr:rowOff>
    </xdr:from>
    <xdr:to>
      <xdr:col>4</xdr:col>
      <xdr:colOff>464297</xdr:colOff>
      <xdr:row>83</xdr:row>
      <xdr:rowOff>73052</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150432</xdr:rowOff>
    </xdr:from>
    <xdr:to>
      <xdr:col>4</xdr:col>
      <xdr:colOff>464297</xdr:colOff>
      <xdr:row>78</xdr:row>
      <xdr:rowOff>50785</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197747</xdr:rowOff>
    </xdr:from>
    <xdr:to>
      <xdr:col>4</xdr:col>
      <xdr:colOff>464297</xdr:colOff>
      <xdr:row>72</xdr:row>
      <xdr:rowOff>123498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84237</xdr:rowOff>
    </xdr:from>
    <xdr:to>
      <xdr:col>4</xdr:col>
      <xdr:colOff>464297</xdr:colOff>
      <xdr:row>71</xdr:row>
      <xdr:rowOff>134459</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70</xdr:row>
      <xdr:rowOff>101804</xdr:rowOff>
    </xdr:from>
    <xdr:to>
      <xdr:col>4</xdr:col>
      <xdr:colOff>464297</xdr:colOff>
      <xdr:row>70</xdr:row>
      <xdr:rowOff>101804</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77887</xdr:rowOff>
    </xdr:from>
    <xdr:to>
      <xdr:col>5</xdr:col>
      <xdr:colOff>287804</xdr:colOff>
      <xdr:row>122</xdr:row>
      <xdr:rowOff>142220</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563900</xdr:colOff>
      <xdr:row>33</xdr:row>
      <xdr:rowOff>8082</xdr:rowOff>
    </xdr:from>
    <xdr:to>
      <xdr:col>17</xdr:col>
      <xdr:colOff>382316</xdr:colOff>
      <xdr:row>37</xdr:row>
      <xdr:rowOff>88779</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544242</xdr:colOff>
      <xdr:row>37</xdr:row>
      <xdr:rowOff>50679</xdr:rowOff>
    </xdr:from>
    <xdr:to>
      <xdr:col>18</xdr:col>
      <xdr:colOff>411729</xdr:colOff>
      <xdr:row>41</xdr:row>
      <xdr:rowOff>106240</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67436</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151408</xdr:rowOff>
    </xdr:from>
    <xdr:to>
      <xdr:col>4</xdr:col>
      <xdr:colOff>464297</xdr:colOff>
      <xdr:row>98</xdr:row>
      <xdr:rowOff>249836</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151408</xdr:rowOff>
    </xdr:from>
    <xdr:to>
      <xdr:col>5</xdr:col>
      <xdr:colOff>287804</xdr:colOff>
      <xdr:row>97</xdr:row>
      <xdr:rowOff>39289</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254610</xdr:rowOff>
    </xdr:from>
    <xdr:to>
      <xdr:col>4</xdr:col>
      <xdr:colOff>464297</xdr:colOff>
      <xdr:row>63</xdr:row>
      <xdr:rowOff>73070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85995</xdr:rowOff>
    </xdr:from>
    <xdr:to>
      <xdr:col>4</xdr:col>
      <xdr:colOff>464297</xdr:colOff>
      <xdr:row>64</xdr:row>
      <xdr:rowOff>36058</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314340</xdr:rowOff>
    </xdr:from>
    <xdr:to>
      <xdr:col>4</xdr:col>
      <xdr:colOff>464297</xdr:colOff>
      <xdr:row>64</xdr:row>
      <xdr:rowOff>163861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464297</xdr:colOff>
      <xdr:row>65</xdr:row>
      <xdr:rowOff>11701</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83</xdr:row>
      <xdr:rowOff>130505</xdr:rowOff>
    </xdr:from>
    <xdr:to>
      <xdr:col>4</xdr:col>
      <xdr:colOff>464297</xdr:colOff>
      <xdr:row>98</xdr:row>
      <xdr:rowOff>249836</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68564</xdr:rowOff>
    </xdr:from>
    <xdr:to>
      <xdr:col>4</xdr:col>
      <xdr:colOff>464297</xdr:colOff>
      <xdr:row>60</xdr:row>
      <xdr:rowOff>265777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106451</xdr:rowOff>
    </xdr:from>
    <xdr:to>
      <xdr:col>4</xdr:col>
      <xdr:colOff>464297</xdr:colOff>
      <xdr:row>58</xdr:row>
      <xdr:rowOff>68071</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464297</xdr:colOff>
      <xdr:row>51</xdr:row>
      <xdr:rowOff>105137</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67928</xdr:rowOff>
    </xdr:from>
    <xdr:to>
      <xdr:col>4</xdr:col>
      <xdr:colOff>464297</xdr:colOff>
      <xdr:row>51</xdr:row>
      <xdr:rowOff>67037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29336</xdr:rowOff>
    </xdr:from>
    <xdr:to>
      <xdr:col>4</xdr:col>
      <xdr:colOff>464297</xdr:colOff>
      <xdr:row>50</xdr:row>
      <xdr:rowOff>29336</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130505</xdr:rowOff>
    </xdr:from>
    <xdr:to>
      <xdr:col>5</xdr:col>
      <xdr:colOff>287804</xdr:colOff>
      <xdr:row>97</xdr:row>
      <xdr:rowOff>39289</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9420</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46227</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199000</xdr:rowOff>
    </xdr:from>
    <xdr:to>
      <xdr:col>5</xdr:col>
      <xdr:colOff>133275</xdr:colOff>
      <xdr:row>68</xdr:row>
      <xdr:rowOff>124277</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150643</xdr:rowOff>
    </xdr:from>
    <xdr:to>
      <xdr:col>5</xdr:col>
      <xdr:colOff>133275</xdr:colOff>
      <xdr:row>69</xdr:row>
      <xdr:rowOff>83813</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9308</xdr:rowOff>
    </xdr:from>
    <xdr:to>
      <xdr:col>5</xdr:col>
      <xdr:colOff>133275</xdr:colOff>
      <xdr:row>70</xdr:row>
      <xdr:rowOff>117254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59289</xdr:rowOff>
    </xdr:from>
    <xdr:to>
      <xdr:col>5</xdr:col>
      <xdr:colOff>133275</xdr:colOff>
      <xdr:row>71</xdr:row>
      <xdr:rowOff>124628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18575</xdr:rowOff>
    </xdr:from>
    <xdr:to>
      <xdr:col>5</xdr:col>
      <xdr:colOff>133275</xdr:colOff>
      <xdr:row>91</xdr:row>
      <xdr:rowOff>2785</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133275</xdr:colOff>
      <xdr:row>50</xdr:row>
      <xdr:rowOff>68282</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133275</xdr:colOff>
      <xdr:row>51</xdr:row>
      <xdr:rowOff>104079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133275</xdr:colOff>
      <xdr:row>53</xdr:row>
      <xdr:rowOff>163738</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133275</xdr:colOff>
      <xdr:row>55</xdr:row>
      <xdr:rowOff>26118</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133275</xdr:colOff>
      <xdr:row>68</xdr:row>
      <xdr:rowOff>124277</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133275</xdr:colOff>
      <xdr:row>69</xdr:row>
      <xdr:rowOff>83813</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133275</xdr:colOff>
      <xdr:row>70</xdr:row>
      <xdr:rowOff>117254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133275</xdr:colOff>
      <xdr:row>71</xdr:row>
      <xdr:rowOff>124628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133275</xdr:colOff>
      <xdr:row>91</xdr:row>
      <xdr:rowOff>2785</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133275</xdr:colOff>
      <xdr:row>92</xdr:row>
      <xdr:rowOff>120716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133275</xdr:colOff>
      <xdr:row>94</xdr:row>
      <xdr:rowOff>136206</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83</xdr:row>
      <xdr:rowOff>116059</xdr:rowOff>
    </xdr:from>
    <xdr:to>
      <xdr:col>5</xdr:col>
      <xdr:colOff>287804</xdr:colOff>
      <xdr:row>96</xdr:row>
      <xdr:rowOff>162576</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67717</xdr:rowOff>
    </xdr:from>
    <xdr:to>
      <xdr:col>5</xdr:col>
      <xdr:colOff>105335</xdr:colOff>
      <xdr:row>50</xdr:row>
      <xdr:rowOff>68282</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67718</xdr:rowOff>
    </xdr:from>
    <xdr:to>
      <xdr:col>5</xdr:col>
      <xdr:colOff>105335</xdr:colOff>
      <xdr:row>51</xdr:row>
      <xdr:rowOff>104079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105181</xdr:rowOff>
    </xdr:from>
    <xdr:to>
      <xdr:col>5</xdr:col>
      <xdr:colOff>105335</xdr:colOff>
      <xdr:row>53</xdr:row>
      <xdr:rowOff>163738</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106382</xdr:rowOff>
    </xdr:from>
    <xdr:to>
      <xdr:col>5</xdr:col>
      <xdr:colOff>105335</xdr:colOff>
      <xdr:row>55</xdr:row>
      <xdr:rowOff>26118</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105335</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149908</xdr:rowOff>
    </xdr:from>
    <xdr:to>
      <xdr:col>5</xdr:col>
      <xdr:colOff>105335</xdr:colOff>
      <xdr:row>68</xdr:row>
      <xdr:rowOff>124277</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95375</xdr:rowOff>
    </xdr:from>
    <xdr:to>
      <xdr:col>5</xdr:col>
      <xdr:colOff>105335</xdr:colOff>
      <xdr:row>69</xdr:row>
      <xdr:rowOff>83813</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49882</xdr:rowOff>
    </xdr:from>
    <xdr:to>
      <xdr:col>5</xdr:col>
      <xdr:colOff>105335</xdr:colOff>
      <xdr:row>70</xdr:row>
      <xdr:rowOff>117254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40239</xdr:rowOff>
    </xdr:from>
    <xdr:to>
      <xdr:col>5</xdr:col>
      <xdr:colOff>105335</xdr:colOff>
      <xdr:row>71</xdr:row>
      <xdr:rowOff>124628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85971</xdr:rowOff>
    </xdr:from>
    <xdr:to>
      <xdr:col>5</xdr:col>
      <xdr:colOff>105335</xdr:colOff>
      <xdr:row>91</xdr:row>
      <xdr:rowOff>2785</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88</xdr:row>
      <xdr:rowOff>78108</xdr:rowOff>
    </xdr:from>
    <xdr:to>
      <xdr:col>5</xdr:col>
      <xdr:colOff>105335</xdr:colOff>
      <xdr:row>92</xdr:row>
      <xdr:rowOff>120716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69562</xdr:rowOff>
    </xdr:from>
    <xdr:to>
      <xdr:col>5</xdr:col>
      <xdr:colOff>105335</xdr:colOff>
      <xdr:row>94</xdr:row>
      <xdr:rowOff>136206</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69017</xdr:rowOff>
    </xdr:from>
    <xdr:to>
      <xdr:col>5</xdr:col>
      <xdr:colOff>287804</xdr:colOff>
      <xdr:row>99</xdr:row>
      <xdr:rowOff>171883</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105335</xdr:colOff>
      <xdr:row>58</xdr:row>
      <xdr:rowOff>67224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105335</xdr:colOff>
      <xdr:row>58</xdr:row>
      <xdr:rowOff>117230</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105372</xdr:rowOff>
    </xdr:from>
    <xdr:to>
      <xdr:col>5</xdr:col>
      <xdr:colOff>105335</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105335</xdr:colOff>
      <xdr:row>57</xdr:row>
      <xdr:rowOff>192795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105335</xdr:colOff>
      <xdr:row>57</xdr:row>
      <xdr:rowOff>440019</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135059</xdr:rowOff>
    </xdr:from>
    <xdr:to>
      <xdr:col>5</xdr:col>
      <xdr:colOff>105335</xdr:colOff>
      <xdr:row>72</xdr:row>
      <xdr:rowOff>141728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143020</xdr:rowOff>
    </xdr:from>
    <xdr:to>
      <xdr:col>5</xdr:col>
      <xdr:colOff>105335</xdr:colOff>
      <xdr:row>73</xdr:row>
      <xdr:rowOff>142437</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35856</xdr:rowOff>
    </xdr:from>
    <xdr:to>
      <xdr:col>5</xdr:col>
      <xdr:colOff>105335</xdr:colOff>
      <xdr:row>74</xdr:row>
      <xdr:rowOff>48873</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49923</xdr:rowOff>
    </xdr:from>
    <xdr:to>
      <xdr:col>5</xdr:col>
      <xdr:colOff>105335</xdr:colOff>
      <xdr:row>74</xdr:row>
      <xdr:rowOff>199303</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15936</xdr:rowOff>
    </xdr:from>
    <xdr:to>
      <xdr:col>5</xdr:col>
      <xdr:colOff>105335</xdr:colOff>
      <xdr:row>94</xdr:row>
      <xdr:rowOff>162530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101</xdr:row>
      <xdr:rowOff>27264</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162530</xdr:rowOff>
    </xdr:from>
    <xdr:to>
      <xdr:col>5</xdr:col>
      <xdr:colOff>105335</xdr:colOff>
      <xdr:row>100</xdr:row>
      <xdr:rowOff>54895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110</xdr:row>
      <xdr:rowOff>96556</xdr:rowOff>
    </xdr:from>
    <xdr:to>
      <xdr:col>5</xdr:col>
      <xdr:colOff>315744</xdr:colOff>
      <xdr:row>123</xdr:row>
      <xdr:rowOff>122860</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97571</xdr:rowOff>
    </xdr:from>
    <xdr:to>
      <xdr:col>5</xdr:col>
      <xdr:colOff>105335</xdr:colOff>
      <xdr:row>82</xdr:row>
      <xdr:rowOff>351084</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68</xdr:row>
      <xdr:rowOff>65137</xdr:rowOff>
    </xdr:from>
    <xdr:to>
      <xdr:col>5</xdr:col>
      <xdr:colOff>133275</xdr:colOff>
      <xdr:row>81</xdr:row>
      <xdr:rowOff>121576</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20082</xdr:rowOff>
    </xdr:from>
    <xdr:to>
      <xdr:col>5</xdr:col>
      <xdr:colOff>105335</xdr:colOff>
      <xdr:row>75</xdr:row>
      <xdr:rowOff>8640</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206422</xdr:rowOff>
    </xdr:from>
    <xdr:to>
      <xdr:col>5</xdr:col>
      <xdr:colOff>105335</xdr:colOff>
      <xdr:row>75</xdr:row>
      <xdr:rowOff>78097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74</xdr:row>
      <xdr:rowOff>363834</xdr:rowOff>
    </xdr:from>
    <xdr:to>
      <xdr:col>5</xdr:col>
      <xdr:colOff>105335</xdr:colOff>
      <xdr:row>76</xdr:row>
      <xdr:rowOff>66785</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173511</xdr:rowOff>
    </xdr:from>
    <xdr:to>
      <xdr:col>5</xdr:col>
      <xdr:colOff>105335</xdr:colOff>
      <xdr:row>94</xdr:row>
      <xdr:rowOff>161453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984</xdr:rowOff>
    </xdr:from>
    <xdr:to>
      <xdr:col>5</xdr:col>
      <xdr:colOff>105335</xdr:colOff>
      <xdr:row>95</xdr:row>
      <xdr:rowOff>105201</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91</xdr:row>
      <xdr:rowOff>172958</xdr:rowOff>
    </xdr:from>
    <xdr:to>
      <xdr:col>5</xdr:col>
      <xdr:colOff>105335</xdr:colOff>
      <xdr:row>96</xdr:row>
      <xdr:rowOff>120842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77292</xdr:rowOff>
    </xdr:from>
    <xdr:to>
      <xdr:col>5</xdr:col>
      <xdr:colOff>105335</xdr:colOff>
      <xdr:row>97</xdr:row>
      <xdr:rowOff>122492</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116</xdr:row>
      <xdr:rowOff>134932</xdr:rowOff>
    </xdr:from>
    <xdr:to>
      <xdr:col>5</xdr:col>
      <xdr:colOff>105335</xdr:colOff>
      <xdr:row>116</xdr:row>
      <xdr:rowOff>135016</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140</xdr:row>
      <xdr:rowOff>160305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117</xdr:row>
      <xdr:rowOff>143061</xdr:rowOff>
    </xdr:from>
    <xdr:to>
      <xdr:col>5</xdr:col>
      <xdr:colOff>105335</xdr:colOff>
      <xdr:row>139</xdr:row>
      <xdr:rowOff>78582</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114</xdr:row>
      <xdr:rowOff>84357</xdr:rowOff>
    </xdr:from>
    <xdr:to>
      <xdr:col>5</xdr:col>
      <xdr:colOff>306854</xdr:colOff>
      <xdr:row>129</xdr:row>
      <xdr:rowOff>1031</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153290</xdr:rowOff>
    </xdr:from>
    <xdr:to>
      <xdr:col>5</xdr:col>
      <xdr:colOff>124385</xdr:colOff>
      <xdr:row>86</xdr:row>
      <xdr:rowOff>54146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20082</xdr:rowOff>
    </xdr:from>
    <xdr:to>
      <xdr:col>5</xdr:col>
      <xdr:colOff>124385</xdr:colOff>
      <xdr:row>86</xdr:row>
      <xdr:rowOff>30886</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182775</xdr:rowOff>
    </xdr:from>
    <xdr:to>
      <xdr:col>5</xdr:col>
      <xdr:colOff>124385</xdr:colOff>
      <xdr:row>77</xdr:row>
      <xdr:rowOff>135184</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74</xdr:row>
      <xdr:rowOff>322507</xdr:rowOff>
    </xdr:from>
    <xdr:to>
      <xdr:col>5</xdr:col>
      <xdr:colOff>124385</xdr:colOff>
      <xdr:row>76</xdr:row>
      <xdr:rowOff>149780</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80</xdr:row>
      <xdr:rowOff>836</xdr:rowOff>
    </xdr:from>
    <xdr:to>
      <xdr:col>5</xdr:col>
      <xdr:colOff>105335</xdr:colOff>
      <xdr:row>81</xdr:row>
      <xdr:rowOff>141877</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69398</xdr:rowOff>
    </xdr:from>
    <xdr:to>
      <xdr:col>5</xdr:col>
      <xdr:colOff>105335</xdr:colOff>
      <xdr:row>99</xdr:row>
      <xdr:rowOff>12013</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96</xdr:row>
      <xdr:rowOff>56967</xdr:rowOff>
    </xdr:from>
    <xdr:to>
      <xdr:col>5</xdr:col>
      <xdr:colOff>105335</xdr:colOff>
      <xdr:row>99</xdr:row>
      <xdr:rowOff>191196</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97</xdr:row>
      <xdr:rowOff>38281</xdr:rowOff>
    </xdr:from>
    <xdr:to>
      <xdr:col>5</xdr:col>
      <xdr:colOff>105335</xdr:colOff>
      <xdr:row>100</xdr:row>
      <xdr:rowOff>130314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36496</xdr:rowOff>
    </xdr:from>
    <xdr:to>
      <xdr:col>5</xdr:col>
      <xdr:colOff>105335</xdr:colOff>
      <xdr:row>101</xdr:row>
      <xdr:rowOff>28297</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121</xdr:row>
      <xdr:rowOff>161825</xdr:rowOff>
    </xdr:from>
    <xdr:to>
      <xdr:col>5</xdr:col>
      <xdr:colOff>105335</xdr:colOff>
      <xdr:row>122</xdr:row>
      <xdr:rowOff>36998</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190</xdr:row>
      <xdr:rowOff>37901</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122</xdr:row>
      <xdr:rowOff>123236</xdr:rowOff>
    </xdr:from>
    <xdr:to>
      <xdr:col>5</xdr:col>
      <xdr:colOff>105335</xdr:colOff>
      <xdr:row>188</xdr:row>
      <xdr:rowOff>160837</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172986</xdr:rowOff>
    </xdr:from>
    <xdr:to>
      <xdr:col>5</xdr:col>
      <xdr:colOff>306854</xdr:colOff>
      <xdr:row>105</xdr:row>
      <xdr:rowOff>79234</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164434</xdr:rowOff>
    </xdr:from>
    <xdr:to>
      <xdr:col>5</xdr:col>
      <xdr:colOff>124385</xdr:colOff>
      <xdr:row>63</xdr:row>
      <xdr:rowOff>144283</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124385</xdr:colOff>
      <xdr:row>63</xdr:row>
      <xdr:rowOff>143931</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10019</xdr:rowOff>
    </xdr:from>
    <xdr:to>
      <xdr:col>5</xdr:col>
      <xdr:colOff>124385</xdr:colOff>
      <xdr:row>59</xdr:row>
      <xdr:rowOff>200115</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202526</xdr:rowOff>
    </xdr:from>
    <xdr:to>
      <xdr:col>5</xdr:col>
      <xdr:colOff>124385</xdr:colOff>
      <xdr:row>59</xdr:row>
      <xdr:rowOff>97274</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105335</xdr:colOff>
      <xdr:row>61</xdr:row>
      <xdr:rowOff>164945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107612</xdr:rowOff>
    </xdr:from>
    <xdr:to>
      <xdr:col>5</xdr:col>
      <xdr:colOff>105335</xdr:colOff>
      <xdr:row>77</xdr:row>
      <xdr:rowOff>134951</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288210</xdr:rowOff>
    </xdr:from>
    <xdr:to>
      <xdr:col>5</xdr:col>
      <xdr:colOff>105335</xdr:colOff>
      <xdr:row>78</xdr:row>
      <xdr:rowOff>121701</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40265</xdr:rowOff>
    </xdr:from>
    <xdr:to>
      <xdr:col>5</xdr:col>
      <xdr:colOff>105335</xdr:colOff>
      <xdr:row>79</xdr:row>
      <xdr:rowOff>162552</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173002</xdr:rowOff>
    </xdr:from>
    <xdr:to>
      <xdr:col>5</xdr:col>
      <xdr:colOff>105335</xdr:colOff>
      <xdr:row>80</xdr:row>
      <xdr:rowOff>172810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168505</xdr:rowOff>
    </xdr:from>
    <xdr:to>
      <xdr:col>5</xdr:col>
      <xdr:colOff>105335</xdr:colOff>
      <xdr:row>100</xdr:row>
      <xdr:rowOff>221356</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123</xdr:row>
      <xdr:rowOff>161988</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97002</xdr:rowOff>
    </xdr:from>
    <xdr:to>
      <xdr:col>5</xdr:col>
      <xdr:colOff>105335</xdr:colOff>
      <xdr:row>122</xdr:row>
      <xdr:rowOff>141230</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105335</xdr:colOff>
      <xdr:row>58</xdr:row>
      <xdr:rowOff>26307</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296928</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173207</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40477</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124494</xdr:rowOff>
    </xdr:from>
    <xdr:to>
      <xdr:col>5</xdr:col>
      <xdr:colOff>105335</xdr:colOff>
      <xdr:row>96</xdr:row>
      <xdr:rowOff>161943</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123763</xdr:rowOff>
    </xdr:from>
    <xdr:to>
      <xdr:col>5</xdr:col>
      <xdr:colOff>105335</xdr:colOff>
      <xdr:row>123</xdr:row>
      <xdr:rowOff>77740</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69298</xdr:rowOff>
    </xdr:from>
    <xdr:to>
      <xdr:col>5</xdr:col>
      <xdr:colOff>287804</xdr:colOff>
      <xdr:row>98</xdr:row>
      <xdr:rowOff>96052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85684</xdr:rowOff>
    </xdr:from>
    <xdr:to>
      <xdr:col>5</xdr:col>
      <xdr:colOff>105335</xdr:colOff>
      <xdr:row>96</xdr:row>
      <xdr:rowOff>153265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97653</xdr:rowOff>
    </xdr:from>
    <xdr:to>
      <xdr:col>5</xdr:col>
      <xdr:colOff>105335</xdr:colOff>
      <xdr:row>123</xdr:row>
      <xdr:rowOff>77740</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37972</xdr:rowOff>
    </xdr:from>
    <xdr:to>
      <xdr:col>5</xdr:col>
      <xdr:colOff>287804</xdr:colOff>
      <xdr:row>198</xdr:row>
      <xdr:rowOff>826</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77882</xdr:rowOff>
    </xdr:from>
    <xdr:to>
      <xdr:col>5</xdr:col>
      <xdr:colOff>105335</xdr:colOff>
      <xdr:row>195</xdr:row>
      <xdr:rowOff>78435</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11246</xdr:rowOff>
    </xdr:from>
    <xdr:to>
      <xdr:col>18</xdr:col>
      <xdr:colOff>238221</xdr:colOff>
      <xdr:row>36</xdr:row>
      <xdr:rowOff>64807</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114147</xdr:rowOff>
    </xdr:from>
    <xdr:to>
      <xdr:col>5</xdr:col>
      <xdr:colOff>114225</xdr:colOff>
      <xdr:row>102</xdr:row>
      <xdr:rowOff>140128</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101</xdr:row>
      <xdr:rowOff>226348</xdr:rowOff>
    </xdr:from>
    <xdr:to>
      <xdr:col>5</xdr:col>
      <xdr:colOff>114225</xdr:colOff>
      <xdr:row>104</xdr:row>
      <xdr:rowOff>101723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103</xdr:row>
      <xdr:rowOff>39910</xdr:rowOff>
    </xdr:from>
    <xdr:to>
      <xdr:col>5</xdr:col>
      <xdr:colOff>114225</xdr:colOff>
      <xdr:row>107</xdr:row>
      <xdr:rowOff>162864</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104</xdr:row>
      <xdr:rowOff>82581</xdr:rowOff>
    </xdr:from>
    <xdr:to>
      <xdr:col>5</xdr:col>
      <xdr:colOff>114225</xdr:colOff>
      <xdr:row>108</xdr:row>
      <xdr:rowOff>142955</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93</xdr:row>
      <xdr:rowOff>55871</xdr:rowOff>
    </xdr:from>
    <xdr:to>
      <xdr:col>5</xdr:col>
      <xdr:colOff>114225</xdr:colOff>
      <xdr:row>97</xdr:row>
      <xdr:rowOff>122493</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94</xdr:row>
      <xdr:rowOff>78266</xdr:rowOff>
    </xdr:from>
    <xdr:to>
      <xdr:col>5</xdr:col>
      <xdr:colOff>114225</xdr:colOff>
      <xdr:row>98</xdr:row>
      <xdr:rowOff>69594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95</xdr:row>
      <xdr:rowOff>86018</xdr:rowOff>
    </xdr:from>
    <xdr:to>
      <xdr:col>5</xdr:col>
      <xdr:colOff>114225</xdr:colOff>
      <xdr:row>99</xdr:row>
      <xdr:rowOff>36853</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2734758</xdr:colOff>
      <xdr:row>96</xdr:row>
      <xdr:rowOff>56075</xdr:rowOff>
    </xdr:from>
    <xdr:to>
      <xdr:col>5</xdr:col>
      <xdr:colOff>114225</xdr:colOff>
      <xdr:row>99</xdr:row>
      <xdr:rowOff>191196</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78362</xdr:rowOff>
    </xdr:from>
    <xdr:to>
      <xdr:col>5</xdr:col>
      <xdr:colOff>287804</xdr:colOff>
      <xdr:row>198</xdr:row>
      <xdr:rowOff>826</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112955</xdr:colOff>
      <xdr:row>102</xdr:row>
      <xdr:rowOff>140128</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112955</xdr:colOff>
      <xdr:row>104</xdr:row>
      <xdr:rowOff>102041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112955</xdr:colOff>
      <xdr:row>107</xdr:row>
      <xdr:rowOff>162864</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112955</xdr:colOff>
      <xdr:row>108</xdr:row>
      <xdr:rowOff>142955</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112955</xdr:colOff>
      <xdr:row>97</xdr:row>
      <xdr:rowOff>122493</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112955</xdr:colOff>
      <xdr:row>98</xdr:row>
      <xdr:rowOff>69594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112955</xdr:colOff>
      <xdr:row>99</xdr:row>
      <xdr:rowOff>36853</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112955</xdr:colOff>
      <xdr:row>99</xdr:row>
      <xdr:rowOff>191196</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190</xdr:row>
      <xdr:rowOff>38849</xdr:rowOff>
    </xdr:from>
    <xdr:to>
      <xdr:col>5</xdr:col>
      <xdr:colOff>287804</xdr:colOff>
      <xdr:row>198</xdr:row>
      <xdr:rowOff>826</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195</xdr:row>
      <xdr:rowOff>57562</xdr:rowOff>
    </xdr:from>
    <xdr:to>
      <xdr:col>5</xdr:col>
      <xdr:colOff>105335</xdr:colOff>
      <xdr:row>195</xdr:row>
      <xdr:rowOff>57972</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196</xdr:row>
      <xdr:rowOff>141379</xdr:rowOff>
    </xdr:from>
    <xdr:to>
      <xdr:col>5</xdr:col>
      <xdr:colOff>105335</xdr:colOff>
      <xdr:row>222</xdr:row>
      <xdr:rowOff>162519</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506142</xdr:colOff>
      <xdr:row>32</xdr:row>
      <xdr:rowOff>1823</xdr:rowOff>
    </xdr:from>
    <xdr:to>
      <xdr:col>18</xdr:col>
      <xdr:colOff>238221</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68988</xdr:rowOff>
    </xdr:from>
    <xdr:to>
      <xdr:col>5</xdr:col>
      <xdr:colOff>105335</xdr:colOff>
      <xdr:row>102</xdr:row>
      <xdr:rowOff>140128</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226348</xdr:rowOff>
    </xdr:from>
    <xdr:to>
      <xdr:col>5</xdr:col>
      <xdr:colOff>105335</xdr:colOff>
      <xdr:row>104</xdr:row>
      <xdr:rowOff>102041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39910</xdr:rowOff>
    </xdr:from>
    <xdr:to>
      <xdr:col>5</xdr:col>
      <xdr:colOff>105335</xdr:colOff>
      <xdr:row>107</xdr:row>
      <xdr:rowOff>162864</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82581</xdr:rowOff>
    </xdr:from>
    <xdr:to>
      <xdr:col>5</xdr:col>
      <xdr:colOff>105335</xdr:colOff>
      <xdr:row>108</xdr:row>
      <xdr:rowOff>142955</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55871</xdr:rowOff>
    </xdr:from>
    <xdr:to>
      <xdr:col>5</xdr:col>
      <xdr:colOff>105335</xdr:colOff>
      <xdr:row>97</xdr:row>
      <xdr:rowOff>122493</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78266</xdr:rowOff>
    </xdr:from>
    <xdr:to>
      <xdr:col>5</xdr:col>
      <xdr:colOff>105335</xdr:colOff>
      <xdr:row>98</xdr:row>
      <xdr:rowOff>69594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86018</xdr:rowOff>
    </xdr:from>
    <xdr:to>
      <xdr:col>5</xdr:col>
      <xdr:colOff>105335</xdr:colOff>
      <xdr:row>99</xdr:row>
      <xdr:rowOff>36853</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56075</xdr:rowOff>
    </xdr:from>
    <xdr:to>
      <xdr:col>5</xdr:col>
      <xdr:colOff>105335</xdr:colOff>
      <xdr:row>99</xdr:row>
      <xdr:rowOff>191196</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2856</xdr:rowOff>
    </xdr:from>
    <xdr:to>
      <xdr:col>5</xdr:col>
      <xdr:colOff>287804</xdr:colOff>
      <xdr:row>98</xdr:row>
      <xdr:rowOff>96264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153200</xdr:rowOff>
    </xdr:from>
    <xdr:to>
      <xdr:col>5</xdr:col>
      <xdr:colOff>105335</xdr:colOff>
      <xdr:row>95</xdr:row>
      <xdr:rowOff>69508</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161890</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123402</xdr:rowOff>
    </xdr:from>
    <xdr:to>
      <xdr:col>5</xdr:col>
      <xdr:colOff>105335</xdr:colOff>
      <xdr:row>197</xdr:row>
      <xdr:rowOff>54365</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57774</xdr:rowOff>
    </xdr:from>
    <xdr:to>
      <xdr:col>5</xdr:col>
      <xdr:colOff>105335</xdr:colOff>
      <xdr:row>197</xdr:row>
      <xdr:rowOff>104828</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54215</xdr:rowOff>
    </xdr:from>
    <xdr:to>
      <xdr:col>5</xdr:col>
      <xdr:colOff>105335</xdr:colOff>
      <xdr:row>201</xdr:row>
      <xdr:rowOff>1007</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50555</xdr:rowOff>
    </xdr:from>
    <xdr:to>
      <xdr:col>5</xdr:col>
      <xdr:colOff>105335</xdr:colOff>
      <xdr:row>201</xdr:row>
      <xdr:rowOff>153268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160071</xdr:rowOff>
    </xdr:from>
    <xdr:to>
      <xdr:col>5</xdr:col>
      <xdr:colOff>105335</xdr:colOff>
      <xdr:row>143</xdr:row>
      <xdr:rowOff>97395</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85452</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192</xdr:rowOff>
    </xdr:from>
    <xdr:to>
      <xdr:col>5</xdr:col>
      <xdr:colOff>105335</xdr:colOff>
      <xdr:row>188</xdr:row>
      <xdr:rowOff>142462</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191</xdr:rowOff>
    </xdr:from>
    <xdr:to>
      <xdr:col>5</xdr:col>
      <xdr:colOff>105335</xdr:colOff>
      <xdr:row>190</xdr:row>
      <xdr:rowOff>28145</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104677</xdr:rowOff>
    </xdr:from>
    <xdr:to>
      <xdr:col>5</xdr:col>
      <xdr:colOff>287804</xdr:colOff>
      <xdr:row>98</xdr:row>
      <xdr:rowOff>50544</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105335</xdr:colOff>
      <xdr:row>62</xdr:row>
      <xdr:rowOff>107876</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87736</xdr:rowOff>
    </xdr:from>
    <xdr:to>
      <xdr:col>5</xdr:col>
      <xdr:colOff>105335</xdr:colOff>
      <xdr:row>58</xdr:row>
      <xdr:rowOff>67736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29575</xdr:rowOff>
    </xdr:from>
    <xdr:to>
      <xdr:col>5</xdr:col>
      <xdr:colOff>105335</xdr:colOff>
      <xdr:row>58</xdr:row>
      <xdr:rowOff>30196</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274358</xdr:rowOff>
    </xdr:from>
    <xdr:to>
      <xdr:col>5</xdr:col>
      <xdr:colOff>105335</xdr:colOff>
      <xdr:row>59</xdr:row>
      <xdr:rowOff>292483</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9721</xdr:rowOff>
    </xdr:from>
    <xdr:to>
      <xdr:col>5</xdr:col>
      <xdr:colOff>105335</xdr:colOff>
      <xdr:row>73</xdr:row>
      <xdr:rowOff>178287</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75</xdr:row>
      <xdr:rowOff>69670</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76</xdr:row>
      <xdr:rowOff>64316</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76</xdr:row>
      <xdr:rowOff>64316</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161455</xdr:rowOff>
    </xdr:from>
    <xdr:to>
      <xdr:col>5</xdr:col>
      <xdr:colOff>105335</xdr:colOff>
      <xdr:row>95</xdr:row>
      <xdr:rowOff>38078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56075</xdr:rowOff>
    </xdr:from>
    <xdr:to>
      <xdr:col>5</xdr:col>
      <xdr:colOff>105335</xdr:colOff>
      <xdr:row>120</xdr:row>
      <xdr:rowOff>162525</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78411</xdr:rowOff>
    </xdr:from>
    <xdr:to>
      <xdr:col>5</xdr:col>
      <xdr:colOff>105335</xdr:colOff>
      <xdr:row>197</xdr:row>
      <xdr:rowOff>54365</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197</xdr:row>
      <xdr:rowOff>122729</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200</xdr:row>
      <xdr:rowOff>142626</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38493</xdr:rowOff>
    </xdr:from>
    <xdr:to>
      <xdr:col>5</xdr:col>
      <xdr:colOff>105335</xdr:colOff>
      <xdr:row>201</xdr:row>
      <xdr:rowOff>162158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246</xdr:rowOff>
    </xdr:from>
    <xdr:to>
      <xdr:col>5</xdr:col>
      <xdr:colOff>105335</xdr:colOff>
      <xdr:row>143</xdr:row>
      <xdr:rowOff>97395</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918</xdr:rowOff>
    </xdr:from>
    <xdr:to>
      <xdr:col>5</xdr:col>
      <xdr:colOff>105335</xdr:colOff>
      <xdr:row>188</xdr:row>
      <xdr:rowOff>86087</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188</xdr:row>
      <xdr:rowOff>160876</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190</xdr:row>
      <xdr:rowOff>28145</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159704</xdr:rowOff>
    </xdr:from>
    <xdr:to>
      <xdr:col>5</xdr:col>
      <xdr:colOff>287804</xdr:colOff>
      <xdr:row>99</xdr:row>
      <xdr:rowOff>12013</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85619</xdr:rowOff>
    </xdr:from>
    <xdr:to>
      <xdr:col>5</xdr:col>
      <xdr:colOff>105335</xdr:colOff>
      <xdr:row>64</xdr:row>
      <xdr:rowOff>104012</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102600</xdr:rowOff>
    </xdr:from>
    <xdr:to>
      <xdr:col>5</xdr:col>
      <xdr:colOff>105335</xdr:colOff>
      <xdr:row>58</xdr:row>
      <xdr:rowOff>276201</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46209</xdr:rowOff>
    </xdr:from>
    <xdr:to>
      <xdr:col>5</xdr:col>
      <xdr:colOff>105335</xdr:colOff>
      <xdr:row>58</xdr:row>
      <xdr:rowOff>183995</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276201</xdr:rowOff>
    </xdr:from>
    <xdr:to>
      <xdr:col>5</xdr:col>
      <xdr:colOff>105335</xdr:colOff>
      <xdr:row>60</xdr:row>
      <xdr:rowOff>85994</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28509</xdr:rowOff>
    </xdr:from>
    <xdr:to>
      <xdr:col>5</xdr:col>
      <xdr:colOff>105335</xdr:colOff>
      <xdr:row>74</xdr:row>
      <xdr:rowOff>103907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6719</xdr:rowOff>
    </xdr:from>
    <xdr:to>
      <xdr:col>5</xdr:col>
      <xdr:colOff>105335</xdr:colOff>
      <xdr:row>75</xdr:row>
      <xdr:rowOff>171944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50799</xdr:rowOff>
    </xdr:from>
    <xdr:to>
      <xdr:col>5</xdr:col>
      <xdr:colOff>105335</xdr:colOff>
      <xdr:row>77</xdr:row>
      <xdr:rowOff>29400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11692</xdr:rowOff>
    </xdr:from>
    <xdr:to>
      <xdr:col>5</xdr:col>
      <xdr:colOff>105335</xdr:colOff>
      <xdr:row>77</xdr:row>
      <xdr:rowOff>29400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141883</xdr:rowOff>
    </xdr:from>
    <xdr:to>
      <xdr:col>5</xdr:col>
      <xdr:colOff>105335</xdr:colOff>
      <xdr:row>95</xdr:row>
      <xdr:rowOff>161001</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86276</xdr:rowOff>
    </xdr:from>
    <xdr:to>
      <xdr:col>5</xdr:col>
      <xdr:colOff>105335</xdr:colOff>
      <xdr:row>121</xdr:row>
      <xdr:rowOff>135996</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57129</xdr:rowOff>
    </xdr:from>
    <xdr:to>
      <xdr:col>5</xdr:col>
      <xdr:colOff>105335</xdr:colOff>
      <xdr:row>199</xdr:row>
      <xdr:rowOff>825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57127</xdr:rowOff>
    </xdr:from>
    <xdr:to>
      <xdr:col>5</xdr:col>
      <xdr:colOff>105335</xdr:colOff>
      <xdr:row>198</xdr:row>
      <xdr:rowOff>135400</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54365</xdr:rowOff>
    </xdr:from>
    <xdr:to>
      <xdr:col>5</xdr:col>
      <xdr:colOff>105335</xdr:colOff>
      <xdr:row>201</xdr:row>
      <xdr:rowOff>142628</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159459</xdr:rowOff>
    </xdr:from>
    <xdr:to>
      <xdr:col>5</xdr:col>
      <xdr:colOff>105335</xdr:colOff>
      <xdr:row>202</xdr:row>
      <xdr:rowOff>142628</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142726</xdr:rowOff>
    </xdr:from>
    <xdr:to>
      <xdr:col>5</xdr:col>
      <xdr:colOff>105335</xdr:colOff>
      <xdr:row>189</xdr:row>
      <xdr:rowOff>20708</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919</xdr:rowOff>
    </xdr:from>
    <xdr:to>
      <xdr:col>5</xdr:col>
      <xdr:colOff>105335</xdr:colOff>
      <xdr:row>189</xdr:row>
      <xdr:rowOff>58308</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919</xdr:rowOff>
    </xdr:from>
    <xdr:to>
      <xdr:col>5</xdr:col>
      <xdr:colOff>105335</xdr:colOff>
      <xdr:row>189</xdr:row>
      <xdr:rowOff>124422</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143145</xdr:rowOff>
    </xdr:from>
    <xdr:to>
      <xdr:col>5</xdr:col>
      <xdr:colOff>105335</xdr:colOff>
      <xdr:row>191</xdr:row>
      <xdr:rowOff>1709</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76974</xdr:rowOff>
    </xdr:from>
    <xdr:to>
      <xdr:col>5</xdr:col>
      <xdr:colOff>105335</xdr:colOff>
      <xdr:row>240</xdr:row>
      <xdr:rowOff>96817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38586</xdr:rowOff>
    </xdr:from>
    <xdr:to>
      <xdr:col>5</xdr:col>
      <xdr:colOff>105335</xdr:colOff>
      <xdr:row>240</xdr:row>
      <xdr:rowOff>797</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161840</xdr:rowOff>
    </xdr:from>
    <xdr:to>
      <xdr:col>5</xdr:col>
      <xdr:colOff>105335</xdr:colOff>
      <xdr:row>241</xdr:row>
      <xdr:rowOff>96816</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161839</xdr:rowOff>
    </xdr:from>
    <xdr:to>
      <xdr:col>5</xdr:col>
      <xdr:colOff>105335</xdr:colOff>
      <xdr:row>228</xdr:row>
      <xdr:rowOff>161839</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159457</xdr:rowOff>
    </xdr:from>
    <xdr:to>
      <xdr:col>5</xdr:col>
      <xdr:colOff>105335</xdr:colOff>
      <xdr:row>206</xdr:row>
      <xdr:rowOff>797</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50155</xdr:rowOff>
    </xdr:from>
    <xdr:to>
      <xdr:col>5</xdr:col>
      <xdr:colOff>105335</xdr:colOff>
      <xdr:row>207</xdr:row>
      <xdr:rowOff>28004</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31732</xdr:rowOff>
    </xdr:from>
    <xdr:to>
      <xdr:col>5</xdr:col>
      <xdr:colOff>105335</xdr:colOff>
      <xdr:row>208</xdr:row>
      <xdr:rowOff>96817</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161840</xdr:rowOff>
    </xdr:from>
    <xdr:to>
      <xdr:col>5</xdr:col>
      <xdr:colOff>105335</xdr:colOff>
      <xdr:row>215</xdr:row>
      <xdr:rowOff>38586</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497001</xdr:rowOff>
    </xdr:from>
    <xdr:to>
      <xdr:col>5</xdr:col>
      <xdr:colOff>124385</xdr:colOff>
      <xdr:row>59</xdr:row>
      <xdr:rowOff>296943</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143209</xdr:rowOff>
    </xdr:from>
    <xdr:to>
      <xdr:col>5</xdr:col>
      <xdr:colOff>124385</xdr:colOff>
      <xdr:row>58</xdr:row>
      <xdr:rowOff>372943</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11180</xdr:rowOff>
    </xdr:from>
    <xdr:to>
      <xdr:col>5</xdr:col>
      <xdr:colOff>124385</xdr:colOff>
      <xdr:row>60</xdr:row>
      <xdr:rowOff>315399</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124385</xdr:colOff>
      <xdr:row>60</xdr:row>
      <xdr:rowOff>130205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154071</xdr:rowOff>
    </xdr:from>
    <xdr:to>
      <xdr:col>5</xdr:col>
      <xdr:colOff>124385</xdr:colOff>
      <xdr:row>63</xdr:row>
      <xdr:rowOff>69768</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124385</xdr:colOff>
      <xdr:row>62</xdr:row>
      <xdr:rowOff>77243</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124385</xdr:colOff>
      <xdr:row>65</xdr:row>
      <xdr:rowOff>11809</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335803</xdr:rowOff>
    </xdr:from>
    <xdr:to>
      <xdr:col>5</xdr:col>
      <xdr:colOff>124385</xdr:colOff>
      <xdr:row>64</xdr:row>
      <xdr:rowOff>31019</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106387</xdr:rowOff>
    </xdr:from>
    <xdr:to>
      <xdr:col>5</xdr:col>
      <xdr:colOff>124385</xdr:colOff>
      <xdr:row>66</xdr:row>
      <xdr:rowOff>179190</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133367</xdr:rowOff>
    </xdr:from>
    <xdr:to>
      <xdr:col>5</xdr:col>
      <xdr:colOff>124385</xdr:colOff>
      <xdr:row>65</xdr:row>
      <xdr:rowOff>198369</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12169</xdr:rowOff>
    </xdr:from>
    <xdr:to>
      <xdr:col>5</xdr:col>
      <xdr:colOff>124385</xdr:colOff>
      <xdr:row>83</xdr:row>
      <xdr:rowOff>173466</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18965</xdr:rowOff>
    </xdr:from>
    <xdr:to>
      <xdr:col>5</xdr:col>
      <xdr:colOff>124385</xdr:colOff>
      <xdr:row>83</xdr:row>
      <xdr:rowOff>10172</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142881</xdr:rowOff>
    </xdr:from>
    <xdr:to>
      <xdr:col>5</xdr:col>
      <xdr:colOff>124385</xdr:colOff>
      <xdr:row>85</xdr:row>
      <xdr:rowOff>143192</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172483</xdr:rowOff>
    </xdr:from>
    <xdr:to>
      <xdr:col>5</xdr:col>
      <xdr:colOff>124385</xdr:colOff>
      <xdr:row>84</xdr:row>
      <xdr:rowOff>169085</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115163</xdr:rowOff>
    </xdr:from>
    <xdr:to>
      <xdr:col>5</xdr:col>
      <xdr:colOff>124385</xdr:colOff>
      <xdr:row>87</xdr:row>
      <xdr:rowOff>121734</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333809</xdr:rowOff>
    </xdr:from>
    <xdr:to>
      <xdr:col>5</xdr:col>
      <xdr:colOff>124385</xdr:colOff>
      <xdr:row>86</xdr:row>
      <xdr:rowOff>140816</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105414</xdr:rowOff>
    </xdr:from>
    <xdr:to>
      <xdr:col>5</xdr:col>
      <xdr:colOff>124385</xdr:colOff>
      <xdr:row>89</xdr:row>
      <xdr:rowOff>143013</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125811</xdr:rowOff>
    </xdr:from>
    <xdr:to>
      <xdr:col>5</xdr:col>
      <xdr:colOff>124385</xdr:colOff>
      <xdr:row>88</xdr:row>
      <xdr:rowOff>122336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107</xdr:row>
      <xdr:rowOff>96870</xdr:rowOff>
    </xdr:from>
    <xdr:to>
      <xdr:col>5</xdr:col>
      <xdr:colOff>124385</xdr:colOff>
      <xdr:row>111</xdr:row>
      <xdr:rowOff>229768</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115912</xdr:rowOff>
    </xdr:from>
    <xdr:to>
      <xdr:col>5</xdr:col>
      <xdr:colOff>124385</xdr:colOff>
      <xdr:row>111</xdr:row>
      <xdr:rowOff>38383</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123492</xdr:rowOff>
    </xdr:from>
    <xdr:to>
      <xdr:col>5</xdr:col>
      <xdr:colOff>124385</xdr:colOff>
      <xdr:row>113</xdr:row>
      <xdr:rowOff>139721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102896</xdr:rowOff>
    </xdr:from>
    <xdr:to>
      <xdr:col>5</xdr:col>
      <xdr:colOff>124385</xdr:colOff>
      <xdr:row>112</xdr:row>
      <xdr:rowOff>121165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124388</xdr:rowOff>
    </xdr:from>
    <xdr:to>
      <xdr:col>5</xdr:col>
      <xdr:colOff>124385</xdr:colOff>
      <xdr:row>115</xdr:row>
      <xdr:rowOff>82925</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162464</xdr:rowOff>
    </xdr:from>
    <xdr:to>
      <xdr:col>5</xdr:col>
      <xdr:colOff>124385</xdr:colOff>
      <xdr:row>114</xdr:row>
      <xdr:rowOff>55382</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65718</xdr:rowOff>
    </xdr:from>
    <xdr:to>
      <xdr:col>5</xdr:col>
      <xdr:colOff>124385</xdr:colOff>
      <xdr:row>117</xdr:row>
      <xdr:rowOff>96670</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101847</xdr:rowOff>
    </xdr:from>
    <xdr:to>
      <xdr:col>5</xdr:col>
      <xdr:colOff>124385</xdr:colOff>
      <xdr:row>116</xdr:row>
      <xdr:rowOff>79047</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96762</xdr:rowOff>
    </xdr:from>
    <xdr:to>
      <xdr:col>5</xdr:col>
      <xdr:colOff>105335</xdr:colOff>
      <xdr:row>227</xdr:row>
      <xdr:rowOff>78505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20012</xdr:rowOff>
    </xdr:from>
    <xdr:to>
      <xdr:col>5</xdr:col>
      <xdr:colOff>105335</xdr:colOff>
      <xdr:row>227</xdr:row>
      <xdr:rowOff>983</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162411</xdr:rowOff>
    </xdr:from>
    <xdr:to>
      <xdr:col>5</xdr:col>
      <xdr:colOff>105335</xdr:colOff>
      <xdr:row>228</xdr:row>
      <xdr:rowOff>78505</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162409</xdr:rowOff>
    </xdr:from>
    <xdr:to>
      <xdr:col>5</xdr:col>
      <xdr:colOff>105335</xdr:colOff>
      <xdr:row>215</xdr:row>
      <xdr:rowOff>172346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172345</xdr:rowOff>
    </xdr:from>
    <xdr:to>
      <xdr:col>5</xdr:col>
      <xdr:colOff>105335</xdr:colOff>
      <xdr:row>193</xdr:row>
      <xdr:rowOff>123190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57174</xdr:rowOff>
    </xdr:from>
    <xdr:to>
      <xdr:col>5</xdr:col>
      <xdr:colOff>105335</xdr:colOff>
      <xdr:row>194</xdr:row>
      <xdr:rowOff>103344</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160029</xdr:rowOff>
    </xdr:from>
    <xdr:to>
      <xdr:col>5</xdr:col>
      <xdr:colOff>105335</xdr:colOff>
      <xdr:row>195</xdr:row>
      <xdr:rowOff>121602</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121987</xdr:rowOff>
    </xdr:from>
    <xdr:to>
      <xdr:col>5</xdr:col>
      <xdr:colOff>105335</xdr:colOff>
      <xdr:row>202</xdr:row>
      <xdr:rowOff>57077</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124159</xdr:rowOff>
    </xdr:from>
    <xdr:to>
      <xdr:col>5</xdr:col>
      <xdr:colOff>124385</xdr:colOff>
      <xdr:row>58</xdr:row>
      <xdr:rowOff>372943</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339856</xdr:rowOff>
    </xdr:from>
    <xdr:to>
      <xdr:col>5</xdr:col>
      <xdr:colOff>124385</xdr:colOff>
      <xdr:row>59</xdr:row>
      <xdr:rowOff>163645</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372943</xdr:rowOff>
    </xdr:from>
    <xdr:to>
      <xdr:col>5</xdr:col>
      <xdr:colOff>124385</xdr:colOff>
      <xdr:row>60</xdr:row>
      <xdr:rowOff>286322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163645</xdr:rowOff>
    </xdr:from>
    <xdr:to>
      <xdr:col>5</xdr:col>
      <xdr:colOff>124385</xdr:colOff>
      <xdr:row>61</xdr:row>
      <xdr:rowOff>124893</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124385</xdr:colOff>
      <xdr:row>62</xdr:row>
      <xdr:rowOff>50132</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7621</xdr:rowOff>
    </xdr:from>
    <xdr:to>
      <xdr:col>5</xdr:col>
      <xdr:colOff>124385</xdr:colOff>
      <xdr:row>79</xdr:row>
      <xdr:rowOff>59069</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164772</xdr:rowOff>
    </xdr:from>
    <xdr:to>
      <xdr:col>5</xdr:col>
      <xdr:colOff>124385</xdr:colOff>
      <xdr:row>80</xdr:row>
      <xdr:rowOff>73116</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142963</xdr:rowOff>
    </xdr:from>
    <xdr:to>
      <xdr:col>5</xdr:col>
      <xdr:colOff>124385</xdr:colOff>
      <xdr:row>81</xdr:row>
      <xdr:rowOff>69729</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159179</xdr:rowOff>
    </xdr:from>
    <xdr:to>
      <xdr:col>5</xdr:col>
      <xdr:colOff>124385</xdr:colOff>
      <xdr:row>82</xdr:row>
      <xdr:rowOff>55220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98</xdr:row>
      <xdr:rowOff>73447</xdr:rowOff>
    </xdr:from>
    <xdr:to>
      <xdr:col>5</xdr:col>
      <xdr:colOff>124385</xdr:colOff>
      <xdr:row>101</xdr:row>
      <xdr:rowOff>152823</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2696</xdr:rowOff>
    </xdr:from>
    <xdr:to>
      <xdr:col>5</xdr:col>
      <xdr:colOff>124385</xdr:colOff>
      <xdr:row>102</xdr:row>
      <xdr:rowOff>22115</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191052</xdr:rowOff>
    </xdr:from>
    <xdr:to>
      <xdr:col>5</xdr:col>
      <xdr:colOff>124385</xdr:colOff>
      <xdr:row>103</xdr:row>
      <xdr:rowOff>38854</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99</xdr:row>
      <xdr:rowOff>179770</xdr:rowOff>
    </xdr:from>
    <xdr:to>
      <xdr:col>5</xdr:col>
      <xdr:colOff>124385</xdr:colOff>
      <xdr:row>103</xdr:row>
      <xdr:rowOff>76390</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227</xdr:row>
      <xdr:rowOff>39767</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161233</xdr:rowOff>
    </xdr:from>
    <xdr:to>
      <xdr:col>5</xdr:col>
      <xdr:colOff>105335</xdr:colOff>
      <xdr:row>226</xdr:row>
      <xdr:rowOff>142762</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161233</xdr:rowOff>
    </xdr:from>
    <xdr:to>
      <xdr:col>5</xdr:col>
      <xdr:colOff>105335</xdr:colOff>
      <xdr:row>228</xdr:row>
      <xdr:rowOff>39767</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215</xdr:row>
      <xdr:rowOff>142761</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142760</xdr:rowOff>
    </xdr:from>
    <xdr:to>
      <xdr:col>5</xdr:col>
      <xdr:colOff>105335</xdr:colOff>
      <xdr:row>193</xdr:row>
      <xdr:rowOff>123191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78507</xdr:rowOff>
    </xdr:from>
    <xdr:to>
      <xdr:col>5</xdr:col>
      <xdr:colOff>105335</xdr:colOff>
      <xdr:row>194</xdr:row>
      <xdr:rowOff>103344</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124777</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123984</xdr:rowOff>
    </xdr:from>
    <xdr:to>
      <xdr:col>5</xdr:col>
      <xdr:colOff>105335</xdr:colOff>
      <xdr:row>202</xdr:row>
      <xdr:rowOff>40024</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105335</xdr:colOff>
      <xdr:row>57</xdr:row>
      <xdr:rowOff>181668</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339856</xdr:rowOff>
    </xdr:from>
    <xdr:to>
      <xdr:col>5</xdr:col>
      <xdr:colOff>105335</xdr:colOff>
      <xdr:row>58</xdr:row>
      <xdr:rowOff>85859</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372943</xdr:rowOff>
    </xdr:from>
    <xdr:to>
      <xdr:col>5</xdr:col>
      <xdr:colOff>105335</xdr:colOff>
      <xdr:row>61</xdr:row>
      <xdr:rowOff>59339</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64</xdr:row>
      <xdr:rowOff>30277</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105335</xdr:colOff>
      <xdr:row>65</xdr:row>
      <xdr:rowOff>161895</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39714</xdr:rowOff>
    </xdr:from>
    <xdr:to>
      <xdr:col>5</xdr:col>
      <xdr:colOff>105335</xdr:colOff>
      <xdr:row>79</xdr:row>
      <xdr:rowOff>59069</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50429</xdr:rowOff>
    </xdr:from>
    <xdr:to>
      <xdr:col>5</xdr:col>
      <xdr:colOff>105335</xdr:colOff>
      <xdr:row>101</xdr:row>
      <xdr:rowOff>199539</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101</xdr:row>
      <xdr:rowOff>199539</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102</xdr:row>
      <xdr:rowOff>83117</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159862</xdr:rowOff>
    </xdr:from>
    <xdr:to>
      <xdr:col>5</xdr:col>
      <xdr:colOff>105335</xdr:colOff>
      <xdr:row>102</xdr:row>
      <xdr:rowOff>172748</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77713</xdr:rowOff>
    </xdr:from>
    <xdr:to>
      <xdr:col>5</xdr:col>
      <xdr:colOff>105335</xdr:colOff>
      <xdr:row>228</xdr:row>
      <xdr:rowOff>39767</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227</xdr:row>
      <xdr:rowOff>142761</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161232</xdr:rowOff>
    </xdr:from>
    <xdr:to>
      <xdr:col>5</xdr:col>
      <xdr:colOff>105335</xdr:colOff>
      <xdr:row>229</xdr:row>
      <xdr:rowOff>39768</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142762</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142681</xdr:rowOff>
    </xdr:from>
    <xdr:to>
      <xdr:col>5</xdr:col>
      <xdr:colOff>105335</xdr:colOff>
      <xdr:row>194</xdr:row>
      <xdr:rowOff>77710</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195</xdr:row>
      <xdr:rowOff>96763</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196</xdr:row>
      <xdr:rowOff>78506</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103344</xdr:rowOff>
    </xdr:from>
    <xdr:to>
      <xdr:col>5</xdr:col>
      <xdr:colOff>105335</xdr:colOff>
      <xdr:row>203</xdr:row>
      <xdr:rowOff>40022</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381140</xdr:rowOff>
    </xdr:from>
    <xdr:to>
      <xdr:col>5</xdr:col>
      <xdr:colOff>105335</xdr:colOff>
      <xdr:row>58</xdr:row>
      <xdr:rowOff>192308</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192308</xdr:rowOff>
    </xdr:from>
    <xdr:to>
      <xdr:col>5</xdr:col>
      <xdr:colOff>105335</xdr:colOff>
      <xdr:row>58</xdr:row>
      <xdr:rowOff>278220</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105335</xdr:colOff>
      <xdr:row>62</xdr:row>
      <xdr:rowOff>30937</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311284</xdr:rowOff>
    </xdr:from>
    <xdr:to>
      <xdr:col>5</xdr:col>
      <xdr:colOff>105335</xdr:colOff>
      <xdr:row>64</xdr:row>
      <xdr:rowOff>123816</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105335</xdr:colOff>
      <xdr:row>66</xdr:row>
      <xdr:rowOff>107091</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134355</xdr:rowOff>
    </xdr:from>
    <xdr:to>
      <xdr:col>5</xdr:col>
      <xdr:colOff>105335</xdr:colOff>
      <xdr:row>80</xdr:row>
      <xdr:rowOff>73116</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142698</xdr:rowOff>
    </xdr:from>
    <xdr:to>
      <xdr:col>5</xdr:col>
      <xdr:colOff>105335</xdr:colOff>
      <xdr:row>81</xdr:row>
      <xdr:rowOff>69729</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134719</xdr:rowOff>
    </xdr:from>
    <xdr:to>
      <xdr:col>5</xdr:col>
      <xdr:colOff>105335</xdr:colOff>
      <xdr:row>82</xdr:row>
      <xdr:rowOff>55220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121466</xdr:rowOff>
    </xdr:from>
    <xdr:to>
      <xdr:col>5</xdr:col>
      <xdr:colOff>105335</xdr:colOff>
      <xdr:row>82</xdr:row>
      <xdr:rowOff>259041</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249552</xdr:rowOff>
    </xdr:from>
    <xdr:to>
      <xdr:col>5</xdr:col>
      <xdr:colOff>105335</xdr:colOff>
      <xdr:row>103</xdr:row>
      <xdr:rowOff>39701</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190258</xdr:rowOff>
    </xdr:from>
    <xdr:to>
      <xdr:col>5</xdr:col>
      <xdr:colOff>105335</xdr:colOff>
      <xdr:row>103</xdr:row>
      <xdr:rowOff>39701</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132014</xdr:rowOff>
    </xdr:from>
    <xdr:to>
      <xdr:col>5</xdr:col>
      <xdr:colOff>105335</xdr:colOff>
      <xdr:row>103</xdr:row>
      <xdr:rowOff>38114</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93680</xdr:rowOff>
    </xdr:from>
    <xdr:to>
      <xdr:col>5</xdr:col>
      <xdr:colOff>105335</xdr:colOff>
      <xdr:row>103</xdr:row>
      <xdr:rowOff>145213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525190</xdr:colOff>
      <xdr:row>14</xdr:row>
      <xdr:rowOff>28201</xdr:rowOff>
    </xdr:from>
    <xdr:to>
      <xdr:col>21</xdr:col>
      <xdr:colOff>448991</xdr:colOff>
      <xdr:row>18</xdr:row>
      <xdr:rowOff>50427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19</xdr:row>
      <xdr:rowOff>88527</xdr:rowOff>
    </xdr:from>
    <xdr:to>
      <xdr:col>21</xdr:col>
      <xdr:colOff>277541</xdr:colOff>
      <xdr:row>23</xdr:row>
      <xdr:rowOff>135030</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30</xdr:row>
      <xdr:rowOff>9650</xdr:rowOff>
    </xdr:from>
    <xdr:to>
      <xdr:col>21</xdr:col>
      <xdr:colOff>277541</xdr:colOff>
      <xdr:row>34</xdr:row>
      <xdr:rowOff>83467</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487090</xdr:colOff>
      <xdr:row>123</xdr:row>
      <xdr:rowOff>143562</xdr:rowOff>
    </xdr:from>
    <xdr:to>
      <xdr:col>21</xdr:col>
      <xdr:colOff>277541</xdr:colOff>
      <xdr:row>127</xdr:row>
      <xdr:rowOff>153294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39768</xdr:rowOff>
    </xdr:from>
    <xdr:to>
      <xdr:col>5</xdr:col>
      <xdr:colOff>105335</xdr:colOff>
      <xdr:row>253</xdr:row>
      <xdr:rowOff>39770</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252</xdr:row>
      <xdr:rowOff>142762</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161233</xdr:rowOff>
    </xdr:from>
    <xdr:to>
      <xdr:col>5</xdr:col>
      <xdr:colOff>105335</xdr:colOff>
      <xdr:row>254</xdr:row>
      <xdr:rowOff>39766</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235</xdr:row>
      <xdr:rowOff>161233</xdr:rowOff>
    </xdr:from>
    <xdr:to>
      <xdr:col>5</xdr:col>
      <xdr:colOff>105335</xdr:colOff>
      <xdr:row>241</xdr:row>
      <xdr:rowOff>142761</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123190</xdr:rowOff>
    </xdr:from>
    <xdr:to>
      <xdr:col>5</xdr:col>
      <xdr:colOff>105335</xdr:colOff>
      <xdr:row>218</xdr:row>
      <xdr:rowOff>142760</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219</xdr:row>
      <xdr:rowOff>161232</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161233</xdr:rowOff>
    </xdr:from>
    <xdr:to>
      <xdr:col>5</xdr:col>
      <xdr:colOff>105335</xdr:colOff>
      <xdr:row>221</xdr:row>
      <xdr:rowOff>39768</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161233</xdr:rowOff>
    </xdr:from>
    <xdr:to>
      <xdr:col>5</xdr:col>
      <xdr:colOff>105335</xdr:colOff>
      <xdr:row>227</xdr:row>
      <xdr:rowOff>161232</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66302</xdr:rowOff>
    </xdr:from>
    <xdr:to>
      <xdr:col>5</xdr:col>
      <xdr:colOff>105335</xdr:colOff>
      <xdr:row>19</xdr:row>
      <xdr:rowOff>126627</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81</xdr:row>
      <xdr:rowOff>141291</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153623</xdr:rowOff>
    </xdr:from>
    <xdr:to>
      <xdr:col>5</xdr:col>
      <xdr:colOff>105335</xdr:colOff>
      <xdr:row>82</xdr:row>
      <xdr:rowOff>235909</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84721</xdr:rowOff>
    </xdr:from>
    <xdr:to>
      <xdr:col>5</xdr:col>
      <xdr:colOff>105335</xdr:colOff>
      <xdr:row>82</xdr:row>
      <xdr:rowOff>311602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143035</xdr:rowOff>
    </xdr:from>
    <xdr:to>
      <xdr:col>5</xdr:col>
      <xdr:colOff>105335</xdr:colOff>
      <xdr:row>85</xdr:row>
      <xdr:rowOff>96576</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276610</xdr:rowOff>
    </xdr:from>
    <xdr:to>
      <xdr:col>5</xdr:col>
      <xdr:colOff>105335</xdr:colOff>
      <xdr:row>91</xdr:row>
      <xdr:rowOff>53998</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172312</xdr:rowOff>
    </xdr:from>
    <xdr:to>
      <xdr:col>5</xdr:col>
      <xdr:colOff>105335</xdr:colOff>
      <xdr:row>101</xdr:row>
      <xdr:rowOff>216345</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95007</xdr:rowOff>
    </xdr:from>
    <xdr:to>
      <xdr:col>5</xdr:col>
      <xdr:colOff>105335</xdr:colOff>
      <xdr:row>102</xdr:row>
      <xdr:rowOff>140002</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56056</xdr:rowOff>
    </xdr:from>
    <xdr:to>
      <xdr:col>5</xdr:col>
      <xdr:colOff>105335</xdr:colOff>
      <xdr:row>104</xdr:row>
      <xdr:rowOff>2164</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198144</xdr:rowOff>
    </xdr:from>
    <xdr:to>
      <xdr:col>5</xdr:col>
      <xdr:colOff>105335</xdr:colOff>
      <xdr:row>105</xdr:row>
      <xdr:rowOff>35108</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141646</xdr:rowOff>
    </xdr:from>
    <xdr:to>
      <xdr:col>5</xdr:col>
      <xdr:colOff>105335</xdr:colOff>
      <xdr:row>127</xdr:row>
      <xdr:rowOff>160173</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143562</xdr:rowOff>
    </xdr:from>
    <xdr:to>
      <xdr:col>5</xdr:col>
      <xdr:colOff>105335</xdr:colOff>
      <xdr:row>127</xdr:row>
      <xdr:rowOff>160173</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85121</xdr:rowOff>
    </xdr:from>
    <xdr:to>
      <xdr:col>5</xdr:col>
      <xdr:colOff>105335</xdr:colOff>
      <xdr:row>127</xdr:row>
      <xdr:rowOff>160173</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58133</xdr:rowOff>
    </xdr:from>
    <xdr:to>
      <xdr:col>5</xdr:col>
      <xdr:colOff>105335</xdr:colOff>
      <xdr:row>127</xdr:row>
      <xdr:rowOff>160173</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30</xdr:row>
      <xdr:rowOff>9650</xdr:rowOff>
    </xdr:from>
    <xdr:to>
      <xdr:col>21</xdr:col>
      <xdr:colOff>277541</xdr:colOff>
      <xdr:row>34</xdr:row>
      <xdr:rowOff>83467</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148</xdr:row>
      <xdr:rowOff>65833</xdr:rowOff>
    </xdr:from>
    <xdr:to>
      <xdr:col>21</xdr:col>
      <xdr:colOff>277541</xdr:colOff>
      <xdr:row>152</xdr:row>
      <xdr:rowOff>103373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36</xdr:row>
      <xdr:rowOff>26614</xdr:rowOff>
    </xdr:from>
    <xdr:to>
      <xdr:col>21</xdr:col>
      <xdr:colOff>201708</xdr:colOff>
      <xdr:row>40</xdr:row>
      <xdr:rowOff>140354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44871</xdr:rowOff>
    </xdr:from>
    <xdr:to>
      <xdr:col>16</xdr:col>
      <xdr:colOff>201709</xdr:colOff>
      <xdr:row>41</xdr:row>
      <xdr:rowOff>140353</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35889</xdr:rowOff>
    </xdr:from>
    <xdr:to>
      <xdr:col>5</xdr:col>
      <xdr:colOff>105335</xdr:colOff>
      <xdr:row>249</xdr:row>
      <xdr:rowOff>35889</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161232</xdr:rowOff>
    </xdr:from>
    <xdr:to>
      <xdr:col>5</xdr:col>
      <xdr:colOff>105335</xdr:colOff>
      <xdr:row>248</xdr:row>
      <xdr:rowOff>160439</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161233</xdr:rowOff>
    </xdr:from>
    <xdr:to>
      <xdr:col>5</xdr:col>
      <xdr:colOff>105335</xdr:colOff>
      <xdr:row>250</xdr:row>
      <xdr:rowOff>35888</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161234</xdr:rowOff>
    </xdr:from>
    <xdr:to>
      <xdr:col>5</xdr:col>
      <xdr:colOff>105335</xdr:colOff>
      <xdr:row>237</xdr:row>
      <xdr:rowOff>160439</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123191</xdr:rowOff>
    </xdr:from>
    <xdr:to>
      <xdr:col>5</xdr:col>
      <xdr:colOff>105335</xdr:colOff>
      <xdr:row>214</xdr:row>
      <xdr:rowOff>160439</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161233</xdr:rowOff>
    </xdr:from>
    <xdr:to>
      <xdr:col>5</xdr:col>
      <xdr:colOff>105335</xdr:colOff>
      <xdr:row>216</xdr:row>
      <xdr:rowOff>19770</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161233</xdr:rowOff>
    </xdr:from>
    <xdr:to>
      <xdr:col>5</xdr:col>
      <xdr:colOff>105335</xdr:colOff>
      <xdr:row>217</xdr:row>
      <xdr:rowOff>35889</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161233</xdr:rowOff>
    </xdr:from>
    <xdr:to>
      <xdr:col>5</xdr:col>
      <xdr:colOff>105335</xdr:colOff>
      <xdr:row>224</xdr:row>
      <xdr:rowOff>19768</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77</xdr:row>
      <xdr:rowOff>126812</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206828</xdr:rowOff>
    </xdr:from>
    <xdr:to>
      <xdr:col>5</xdr:col>
      <xdr:colOff>105335</xdr:colOff>
      <xdr:row>79</xdr:row>
      <xdr:rowOff>857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286330</xdr:rowOff>
    </xdr:from>
    <xdr:to>
      <xdr:col>5</xdr:col>
      <xdr:colOff>105335</xdr:colOff>
      <xdr:row>80</xdr:row>
      <xdr:rowOff>217</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78145</xdr:rowOff>
    </xdr:from>
    <xdr:to>
      <xdr:col>5</xdr:col>
      <xdr:colOff>105335</xdr:colOff>
      <xdr:row>82</xdr:row>
      <xdr:rowOff>219483</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78119</xdr:rowOff>
    </xdr:from>
    <xdr:to>
      <xdr:col>5</xdr:col>
      <xdr:colOff>105335</xdr:colOff>
      <xdr:row>87</xdr:row>
      <xdr:rowOff>37081</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38515</xdr:rowOff>
    </xdr:from>
    <xdr:to>
      <xdr:col>5</xdr:col>
      <xdr:colOff>105335</xdr:colOff>
      <xdr:row>98</xdr:row>
      <xdr:rowOff>249552</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xdr:rowOff>
    </xdr:from>
    <xdr:to>
      <xdr:col>5</xdr:col>
      <xdr:colOff>105335</xdr:colOff>
      <xdr:row>99</xdr:row>
      <xdr:rowOff>190258</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162169</xdr:rowOff>
    </xdr:from>
    <xdr:to>
      <xdr:col>5</xdr:col>
      <xdr:colOff>105335</xdr:colOff>
      <xdr:row>100</xdr:row>
      <xdr:rowOff>132014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159292</xdr:rowOff>
    </xdr:from>
    <xdr:to>
      <xdr:col>5</xdr:col>
      <xdr:colOff>105335</xdr:colOff>
      <xdr:row>101</xdr:row>
      <xdr:rowOff>69076</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1905</xdr:rowOff>
    </xdr:from>
    <xdr:to>
      <xdr:col>5</xdr:col>
      <xdr:colOff>105335</xdr:colOff>
      <xdr:row>124</xdr:row>
      <xdr:rowOff>2981</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159745</xdr:rowOff>
    </xdr:from>
    <xdr:to>
      <xdr:col>5</xdr:col>
      <xdr:colOff>105335</xdr:colOff>
      <xdr:row>124</xdr:row>
      <xdr:rowOff>2981</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142360</xdr:rowOff>
    </xdr:from>
    <xdr:to>
      <xdr:col>5</xdr:col>
      <xdr:colOff>105335</xdr:colOff>
      <xdr:row>124</xdr:row>
      <xdr:rowOff>2981</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97245</xdr:rowOff>
    </xdr:from>
    <xdr:to>
      <xdr:col>5</xdr:col>
      <xdr:colOff>105335</xdr:colOff>
      <xdr:row>124</xdr:row>
      <xdr:rowOff>2981</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26</xdr:row>
      <xdr:rowOff>19003</xdr:rowOff>
    </xdr:from>
    <xdr:to>
      <xdr:col>21</xdr:col>
      <xdr:colOff>277541</xdr:colOff>
      <xdr:row>30</xdr:row>
      <xdr:rowOff>25525</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144</xdr:row>
      <xdr:rowOff>39641</xdr:rowOff>
    </xdr:from>
    <xdr:to>
      <xdr:col>21</xdr:col>
      <xdr:colOff>277541</xdr:colOff>
      <xdr:row>148</xdr:row>
      <xdr:rowOff>78533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506140</xdr:colOff>
      <xdr:row>32</xdr:row>
      <xdr:rowOff>1823</xdr:rowOff>
    </xdr:from>
    <xdr:to>
      <xdr:col>21</xdr:col>
      <xdr:colOff>201708</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201709</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78506</xdr:rowOff>
    </xdr:from>
    <xdr:to>
      <xdr:col>5</xdr:col>
      <xdr:colOff>105335</xdr:colOff>
      <xdr:row>226</xdr:row>
      <xdr:rowOff>76921</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39769</xdr:rowOff>
    </xdr:from>
    <xdr:to>
      <xdr:col>5</xdr:col>
      <xdr:colOff>105335</xdr:colOff>
      <xdr:row>225</xdr:row>
      <xdr:rowOff>162028</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36682</xdr:rowOff>
    </xdr:from>
    <xdr:to>
      <xdr:col>5</xdr:col>
      <xdr:colOff>105335</xdr:colOff>
      <xdr:row>227</xdr:row>
      <xdr:rowOff>76918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162027</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123189</xdr:rowOff>
    </xdr:from>
    <xdr:to>
      <xdr:col>5</xdr:col>
      <xdr:colOff>105335</xdr:colOff>
      <xdr:row>192</xdr:row>
      <xdr:rowOff>141174</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18977</xdr:rowOff>
    </xdr:from>
    <xdr:to>
      <xdr:col>5</xdr:col>
      <xdr:colOff>105335</xdr:colOff>
      <xdr:row>193</xdr:row>
      <xdr:rowOff>142763</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31621</xdr:rowOff>
    </xdr:from>
    <xdr:to>
      <xdr:col>5</xdr:col>
      <xdr:colOff>105335</xdr:colOff>
      <xdr:row>194</xdr:row>
      <xdr:rowOff>141968</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172346</xdr:rowOff>
    </xdr:from>
    <xdr:to>
      <xdr:col>5</xdr:col>
      <xdr:colOff>105335</xdr:colOff>
      <xdr:row>201</xdr:row>
      <xdr:rowOff>96763</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57</xdr:row>
      <xdr:rowOff>373203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46459</xdr:rowOff>
    </xdr:from>
    <xdr:to>
      <xdr:col>5</xdr:col>
      <xdr:colOff>105335</xdr:colOff>
      <xdr:row>58</xdr:row>
      <xdr:rowOff>107531</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7237</xdr:rowOff>
    </xdr:from>
    <xdr:to>
      <xdr:col>5</xdr:col>
      <xdr:colOff>105335</xdr:colOff>
      <xdr:row>59</xdr:row>
      <xdr:rowOff>73585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105335</xdr:colOff>
      <xdr:row>61</xdr:row>
      <xdr:rowOff>40315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105335</xdr:colOff>
      <xdr:row>66</xdr:row>
      <xdr:rowOff>25894</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11603</xdr:rowOff>
    </xdr:from>
    <xdr:to>
      <xdr:col>5</xdr:col>
      <xdr:colOff>105335</xdr:colOff>
      <xdr:row>76</xdr:row>
      <xdr:rowOff>141816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39025</xdr:rowOff>
    </xdr:from>
    <xdr:to>
      <xdr:col>5</xdr:col>
      <xdr:colOff>105335</xdr:colOff>
      <xdr:row>101</xdr:row>
      <xdr:rowOff>47411</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47411</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47411</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160141</xdr:rowOff>
    </xdr:from>
    <xdr:to>
      <xdr:col>5</xdr:col>
      <xdr:colOff>105335</xdr:colOff>
      <xdr:row>101</xdr:row>
      <xdr:rowOff>47411</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121</xdr:row>
      <xdr:rowOff>142441</xdr:rowOff>
    </xdr:from>
    <xdr:to>
      <xdr:col>21</xdr:col>
      <xdr:colOff>277541</xdr:colOff>
      <xdr:row>125</xdr:row>
      <xdr:rowOff>160586</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258902</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27</xdr:row>
      <xdr:rowOff>173395</xdr:rowOff>
    </xdr:from>
    <xdr:to>
      <xdr:col>22</xdr:col>
      <xdr:colOff>448990</xdr:colOff>
      <xdr:row>32</xdr:row>
      <xdr:rowOff>25851</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125</xdr:row>
      <xdr:rowOff>160442</xdr:rowOff>
    </xdr:from>
    <xdr:to>
      <xdr:col>22</xdr:col>
      <xdr:colOff>448990</xdr:colOff>
      <xdr:row>129</xdr:row>
      <xdr:rowOff>104433</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468042</xdr:colOff>
      <xdr:row>12</xdr:row>
      <xdr:rowOff>66302</xdr:rowOff>
    </xdr:from>
    <xdr:to>
      <xdr:col>18</xdr:col>
      <xdr:colOff>238221</xdr:colOff>
      <xdr:row>16</xdr:row>
      <xdr:rowOff>104401</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57074</xdr:rowOff>
    </xdr:from>
    <xdr:to>
      <xdr:col>5</xdr:col>
      <xdr:colOff>105335</xdr:colOff>
      <xdr:row>227</xdr:row>
      <xdr:rowOff>76918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36681</xdr:rowOff>
    </xdr:from>
    <xdr:to>
      <xdr:col>5</xdr:col>
      <xdr:colOff>105335</xdr:colOff>
      <xdr:row>226</xdr:row>
      <xdr:rowOff>162027</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228</xdr:row>
      <xdr:rowOff>76918</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36681</xdr:rowOff>
    </xdr:from>
    <xdr:to>
      <xdr:col>5</xdr:col>
      <xdr:colOff>105335</xdr:colOff>
      <xdr:row>215</xdr:row>
      <xdr:rowOff>162027</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123189</xdr:rowOff>
    </xdr:from>
    <xdr:to>
      <xdr:col>5</xdr:col>
      <xdr:colOff>105335</xdr:colOff>
      <xdr:row>193</xdr:row>
      <xdr:rowOff>85651</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31125</xdr:rowOff>
    </xdr:from>
    <xdr:to>
      <xdr:col>5</xdr:col>
      <xdr:colOff>105335</xdr:colOff>
      <xdr:row>194</xdr:row>
      <xdr:rowOff>160553</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162027</xdr:rowOff>
    </xdr:from>
    <xdr:to>
      <xdr:col>5</xdr:col>
      <xdr:colOff>105335</xdr:colOff>
      <xdr:row>195</xdr:row>
      <xdr:rowOff>123190</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123191</xdr:rowOff>
    </xdr:from>
    <xdr:to>
      <xdr:col>5</xdr:col>
      <xdr:colOff>105335</xdr:colOff>
      <xdr:row>202</xdr:row>
      <xdr:rowOff>96764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58</xdr:row>
      <xdr:rowOff>144043</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86612</xdr:rowOff>
    </xdr:from>
    <xdr:to>
      <xdr:col>5</xdr:col>
      <xdr:colOff>105335</xdr:colOff>
      <xdr:row>59</xdr:row>
      <xdr:rowOff>352771</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67843</xdr:rowOff>
    </xdr:from>
    <xdr:to>
      <xdr:col>5</xdr:col>
      <xdr:colOff>105335</xdr:colOff>
      <xdr:row>60</xdr:row>
      <xdr:rowOff>260154</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105943</xdr:rowOff>
    </xdr:from>
    <xdr:to>
      <xdr:col>5</xdr:col>
      <xdr:colOff>105335</xdr:colOff>
      <xdr:row>63</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371821</xdr:rowOff>
    </xdr:from>
    <xdr:to>
      <xdr:col>5</xdr:col>
      <xdr:colOff>105335</xdr:colOff>
      <xdr:row>67</xdr:row>
      <xdr:rowOff>29413</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162715</xdr:rowOff>
    </xdr:from>
    <xdr:to>
      <xdr:col>5</xdr:col>
      <xdr:colOff>105335</xdr:colOff>
      <xdr:row>77</xdr:row>
      <xdr:rowOff>154416</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307761</xdr:rowOff>
    </xdr:from>
    <xdr:to>
      <xdr:col>5</xdr:col>
      <xdr:colOff>105335</xdr:colOff>
      <xdr:row>79</xdr:row>
      <xdr:rowOff>63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77351</xdr:rowOff>
    </xdr:from>
    <xdr:to>
      <xdr:col>5</xdr:col>
      <xdr:colOff>105335</xdr:colOff>
      <xdr:row>80</xdr:row>
      <xdr:rowOff>57811</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64287</xdr:rowOff>
    </xdr:from>
    <xdr:to>
      <xdr:col>5</xdr:col>
      <xdr:colOff>105335</xdr:colOff>
      <xdr:row>81</xdr:row>
      <xdr:rowOff>97510</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39460</xdr:rowOff>
    </xdr:from>
    <xdr:to>
      <xdr:col>5</xdr:col>
      <xdr:colOff>105335</xdr:colOff>
      <xdr:row>101</xdr:row>
      <xdr:rowOff>201030</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193524</xdr:rowOff>
    </xdr:from>
    <xdr:to>
      <xdr:col>5</xdr:col>
      <xdr:colOff>105335</xdr:colOff>
      <xdr:row>101</xdr:row>
      <xdr:rowOff>201030</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131352</xdr:rowOff>
    </xdr:from>
    <xdr:to>
      <xdr:col>5</xdr:col>
      <xdr:colOff>105335</xdr:colOff>
      <xdr:row>101</xdr:row>
      <xdr:rowOff>201030</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75163</xdr:rowOff>
    </xdr:from>
    <xdr:to>
      <xdr:col>5</xdr:col>
      <xdr:colOff>105335</xdr:colOff>
      <xdr:row>101</xdr:row>
      <xdr:rowOff>201030</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468040</xdr:colOff>
      <xdr:row>122</xdr:row>
      <xdr:rowOff>103408</xdr:rowOff>
    </xdr:from>
    <xdr:to>
      <xdr:col>21</xdr:col>
      <xdr:colOff>277541</xdr:colOff>
      <xdr:row>126</xdr:row>
      <xdr:rowOff>160587</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20</xdr:row>
      <xdr:rowOff>47251</xdr:rowOff>
    </xdr:from>
    <xdr:to>
      <xdr:col>22</xdr:col>
      <xdr:colOff>448990</xdr:colOff>
      <xdr:row>23</xdr:row>
      <xdr:rowOff>239852</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28</xdr:row>
      <xdr:rowOff>161489</xdr:rowOff>
    </xdr:from>
    <xdr:to>
      <xdr:col>22</xdr:col>
      <xdr:colOff>448990</xdr:colOff>
      <xdr:row>33</xdr:row>
      <xdr:rowOff>30848</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525190</xdr:colOff>
      <xdr:row>126</xdr:row>
      <xdr:rowOff>160441</xdr:rowOff>
    </xdr:from>
    <xdr:to>
      <xdr:col>22</xdr:col>
      <xdr:colOff>448990</xdr:colOff>
      <xdr:row>130</xdr:row>
      <xdr:rowOff>104433</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50344</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18929</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333848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50304</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131</xdr:row>
      <xdr:rowOff>159937</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486297</xdr:colOff>
      <xdr:row>23</xdr:row>
      <xdr:rowOff>316846</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486297</xdr:colOff>
      <xdr:row>34</xdr:row>
      <xdr:rowOff>102347</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486297</xdr:colOff>
      <xdr:row>136</xdr:row>
      <xdr:rowOff>50721</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76920</xdr:rowOff>
    </xdr:from>
    <xdr:to>
      <xdr:col>5</xdr:col>
      <xdr:colOff>105335</xdr:colOff>
      <xdr:row>232</xdr:row>
      <xdr:rowOff>76919</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231</xdr:row>
      <xdr:rowOff>162028</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36681</xdr:rowOff>
    </xdr:from>
    <xdr:to>
      <xdr:col>5</xdr:col>
      <xdr:colOff>105335</xdr:colOff>
      <xdr:row>233</xdr:row>
      <xdr:rowOff>76920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36681</xdr:rowOff>
    </xdr:from>
    <xdr:to>
      <xdr:col>5</xdr:col>
      <xdr:colOff>105335</xdr:colOff>
      <xdr:row>220</xdr:row>
      <xdr:rowOff>162026</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105728</xdr:rowOff>
    </xdr:from>
    <xdr:to>
      <xdr:col>5</xdr:col>
      <xdr:colOff>105335</xdr:colOff>
      <xdr:row>198</xdr:row>
      <xdr:rowOff>31127</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161232</xdr:rowOff>
    </xdr:from>
    <xdr:to>
      <xdr:col>5</xdr:col>
      <xdr:colOff>105335</xdr:colOff>
      <xdr:row>199</xdr:row>
      <xdr:rowOff>96764</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85650</xdr:rowOff>
    </xdr:from>
    <xdr:to>
      <xdr:col>5</xdr:col>
      <xdr:colOff>105335</xdr:colOff>
      <xdr:row>200</xdr:row>
      <xdr:rowOff>105727</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76921</xdr:rowOff>
    </xdr:from>
    <xdr:to>
      <xdr:col>5</xdr:col>
      <xdr:colOff>105335</xdr:colOff>
      <xdr:row>207</xdr:row>
      <xdr:rowOff>40024</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58</xdr:row>
      <xdr:rowOff>192307</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105335</xdr:colOff>
      <xdr:row>68</xdr:row>
      <xdr:rowOff>84098</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240119</xdr:rowOff>
    </xdr:from>
    <xdr:to>
      <xdr:col>5</xdr:col>
      <xdr:colOff>105335</xdr:colOff>
      <xdr:row>73</xdr:row>
      <xdr:rowOff>3054</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259169</xdr:rowOff>
    </xdr:from>
    <xdr:to>
      <xdr:col>5</xdr:col>
      <xdr:colOff>105335</xdr:colOff>
      <xdr:row>73</xdr:row>
      <xdr:rowOff>40194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143123</xdr:rowOff>
    </xdr:from>
    <xdr:to>
      <xdr:col>5</xdr:col>
      <xdr:colOff>105335</xdr:colOff>
      <xdr:row>72</xdr:row>
      <xdr:rowOff>160393</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84310</xdr:rowOff>
    </xdr:from>
    <xdr:to>
      <xdr:col>5</xdr:col>
      <xdr:colOff>105335</xdr:colOff>
      <xdr:row>83</xdr:row>
      <xdr:rowOff>46832</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xdr:rowOff>
    </xdr:from>
    <xdr:to>
      <xdr:col>5</xdr:col>
      <xdr:colOff>105335</xdr:colOff>
      <xdr:row>82</xdr:row>
      <xdr:rowOff>352752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1010</xdr:rowOff>
    </xdr:from>
    <xdr:to>
      <xdr:col>5</xdr:col>
      <xdr:colOff>105335</xdr:colOff>
      <xdr:row>85</xdr:row>
      <xdr:rowOff>26860</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2801</xdr:rowOff>
    </xdr:from>
    <xdr:to>
      <xdr:col>5</xdr:col>
      <xdr:colOff>105335</xdr:colOff>
      <xdr:row>86</xdr:row>
      <xdr:rowOff>15973</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152823</xdr:rowOff>
    </xdr:from>
    <xdr:to>
      <xdr:col>5</xdr:col>
      <xdr:colOff>105335</xdr:colOff>
      <xdr:row>109</xdr:row>
      <xdr:rowOff>553</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126629</xdr:rowOff>
    </xdr:from>
    <xdr:to>
      <xdr:col>5</xdr:col>
      <xdr:colOff>105335</xdr:colOff>
      <xdr:row>108</xdr:row>
      <xdr:rowOff>97036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154738</xdr:rowOff>
    </xdr:from>
    <xdr:to>
      <xdr:col>5</xdr:col>
      <xdr:colOff>105335</xdr:colOff>
      <xdr:row>108</xdr:row>
      <xdr:rowOff>54886</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77978</xdr:rowOff>
    </xdr:from>
    <xdr:to>
      <xdr:col>5</xdr:col>
      <xdr:colOff>105335</xdr:colOff>
      <xdr:row>108</xdr:row>
      <xdr:rowOff>54886</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97293</xdr:rowOff>
    </xdr:from>
    <xdr:to>
      <xdr:col>21</xdr:col>
      <xdr:colOff>257697</xdr:colOff>
      <xdr:row>132</xdr:row>
      <xdr:rowOff>2598</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161490</xdr:rowOff>
    </xdr:from>
    <xdr:to>
      <xdr:col>22</xdr:col>
      <xdr:colOff>429146</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142259</xdr:rowOff>
    </xdr:from>
    <xdr:to>
      <xdr:col>22</xdr:col>
      <xdr:colOff>429146</xdr:colOff>
      <xdr:row>135</xdr:row>
      <xdr:rowOff>104433</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40</xdr:row>
      <xdr:rowOff>65508</xdr:rowOff>
    </xdr:from>
    <xdr:to>
      <xdr:col>11</xdr:col>
      <xdr:colOff>636501</xdr:colOff>
      <xdr:row>45</xdr:row>
      <xdr:rowOff>8357</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161490</xdr:rowOff>
    </xdr:from>
    <xdr:to>
      <xdr:col>24</xdr:col>
      <xdr:colOff>467247</xdr:colOff>
      <xdr:row>34</xdr:row>
      <xdr:rowOff>102347</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142259</xdr:rowOff>
    </xdr:from>
    <xdr:to>
      <xdr:col>24</xdr:col>
      <xdr:colOff>467247</xdr:colOff>
      <xdr:row>136</xdr:row>
      <xdr:rowOff>50721</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486297</xdr:colOff>
      <xdr:row>23</xdr:row>
      <xdr:rowOff>297002</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486297</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2598</xdr:rowOff>
    </xdr:from>
    <xdr:to>
      <xdr:col>25</xdr:col>
      <xdr:colOff>486297</xdr:colOff>
      <xdr:row>136</xdr:row>
      <xdr:rowOff>20062</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74</xdr:row>
      <xdr:rowOff>226</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89</xdr:row>
      <xdr:rowOff>85522</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74</xdr:row>
      <xdr:rowOff>226</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89</xdr:row>
      <xdr:rowOff>85522</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247</xdr:row>
      <xdr:rowOff>76918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36683</xdr:rowOff>
    </xdr:from>
    <xdr:to>
      <xdr:col>5</xdr:col>
      <xdr:colOff>105335</xdr:colOff>
      <xdr:row>246</xdr:row>
      <xdr:rowOff>162026</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36682</xdr:rowOff>
    </xdr:from>
    <xdr:to>
      <xdr:col>5</xdr:col>
      <xdr:colOff>105335</xdr:colOff>
      <xdr:row>248</xdr:row>
      <xdr:rowOff>76918</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36681</xdr:rowOff>
    </xdr:from>
    <xdr:to>
      <xdr:col>5</xdr:col>
      <xdr:colOff>105335</xdr:colOff>
      <xdr:row>235</xdr:row>
      <xdr:rowOff>162027</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161232</xdr:rowOff>
    </xdr:from>
    <xdr:to>
      <xdr:col>5</xdr:col>
      <xdr:colOff>105335</xdr:colOff>
      <xdr:row>212</xdr:row>
      <xdr:rowOff>162027</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36682</xdr:rowOff>
    </xdr:from>
    <xdr:to>
      <xdr:col>5</xdr:col>
      <xdr:colOff>105335</xdr:colOff>
      <xdr:row>214</xdr:row>
      <xdr:rowOff>40023</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36681</xdr:rowOff>
    </xdr:from>
    <xdr:to>
      <xdr:col>5</xdr:col>
      <xdr:colOff>105335</xdr:colOff>
      <xdr:row>215</xdr:row>
      <xdr:rowOff>76919</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36682</xdr:rowOff>
    </xdr:from>
    <xdr:to>
      <xdr:col>5</xdr:col>
      <xdr:colOff>105335</xdr:colOff>
      <xdr:row>222</xdr:row>
      <xdr:rowOff>40023</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74</xdr:row>
      <xdr:rowOff>226</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92333</xdr:rowOff>
    </xdr:from>
    <xdr:to>
      <xdr:col>5</xdr:col>
      <xdr:colOff>124385</xdr:colOff>
      <xdr:row>89</xdr:row>
      <xdr:rowOff>78378</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226</xdr:rowOff>
    </xdr:from>
    <xdr:to>
      <xdr:col>5</xdr:col>
      <xdr:colOff>105335</xdr:colOff>
      <xdr:row>89</xdr:row>
      <xdr:rowOff>85522</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7372</xdr:rowOff>
    </xdr:from>
    <xdr:to>
      <xdr:col>5</xdr:col>
      <xdr:colOff>105335</xdr:colOff>
      <xdr:row>89</xdr:row>
      <xdr:rowOff>104011</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8891</xdr:rowOff>
    </xdr:from>
    <xdr:to>
      <xdr:col>5</xdr:col>
      <xdr:colOff>105335</xdr:colOff>
      <xdr:row>92</xdr:row>
      <xdr:rowOff>35339</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35339</xdr:rowOff>
    </xdr:from>
    <xdr:to>
      <xdr:col>5</xdr:col>
      <xdr:colOff>105335</xdr:colOff>
      <xdr:row>99</xdr:row>
      <xdr:rowOff>76035</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105590</xdr:rowOff>
    </xdr:from>
    <xdr:to>
      <xdr:col>5</xdr:col>
      <xdr:colOff>105335</xdr:colOff>
      <xdr:row>98</xdr:row>
      <xdr:rowOff>211860</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58526</xdr:rowOff>
    </xdr:from>
    <xdr:to>
      <xdr:col>5</xdr:col>
      <xdr:colOff>105335</xdr:colOff>
      <xdr:row>99</xdr:row>
      <xdr:rowOff>29261</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65672</xdr:rowOff>
    </xdr:from>
    <xdr:to>
      <xdr:col>5</xdr:col>
      <xdr:colOff>105335</xdr:colOff>
      <xdr:row>100</xdr:row>
      <xdr:rowOff>18034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173464</xdr:rowOff>
    </xdr:from>
    <xdr:to>
      <xdr:col>5</xdr:col>
      <xdr:colOff>105335</xdr:colOff>
      <xdr:row>125</xdr:row>
      <xdr:rowOff>59194</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101620</xdr:rowOff>
    </xdr:from>
    <xdr:to>
      <xdr:col>5</xdr:col>
      <xdr:colOff>105335</xdr:colOff>
      <xdr:row>124</xdr:row>
      <xdr:rowOff>72</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92125</xdr:rowOff>
    </xdr:from>
    <xdr:to>
      <xdr:col>5</xdr:col>
      <xdr:colOff>105335</xdr:colOff>
      <xdr:row>123</xdr:row>
      <xdr:rowOff>73215</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57594</xdr:rowOff>
    </xdr:from>
    <xdr:to>
      <xdr:col>5</xdr:col>
      <xdr:colOff>105335</xdr:colOff>
      <xdr:row>123</xdr:row>
      <xdr:rowOff>143563</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142</xdr:row>
      <xdr:rowOff>103372</xdr:rowOff>
    </xdr:from>
    <xdr:to>
      <xdr:col>21</xdr:col>
      <xdr:colOff>257697</xdr:colOff>
      <xdr:row>146</xdr:row>
      <xdr:rowOff>141994</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239852</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38</xdr:row>
      <xdr:rowOff>47251</xdr:rowOff>
    </xdr:from>
    <xdr:to>
      <xdr:col>22</xdr:col>
      <xdr:colOff>429146</xdr:colOff>
      <xdr:row>44</xdr:row>
      <xdr:rowOff>46458</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146</xdr:row>
      <xdr:rowOff>141473</xdr:rowOff>
    </xdr:from>
    <xdr:to>
      <xdr:col>22</xdr:col>
      <xdr:colOff>429146</xdr:colOff>
      <xdr:row>150</xdr:row>
      <xdr:rowOff>85677</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55</xdr:row>
      <xdr:rowOff>65508</xdr:rowOff>
    </xdr:from>
    <xdr:to>
      <xdr:col>11</xdr:col>
      <xdr:colOff>636501</xdr:colOff>
      <xdr:row>58</xdr:row>
      <xdr:rowOff>50054</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316846</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47251</xdr:rowOff>
    </xdr:from>
    <xdr:to>
      <xdr:col>24</xdr:col>
      <xdr:colOff>467247</xdr:colOff>
      <xdr:row>44</xdr:row>
      <xdr:rowOff>122658</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146</xdr:row>
      <xdr:rowOff>141473</xdr:rowOff>
    </xdr:from>
    <xdr:to>
      <xdr:col>24</xdr:col>
      <xdr:colOff>467247</xdr:colOff>
      <xdr:row>151</xdr:row>
      <xdr:rowOff>28063</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297002</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66301</xdr:rowOff>
    </xdr:from>
    <xdr:to>
      <xdr:col>25</xdr:col>
      <xdr:colOff>467247</xdr:colOff>
      <xdr:row>44</xdr:row>
      <xdr:rowOff>84558</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146</xdr:row>
      <xdr:rowOff>141994</xdr:rowOff>
    </xdr:from>
    <xdr:to>
      <xdr:col>25</xdr:col>
      <xdr:colOff>467247</xdr:colOff>
      <xdr:row>150</xdr:row>
      <xdr:rowOff>162320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123983</xdr:rowOff>
    </xdr:from>
    <xdr:to>
      <xdr:col>5</xdr:col>
      <xdr:colOff>105335</xdr:colOff>
      <xdr:row>241</xdr:row>
      <xdr:rowOff>123984</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76918</xdr:rowOff>
    </xdr:from>
    <xdr:to>
      <xdr:col>5</xdr:col>
      <xdr:colOff>105335</xdr:colOff>
      <xdr:row>241</xdr:row>
      <xdr:rowOff>20509</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76919</xdr:rowOff>
    </xdr:from>
    <xdr:to>
      <xdr:col>5</xdr:col>
      <xdr:colOff>105335</xdr:colOff>
      <xdr:row>242</xdr:row>
      <xdr:rowOff>123985</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230</xdr:row>
      <xdr:rowOff>20508</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162026</xdr:rowOff>
    </xdr:from>
    <xdr:to>
      <xdr:col>5</xdr:col>
      <xdr:colOff>105335</xdr:colOff>
      <xdr:row>207</xdr:row>
      <xdr:rowOff>20509</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76918</xdr:rowOff>
    </xdr:from>
    <xdr:to>
      <xdr:col>5</xdr:col>
      <xdr:colOff>105335</xdr:colOff>
      <xdr:row>208</xdr:row>
      <xdr:rowOff>123985</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76920</xdr:rowOff>
    </xdr:from>
    <xdr:to>
      <xdr:col>5</xdr:col>
      <xdr:colOff>105335</xdr:colOff>
      <xdr:row>209</xdr:row>
      <xdr:rowOff>123984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76919</xdr:rowOff>
    </xdr:from>
    <xdr:to>
      <xdr:col>5</xdr:col>
      <xdr:colOff>105335</xdr:colOff>
      <xdr:row>216</xdr:row>
      <xdr:rowOff>123984</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66</xdr:row>
      <xdr:rowOff>67683</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67</xdr:row>
      <xdr:rowOff>141152</xdr:rowOff>
    </xdr:from>
    <xdr:to>
      <xdr:col>5</xdr:col>
      <xdr:colOff>124385</xdr:colOff>
      <xdr:row>88</xdr:row>
      <xdr:rowOff>38651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67683</xdr:rowOff>
    </xdr:from>
    <xdr:to>
      <xdr:col>5</xdr:col>
      <xdr:colOff>105335</xdr:colOff>
      <xdr:row>86</xdr:row>
      <xdr:rowOff>124423</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86733</xdr:rowOff>
    </xdr:from>
    <xdr:to>
      <xdr:col>5</xdr:col>
      <xdr:colOff>105335</xdr:colOff>
      <xdr:row>86</xdr:row>
      <xdr:rowOff>142296</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140767</xdr:rowOff>
    </xdr:from>
    <xdr:to>
      <xdr:col>5</xdr:col>
      <xdr:colOff>105335</xdr:colOff>
      <xdr:row>90</xdr:row>
      <xdr:rowOff>55123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11929</xdr:rowOff>
    </xdr:from>
    <xdr:to>
      <xdr:col>5</xdr:col>
      <xdr:colOff>105335</xdr:colOff>
      <xdr:row>98</xdr:row>
      <xdr:rowOff>237724</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124423</xdr:rowOff>
    </xdr:from>
    <xdr:to>
      <xdr:col>5</xdr:col>
      <xdr:colOff>105335</xdr:colOff>
      <xdr:row>98</xdr:row>
      <xdr:rowOff>34931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68830</xdr:rowOff>
    </xdr:from>
    <xdr:to>
      <xdr:col>5</xdr:col>
      <xdr:colOff>105335</xdr:colOff>
      <xdr:row>98</xdr:row>
      <xdr:rowOff>104387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209620</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90</xdr:rowOff>
    </xdr:from>
    <xdr:to>
      <xdr:col>5</xdr:col>
      <xdr:colOff>105335</xdr:colOff>
      <xdr:row>120</xdr:row>
      <xdr:rowOff>159911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1886</xdr:rowOff>
    </xdr:from>
    <xdr:to>
      <xdr:col>5</xdr:col>
      <xdr:colOff>105335</xdr:colOff>
      <xdr:row>119</xdr:row>
      <xdr:rowOff>55509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118</xdr:row>
      <xdr:rowOff>34998</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171890</xdr:rowOff>
    </xdr:from>
    <xdr:to>
      <xdr:col>5</xdr:col>
      <xdr:colOff>105335</xdr:colOff>
      <xdr:row>118</xdr:row>
      <xdr:rowOff>105588</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136</xdr:row>
      <xdr:rowOff>161527</xdr:rowOff>
    </xdr:from>
    <xdr:to>
      <xdr:col>21</xdr:col>
      <xdr:colOff>257697</xdr:colOff>
      <xdr:row>141</xdr:row>
      <xdr:rowOff>2864</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2864</xdr:rowOff>
    </xdr:from>
    <xdr:to>
      <xdr:col>22</xdr:col>
      <xdr:colOff>429146</xdr:colOff>
      <xdr:row>144</xdr:row>
      <xdr:rowOff>123218</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38</xdr:row>
      <xdr:rowOff>47251</xdr:rowOff>
    </xdr:from>
    <xdr:to>
      <xdr:col>11</xdr:col>
      <xdr:colOff>636501</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2864</xdr:rowOff>
    </xdr:from>
    <xdr:to>
      <xdr:col>24</xdr:col>
      <xdr:colOff>467247</xdr:colOff>
      <xdr:row>145</xdr:row>
      <xdr:rowOff>38054</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1806</xdr:rowOff>
    </xdr:from>
    <xdr:to>
      <xdr:col>25</xdr:col>
      <xdr:colOff>467247</xdr:colOff>
      <xdr:row>145</xdr:row>
      <xdr:rowOff>28064</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42</xdr:row>
      <xdr:rowOff>28201</xdr:rowOff>
    </xdr:from>
    <xdr:to>
      <xdr:col>11</xdr:col>
      <xdr:colOff>731751</xdr:colOff>
      <xdr:row>46</xdr:row>
      <xdr:rowOff>66301</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42</xdr:row>
      <xdr:rowOff>28201</xdr:rowOff>
    </xdr:from>
    <xdr:to>
      <xdr:col>13</xdr:col>
      <xdr:colOff>504800</xdr:colOff>
      <xdr:row>46</xdr:row>
      <xdr:rowOff>66301</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66302</xdr:rowOff>
    </xdr:from>
    <xdr:to>
      <xdr:col>18</xdr:col>
      <xdr:colOff>229489</xdr:colOff>
      <xdr:row>16</xdr:row>
      <xdr:rowOff>104401</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123983</xdr:rowOff>
    </xdr:from>
    <xdr:to>
      <xdr:col>5</xdr:col>
      <xdr:colOff>105335</xdr:colOff>
      <xdr:row>242</xdr:row>
      <xdr:rowOff>95970</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76920</xdr:rowOff>
    </xdr:from>
    <xdr:to>
      <xdr:col>5</xdr:col>
      <xdr:colOff>105335</xdr:colOff>
      <xdr:row>242</xdr:row>
      <xdr:rowOff>20509</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76918</xdr:rowOff>
    </xdr:from>
    <xdr:to>
      <xdr:col>5</xdr:col>
      <xdr:colOff>105335</xdr:colOff>
      <xdr:row>243</xdr:row>
      <xdr:rowOff>95970</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76921</xdr:rowOff>
    </xdr:from>
    <xdr:to>
      <xdr:col>5</xdr:col>
      <xdr:colOff>105335</xdr:colOff>
      <xdr:row>231</xdr:row>
      <xdr:rowOff>20509</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162027</xdr:rowOff>
    </xdr:from>
    <xdr:to>
      <xdr:col>5</xdr:col>
      <xdr:colOff>105335</xdr:colOff>
      <xdr:row>208</xdr:row>
      <xdr:rowOff>20510</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76918</xdr:rowOff>
    </xdr:from>
    <xdr:to>
      <xdr:col>5</xdr:col>
      <xdr:colOff>105335</xdr:colOff>
      <xdr:row>209</xdr:row>
      <xdr:rowOff>95970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76919</xdr:rowOff>
    </xdr:from>
    <xdr:to>
      <xdr:col>5</xdr:col>
      <xdr:colOff>105335</xdr:colOff>
      <xdr:row>210</xdr:row>
      <xdr:rowOff>95969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76920</xdr:rowOff>
    </xdr:from>
    <xdr:to>
      <xdr:col>5</xdr:col>
      <xdr:colOff>105335</xdr:colOff>
      <xdr:row>217</xdr:row>
      <xdr:rowOff>95970</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68</xdr:row>
      <xdr:rowOff>9158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162018</xdr:rowOff>
    </xdr:from>
    <xdr:to>
      <xdr:col>5</xdr:col>
      <xdr:colOff>124385</xdr:colOff>
      <xdr:row>91</xdr:row>
      <xdr:rowOff>58857</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9158</xdr:rowOff>
    </xdr:from>
    <xdr:to>
      <xdr:col>5</xdr:col>
      <xdr:colOff>105335</xdr:colOff>
      <xdr:row>88</xdr:row>
      <xdr:rowOff>160095</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25406</xdr:rowOff>
    </xdr:from>
    <xdr:to>
      <xdr:col>5</xdr:col>
      <xdr:colOff>105335</xdr:colOff>
      <xdr:row>89</xdr:row>
      <xdr:rowOff>17427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154911</xdr:rowOff>
    </xdr:from>
    <xdr:to>
      <xdr:col>5</xdr:col>
      <xdr:colOff>105335</xdr:colOff>
      <xdr:row>91</xdr:row>
      <xdr:rowOff>77016</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2948</xdr:rowOff>
    </xdr:from>
    <xdr:to>
      <xdr:col>5</xdr:col>
      <xdr:colOff>105335</xdr:colOff>
      <xdr:row>99</xdr:row>
      <xdr:rowOff>132392</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124008</xdr:rowOff>
    </xdr:from>
    <xdr:to>
      <xdr:col>5</xdr:col>
      <xdr:colOff>105335</xdr:colOff>
      <xdr:row>98</xdr:row>
      <xdr:rowOff>211860</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104766</xdr:rowOff>
    </xdr:from>
    <xdr:to>
      <xdr:col>5</xdr:col>
      <xdr:colOff>105335</xdr:colOff>
      <xdr:row>99</xdr:row>
      <xdr:rowOff>29261</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73616</xdr:rowOff>
    </xdr:from>
    <xdr:to>
      <xdr:col>5</xdr:col>
      <xdr:colOff>105335</xdr:colOff>
      <xdr:row>100</xdr:row>
      <xdr:rowOff>123360</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217852</xdr:rowOff>
    </xdr:from>
    <xdr:to>
      <xdr:col>5</xdr:col>
      <xdr:colOff>105335</xdr:colOff>
      <xdr:row>121</xdr:row>
      <xdr:rowOff>159911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174304</xdr:rowOff>
    </xdr:from>
    <xdr:to>
      <xdr:col>5</xdr:col>
      <xdr:colOff>105335</xdr:colOff>
      <xdr:row>119</xdr:row>
      <xdr:rowOff>96093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159709</xdr:rowOff>
    </xdr:from>
    <xdr:to>
      <xdr:col>5</xdr:col>
      <xdr:colOff>105335</xdr:colOff>
      <xdr:row>119</xdr:row>
      <xdr:rowOff>54915</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160254</xdr:rowOff>
    </xdr:from>
    <xdr:to>
      <xdr:col>5</xdr:col>
      <xdr:colOff>105335</xdr:colOff>
      <xdr:row>119</xdr:row>
      <xdr:rowOff>54915</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137</xdr:row>
      <xdr:rowOff>161527</xdr:rowOff>
    </xdr:from>
    <xdr:to>
      <xdr:col>21</xdr:col>
      <xdr:colOff>257697</xdr:colOff>
      <xdr:row>141</xdr:row>
      <xdr:rowOff>142789</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141</xdr:row>
      <xdr:rowOff>142789</xdr:rowOff>
    </xdr:from>
    <xdr:to>
      <xdr:col>22</xdr:col>
      <xdr:colOff>429146</xdr:colOff>
      <xdr:row>145</xdr:row>
      <xdr:rowOff>123219</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142789</xdr:rowOff>
    </xdr:from>
    <xdr:to>
      <xdr:col>24</xdr:col>
      <xdr:colOff>467247</xdr:colOff>
      <xdr:row>146</xdr:row>
      <xdr:rowOff>31535</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66301</xdr:rowOff>
    </xdr:from>
    <xdr:to>
      <xdr:col>25</xdr:col>
      <xdr:colOff>467247</xdr:colOff>
      <xdr:row>23</xdr:row>
      <xdr:rowOff>293034</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66302</xdr:rowOff>
    </xdr:from>
    <xdr:to>
      <xdr:col>25</xdr:col>
      <xdr:colOff>467247</xdr:colOff>
      <xdr:row>35</xdr:row>
      <xdr:rowOff>47251</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162319</xdr:rowOff>
    </xdr:from>
    <xdr:to>
      <xdr:col>25</xdr:col>
      <xdr:colOff>467247</xdr:colOff>
      <xdr:row>146</xdr:row>
      <xdr:rowOff>28062</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66302</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66302</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86457</xdr:rowOff>
    </xdr:from>
    <xdr:to>
      <xdr:col>30</xdr:col>
      <xdr:colOff>292989</xdr:colOff>
      <xdr:row>29</xdr:row>
      <xdr:rowOff>145116</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39355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85044</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78</xdr:row>
      <xdr:rowOff>140871</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355068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141087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103439</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103439</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103439</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47252</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60</xdr:row>
      <xdr:rowOff>352465</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88321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240815</xdr:rowOff>
    </xdr:from>
    <xdr:to>
      <xdr:col>5</xdr:col>
      <xdr:colOff>297329</xdr:colOff>
      <xdr:row>64</xdr:row>
      <xdr:rowOff>7692</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58</xdr:row>
      <xdr:rowOff>372876</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124385</xdr:colOff>
      <xdr:row>81</xdr:row>
      <xdr:rowOff>154639</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104956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372876</xdr:rowOff>
    </xdr:from>
    <xdr:to>
      <xdr:col>5</xdr:col>
      <xdr:colOff>105335</xdr:colOff>
      <xdr:row>80</xdr:row>
      <xdr:rowOff>141360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68096</xdr:rowOff>
    </xdr:from>
    <xdr:to>
      <xdr:col>5</xdr:col>
      <xdr:colOff>105335</xdr:colOff>
      <xdr:row>82</xdr:row>
      <xdr:rowOff>335872</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116259</xdr:rowOff>
    </xdr:from>
    <xdr:to>
      <xdr:col>5</xdr:col>
      <xdr:colOff>105335</xdr:colOff>
      <xdr:row>92</xdr:row>
      <xdr:rowOff>56773</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12488</xdr:rowOff>
    </xdr:from>
    <xdr:to>
      <xdr:col>5</xdr:col>
      <xdr:colOff>105335</xdr:colOff>
      <xdr:row>91</xdr:row>
      <xdr:rowOff>56214</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140871</xdr:rowOff>
    </xdr:from>
    <xdr:to>
      <xdr:col>5</xdr:col>
      <xdr:colOff>105335</xdr:colOff>
      <xdr:row>91</xdr:row>
      <xdr:rowOff>135589</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2688</xdr:rowOff>
    </xdr:from>
    <xdr:to>
      <xdr:col>5</xdr:col>
      <xdr:colOff>105335</xdr:colOff>
      <xdr:row>93</xdr:row>
      <xdr:rowOff>135590</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95553</xdr:rowOff>
    </xdr:from>
    <xdr:to>
      <xdr:col>5</xdr:col>
      <xdr:colOff>105335</xdr:colOff>
      <xdr:row>111</xdr:row>
      <xdr:rowOff>218240</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60203</xdr:rowOff>
    </xdr:from>
    <xdr:to>
      <xdr:col>5</xdr:col>
      <xdr:colOff>105335</xdr:colOff>
      <xdr:row>109</xdr:row>
      <xdr:rowOff>122489</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76440</xdr:rowOff>
    </xdr:from>
    <xdr:to>
      <xdr:col>5</xdr:col>
      <xdr:colOff>105335</xdr:colOff>
      <xdr:row>109</xdr:row>
      <xdr:rowOff>122489</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39751</xdr:rowOff>
    </xdr:from>
    <xdr:to>
      <xdr:col>5</xdr:col>
      <xdr:colOff>105335</xdr:colOff>
      <xdr:row>109</xdr:row>
      <xdr:rowOff>122489</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127</xdr:row>
      <xdr:rowOff>39018</xdr:rowOff>
    </xdr:from>
    <xdr:to>
      <xdr:col>21</xdr:col>
      <xdr:colOff>257697</xdr:colOff>
      <xdr:row>131</xdr:row>
      <xdr:rowOff>46885</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131</xdr:row>
      <xdr:rowOff>46885</xdr:rowOff>
    </xdr:from>
    <xdr:to>
      <xdr:col>22</xdr:col>
      <xdr:colOff>429146</xdr:colOff>
      <xdr:row>135</xdr:row>
      <xdr:rowOff>37193</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39</xdr:row>
      <xdr:rowOff>47251</xdr:rowOff>
    </xdr:from>
    <xdr:to>
      <xdr:col>11</xdr:col>
      <xdr:colOff>636501</xdr:colOff>
      <xdr:row>43</xdr:row>
      <xdr:rowOff>164166</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131</xdr:row>
      <xdr:rowOff>46885</xdr:rowOff>
    </xdr:from>
    <xdr:to>
      <xdr:col>24</xdr:col>
      <xdr:colOff>467247</xdr:colOff>
      <xdr:row>135</xdr:row>
      <xdr:rowOff>141576</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131</xdr:row>
      <xdr:rowOff>97685</xdr:rowOff>
    </xdr:from>
    <xdr:to>
      <xdr:col>25</xdr:col>
      <xdr:colOff>467247</xdr:colOff>
      <xdr:row>135</xdr:row>
      <xdr:rowOff>141576</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43</xdr:row>
      <xdr:rowOff>28201</xdr:rowOff>
    </xdr:from>
    <xdr:to>
      <xdr:col>11</xdr:col>
      <xdr:colOff>712701</xdr:colOff>
      <xdr:row>47</xdr:row>
      <xdr:rowOff>47252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43</xdr:row>
      <xdr:rowOff>28201</xdr:rowOff>
    </xdr:from>
    <xdr:to>
      <xdr:col>13</xdr:col>
      <xdr:colOff>504800</xdr:colOff>
      <xdr:row>47</xdr:row>
      <xdr:rowOff>47252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61</xdr:row>
      <xdr:rowOff>88241</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62</xdr:row>
      <xdr:rowOff>172168</xdr:rowOff>
    </xdr:from>
    <xdr:to>
      <xdr:col>14</xdr:col>
      <xdr:colOff>447650</xdr:colOff>
      <xdr:row>66</xdr:row>
      <xdr:rowOff>45075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28201</xdr:rowOff>
    </xdr:from>
    <xdr:to>
      <xdr:col>14</xdr:col>
      <xdr:colOff>447650</xdr:colOff>
      <xdr:row>47</xdr:row>
      <xdr:rowOff>47252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240815</xdr:rowOff>
    </xdr:from>
    <xdr:to>
      <xdr:col>5</xdr:col>
      <xdr:colOff>268754</xdr:colOff>
      <xdr:row>64</xdr:row>
      <xdr:rowOff>178602</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486298</xdr:colOff>
      <xdr:row>23</xdr:row>
      <xdr:rowOff>312084</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486298</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133</xdr:row>
      <xdr:rowOff>153425</xdr:rowOff>
    </xdr:from>
    <xdr:to>
      <xdr:col>26</xdr:col>
      <xdr:colOff>486298</xdr:colOff>
      <xdr:row>138</xdr:row>
      <xdr:rowOff>19104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64319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142346</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88523</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149766</xdr:rowOff>
    </xdr:from>
    <xdr:to>
      <xdr:col>5</xdr:col>
      <xdr:colOff>105335</xdr:colOff>
      <xdr:row>99</xdr:row>
      <xdr:rowOff>140704</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115143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31433</xdr:rowOff>
    </xdr:from>
    <xdr:to>
      <xdr:col>5</xdr:col>
      <xdr:colOff>268754</xdr:colOff>
      <xdr:row>74</xdr:row>
      <xdr:rowOff>88830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312084</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153425</xdr:rowOff>
    </xdr:from>
    <xdr:to>
      <xdr:col>27</xdr:col>
      <xdr:colOff>473596</xdr:colOff>
      <xdr:row>141</xdr:row>
      <xdr:rowOff>172208</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62</xdr:row>
      <xdr:rowOff>11631</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11631</xdr:rowOff>
    </xdr:from>
    <xdr:to>
      <xdr:col>5</xdr:col>
      <xdr:colOff>124385</xdr:colOff>
      <xdr:row>87</xdr:row>
      <xdr:rowOff>38503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35744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11631</xdr:rowOff>
    </xdr:from>
    <xdr:to>
      <xdr:col>5</xdr:col>
      <xdr:colOff>105335</xdr:colOff>
      <xdr:row>86</xdr:row>
      <xdr:rowOff>67494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30297</xdr:rowOff>
    </xdr:from>
    <xdr:to>
      <xdr:col>5</xdr:col>
      <xdr:colOff>105335</xdr:colOff>
      <xdr:row>89</xdr:row>
      <xdr:rowOff>162410</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141415</xdr:rowOff>
    </xdr:from>
    <xdr:to>
      <xdr:col>5</xdr:col>
      <xdr:colOff>105335</xdr:colOff>
      <xdr:row>98</xdr:row>
      <xdr:rowOff>121685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259100</xdr:rowOff>
    </xdr:from>
    <xdr:to>
      <xdr:col>5</xdr:col>
      <xdr:colOff>105335</xdr:colOff>
      <xdr:row>97</xdr:row>
      <xdr:rowOff>19467</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350744</xdr:rowOff>
    </xdr:from>
    <xdr:to>
      <xdr:col>5</xdr:col>
      <xdr:colOff>105335</xdr:colOff>
      <xdr:row>97</xdr:row>
      <xdr:rowOff>85348</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149621</xdr:rowOff>
    </xdr:from>
    <xdr:to>
      <xdr:col>5</xdr:col>
      <xdr:colOff>105335</xdr:colOff>
      <xdr:row>99</xdr:row>
      <xdr:rowOff>133815</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37128</xdr:rowOff>
    </xdr:from>
    <xdr:to>
      <xdr:col>5</xdr:col>
      <xdr:colOff>105335</xdr:colOff>
      <xdr:row>117</xdr:row>
      <xdr:rowOff>124025</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76983</xdr:rowOff>
    </xdr:from>
    <xdr:to>
      <xdr:col>5</xdr:col>
      <xdr:colOff>105335</xdr:colOff>
      <xdr:row>114</xdr:row>
      <xdr:rowOff>134193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117063</xdr:rowOff>
    </xdr:from>
    <xdr:to>
      <xdr:col>5</xdr:col>
      <xdr:colOff>105335</xdr:colOff>
      <xdr:row>114</xdr:row>
      <xdr:rowOff>79097</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69203</xdr:rowOff>
    </xdr:from>
    <xdr:to>
      <xdr:col>5</xdr:col>
      <xdr:colOff>105335</xdr:colOff>
      <xdr:row>114</xdr:row>
      <xdr:rowOff>79097</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131</xdr:row>
      <xdr:rowOff>37193</xdr:rowOff>
    </xdr:from>
    <xdr:to>
      <xdr:col>21</xdr:col>
      <xdr:colOff>257697</xdr:colOff>
      <xdr:row>135</xdr:row>
      <xdr:rowOff>46886</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135</xdr:row>
      <xdr:rowOff>46886</xdr:rowOff>
    </xdr:from>
    <xdr:to>
      <xdr:col>22</xdr:col>
      <xdr:colOff>429146</xdr:colOff>
      <xdr:row>139</xdr:row>
      <xdr:rowOff>37192</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43</xdr:row>
      <xdr:rowOff>47251</xdr:rowOff>
    </xdr:from>
    <xdr:to>
      <xdr:col>11</xdr:col>
      <xdr:colOff>636501</xdr:colOff>
      <xdr:row>47</xdr:row>
      <xdr:rowOff>164167</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46886</xdr:rowOff>
    </xdr:from>
    <xdr:to>
      <xdr:col>24</xdr:col>
      <xdr:colOff>467247</xdr:colOff>
      <xdr:row>139</xdr:row>
      <xdr:rowOff>141574</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97686</xdr:rowOff>
    </xdr:from>
    <xdr:to>
      <xdr:col>25</xdr:col>
      <xdr:colOff>467247</xdr:colOff>
      <xdr:row>139</xdr:row>
      <xdr:rowOff>141574</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47</xdr:row>
      <xdr:rowOff>28202</xdr:rowOff>
    </xdr:from>
    <xdr:to>
      <xdr:col>11</xdr:col>
      <xdr:colOff>712701</xdr:colOff>
      <xdr:row>51</xdr:row>
      <xdr:rowOff>47252</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47</xdr:row>
      <xdr:rowOff>28202</xdr:rowOff>
    </xdr:from>
    <xdr:to>
      <xdr:col>13</xdr:col>
      <xdr:colOff>504800</xdr:colOff>
      <xdr:row>51</xdr:row>
      <xdr:rowOff>47252</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62</xdr:row>
      <xdr:rowOff>11631</xdr:rowOff>
    </xdr:from>
    <xdr:to>
      <xdr:col>14</xdr:col>
      <xdr:colOff>362839</xdr:colOff>
      <xdr:row>62</xdr:row>
      <xdr:rowOff>68926</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158809</xdr:rowOff>
    </xdr:from>
    <xdr:to>
      <xdr:col>14</xdr:col>
      <xdr:colOff>447650</xdr:colOff>
      <xdr:row>75</xdr:row>
      <xdr:rowOff>135014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28202</xdr:rowOff>
    </xdr:from>
    <xdr:to>
      <xdr:col>14</xdr:col>
      <xdr:colOff>447650</xdr:colOff>
      <xdr:row>51</xdr:row>
      <xdr:rowOff>47252</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31012</xdr:rowOff>
    </xdr:from>
    <xdr:to>
      <xdr:col>5</xdr:col>
      <xdr:colOff>268754</xdr:colOff>
      <xdr:row>74</xdr:row>
      <xdr:rowOff>88830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137</xdr:row>
      <xdr:rowOff>142098</xdr:rowOff>
    </xdr:from>
    <xdr:to>
      <xdr:col>26</xdr:col>
      <xdr:colOff>486298</xdr:colOff>
      <xdr:row>141</xdr:row>
      <xdr:rowOff>172208</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137</xdr:row>
      <xdr:rowOff>142098</xdr:rowOff>
    </xdr:from>
    <xdr:to>
      <xdr:col>27</xdr:col>
      <xdr:colOff>473596</xdr:colOff>
      <xdr:row>141</xdr:row>
      <xdr:rowOff>172208</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18</xdr:col>
      <xdr:colOff>229489</xdr:colOff>
      <xdr:row>16</xdr:row>
      <xdr:rowOff>104401</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65</xdr:row>
      <xdr:rowOff>201805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201805</xdr:rowOff>
    </xdr:from>
    <xdr:to>
      <xdr:col>5</xdr:col>
      <xdr:colOff>124385</xdr:colOff>
      <xdr:row>92</xdr:row>
      <xdr:rowOff>12523</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916</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201805</xdr:rowOff>
    </xdr:from>
    <xdr:to>
      <xdr:col>5</xdr:col>
      <xdr:colOff>105335</xdr:colOff>
      <xdr:row>91</xdr:row>
      <xdr:rowOff>36997</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69295</xdr:rowOff>
    </xdr:from>
    <xdr:to>
      <xdr:col>5</xdr:col>
      <xdr:colOff>105335</xdr:colOff>
      <xdr:row>92</xdr:row>
      <xdr:rowOff>142460</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5</xdr:col>
      <xdr:colOff>105335</xdr:colOff>
      <xdr:row>100</xdr:row>
      <xdr:rowOff>220884</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26757</xdr:rowOff>
    </xdr:from>
    <xdr:to>
      <xdr:col>5</xdr:col>
      <xdr:colOff>105335</xdr:colOff>
      <xdr:row>99</xdr:row>
      <xdr:rowOff>130473</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141868</xdr:rowOff>
    </xdr:from>
    <xdr:to>
      <xdr:col>5</xdr:col>
      <xdr:colOff>105335</xdr:colOff>
      <xdr:row>99</xdr:row>
      <xdr:rowOff>217393</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160356</xdr:rowOff>
    </xdr:from>
    <xdr:to>
      <xdr:col>5</xdr:col>
      <xdr:colOff>105335</xdr:colOff>
      <xdr:row>102</xdr:row>
      <xdr:rowOff>145990</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49500</xdr:rowOff>
    </xdr:from>
    <xdr:to>
      <xdr:col>5</xdr:col>
      <xdr:colOff>105335</xdr:colOff>
      <xdr:row>121</xdr:row>
      <xdr:rowOff>37960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55814</xdr:rowOff>
    </xdr:from>
    <xdr:to>
      <xdr:col>5</xdr:col>
      <xdr:colOff>105335</xdr:colOff>
      <xdr:row>117</xdr:row>
      <xdr:rowOff>153458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5</xdr:col>
      <xdr:colOff>105335</xdr:colOff>
      <xdr:row>117</xdr:row>
      <xdr:rowOff>30746</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56374</xdr:rowOff>
    </xdr:from>
    <xdr:to>
      <xdr:col>5</xdr:col>
      <xdr:colOff>105335</xdr:colOff>
      <xdr:row>117</xdr:row>
      <xdr:rowOff>30746</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27668</xdr:rowOff>
    </xdr:from>
    <xdr:to>
      <xdr:col>21</xdr:col>
      <xdr:colOff>257697</xdr:colOff>
      <xdr:row>138</xdr:row>
      <xdr:rowOff>50599</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22</xdr:col>
      <xdr:colOff>429146</xdr:colOff>
      <xdr:row>23</xdr:row>
      <xdr:rowOff>235884</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22</xdr:col>
      <xdr:colOff>429146</xdr:colOff>
      <xdr:row>35</xdr:row>
      <xdr:rowOff>28201</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50599</xdr:rowOff>
    </xdr:from>
    <xdr:to>
      <xdr:col>22</xdr:col>
      <xdr:colOff>429146</xdr:colOff>
      <xdr:row>142</xdr:row>
      <xdr:rowOff>36133</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11</xdr:col>
      <xdr:colOff>636501</xdr:colOff>
      <xdr:row>50</xdr:row>
      <xdr:rowOff>164167</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24</xdr:col>
      <xdr:colOff>467247</xdr:colOff>
      <xdr:row>23</xdr:row>
      <xdr:rowOff>331134</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24</xdr:col>
      <xdr:colOff>467247</xdr:colOff>
      <xdr:row>35</xdr:row>
      <xdr:rowOff>104401</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50599</xdr:rowOff>
    </xdr:from>
    <xdr:to>
      <xdr:col>24</xdr:col>
      <xdr:colOff>467247</xdr:colOff>
      <xdr:row>142</xdr:row>
      <xdr:rowOff>124640</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25</xdr:col>
      <xdr:colOff>467247</xdr:colOff>
      <xdr:row>23</xdr:row>
      <xdr:rowOff>293034</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25</xdr:col>
      <xdr:colOff>467247</xdr:colOff>
      <xdr:row>35</xdr:row>
      <xdr:rowOff>47251</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78635</xdr:rowOff>
    </xdr:from>
    <xdr:to>
      <xdr:col>25</xdr:col>
      <xdr:colOff>467247</xdr:colOff>
      <xdr:row>142</xdr:row>
      <xdr:rowOff>124640</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11</xdr:col>
      <xdr:colOff>712701</xdr:colOff>
      <xdr:row>54</xdr:row>
      <xdr:rowOff>47252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13</xdr:col>
      <xdr:colOff>504800</xdr:colOff>
      <xdr:row>54</xdr:row>
      <xdr:rowOff>47252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292989</xdr:colOff>
      <xdr:row>34</xdr:row>
      <xdr:rowOff>164166</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201805</xdr:rowOff>
    </xdr:from>
    <xdr:to>
      <xdr:col>14</xdr:col>
      <xdr:colOff>362839</xdr:colOff>
      <xdr:row>66</xdr:row>
      <xdr:rowOff>9932</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173717</xdr:rowOff>
    </xdr:from>
    <xdr:to>
      <xdr:col>14</xdr:col>
      <xdr:colOff>447650</xdr:colOff>
      <xdr:row>80</xdr:row>
      <xdr:rowOff>2688</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14</xdr:col>
      <xdr:colOff>447650</xdr:colOff>
      <xdr:row>54</xdr:row>
      <xdr:rowOff>47252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182797</xdr:rowOff>
    </xdr:from>
    <xdr:to>
      <xdr:col>5</xdr:col>
      <xdr:colOff>268754</xdr:colOff>
      <xdr:row>80</xdr:row>
      <xdr:rowOff>104956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26</xdr:col>
      <xdr:colOff>486298</xdr:colOff>
      <xdr:row>23</xdr:row>
      <xdr:rowOff>312084</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26</xdr:col>
      <xdr:colOff>486298</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141643</xdr:rowOff>
    </xdr:from>
    <xdr:to>
      <xdr:col>26</xdr:col>
      <xdr:colOff>486298</xdr:colOff>
      <xdr:row>144</xdr:row>
      <xdr:rowOff>172209</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27</xdr:col>
      <xdr:colOff>473596</xdr:colOff>
      <xdr:row>23</xdr:row>
      <xdr:rowOff>312084</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141643</xdr:rowOff>
    </xdr:from>
    <xdr:to>
      <xdr:col>27</xdr:col>
      <xdr:colOff>473596</xdr:colOff>
      <xdr:row>144</xdr:row>
      <xdr:rowOff>172209</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47251</xdr:rowOff>
    </xdr:from>
    <xdr:to>
      <xdr:col>28</xdr:col>
      <xdr:colOff>592932</xdr:colOff>
      <xdr:row>23</xdr:row>
      <xdr:rowOff>254934</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47252</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448198</xdr:colOff>
      <xdr:row>12</xdr:row>
      <xdr:rowOff>47252</xdr:rowOff>
    </xdr:from>
    <xdr:to>
      <xdr:col>21</xdr:col>
      <xdr:colOff>257697</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17585</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183997</xdr:rowOff>
    </xdr:from>
    <xdr:to>
      <xdr:col>9</xdr:col>
      <xdr:colOff>121210</xdr:colOff>
      <xdr:row>85</xdr:row>
      <xdr:rowOff>17585</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153806</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183997</xdr:rowOff>
    </xdr:from>
    <xdr:to>
      <xdr:col>9</xdr:col>
      <xdr:colOff>102160</xdr:colOff>
      <xdr:row>85</xdr:row>
      <xdr:rowOff>26218</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50245</xdr:rowOff>
    </xdr:from>
    <xdr:to>
      <xdr:col>9</xdr:col>
      <xdr:colOff>102160</xdr:colOff>
      <xdr:row>90</xdr:row>
      <xdr:rowOff>153229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105033</xdr:rowOff>
    </xdr:from>
    <xdr:to>
      <xdr:col>9</xdr:col>
      <xdr:colOff>102160</xdr:colOff>
      <xdr:row>106</xdr:row>
      <xdr:rowOff>569</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35744</xdr:rowOff>
    </xdr:from>
    <xdr:to>
      <xdr:col>9</xdr:col>
      <xdr:colOff>102160</xdr:colOff>
      <xdr:row>108</xdr:row>
      <xdr:rowOff>196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141723</xdr:rowOff>
    </xdr:from>
    <xdr:to>
      <xdr:col>9</xdr:col>
      <xdr:colOff>102160</xdr:colOff>
      <xdr:row>107</xdr:row>
      <xdr:rowOff>117063</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141306</xdr:rowOff>
    </xdr:from>
    <xdr:to>
      <xdr:col>9</xdr:col>
      <xdr:colOff>102160</xdr:colOff>
      <xdr:row>108</xdr:row>
      <xdr:rowOff>16664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78075</xdr:rowOff>
    </xdr:from>
    <xdr:to>
      <xdr:col>9</xdr:col>
      <xdr:colOff>102160</xdr:colOff>
      <xdr:row>128</xdr:row>
      <xdr:rowOff>37192</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58989</xdr:rowOff>
    </xdr:from>
    <xdr:to>
      <xdr:col>9</xdr:col>
      <xdr:colOff>102160</xdr:colOff>
      <xdr:row>129</xdr:row>
      <xdr:rowOff>142097</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97649</xdr:rowOff>
    </xdr:from>
    <xdr:to>
      <xdr:col>9</xdr:col>
      <xdr:colOff>102160</xdr:colOff>
      <xdr:row>130</xdr:row>
      <xdr:rowOff>46885</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65899</xdr:rowOff>
    </xdr:from>
    <xdr:to>
      <xdr:col>9</xdr:col>
      <xdr:colOff>102160</xdr:colOff>
      <xdr:row>130</xdr:row>
      <xdr:rowOff>46885</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448196</xdr:colOff>
      <xdr:row>134</xdr:row>
      <xdr:rowOff>37193</xdr:rowOff>
    </xdr:from>
    <xdr:to>
      <xdr:col>24</xdr:col>
      <xdr:colOff>257697</xdr:colOff>
      <xdr:row>154</xdr:row>
      <xdr:rowOff>46886</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20</xdr:row>
      <xdr:rowOff>47251</xdr:rowOff>
    </xdr:from>
    <xdr:to>
      <xdr:col>25</xdr:col>
      <xdr:colOff>429147</xdr:colOff>
      <xdr:row>40</xdr:row>
      <xdr:rowOff>28202</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29</xdr:row>
      <xdr:rowOff>47252</xdr:rowOff>
    </xdr:from>
    <xdr:to>
      <xdr:col>25</xdr:col>
      <xdr:colOff>429147</xdr:colOff>
      <xdr:row>49</xdr:row>
      <xdr:rowOff>28201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505346</xdr:colOff>
      <xdr:row>138</xdr:row>
      <xdr:rowOff>46885</xdr:rowOff>
    </xdr:from>
    <xdr:to>
      <xdr:col>25</xdr:col>
      <xdr:colOff>429147</xdr:colOff>
      <xdr:row>158</xdr:row>
      <xdr:rowOff>37192</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316746</xdr:colOff>
      <xdr:row>46</xdr:row>
      <xdr:rowOff>47251</xdr:rowOff>
    </xdr:from>
    <xdr:to>
      <xdr:col>16</xdr:col>
      <xdr:colOff>543448</xdr:colOff>
      <xdr:row>62</xdr:row>
      <xdr:rowOff>30681</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47251</xdr:rowOff>
    </xdr:from>
    <xdr:to>
      <xdr:col>28</xdr:col>
      <xdr:colOff>448196</xdr:colOff>
      <xdr:row>40</xdr:row>
      <xdr:rowOff>123452</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47252</xdr:rowOff>
    </xdr:from>
    <xdr:to>
      <xdr:col>28</xdr:col>
      <xdr:colOff>448196</xdr:colOff>
      <xdr:row>49</xdr:row>
      <xdr:rowOff>104401</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46885</xdr:rowOff>
    </xdr:from>
    <xdr:to>
      <xdr:col>28</xdr:col>
      <xdr:colOff>448196</xdr:colOff>
      <xdr:row>158</xdr:row>
      <xdr:rowOff>141573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47251</xdr:rowOff>
    </xdr:from>
    <xdr:to>
      <xdr:col>29</xdr:col>
      <xdr:colOff>435496</xdr:colOff>
      <xdr:row>40</xdr:row>
      <xdr:rowOff>85352</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47252</xdr:rowOff>
    </xdr:from>
    <xdr:to>
      <xdr:col>29</xdr:col>
      <xdr:colOff>435496</xdr:colOff>
      <xdr:row>49</xdr:row>
      <xdr:rowOff>47251</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97685</xdr:rowOff>
    </xdr:from>
    <xdr:to>
      <xdr:col>29</xdr:col>
      <xdr:colOff>435496</xdr:colOff>
      <xdr:row>158</xdr:row>
      <xdr:rowOff>141573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354846</xdr:colOff>
      <xdr:row>50</xdr:row>
      <xdr:rowOff>28202</xdr:rowOff>
    </xdr:from>
    <xdr:to>
      <xdr:col>16</xdr:col>
      <xdr:colOff>543448</xdr:colOff>
      <xdr:row>68</xdr:row>
      <xdr:rowOff>26063</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1019691</xdr:colOff>
      <xdr:row>50</xdr:row>
      <xdr:rowOff>28202</xdr:rowOff>
    </xdr:from>
    <xdr:to>
      <xdr:col>17</xdr:col>
      <xdr:colOff>486297</xdr:colOff>
      <xdr:row>68</xdr:row>
      <xdr:rowOff>26063</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164166</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183997</xdr:rowOff>
    </xdr:from>
    <xdr:to>
      <xdr:col>18</xdr:col>
      <xdr:colOff>410406</xdr:colOff>
      <xdr:row>85</xdr:row>
      <xdr:rowOff>48443</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69</xdr:row>
      <xdr:rowOff>149278</xdr:rowOff>
    </xdr:from>
    <xdr:to>
      <xdr:col>18</xdr:col>
      <xdr:colOff>448506</xdr:colOff>
      <xdr:row>91</xdr:row>
      <xdr:rowOff>1655</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28202</xdr:rowOff>
    </xdr:from>
    <xdr:to>
      <xdr:col>18</xdr:col>
      <xdr:colOff>448506</xdr:colOff>
      <xdr:row>68</xdr:row>
      <xdr:rowOff>26063</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66</xdr:row>
      <xdr:rowOff>158808</xdr:rowOff>
    </xdr:from>
    <xdr:to>
      <xdr:col>8</xdr:col>
      <xdr:colOff>268754</xdr:colOff>
      <xdr:row>85</xdr:row>
      <xdr:rowOff>67493</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47251</xdr:rowOff>
    </xdr:from>
    <xdr:to>
      <xdr:col>30</xdr:col>
      <xdr:colOff>312039</xdr:colOff>
      <xdr:row>40</xdr:row>
      <xdr:rowOff>104402</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47252</xdr:rowOff>
    </xdr:from>
    <xdr:to>
      <xdr:col>30</xdr:col>
      <xdr:colOff>312039</xdr:colOff>
      <xdr:row>49</xdr:row>
      <xdr:rowOff>104401</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142097</xdr:rowOff>
    </xdr:from>
    <xdr:to>
      <xdr:col>30</xdr:col>
      <xdr:colOff>312039</xdr:colOff>
      <xdr:row>161</xdr:row>
      <xdr:rowOff>53</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66301</xdr:rowOff>
    </xdr:from>
    <xdr:to>
      <xdr:col>31</xdr:col>
      <xdr:colOff>340247</xdr:colOff>
      <xdr:row>40</xdr:row>
      <xdr:rowOff>104402</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66302</xdr:rowOff>
    </xdr:from>
    <xdr:to>
      <xdr:col>31</xdr:col>
      <xdr:colOff>340247</xdr:colOff>
      <xdr:row>49</xdr:row>
      <xdr:rowOff>104401</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142097</xdr:rowOff>
    </xdr:from>
    <xdr:to>
      <xdr:col>31</xdr:col>
      <xdr:colOff>340247</xdr:colOff>
      <xdr:row>161</xdr:row>
      <xdr:rowOff>53</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47251</xdr:rowOff>
    </xdr:from>
    <xdr:to>
      <xdr:col>31</xdr:col>
      <xdr:colOff>446883</xdr:colOff>
      <xdr:row>40</xdr:row>
      <xdr:rowOff>47252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47252</xdr:rowOff>
    </xdr:from>
    <xdr:to>
      <xdr:col>31</xdr:col>
      <xdr:colOff>446883</xdr:colOff>
      <xdr:row>49</xdr:row>
      <xdr:rowOff>66301</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28201</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145162</xdr:rowOff>
    </xdr:from>
    <xdr:to>
      <xdr:col>9</xdr:col>
      <xdr:colOff>121210</xdr:colOff>
      <xdr:row>81</xdr:row>
      <xdr:rowOff>173205</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145162</xdr:rowOff>
    </xdr:from>
    <xdr:to>
      <xdr:col>9</xdr:col>
      <xdr:colOff>102160</xdr:colOff>
      <xdr:row>81</xdr:row>
      <xdr:rowOff>173205</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10626</xdr:rowOff>
    </xdr:from>
    <xdr:to>
      <xdr:col>9</xdr:col>
      <xdr:colOff>102160</xdr:colOff>
      <xdr:row>86</xdr:row>
      <xdr:rowOff>31110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97622</xdr:rowOff>
    </xdr:from>
    <xdr:to>
      <xdr:col>9</xdr:col>
      <xdr:colOff>102160</xdr:colOff>
      <xdr:row>102</xdr:row>
      <xdr:rowOff>55848</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180116</xdr:rowOff>
    </xdr:from>
    <xdr:to>
      <xdr:col>9</xdr:col>
      <xdr:colOff>102160</xdr:colOff>
      <xdr:row>102</xdr:row>
      <xdr:rowOff>146011</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296798</xdr:rowOff>
    </xdr:from>
    <xdr:to>
      <xdr:col>9</xdr:col>
      <xdr:colOff>102160</xdr:colOff>
      <xdr:row>102</xdr:row>
      <xdr:rowOff>145844</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105620</xdr:rowOff>
    </xdr:from>
    <xdr:to>
      <xdr:col>9</xdr:col>
      <xdr:colOff>102160</xdr:colOff>
      <xdr:row>103</xdr:row>
      <xdr:rowOff>10897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170976</xdr:rowOff>
    </xdr:from>
    <xdr:to>
      <xdr:col>9</xdr:col>
      <xdr:colOff>102160</xdr:colOff>
      <xdr:row>124</xdr:row>
      <xdr:rowOff>73343</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16035</xdr:rowOff>
    </xdr:from>
    <xdr:to>
      <xdr:col>9</xdr:col>
      <xdr:colOff>102160</xdr:colOff>
      <xdr:row>125</xdr:row>
      <xdr:rowOff>57468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67823</xdr:rowOff>
    </xdr:from>
    <xdr:to>
      <xdr:col>9</xdr:col>
      <xdr:colOff>102160</xdr:colOff>
      <xdr:row>126</xdr:row>
      <xdr:rowOff>57469</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36073</xdr:rowOff>
    </xdr:from>
    <xdr:to>
      <xdr:col>9</xdr:col>
      <xdr:colOff>102160</xdr:colOff>
      <xdr:row>126</xdr:row>
      <xdr:rowOff>57469</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130</xdr:row>
      <xdr:rowOff>1112</xdr:rowOff>
    </xdr:from>
    <xdr:to>
      <xdr:col>23</xdr:col>
      <xdr:colOff>687855</xdr:colOff>
      <xdr:row>149</xdr:row>
      <xdr:rowOff>161625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21</xdr:row>
      <xdr:rowOff>47251</xdr:rowOff>
    </xdr:from>
    <xdr:to>
      <xdr:col>25</xdr:col>
      <xdr:colOff>102161</xdr:colOff>
      <xdr:row>41</xdr:row>
      <xdr:rowOff>28202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30</xdr:row>
      <xdr:rowOff>47251</xdr:rowOff>
    </xdr:from>
    <xdr:to>
      <xdr:col>25</xdr:col>
      <xdr:colOff>102161</xdr:colOff>
      <xdr:row>50</xdr:row>
      <xdr:rowOff>28202</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134</xdr:row>
      <xdr:rowOff>38251</xdr:rowOff>
    </xdr:from>
    <xdr:to>
      <xdr:col>25</xdr:col>
      <xdr:colOff>102161</xdr:colOff>
      <xdr:row>154</xdr:row>
      <xdr:rowOff>1113</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41</xdr:row>
      <xdr:rowOff>47252</xdr:rowOff>
    </xdr:from>
    <xdr:to>
      <xdr:col>15</xdr:col>
      <xdr:colOff>273798</xdr:colOff>
      <xdr:row>59</xdr:row>
      <xdr:rowOff>372503</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47251</xdr:rowOff>
    </xdr:from>
    <xdr:to>
      <xdr:col>28</xdr:col>
      <xdr:colOff>121210</xdr:colOff>
      <xdr:row>41</xdr:row>
      <xdr:rowOff>123452</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47251</xdr:rowOff>
    </xdr:from>
    <xdr:to>
      <xdr:col>28</xdr:col>
      <xdr:colOff>121210</xdr:colOff>
      <xdr:row>50</xdr:row>
      <xdr:rowOff>104402</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134</xdr:row>
      <xdr:rowOff>38251</xdr:rowOff>
    </xdr:from>
    <xdr:to>
      <xdr:col>28</xdr:col>
      <xdr:colOff>121210</xdr:colOff>
      <xdr:row>154</xdr:row>
      <xdr:rowOff>73345</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47251</xdr:rowOff>
    </xdr:from>
    <xdr:to>
      <xdr:col>29</xdr:col>
      <xdr:colOff>114860</xdr:colOff>
      <xdr:row>41</xdr:row>
      <xdr:rowOff>85352</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47251</xdr:rowOff>
    </xdr:from>
    <xdr:to>
      <xdr:col>29</xdr:col>
      <xdr:colOff>114860</xdr:colOff>
      <xdr:row>50</xdr:row>
      <xdr:rowOff>47252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134</xdr:row>
      <xdr:rowOff>57468</xdr:rowOff>
    </xdr:from>
    <xdr:to>
      <xdr:col>29</xdr:col>
      <xdr:colOff>114860</xdr:colOff>
      <xdr:row>154</xdr:row>
      <xdr:rowOff>73345</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45</xdr:row>
      <xdr:rowOff>28201</xdr:rowOff>
    </xdr:from>
    <xdr:to>
      <xdr:col>15</xdr:col>
      <xdr:colOff>273798</xdr:colOff>
      <xdr:row>64</xdr:row>
      <xdr:rowOff>31523</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28201</xdr:rowOff>
    </xdr:from>
    <xdr:to>
      <xdr:col>17</xdr:col>
      <xdr:colOff>162486</xdr:colOff>
      <xdr:row>64</xdr:row>
      <xdr:rowOff>31523</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141941</xdr:rowOff>
    </xdr:from>
    <xdr:to>
      <xdr:col>33</xdr:col>
      <xdr:colOff>533961</xdr:colOff>
      <xdr:row>46</xdr:row>
      <xdr:rowOff>145116</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145162</xdr:rowOff>
    </xdr:from>
    <xdr:to>
      <xdr:col>18</xdr:col>
      <xdr:colOff>64061</xdr:colOff>
      <xdr:row>81</xdr:row>
      <xdr:rowOff>173205</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65</xdr:row>
      <xdr:rowOff>159291</xdr:rowOff>
    </xdr:from>
    <xdr:to>
      <xdr:col>18</xdr:col>
      <xdr:colOff>102161</xdr:colOff>
      <xdr:row>86</xdr:row>
      <xdr:rowOff>124388</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28201</xdr:rowOff>
    </xdr:from>
    <xdr:to>
      <xdr:col>18</xdr:col>
      <xdr:colOff>102161</xdr:colOff>
      <xdr:row>64</xdr:row>
      <xdr:rowOff>31523</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47251</xdr:rowOff>
    </xdr:from>
    <xdr:to>
      <xdr:col>30</xdr:col>
      <xdr:colOff>16435</xdr:colOff>
      <xdr:row>41</xdr:row>
      <xdr:rowOff>104402</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47251</xdr:rowOff>
    </xdr:from>
    <xdr:to>
      <xdr:col>30</xdr:col>
      <xdr:colOff>16435</xdr:colOff>
      <xdr:row>50</xdr:row>
      <xdr:rowOff>104402</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136</xdr:row>
      <xdr:rowOff>117234</xdr:rowOff>
    </xdr:from>
    <xdr:to>
      <xdr:col>30</xdr:col>
      <xdr:colOff>16435</xdr:colOff>
      <xdr:row>156</xdr:row>
      <xdr:rowOff>141782</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66301</xdr:rowOff>
    </xdr:from>
    <xdr:to>
      <xdr:col>31</xdr:col>
      <xdr:colOff>16435</xdr:colOff>
      <xdr:row>41</xdr:row>
      <xdr:rowOff>104402</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66301</xdr:rowOff>
    </xdr:from>
    <xdr:to>
      <xdr:col>31</xdr:col>
      <xdr:colOff>16435</xdr:colOff>
      <xdr:row>50</xdr:row>
      <xdr:rowOff>104402</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136</xdr:row>
      <xdr:rowOff>117234</xdr:rowOff>
    </xdr:from>
    <xdr:to>
      <xdr:col>31</xdr:col>
      <xdr:colOff>16435</xdr:colOff>
      <xdr:row>156</xdr:row>
      <xdr:rowOff>141782</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47251</xdr:rowOff>
    </xdr:from>
    <xdr:to>
      <xdr:col>31</xdr:col>
      <xdr:colOff>160804</xdr:colOff>
      <xdr:row>41</xdr:row>
      <xdr:rowOff>47252</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47251</xdr:rowOff>
    </xdr:from>
    <xdr:to>
      <xdr:col>31</xdr:col>
      <xdr:colOff>160804</xdr:colOff>
      <xdr:row>50</xdr:row>
      <xdr:rowOff>66302</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28202</xdr:rowOff>
    </xdr:from>
    <xdr:to>
      <xdr:col>39</xdr:col>
      <xdr:colOff>694204</xdr:colOff>
      <xdr:row>35</xdr:row>
      <xdr:rowOff>47251</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136</xdr:row>
      <xdr:rowOff>86044</xdr:rowOff>
    </xdr:from>
    <xdr:to>
      <xdr:col>28</xdr:col>
      <xdr:colOff>143435</xdr:colOff>
      <xdr:row>140</xdr:row>
      <xdr:rowOff>161626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124386</xdr:colOff>
      <xdr:row>12</xdr:row>
      <xdr:rowOff>47252</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102160</xdr:colOff>
      <xdr:row>82</xdr:row>
      <xdr:rowOff>154716</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130674</xdr:rowOff>
    </xdr:from>
    <xdr:to>
      <xdr:col>9</xdr:col>
      <xdr:colOff>121210</xdr:colOff>
      <xdr:row>82</xdr:row>
      <xdr:rowOff>218049</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130674</xdr:rowOff>
    </xdr:from>
    <xdr:to>
      <xdr:col>9</xdr:col>
      <xdr:colOff>102160</xdr:colOff>
      <xdr:row>82</xdr:row>
      <xdr:rowOff>218049</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198160</xdr:rowOff>
    </xdr:from>
    <xdr:to>
      <xdr:col>9</xdr:col>
      <xdr:colOff>102160</xdr:colOff>
      <xdr:row>87</xdr:row>
      <xdr:rowOff>87932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294417</xdr:rowOff>
    </xdr:from>
    <xdr:to>
      <xdr:col>9</xdr:col>
      <xdr:colOff>102160</xdr:colOff>
      <xdr:row>103</xdr:row>
      <xdr:rowOff>77188</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10235</xdr:rowOff>
    </xdr:from>
    <xdr:to>
      <xdr:col>9</xdr:col>
      <xdr:colOff>102160</xdr:colOff>
      <xdr:row>104</xdr:row>
      <xdr:rowOff>1730</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131757</xdr:rowOff>
    </xdr:from>
    <xdr:to>
      <xdr:col>9</xdr:col>
      <xdr:colOff>102160</xdr:colOff>
      <xdr:row>105</xdr:row>
      <xdr:rowOff>12160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122400</xdr:rowOff>
    </xdr:from>
    <xdr:to>
      <xdr:col>9</xdr:col>
      <xdr:colOff>102160</xdr:colOff>
      <xdr:row>104</xdr:row>
      <xdr:rowOff>77556</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57544</xdr:rowOff>
    </xdr:from>
    <xdr:to>
      <xdr:col>9</xdr:col>
      <xdr:colOff>102160</xdr:colOff>
      <xdr:row>125</xdr:row>
      <xdr:rowOff>124376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84492</xdr:rowOff>
    </xdr:from>
    <xdr:to>
      <xdr:col>9</xdr:col>
      <xdr:colOff>102160</xdr:colOff>
      <xdr:row>126</xdr:row>
      <xdr:rowOff>96363</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123806</xdr:rowOff>
    </xdr:from>
    <xdr:to>
      <xdr:col>9</xdr:col>
      <xdr:colOff>102160</xdr:colOff>
      <xdr:row>127</xdr:row>
      <xdr:rowOff>96363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69596</xdr:rowOff>
    </xdr:from>
    <xdr:to>
      <xdr:col>9</xdr:col>
      <xdr:colOff>102160</xdr:colOff>
      <xdr:row>127</xdr:row>
      <xdr:rowOff>96363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124385</xdr:colOff>
      <xdr:row>131</xdr:row>
      <xdr:rowOff>40103</xdr:rowOff>
    </xdr:from>
    <xdr:to>
      <xdr:col>23</xdr:col>
      <xdr:colOff>687855</xdr:colOff>
      <xdr:row>151</xdr:row>
      <xdr:rowOff>19995</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20</xdr:row>
      <xdr:rowOff>47251</xdr:rowOff>
    </xdr:from>
    <xdr:to>
      <xdr:col>25</xdr:col>
      <xdr:colOff>102161</xdr:colOff>
      <xdr:row>40</xdr:row>
      <xdr:rowOff>28202</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29</xdr:row>
      <xdr:rowOff>47252</xdr:rowOff>
    </xdr:from>
    <xdr:to>
      <xdr:col>25</xdr:col>
      <xdr:colOff>102161</xdr:colOff>
      <xdr:row>49</xdr:row>
      <xdr:rowOff>28201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181535</xdr:colOff>
      <xdr:row>135</xdr:row>
      <xdr:rowOff>55088</xdr:rowOff>
    </xdr:from>
    <xdr:to>
      <xdr:col>25</xdr:col>
      <xdr:colOff>102161</xdr:colOff>
      <xdr:row>155</xdr:row>
      <xdr:rowOff>40104</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676275</xdr:colOff>
      <xdr:row>40</xdr:row>
      <xdr:rowOff>47252</xdr:rowOff>
    </xdr:from>
    <xdr:to>
      <xdr:col>15</xdr:col>
      <xdr:colOff>273798</xdr:colOff>
      <xdr:row>59</xdr:row>
      <xdr:rowOff>30069</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47251</xdr:rowOff>
    </xdr:from>
    <xdr:to>
      <xdr:col>28</xdr:col>
      <xdr:colOff>121210</xdr:colOff>
      <xdr:row>40</xdr:row>
      <xdr:rowOff>123452</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47252</xdr:rowOff>
    </xdr:from>
    <xdr:to>
      <xdr:col>28</xdr:col>
      <xdr:colOff>121210</xdr:colOff>
      <xdr:row>49</xdr:row>
      <xdr:rowOff>104401</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135</xdr:row>
      <xdr:rowOff>55088</xdr:rowOff>
    </xdr:from>
    <xdr:to>
      <xdr:col>28</xdr:col>
      <xdr:colOff>121210</xdr:colOff>
      <xdr:row>155</xdr:row>
      <xdr:rowOff>124377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47251</xdr:rowOff>
    </xdr:from>
    <xdr:to>
      <xdr:col>29</xdr:col>
      <xdr:colOff>114860</xdr:colOff>
      <xdr:row>40</xdr:row>
      <xdr:rowOff>85352</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47252</xdr:rowOff>
    </xdr:from>
    <xdr:to>
      <xdr:col>29</xdr:col>
      <xdr:colOff>114860</xdr:colOff>
      <xdr:row>49</xdr:row>
      <xdr:rowOff>47251</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135</xdr:row>
      <xdr:rowOff>96363</xdr:rowOff>
    </xdr:from>
    <xdr:to>
      <xdr:col>29</xdr:col>
      <xdr:colOff>114860</xdr:colOff>
      <xdr:row>155</xdr:row>
      <xdr:rowOff>124377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714375</xdr:colOff>
      <xdr:row>44</xdr:row>
      <xdr:rowOff>28202</xdr:rowOff>
    </xdr:from>
    <xdr:to>
      <xdr:col>15</xdr:col>
      <xdr:colOff>273798</xdr:colOff>
      <xdr:row>64</xdr:row>
      <xdr:rowOff>67447</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28202</xdr:rowOff>
    </xdr:from>
    <xdr:to>
      <xdr:col>17</xdr:col>
      <xdr:colOff>162486</xdr:colOff>
      <xdr:row>64</xdr:row>
      <xdr:rowOff>67447</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141942</xdr:rowOff>
    </xdr:from>
    <xdr:to>
      <xdr:col>33</xdr:col>
      <xdr:colOff>533961</xdr:colOff>
      <xdr:row>45</xdr:row>
      <xdr:rowOff>145116</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64061</xdr:colOff>
      <xdr:row>82</xdr:row>
      <xdr:rowOff>154716</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66</xdr:row>
      <xdr:rowOff>142422</xdr:rowOff>
    </xdr:from>
    <xdr:to>
      <xdr:col>18</xdr:col>
      <xdr:colOff>102161</xdr:colOff>
      <xdr:row>87</xdr:row>
      <xdr:rowOff>159545</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28202</xdr:rowOff>
    </xdr:from>
    <xdr:to>
      <xdr:col>18</xdr:col>
      <xdr:colOff>102161</xdr:colOff>
      <xdr:row>64</xdr:row>
      <xdr:rowOff>67447</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47251</xdr:rowOff>
    </xdr:from>
    <xdr:to>
      <xdr:col>30</xdr:col>
      <xdr:colOff>16435</xdr:colOff>
      <xdr:row>40</xdr:row>
      <xdr:rowOff>104402</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47252</xdr:rowOff>
    </xdr:from>
    <xdr:to>
      <xdr:col>30</xdr:col>
      <xdr:colOff>16435</xdr:colOff>
      <xdr:row>49</xdr:row>
      <xdr:rowOff>104401</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137</xdr:row>
      <xdr:rowOff>161626</xdr:rowOff>
    </xdr:from>
    <xdr:to>
      <xdr:col>30</xdr:col>
      <xdr:colOff>16435</xdr:colOff>
      <xdr:row>158</xdr:row>
      <xdr:rowOff>20162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66301</xdr:rowOff>
    </xdr:from>
    <xdr:to>
      <xdr:col>31</xdr:col>
      <xdr:colOff>16435</xdr:colOff>
      <xdr:row>40</xdr:row>
      <xdr:rowOff>104402</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66302</xdr:rowOff>
    </xdr:from>
    <xdr:to>
      <xdr:col>31</xdr:col>
      <xdr:colOff>16435</xdr:colOff>
      <xdr:row>49</xdr:row>
      <xdr:rowOff>104401</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137</xdr:row>
      <xdr:rowOff>161626</xdr:rowOff>
    </xdr:from>
    <xdr:to>
      <xdr:col>31</xdr:col>
      <xdr:colOff>16435</xdr:colOff>
      <xdr:row>158</xdr:row>
      <xdr:rowOff>20162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47251</xdr:rowOff>
    </xdr:from>
    <xdr:to>
      <xdr:col>31</xdr:col>
      <xdr:colOff>160804</xdr:colOff>
      <xdr:row>40</xdr:row>
      <xdr:rowOff>47252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47252</xdr:rowOff>
    </xdr:from>
    <xdr:to>
      <xdr:col>31</xdr:col>
      <xdr:colOff>160804</xdr:colOff>
      <xdr:row>49</xdr:row>
      <xdr:rowOff>66301</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28201</xdr:rowOff>
    </xdr:from>
    <xdr:to>
      <xdr:col>39</xdr:col>
      <xdr:colOff>694204</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137</xdr:row>
      <xdr:rowOff>124377</xdr:rowOff>
    </xdr:from>
    <xdr:to>
      <xdr:col>31</xdr:col>
      <xdr:colOff>778435</xdr:colOff>
      <xdr:row>157</xdr:row>
      <xdr:rowOff>19995</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130674</xdr:rowOff>
    </xdr:from>
    <xdr:to>
      <xdr:col>9</xdr:col>
      <xdr:colOff>628650</xdr:colOff>
      <xdr:row>82</xdr:row>
      <xdr:rowOff>218049</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294417</xdr:rowOff>
    </xdr:from>
    <xdr:to>
      <xdr:col>9</xdr:col>
      <xdr:colOff>609600</xdr:colOff>
      <xdr:row>103</xdr:row>
      <xdr:rowOff>77188</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12160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47252</xdr:rowOff>
    </xdr:from>
    <xdr:to>
      <xdr:col>25</xdr:col>
      <xdr:colOff>609600</xdr:colOff>
      <xdr:row>49</xdr:row>
      <xdr:rowOff>28201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47252</xdr:rowOff>
    </xdr:from>
    <xdr:to>
      <xdr:col>16</xdr:col>
      <xdr:colOff>0</xdr:colOff>
      <xdr:row>59</xdr:row>
      <xdr:rowOff>30069</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40</xdr:row>
      <xdr:rowOff>123452</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47252</xdr:rowOff>
    </xdr:from>
    <xdr:to>
      <xdr:col>28</xdr:col>
      <xdr:colOff>628650</xdr:colOff>
      <xdr:row>49</xdr:row>
      <xdr:rowOff>104401</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135</xdr:row>
      <xdr:rowOff>55088</xdr:rowOff>
    </xdr:from>
    <xdr:to>
      <xdr:col>28</xdr:col>
      <xdr:colOff>628650</xdr:colOff>
      <xdr:row>155</xdr:row>
      <xdr:rowOff>124377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47252</xdr:rowOff>
    </xdr:from>
    <xdr:to>
      <xdr:col>29</xdr:col>
      <xdr:colOff>615950</xdr:colOff>
      <xdr:row>49</xdr:row>
      <xdr:rowOff>47251</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135</xdr:row>
      <xdr:rowOff>96363</xdr:rowOff>
    </xdr:from>
    <xdr:to>
      <xdr:col>29</xdr:col>
      <xdr:colOff>615950</xdr:colOff>
      <xdr:row>155</xdr:row>
      <xdr:rowOff>124377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64</xdr:row>
      <xdr:rowOff>67447</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141942</xdr:rowOff>
    </xdr:from>
    <xdr:to>
      <xdr:col>34</xdr:col>
      <xdr:colOff>158750</xdr:colOff>
      <xdr:row>45</xdr:row>
      <xdr:rowOff>145116</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82</xdr:row>
      <xdr:rowOff>154716</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104402</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47252</xdr:rowOff>
    </xdr:from>
    <xdr:to>
      <xdr:col>30</xdr:col>
      <xdr:colOff>520700</xdr:colOff>
      <xdr:row>49</xdr:row>
      <xdr:rowOff>104401</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137</xdr:row>
      <xdr:rowOff>161626</xdr:rowOff>
    </xdr:from>
    <xdr:to>
      <xdr:col>30</xdr:col>
      <xdr:colOff>520700</xdr:colOff>
      <xdr:row>158</xdr:row>
      <xdr:rowOff>20162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104402</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66302</xdr:rowOff>
    </xdr:from>
    <xdr:to>
      <xdr:col>31</xdr:col>
      <xdr:colOff>520700</xdr:colOff>
      <xdr:row>49</xdr:row>
      <xdr:rowOff>104401</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137</xdr:row>
      <xdr:rowOff>161626</xdr:rowOff>
    </xdr:from>
    <xdr:to>
      <xdr:col>31</xdr:col>
      <xdr:colOff>520700</xdr:colOff>
      <xdr:row>158</xdr:row>
      <xdr:rowOff>20162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47252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47252</xdr:rowOff>
    </xdr:from>
    <xdr:to>
      <xdr:col>31</xdr:col>
      <xdr:colOff>673100</xdr:colOff>
      <xdr:row>49</xdr:row>
      <xdr:rowOff>66301</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137</xdr:row>
      <xdr:rowOff>124377</xdr:rowOff>
    </xdr:from>
    <xdr:to>
      <xdr:col>32</xdr:col>
      <xdr:colOff>406400</xdr:colOff>
      <xdr:row>157</xdr:row>
      <xdr:rowOff>19995</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82</xdr:row>
      <xdr:rowOff>154716</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62</xdr:row>
      <xdr:rowOff>130674</xdr:rowOff>
    </xdr:from>
    <xdr:to>
      <xdr:col>9</xdr:col>
      <xdr:colOff>628650</xdr:colOff>
      <xdr:row>82</xdr:row>
      <xdr:rowOff>218049</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130674</xdr:rowOff>
    </xdr:from>
    <xdr:to>
      <xdr:col>9</xdr:col>
      <xdr:colOff>609600</xdr:colOff>
      <xdr:row>82</xdr:row>
      <xdr:rowOff>218049</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198160</xdr:rowOff>
    </xdr:from>
    <xdr:to>
      <xdr:col>9</xdr:col>
      <xdr:colOff>609600</xdr:colOff>
      <xdr:row>87</xdr:row>
      <xdr:rowOff>87932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303942</xdr:rowOff>
    </xdr:from>
    <xdr:to>
      <xdr:col>9</xdr:col>
      <xdr:colOff>609600</xdr:colOff>
      <xdr:row>103</xdr:row>
      <xdr:rowOff>77188</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10235</xdr:rowOff>
    </xdr:from>
    <xdr:to>
      <xdr:col>9</xdr:col>
      <xdr:colOff>609600</xdr:colOff>
      <xdr:row>104</xdr:row>
      <xdr:rowOff>1730</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131757</xdr:rowOff>
    </xdr:from>
    <xdr:to>
      <xdr:col>9</xdr:col>
      <xdr:colOff>609600</xdr:colOff>
      <xdr:row>105</xdr:row>
      <xdr:rowOff>16829</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122400</xdr:rowOff>
    </xdr:from>
    <xdr:to>
      <xdr:col>9</xdr:col>
      <xdr:colOff>609600</xdr:colOff>
      <xdr:row>104</xdr:row>
      <xdr:rowOff>77556</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57544</xdr:rowOff>
    </xdr:from>
    <xdr:to>
      <xdr:col>9</xdr:col>
      <xdr:colOff>609600</xdr:colOff>
      <xdr:row>125</xdr:row>
      <xdr:rowOff>124376</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84492</xdr:rowOff>
    </xdr:from>
    <xdr:to>
      <xdr:col>9</xdr:col>
      <xdr:colOff>609600</xdr:colOff>
      <xdr:row>126</xdr:row>
      <xdr:rowOff>96363</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123806</xdr:rowOff>
    </xdr:from>
    <xdr:to>
      <xdr:col>9</xdr:col>
      <xdr:colOff>609600</xdr:colOff>
      <xdr:row>127</xdr:row>
      <xdr:rowOff>96363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69596</xdr:rowOff>
    </xdr:from>
    <xdr:to>
      <xdr:col>9</xdr:col>
      <xdr:colOff>609600</xdr:colOff>
      <xdr:row>127</xdr:row>
      <xdr:rowOff>96363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131</xdr:row>
      <xdr:rowOff>40103</xdr:rowOff>
    </xdr:from>
    <xdr:to>
      <xdr:col>24</xdr:col>
      <xdr:colOff>438150</xdr:colOff>
      <xdr:row>151</xdr:row>
      <xdr:rowOff>19995</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28202</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28201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135</xdr:row>
      <xdr:rowOff>55088</xdr:rowOff>
    </xdr:from>
    <xdr:to>
      <xdr:col>25</xdr:col>
      <xdr:colOff>609600</xdr:colOff>
      <xdr:row>155</xdr:row>
      <xdr:rowOff>40104</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40</xdr:row>
      <xdr:rowOff>59952</xdr:rowOff>
    </xdr:from>
    <xdr:to>
      <xdr:col>16</xdr:col>
      <xdr:colOff>0</xdr:colOff>
      <xdr:row>59</xdr:row>
      <xdr:rowOff>30069</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20</xdr:row>
      <xdr:rowOff>59951</xdr:rowOff>
    </xdr:from>
    <xdr:to>
      <xdr:col>28</xdr:col>
      <xdr:colOff>628650</xdr:colOff>
      <xdr:row>40</xdr:row>
      <xdr:rowOff>123452</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29</xdr:row>
      <xdr:rowOff>59952</xdr:rowOff>
    </xdr:from>
    <xdr:to>
      <xdr:col>28</xdr:col>
      <xdr:colOff>628650</xdr:colOff>
      <xdr:row>49</xdr:row>
      <xdr:rowOff>104401</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135</xdr:row>
      <xdr:rowOff>55088</xdr:rowOff>
    </xdr:from>
    <xdr:to>
      <xdr:col>28</xdr:col>
      <xdr:colOff>628650</xdr:colOff>
      <xdr:row>155</xdr:row>
      <xdr:rowOff>124377</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20</xdr:row>
      <xdr:rowOff>59951</xdr:rowOff>
    </xdr:from>
    <xdr:to>
      <xdr:col>29</xdr:col>
      <xdr:colOff>615950</xdr:colOff>
      <xdr:row>40</xdr:row>
      <xdr:rowOff>85352</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29</xdr:row>
      <xdr:rowOff>59952</xdr:rowOff>
    </xdr:from>
    <xdr:to>
      <xdr:col>29</xdr:col>
      <xdr:colOff>615950</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135</xdr:row>
      <xdr:rowOff>96363</xdr:rowOff>
    </xdr:from>
    <xdr:to>
      <xdr:col>29</xdr:col>
      <xdr:colOff>615950</xdr:colOff>
      <xdr:row>155</xdr:row>
      <xdr:rowOff>124377</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64</xdr:row>
      <xdr:rowOff>67447</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673100</xdr:colOff>
      <xdr:row>64</xdr:row>
      <xdr:rowOff>67447</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141942</xdr:rowOff>
    </xdr:from>
    <xdr:to>
      <xdr:col>34</xdr:col>
      <xdr:colOff>158750</xdr:colOff>
      <xdr:row>45</xdr:row>
      <xdr:rowOff>145116</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60</xdr:row>
      <xdr:rowOff>345514</xdr:rowOff>
    </xdr:from>
    <xdr:to>
      <xdr:col>18</xdr:col>
      <xdr:colOff>571500</xdr:colOff>
      <xdr:row>82</xdr:row>
      <xdr:rowOff>154716</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66</xdr:row>
      <xdr:rowOff>142422</xdr:rowOff>
    </xdr:from>
    <xdr:to>
      <xdr:col>18</xdr:col>
      <xdr:colOff>609600</xdr:colOff>
      <xdr:row>87</xdr:row>
      <xdr:rowOff>159545</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64</xdr:row>
      <xdr:rowOff>67447</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20</xdr:row>
      <xdr:rowOff>59951</xdr:rowOff>
    </xdr:from>
    <xdr:to>
      <xdr:col>30</xdr:col>
      <xdr:colOff>533400</xdr:colOff>
      <xdr:row>40</xdr:row>
      <xdr:rowOff>104402</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29</xdr:row>
      <xdr:rowOff>59952</xdr:rowOff>
    </xdr:from>
    <xdr:to>
      <xdr:col>30</xdr:col>
      <xdr:colOff>533400</xdr:colOff>
      <xdr:row>49</xdr:row>
      <xdr:rowOff>104401</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137</xdr:row>
      <xdr:rowOff>161626</xdr:rowOff>
    </xdr:from>
    <xdr:to>
      <xdr:col>30</xdr:col>
      <xdr:colOff>533400</xdr:colOff>
      <xdr:row>158</xdr:row>
      <xdr:rowOff>20162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20</xdr:row>
      <xdr:rowOff>66301</xdr:rowOff>
    </xdr:from>
    <xdr:to>
      <xdr:col>31</xdr:col>
      <xdr:colOff>533400</xdr:colOff>
      <xdr:row>40</xdr:row>
      <xdr:rowOff>104402</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29</xdr:row>
      <xdr:rowOff>66302</xdr:rowOff>
    </xdr:from>
    <xdr:to>
      <xdr:col>31</xdr:col>
      <xdr:colOff>533400</xdr:colOff>
      <xdr:row>49</xdr:row>
      <xdr:rowOff>104401</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137</xdr:row>
      <xdr:rowOff>161626</xdr:rowOff>
    </xdr:from>
    <xdr:to>
      <xdr:col>31</xdr:col>
      <xdr:colOff>533400</xdr:colOff>
      <xdr:row>158</xdr:row>
      <xdr:rowOff>20162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59951</xdr:rowOff>
    </xdr:from>
    <xdr:to>
      <xdr:col>31</xdr:col>
      <xdr:colOff>673100</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29</xdr:row>
      <xdr:rowOff>59952</xdr:rowOff>
    </xdr:from>
    <xdr:to>
      <xdr:col>31</xdr:col>
      <xdr:colOff>673100</xdr:colOff>
      <xdr:row>49</xdr:row>
      <xdr:rowOff>66301</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28201</xdr:rowOff>
    </xdr:from>
    <xdr:to>
      <xdr:col>40</xdr:col>
      <xdr:colOff>438150</xdr:colOff>
      <xdr:row>34</xdr:row>
      <xdr:rowOff>64247</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137</xdr:row>
      <xdr:rowOff>124377</xdr:rowOff>
    </xdr:from>
    <xdr:to>
      <xdr:col>32</xdr:col>
      <xdr:colOff>419100</xdr:colOff>
      <xdr:row>157</xdr:row>
      <xdr:rowOff>19995</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20</xdr:row>
      <xdr:rowOff>66301</xdr:rowOff>
    </xdr:from>
    <xdr:to>
      <xdr:col>33</xdr:col>
      <xdr:colOff>285750</xdr:colOff>
      <xdr:row>40</xdr:row>
      <xdr:rowOff>104402</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82550</xdr:colOff>
      <xdr:row>29</xdr:row>
      <xdr:rowOff>66302</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66301</xdr:rowOff>
    </xdr:from>
    <xdr:to>
      <xdr:col>30</xdr:col>
      <xdr:colOff>530225</xdr:colOff>
      <xdr:row>23</xdr:row>
      <xdr:rowOff>352799</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66302</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137</xdr:row>
      <xdr:rowOff>143427</xdr:rowOff>
    </xdr:from>
    <xdr:to>
      <xdr:col>30</xdr:col>
      <xdr:colOff>530225</xdr:colOff>
      <xdr:row>142</xdr:row>
      <xdr:rowOff>19994</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82</xdr:row>
      <xdr:rowOff>12691</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82</xdr:row>
      <xdr:rowOff>54857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82</xdr:row>
      <xdr:rowOff>54857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92783</xdr:rowOff>
    </xdr:from>
    <xdr:to>
      <xdr:col>9</xdr:col>
      <xdr:colOff>609600</xdr:colOff>
      <xdr:row>85</xdr:row>
      <xdr:rowOff>115204</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154155</xdr:rowOff>
    </xdr:from>
    <xdr:to>
      <xdr:col>9</xdr:col>
      <xdr:colOff>609600</xdr:colOff>
      <xdr:row>100</xdr:row>
      <xdr:rowOff>162997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88891</xdr:rowOff>
    </xdr:from>
    <xdr:to>
      <xdr:col>9</xdr:col>
      <xdr:colOff>609600</xdr:colOff>
      <xdr:row>101</xdr:row>
      <xdr:rowOff>201105</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192816</xdr:rowOff>
    </xdr:from>
    <xdr:to>
      <xdr:col>9</xdr:col>
      <xdr:colOff>609600</xdr:colOff>
      <xdr:row>101</xdr:row>
      <xdr:rowOff>201105</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372941</xdr:rowOff>
    </xdr:from>
    <xdr:to>
      <xdr:col>9</xdr:col>
      <xdr:colOff>609600</xdr:colOff>
      <xdr:row>102</xdr:row>
      <xdr:rowOff>102981</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50024</xdr:rowOff>
    </xdr:from>
    <xdr:to>
      <xdr:col>9</xdr:col>
      <xdr:colOff>609600</xdr:colOff>
      <xdr:row>123</xdr:row>
      <xdr:rowOff>161626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64856</xdr:rowOff>
    </xdr:from>
    <xdr:to>
      <xdr:col>9</xdr:col>
      <xdr:colOff>609600</xdr:colOff>
      <xdr:row>124</xdr:row>
      <xdr:rowOff>124376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159212</xdr:rowOff>
    </xdr:from>
    <xdr:to>
      <xdr:col>9</xdr:col>
      <xdr:colOff>609600</xdr:colOff>
      <xdr:row>125</xdr:row>
      <xdr:rowOff>143426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82944</xdr:rowOff>
    </xdr:from>
    <xdr:to>
      <xdr:col>9</xdr:col>
      <xdr:colOff>609600</xdr:colOff>
      <xdr:row>125</xdr:row>
      <xdr:rowOff>143426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77311</xdr:rowOff>
    </xdr:from>
    <xdr:to>
      <xdr:col>24</xdr:col>
      <xdr:colOff>438150</xdr:colOff>
      <xdr:row>149</xdr:row>
      <xdr:rowOff>55086</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47251</xdr:rowOff>
    </xdr:from>
    <xdr:to>
      <xdr:col>25</xdr:col>
      <xdr:colOff>609600</xdr:colOff>
      <xdr:row>40</xdr:row>
      <xdr:rowOff>28202</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28202</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77311</xdr:rowOff>
    </xdr:from>
    <xdr:to>
      <xdr:col>25</xdr:col>
      <xdr:colOff>609600</xdr:colOff>
      <xdr:row>153</xdr:row>
      <xdr:rowOff>77312</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66301</xdr:rowOff>
    </xdr:from>
    <xdr:to>
      <xdr:col>16</xdr:col>
      <xdr:colOff>0</xdr:colOff>
      <xdr:row>57</xdr:row>
      <xdr:rowOff>264459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47251</xdr:rowOff>
    </xdr:from>
    <xdr:to>
      <xdr:col>28</xdr:col>
      <xdr:colOff>628650</xdr:colOff>
      <xdr:row>39</xdr:row>
      <xdr:rowOff>145116</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628650</xdr:colOff>
      <xdr:row>47</xdr:row>
      <xdr:rowOff>123452</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77311</xdr:rowOff>
    </xdr:from>
    <xdr:to>
      <xdr:col>28</xdr:col>
      <xdr:colOff>628650</xdr:colOff>
      <xdr:row>153</xdr:row>
      <xdr:rowOff>161627</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47251</xdr:rowOff>
    </xdr:from>
    <xdr:to>
      <xdr:col>29</xdr:col>
      <xdr:colOff>615950</xdr:colOff>
      <xdr:row>40</xdr:row>
      <xdr:rowOff>85352</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615950</xdr:colOff>
      <xdr:row>47</xdr:row>
      <xdr:rowOff>66302</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143426</xdr:rowOff>
    </xdr:from>
    <xdr:to>
      <xdr:col>29</xdr:col>
      <xdr:colOff>615950</xdr:colOff>
      <xdr:row>153</xdr:row>
      <xdr:rowOff>161627</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28201</xdr:rowOff>
    </xdr:from>
    <xdr:to>
      <xdr:col>16</xdr:col>
      <xdr:colOff>0</xdr:colOff>
      <xdr:row>62</xdr:row>
      <xdr:rowOff>47003</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28201</xdr:rowOff>
    </xdr:from>
    <xdr:to>
      <xdr:col>17</xdr:col>
      <xdr:colOff>666750</xdr:colOff>
      <xdr:row>62</xdr:row>
      <xdr:rowOff>47003</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24</xdr:row>
      <xdr:rowOff>3051</xdr:rowOff>
    </xdr:from>
    <xdr:to>
      <xdr:col>34</xdr:col>
      <xdr:colOff>158750</xdr:colOff>
      <xdr:row>44</xdr:row>
      <xdr:rowOff>145116</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82</xdr:row>
      <xdr:rowOff>12691</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48333</xdr:rowOff>
    </xdr:from>
    <xdr:to>
      <xdr:col>18</xdr:col>
      <xdr:colOff>609600</xdr:colOff>
      <xdr:row>85</xdr:row>
      <xdr:rowOff>3161</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28201</xdr:rowOff>
    </xdr:from>
    <xdr:to>
      <xdr:col>18</xdr:col>
      <xdr:colOff>609600</xdr:colOff>
      <xdr:row>62</xdr:row>
      <xdr:rowOff>47003</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47251</xdr:rowOff>
    </xdr:from>
    <xdr:to>
      <xdr:col>30</xdr:col>
      <xdr:colOff>520700</xdr:colOff>
      <xdr:row>40</xdr:row>
      <xdr:rowOff>123452</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520700</xdr:colOff>
      <xdr:row>47</xdr:row>
      <xdr:rowOff>123452</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136</xdr:row>
      <xdr:rowOff>20163</xdr:rowOff>
    </xdr:from>
    <xdr:to>
      <xdr:col>30</xdr:col>
      <xdr:colOff>520700</xdr:colOff>
      <xdr:row>155</xdr:row>
      <xdr:rowOff>19996</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66301</xdr:rowOff>
    </xdr:from>
    <xdr:to>
      <xdr:col>31</xdr:col>
      <xdr:colOff>520700</xdr:colOff>
      <xdr:row>40</xdr:row>
      <xdr:rowOff>123452</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520700</xdr:colOff>
      <xdr:row>47</xdr:row>
      <xdr:rowOff>123452</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136</xdr:row>
      <xdr:rowOff>20163</xdr:rowOff>
    </xdr:from>
    <xdr:to>
      <xdr:col>31</xdr:col>
      <xdr:colOff>520700</xdr:colOff>
      <xdr:row>155</xdr:row>
      <xdr:rowOff>19996</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20</xdr:row>
      <xdr:rowOff>47251</xdr:rowOff>
    </xdr:from>
    <xdr:to>
      <xdr:col>31</xdr:col>
      <xdr:colOff>673100</xdr:colOff>
      <xdr:row>40</xdr:row>
      <xdr:rowOff>66302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27</xdr:row>
      <xdr:rowOff>88526</xdr:rowOff>
    </xdr:from>
    <xdr:to>
      <xdr:col>31</xdr:col>
      <xdr:colOff>673100</xdr:colOff>
      <xdr:row>47</xdr:row>
      <xdr:rowOff>66302</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135</xdr:row>
      <xdr:rowOff>161627</xdr:rowOff>
    </xdr:from>
    <xdr:to>
      <xdr:col>32</xdr:col>
      <xdr:colOff>406400</xdr:colOff>
      <xdr:row>155</xdr:row>
      <xdr:rowOff>55088</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66301</xdr:rowOff>
    </xdr:from>
    <xdr:to>
      <xdr:col>33</xdr:col>
      <xdr:colOff>273050</xdr:colOff>
      <xdr:row>40</xdr:row>
      <xdr:rowOff>123452</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88526</xdr:rowOff>
    </xdr:from>
    <xdr:to>
      <xdr:col>33</xdr:col>
      <xdr:colOff>273050</xdr:colOff>
      <xdr:row>46</xdr:row>
      <xdr:rowOff>145116</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20</xdr:row>
      <xdr:rowOff>66301</xdr:rowOff>
    </xdr:from>
    <xdr:to>
      <xdr:col>34</xdr:col>
      <xdr:colOff>177800</xdr:colOff>
      <xdr:row>39</xdr:row>
      <xdr:rowOff>145116</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29</xdr:row>
      <xdr:rowOff>66302</xdr:rowOff>
    </xdr:from>
    <xdr:to>
      <xdr:col>34</xdr:col>
      <xdr:colOff>177800</xdr:colOff>
      <xdr:row>48</xdr:row>
      <xdr:rowOff>145116</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137</xdr:row>
      <xdr:rowOff>143427</xdr:rowOff>
    </xdr:from>
    <xdr:to>
      <xdr:col>34</xdr:col>
      <xdr:colOff>177800</xdr:colOff>
      <xdr:row>157</xdr:row>
      <xdr:rowOff>19995</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63500</xdr:rowOff>
    </xdr:from>
    <xdr:to>
      <xdr:col>9</xdr:col>
      <xdr:colOff>609600</xdr:colOff>
      <xdr:row>79</xdr:row>
      <xdr:rowOff>142993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66675</xdr:rowOff>
    </xdr:from>
    <xdr:to>
      <xdr:col>9</xdr:col>
      <xdr:colOff>628650</xdr:colOff>
      <xdr:row>82</xdr:row>
      <xdr:rowOff>198261</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66675</xdr:rowOff>
    </xdr:from>
    <xdr:to>
      <xdr:col>9</xdr:col>
      <xdr:colOff>609600</xdr:colOff>
      <xdr:row>82</xdr:row>
      <xdr:rowOff>198261</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158750</xdr:rowOff>
    </xdr:from>
    <xdr:to>
      <xdr:col>9</xdr:col>
      <xdr:colOff>609600</xdr:colOff>
      <xdr:row>85</xdr:row>
      <xdr:rowOff>115829</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65029</xdr:rowOff>
    </xdr:from>
    <xdr:to>
      <xdr:col>9</xdr:col>
      <xdr:colOff>609600</xdr:colOff>
      <xdr:row>103</xdr:row>
      <xdr:rowOff>115946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168393</xdr:rowOff>
    </xdr:from>
    <xdr:to>
      <xdr:col>9</xdr:col>
      <xdr:colOff>609600</xdr:colOff>
      <xdr:row>104</xdr:row>
      <xdr:rowOff>31632</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103129</xdr:rowOff>
    </xdr:from>
    <xdr:to>
      <xdr:col>9</xdr:col>
      <xdr:colOff>609600</xdr:colOff>
      <xdr:row>104</xdr:row>
      <xdr:rowOff>31632</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115829</xdr:rowOff>
    </xdr:from>
    <xdr:to>
      <xdr:col>9</xdr:col>
      <xdr:colOff>609600</xdr:colOff>
      <xdr:row>106</xdr:row>
      <xdr:rowOff>55269</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174272</xdr:rowOff>
    </xdr:from>
    <xdr:to>
      <xdr:col>9</xdr:col>
      <xdr:colOff>609600</xdr:colOff>
      <xdr:row>126</xdr:row>
      <xdr:rowOff>18698</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12230</xdr:rowOff>
    </xdr:from>
    <xdr:to>
      <xdr:col>9</xdr:col>
      <xdr:colOff>609600</xdr:colOff>
      <xdr:row>126</xdr:row>
      <xdr:rowOff>160162</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67851</xdr:rowOff>
    </xdr:from>
    <xdr:to>
      <xdr:col>9</xdr:col>
      <xdr:colOff>609600</xdr:colOff>
      <xdr:row>128</xdr:row>
      <xdr:rowOff>79022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17051</xdr:rowOff>
    </xdr:from>
    <xdr:to>
      <xdr:col>9</xdr:col>
      <xdr:colOff>609600</xdr:colOff>
      <xdr:row>128</xdr:row>
      <xdr:rowOff>79022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18697</xdr:rowOff>
    </xdr:from>
    <xdr:to>
      <xdr:col>24</xdr:col>
      <xdr:colOff>438150</xdr:colOff>
      <xdr:row>152</xdr:row>
      <xdr:rowOff>2822</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485775</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18698</xdr:rowOff>
    </xdr:from>
    <xdr:to>
      <xdr:col>25</xdr:col>
      <xdr:colOff>609600</xdr:colOff>
      <xdr:row>156</xdr:row>
      <xdr:rowOff>18697</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485775</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18698</xdr:rowOff>
    </xdr:from>
    <xdr:to>
      <xdr:col>28</xdr:col>
      <xdr:colOff>628650</xdr:colOff>
      <xdr:row>156</xdr:row>
      <xdr:rowOff>98072</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615950</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485775</xdr:rowOff>
    </xdr:from>
    <xdr:to>
      <xdr:col>29</xdr:col>
      <xdr:colOff>615950</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79023</xdr:rowOff>
    </xdr:from>
    <xdr:to>
      <xdr:col>29</xdr:col>
      <xdr:colOff>615950</xdr:colOff>
      <xdr:row>156</xdr:row>
      <xdr:rowOff>98072</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311150</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311150</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22</xdr:row>
      <xdr:rowOff>9525</xdr:rowOff>
    </xdr:from>
    <xdr:to>
      <xdr:col>34</xdr:col>
      <xdr:colOff>158750</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63500</xdr:rowOff>
    </xdr:from>
    <xdr:to>
      <xdr:col>18</xdr:col>
      <xdr:colOff>571500</xdr:colOff>
      <xdr:row>79</xdr:row>
      <xdr:rowOff>142993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65</xdr:row>
      <xdr:rowOff>104775</xdr:rowOff>
    </xdr:from>
    <xdr:to>
      <xdr:col>18</xdr:col>
      <xdr:colOff>609600</xdr:colOff>
      <xdr:row>85</xdr:row>
      <xdr:rowOff>115829</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311150</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520700</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485775</xdr:rowOff>
    </xdr:from>
    <xdr:to>
      <xdr:col>30</xdr:col>
      <xdr:colOff>520700</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138</xdr:row>
      <xdr:rowOff>142522</xdr:rowOff>
    </xdr:from>
    <xdr:to>
      <xdr:col>30</xdr:col>
      <xdr:colOff>520700</xdr:colOff>
      <xdr:row>157</xdr:row>
      <xdr:rowOff>141111</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520700</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485775</xdr:rowOff>
    </xdr:from>
    <xdr:to>
      <xdr:col>31</xdr:col>
      <xdr:colOff>520700</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138</xdr:row>
      <xdr:rowOff>142522</xdr:rowOff>
    </xdr:from>
    <xdr:to>
      <xdr:col>31</xdr:col>
      <xdr:colOff>520700</xdr:colOff>
      <xdr:row>157</xdr:row>
      <xdr:rowOff>141111</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15</xdr:row>
      <xdr:rowOff>95250</xdr:rowOff>
    </xdr:from>
    <xdr:to>
      <xdr:col>31</xdr:col>
      <xdr:colOff>673100</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120650</xdr:colOff>
      <xdr:row>23</xdr:row>
      <xdr:rowOff>485775</xdr:rowOff>
    </xdr:from>
    <xdr:to>
      <xdr:col>31</xdr:col>
      <xdr:colOff>673100</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82550</xdr:colOff>
      <xdr:row>138</xdr:row>
      <xdr:rowOff>98072</xdr:rowOff>
    </xdr:from>
    <xdr:to>
      <xdr:col>32</xdr:col>
      <xdr:colOff>406400</xdr:colOff>
      <xdr:row>158</xdr:row>
      <xdr:rowOff>2822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273050</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485775</xdr:rowOff>
    </xdr:from>
    <xdr:to>
      <xdr:col>33</xdr:col>
      <xdr:colOff>273050</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15</xdr:row>
      <xdr:rowOff>114300</xdr:rowOff>
    </xdr:from>
    <xdr:to>
      <xdr:col>34</xdr:col>
      <xdr:colOff>177800</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25</xdr:row>
      <xdr:rowOff>111125</xdr:rowOff>
    </xdr:from>
    <xdr:to>
      <xdr:col>34</xdr:col>
      <xdr:colOff>177800</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63500</xdr:colOff>
      <xdr:row>140</xdr:row>
      <xdr:rowOff>79022</xdr:rowOff>
    </xdr:from>
    <xdr:to>
      <xdr:col>34</xdr:col>
      <xdr:colOff>177800</xdr:colOff>
      <xdr:row>159</xdr:row>
      <xdr:rowOff>141111</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596900</xdr:colOff>
      <xdr:row>23</xdr:row>
      <xdr:rowOff>104775</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05" name="Text Box 1025" hidden="1">
          <a:extLst>
            <a:ext uri="{FF2B5EF4-FFF2-40B4-BE49-F238E27FC236}">
              <a16:creationId xmlns:a16="http://schemas.microsoft.com/office/drawing/2014/main" id="{DB274FFD-FBA2-4A05-765A-36EFC00E183A}"/>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06" name="Text Box 1026" hidden="1">
          <a:extLst>
            <a:ext uri="{FF2B5EF4-FFF2-40B4-BE49-F238E27FC236}">
              <a16:creationId xmlns:a16="http://schemas.microsoft.com/office/drawing/2014/main" id="{A5A00436-95CC-790E-87DF-E4E5D738FA30}"/>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07" name="Text Box 1027" hidden="1">
          <a:extLst>
            <a:ext uri="{FF2B5EF4-FFF2-40B4-BE49-F238E27FC236}">
              <a16:creationId xmlns:a16="http://schemas.microsoft.com/office/drawing/2014/main" id="{586ECB47-9546-CF23-6ABC-8A4CF097CE3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08" name="Text Box 1028" hidden="1">
          <a:extLst>
            <a:ext uri="{FF2B5EF4-FFF2-40B4-BE49-F238E27FC236}">
              <a16:creationId xmlns:a16="http://schemas.microsoft.com/office/drawing/2014/main" id="{AA44217B-9D2D-B588-A6E4-01DA76788A59}"/>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09" name="Text Box 1029" hidden="1">
          <a:extLst>
            <a:ext uri="{FF2B5EF4-FFF2-40B4-BE49-F238E27FC236}">
              <a16:creationId xmlns:a16="http://schemas.microsoft.com/office/drawing/2014/main" id="{5C7E35A6-2404-9B00-2B25-49ED49A29379}"/>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10" name="Text Box 1030" hidden="1">
          <a:extLst>
            <a:ext uri="{FF2B5EF4-FFF2-40B4-BE49-F238E27FC236}">
              <a16:creationId xmlns:a16="http://schemas.microsoft.com/office/drawing/2014/main" id="{FFE79141-BE03-3EBA-AAF3-8F94563FAFA9}"/>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11" name="Text Box 1031" hidden="1">
          <a:extLst>
            <a:ext uri="{FF2B5EF4-FFF2-40B4-BE49-F238E27FC236}">
              <a16:creationId xmlns:a16="http://schemas.microsoft.com/office/drawing/2014/main" id="{CD94E674-BD13-D137-ACB5-1B83F7BB8B15}"/>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12" name="Text Box 1032" hidden="1">
          <a:extLst>
            <a:ext uri="{FF2B5EF4-FFF2-40B4-BE49-F238E27FC236}">
              <a16:creationId xmlns:a16="http://schemas.microsoft.com/office/drawing/2014/main" id="{D7480E9F-1BD7-F77F-4F54-F5BE614AB8BD}"/>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13" name="Text Box 1033" hidden="1">
          <a:extLst>
            <a:ext uri="{FF2B5EF4-FFF2-40B4-BE49-F238E27FC236}">
              <a16:creationId xmlns:a16="http://schemas.microsoft.com/office/drawing/2014/main" id="{D8BC5295-6051-C3B6-4851-C1B94D86C237}"/>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14" name="Text Box 1034" hidden="1">
          <a:extLst>
            <a:ext uri="{FF2B5EF4-FFF2-40B4-BE49-F238E27FC236}">
              <a16:creationId xmlns:a16="http://schemas.microsoft.com/office/drawing/2014/main" id="{7ECF9EBD-8B5D-2987-9048-044261332AE3}"/>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15" name="Text Box 1035" hidden="1">
          <a:extLst>
            <a:ext uri="{FF2B5EF4-FFF2-40B4-BE49-F238E27FC236}">
              <a16:creationId xmlns:a16="http://schemas.microsoft.com/office/drawing/2014/main" id="{E27F1689-7939-F1A7-43F8-EF7503664B6E}"/>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16" name="Text Box 1036" hidden="1">
          <a:extLst>
            <a:ext uri="{FF2B5EF4-FFF2-40B4-BE49-F238E27FC236}">
              <a16:creationId xmlns:a16="http://schemas.microsoft.com/office/drawing/2014/main" id="{2BF32DF6-5C28-190C-0720-1F32867073D1}"/>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17" name="Text Box 1037" hidden="1">
          <a:extLst>
            <a:ext uri="{FF2B5EF4-FFF2-40B4-BE49-F238E27FC236}">
              <a16:creationId xmlns:a16="http://schemas.microsoft.com/office/drawing/2014/main" id="{510C57EF-4530-99F8-1E61-B78021ABDD7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18" name="Text Box 1038" hidden="1">
          <a:extLst>
            <a:ext uri="{FF2B5EF4-FFF2-40B4-BE49-F238E27FC236}">
              <a16:creationId xmlns:a16="http://schemas.microsoft.com/office/drawing/2014/main" id="{BA50C218-86B0-5B71-0E39-7F11A537DE09}"/>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19" name="Text Box 1039" hidden="1">
          <a:extLst>
            <a:ext uri="{FF2B5EF4-FFF2-40B4-BE49-F238E27FC236}">
              <a16:creationId xmlns:a16="http://schemas.microsoft.com/office/drawing/2014/main" id="{ED9431D9-53BA-AD61-D921-59A601E0ACC1}"/>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20" name="Text Box 1040" hidden="1">
          <a:extLst>
            <a:ext uri="{FF2B5EF4-FFF2-40B4-BE49-F238E27FC236}">
              <a16:creationId xmlns:a16="http://schemas.microsoft.com/office/drawing/2014/main" id="{3A120B7D-D6D7-BDD6-F91C-268C31DC3041}"/>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21" name="Text Box 1041" hidden="1">
          <a:extLst>
            <a:ext uri="{FF2B5EF4-FFF2-40B4-BE49-F238E27FC236}">
              <a16:creationId xmlns:a16="http://schemas.microsoft.com/office/drawing/2014/main" id="{3C576959-D646-2523-367C-B02FCB041AF8}"/>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22" name="Text Box 1042" hidden="1">
          <a:extLst>
            <a:ext uri="{FF2B5EF4-FFF2-40B4-BE49-F238E27FC236}">
              <a16:creationId xmlns:a16="http://schemas.microsoft.com/office/drawing/2014/main" id="{C644A725-7900-0576-93A1-807E8749FAEB}"/>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23" name="Text Box 1043" hidden="1">
          <a:extLst>
            <a:ext uri="{FF2B5EF4-FFF2-40B4-BE49-F238E27FC236}">
              <a16:creationId xmlns:a16="http://schemas.microsoft.com/office/drawing/2014/main" id="{08230219-3169-2752-10CB-865D89AC460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24" name="Text Box 1044" hidden="1">
          <a:extLst>
            <a:ext uri="{FF2B5EF4-FFF2-40B4-BE49-F238E27FC236}">
              <a16:creationId xmlns:a16="http://schemas.microsoft.com/office/drawing/2014/main" id="{8DCC5BC1-5C2E-554A-2F76-7DD3CF5B9C0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25" name="Text Box 1045" hidden="1">
          <a:extLst>
            <a:ext uri="{FF2B5EF4-FFF2-40B4-BE49-F238E27FC236}">
              <a16:creationId xmlns:a16="http://schemas.microsoft.com/office/drawing/2014/main" id="{545503A7-D076-8F45-1A7D-B8064884ECF4}"/>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26" name="Text Box 1046" hidden="1">
          <a:extLst>
            <a:ext uri="{FF2B5EF4-FFF2-40B4-BE49-F238E27FC236}">
              <a16:creationId xmlns:a16="http://schemas.microsoft.com/office/drawing/2014/main" id="{33167267-DA9D-CCDD-C0AC-20B729C57DE4}"/>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27" name="Text Box 1047" hidden="1">
          <a:extLst>
            <a:ext uri="{FF2B5EF4-FFF2-40B4-BE49-F238E27FC236}">
              <a16:creationId xmlns:a16="http://schemas.microsoft.com/office/drawing/2014/main" id="{9FD451F7-66DD-723A-B6AA-DDCBA30EA976}"/>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28" name="Text Box 1048" hidden="1">
          <a:extLst>
            <a:ext uri="{FF2B5EF4-FFF2-40B4-BE49-F238E27FC236}">
              <a16:creationId xmlns:a16="http://schemas.microsoft.com/office/drawing/2014/main" id="{8C8FB930-A131-7108-26C1-AD73E1CA04F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29" name="Text Box 1049" hidden="1">
          <a:extLst>
            <a:ext uri="{FF2B5EF4-FFF2-40B4-BE49-F238E27FC236}">
              <a16:creationId xmlns:a16="http://schemas.microsoft.com/office/drawing/2014/main" id="{6F3938F5-33E7-FA2A-8862-9971CC2ECCAF}"/>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30" name="Text Box 1050" hidden="1">
          <a:extLst>
            <a:ext uri="{FF2B5EF4-FFF2-40B4-BE49-F238E27FC236}">
              <a16:creationId xmlns:a16="http://schemas.microsoft.com/office/drawing/2014/main" id="{E5FA7233-C798-0D93-DFB4-CDA6E10E7FB0}"/>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31" name="Text Box 1051" hidden="1">
          <a:extLst>
            <a:ext uri="{FF2B5EF4-FFF2-40B4-BE49-F238E27FC236}">
              <a16:creationId xmlns:a16="http://schemas.microsoft.com/office/drawing/2014/main" id="{8116DE31-B413-C1F5-9ABA-B55070093ACB}"/>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32" name="Text Box 1052" hidden="1">
          <a:extLst>
            <a:ext uri="{FF2B5EF4-FFF2-40B4-BE49-F238E27FC236}">
              <a16:creationId xmlns:a16="http://schemas.microsoft.com/office/drawing/2014/main" id="{7B8D5CD3-4BB4-17E6-ACED-0EB7ED9898C5}"/>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33" name="Text Box 1053" hidden="1">
          <a:extLst>
            <a:ext uri="{FF2B5EF4-FFF2-40B4-BE49-F238E27FC236}">
              <a16:creationId xmlns:a16="http://schemas.microsoft.com/office/drawing/2014/main" id="{FD09CBE6-7C90-F4B4-820F-EFF5CFFF6535}"/>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34" name="Text Box 1054" hidden="1">
          <a:extLst>
            <a:ext uri="{FF2B5EF4-FFF2-40B4-BE49-F238E27FC236}">
              <a16:creationId xmlns:a16="http://schemas.microsoft.com/office/drawing/2014/main" id="{0E586EC5-1F1E-DDA9-F479-A6967050DEED}"/>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35" name="Text Box 1055" hidden="1">
          <a:extLst>
            <a:ext uri="{FF2B5EF4-FFF2-40B4-BE49-F238E27FC236}">
              <a16:creationId xmlns:a16="http://schemas.microsoft.com/office/drawing/2014/main" id="{00EF5FCB-5462-7F52-F6DD-B48D8F8E9B03}"/>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36" name="Text Box 1056" hidden="1">
          <a:extLst>
            <a:ext uri="{FF2B5EF4-FFF2-40B4-BE49-F238E27FC236}">
              <a16:creationId xmlns:a16="http://schemas.microsoft.com/office/drawing/2014/main" id="{99BB99C9-0657-835B-9568-CBA139F9A0E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37" name="Text Box 1057" hidden="1">
          <a:extLst>
            <a:ext uri="{FF2B5EF4-FFF2-40B4-BE49-F238E27FC236}">
              <a16:creationId xmlns:a16="http://schemas.microsoft.com/office/drawing/2014/main" id="{8719F2B3-56E1-2763-3691-E0875533529A}"/>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38" name="Text Box 1058" hidden="1">
          <a:extLst>
            <a:ext uri="{FF2B5EF4-FFF2-40B4-BE49-F238E27FC236}">
              <a16:creationId xmlns:a16="http://schemas.microsoft.com/office/drawing/2014/main" id="{07947DB9-B024-B95E-DF53-156722A80048}"/>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39" name="Text Box 1059" hidden="1">
          <a:extLst>
            <a:ext uri="{FF2B5EF4-FFF2-40B4-BE49-F238E27FC236}">
              <a16:creationId xmlns:a16="http://schemas.microsoft.com/office/drawing/2014/main" id="{90D0A05C-62A7-5A2D-E3AC-AB0FDA10329D}"/>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40" name="Text Box 1060" hidden="1">
          <a:extLst>
            <a:ext uri="{FF2B5EF4-FFF2-40B4-BE49-F238E27FC236}">
              <a16:creationId xmlns:a16="http://schemas.microsoft.com/office/drawing/2014/main" id="{2A9F4F27-2398-2D89-9D59-6E8241E0DA9A}"/>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41" name="Text Box 1061" hidden="1">
          <a:extLst>
            <a:ext uri="{FF2B5EF4-FFF2-40B4-BE49-F238E27FC236}">
              <a16:creationId xmlns:a16="http://schemas.microsoft.com/office/drawing/2014/main" id="{91221252-90B7-5EBD-D968-A88156AAF22B}"/>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42" name="Text Box 1062" hidden="1">
          <a:extLst>
            <a:ext uri="{FF2B5EF4-FFF2-40B4-BE49-F238E27FC236}">
              <a16:creationId xmlns:a16="http://schemas.microsoft.com/office/drawing/2014/main" id="{0A87F944-3F46-C62A-54F4-1B3404B74113}"/>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43" name="Text Box 1063" hidden="1">
          <a:extLst>
            <a:ext uri="{FF2B5EF4-FFF2-40B4-BE49-F238E27FC236}">
              <a16:creationId xmlns:a16="http://schemas.microsoft.com/office/drawing/2014/main" id="{F4AD7712-8B89-0C50-89A7-937591E4CD0B}"/>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44" name="Text Box 1064" hidden="1">
          <a:extLst>
            <a:ext uri="{FF2B5EF4-FFF2-40B4-BE49-F238E27FC236}">
              <a16:creationId xmlns:a16="http://schemas.microsoft.com/office/drawing/2014/main" id="{D35E805B-74C7-2845-80FD-45B83DD8FA0F}"/>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45" name="Text Box 1065" hidden="1">
          <a:extLst>
            <a:ext uri="{FF2B5EF4-FFF2-40B4-BE49-F238E27FC236}">
              <a16:creationId xmlns:a16="http://schemas.microsoft.com/office/drawing/2014/main" id="{1CAC9C1B-B529-1593-2AED-A05EEFB51B34}"/>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46" name="Text Box 1066" hidden="1">
          <a:extLst>
            <a:ext uri="{FF2B5EF4-FFF2-40B4-BE49-F238E27FC236}">
              <a16:creationId xmlns:a16="http://schemas.microsoft.com/office/drawing/2014/main" id="{D4FC7165-6EEA-6F88-71FA-CC8265EF90C6}"/>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47" name="Text Box 1067" hidden="1">
          <a:extLst>
            <a:ext uri="{FF2B5EF4-FFF2-40B4-BE49-F238E27FC236}">
              <a16:creationId xmlns:a16="http://schemas.microsoft.com/office/drawing/2014/main" id="{B3EE886B-D4E9-CAC6-C005-1ECB7263283A}"/>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48" name="Text Box 1068" hidden="1">
          <a:extLst>
            <a:ext uri="{FF2B5EF4-FFF2-40B4-BE49-F238E27FC236}">
              <a16:creationId xmlns:a16="http://schemas.microsoft.com/office/drawing/2014/main" id="{3FE18F59-37C0-4E31-878C-6D30E845B34C}"/>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49" name="Text Box 1069" hidden="1">
          <a:extLst>
            <a:ext uri="{FF2B5EF4-FFF2-40B4-BE49-F238E27FC236}">
              <a16:creationId xmlns:a16="http://schemas.microsoft.com/office/drawing/2014/main" id="{FB506AD8-F17F-1F73-C3F2-A601CF4D5A52}"/>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0" name="Text Box 1070" hidden="1">
          <a:extLst>
            <a:ext uri="{FF2B5EF4-FFF2-40B4-BE49-F238E27FC236}">
              <a16:creationId xmlns:a16="http://schemas.microsoft.com/office/drawing/2014/main" id="{D3CF0492-7E57-15B7-0746-EE79C3097EB2}"/>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101600</xdr:rowOff>
    </xdr:from>
    <xdr:to>
      <xdr:col>31</xdr:col>
      <xdr:colOff>177800</xdr:colOff>
      <xdr:row>19</xdr:row>
      <xdr:rowOff>0</xdr:rowOff>
    </xdr:to>
    <xdr:sp macro="" textlink="">
      <xdr:nvSpPr>
        <xdr:cNvPr id="482351" name="Text Box 1071" hidden="1">
          <a:extLst>
            <a:ext uri="{FF2B5EF4-FFF2-40B4-BE49-F238E27FC236}">
              <a16:creationId xmlns:a16="http://schemas.microsoft.com/office/drawing/2014/main" id="{93616114-B2CB-12D9-D01C-6888146A32CF}"/>
            </a:ext>
          </a:extLst>
        </xdr:cNvPr>
        <xdr:cNvSpPr txBox="1">
          <a:spLocks noChangeArrowheads="1"/>
        </xdr:cNvSpPr>
      </xdr:nvSpPr>
      <xdr:spPr bwMode="auto">
        <a:xfrm>
          <a:off x="25685750" y="3562350"/>
          <a:ext cx="13271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398" name="Text Box 1118" hidden="1">
          <a:extLst>
            <a:ext uri="{FF2B5EF4-FFF2-40B4-BE49-F238E27FC236}">
              <a16:creationId xmlns:a16="http://schemas.microsoft.com/office/drawing/2014/main" id="{C9BFF28E-880B-5670-181C-E47C04BC6F4E}"/>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171450</xdr:rowOff>
    </xdr:to>
    <xdr:sp macro="" textlink="">
      <xdr:nvSpPr>
        <xdr:cNvPr id="482397" name="Text Box 1117" hidden="1">
          <a:extLst>
            <a:ext uri="{FF2B5EF4-FFF2-40B4-BE49-F238E27FC236}">
              <a16:creationId xmlns:a16="http://schemas.microsoft.com/office/drawing/2014/main" id="{3FBF1861-4746-7CF0-B43F-6C7F93380754}"/>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171450</xdr:rowOff>
    </xdr:to>
    <xdr:sp macro="" textlink="">
      <xdr:nvSpPr>
        <xdr:cNvPr id="482396" name="Text Box 1116" hidden="1">
          <a:extLst>
            <a:ext uri="{FF2B5EF4-FFF2-40B4-BE49-F238E27FC236}">
              <a16:creationId xmlns:a16="http://schemas.microsoft.com/office/drawing/2014/main" id="{0C9362BC-C077-C033-A080-F45603EA1B61}"/>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171450</xdr:rowOff>
    </xdr:to>
    <xdr:sp macro="" textlink="">
      <xdr:nvSpPr>
        <xdr:cNvPr id="482395" name="Text Box 1115" hidden="1">
          <a:extLst>
            <a:ext uri="{FF2B5EF4-FFF2-40B4-BE49-F238E27FC236}">
              <a16:creationId xmlns:a16="http://schemas.microsoft.com/office/drawing/2014/main" id="{309291F2-EB6E-627B-9FEA-E659FB435235}"/>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171450</xdr:rowOff>
    </xdr:to>
    <xdr:sp macro="" textlink="">
      <xdr:nvSpPr>
        <xdr:cNvPr id="482394" name="Text Box 1114" hidden="1">
          <a:extLst>
            <a:ext uri="{FF2B5EF4-FFF2-40B4-BE49-F238E27FC236}">
              <a16:creationId xmlns:a16="http://schemas.microsoft.com/office/drawing/2014/main" id="{03938D80-B2BD-7BF3-C611-8F86BA1127CF}"/>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171450</xdr:rowOff>
    </xdr:to>
    <xdr:sp macro="" textlink="">
      <xdr:nvSpPr>
        <xdr:cNvPr id="482393" name="Text Box 1113" hidden="1">
          <a:extLst>
            <a:ext uri="{FF2B5EF4-FFF2-40B4-BE49-F238E27FC236}">
              <a16:creationId xmlns:a16="http://schemas.microsoft.com/office/drawing/2014/main" id="{5B6E9CEA-13B8-6CDC-03CF-718FC82C1F9E}"/>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171450</xdr:rowOff>
    </xdr:to>
    <xdr:sp macro="" textlink="">
      <xdr:nvSpPr>
        <xdr:cNvPr id="482392" name="Text Box 1112" hidden="1">
          <a:extLst>
            <a:ext uri="{FF2B5EF4-FFF2-40B4-BE49-F238E27FC236}">
              <a16:creationId xmlns:a16="http://schemas.microsoft.com/office/drawing/2014/main" id="{DABA8BF1-DD2A-5263-777B-267F220494B6}"/>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171450</xdr:rowOff>
    </xdr:to>
    <xdr:sp macro="" textlink="">
      <xdr:nvSpPr>
        <xdr:cNvPr id="482391" name="Text Box 1111" hidden="1">
          <a:extLst>
            <a:ext uri="{FF2B5EF4-FFF2-40B4-BE49-F238E27FC236}">
              <a16:creationId xmlns:a16="http://schemas.microsoft.com/office/drawing/2014/main" id="{8B058994-9D1F-9257-CB74-0D7E868F840C}"/>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171450</xdr:rowOff>
    </xdr:to>
    <xdr:sp macro="" textlink="">
      <xdr:nvSpPr>
        <xdr:cNvPr id="482390" name="Text Box 1110" hidden="1">
          <a:extLst>
            <a:ext uri="{FF2B5EF4-FFF2-40B4-BE49-F238E27FC236}">
              <a16:creationId xmlns:a16="http://schemas.microsoft.com/office/drawing/2014/main" id="{67010880-69BD-02EA-0802-E59CE04063BC}"/>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647700</xdr:colOff>
      <xdr:row>43</xdr:row>
      <xdr:rowOff>171450</xdr:rowOff>
    </xdr:to>
    <xdr:sp macro="" textlink="">
      <xdr:nvSpPr>
        <xdr:cNvPr id="482389" name="Text Box 1109" hidden="1">
          <a:extLst>
            <a:ext uri="{FF2B5EF4-FFF2-40B4-BE49-F238E27FC236}">
              <a16:creationId xmlns:a16="http://schemas.microsoft.com/office/drawing/2014/main" id="{209E76A5-D1A2-DBD9-706D-61CDD8965B41}"/>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647700</xdr:colOff>
      <xdr:row>43</xdr:row>
      <xdr:rowOff>171450</xdr:rowOff>
    </xdr:to>
    <xdr:sp macro="" textlink="">
      <xdr:nvSpPr>
        <xdr:cNvPr id="482388" name="Text Box 1108" hidden="1">
          <a:extLst>
            <a:ext uri="{FF2B5EF4-FFF2-40B4-BE49-F238E27FC236}">
              <a16:creationId xmlns:a16="http://schemas.microsoft.com/office/drawing/2014/main" id="{908D8A4B-D502-F76A-4CB3-EBDFBD85EB7F}"/>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171450</xdr:rowOff>
    </xdr:to>
    <xdr:sp macro="" textlink="">
      <xdr:nvSpPr>
        <xdr:cNvPr id="482387" name="Text Box 1107" hidden="1">
          <a:extLst>
            <a:ext uri="{FF2B5EF4-FFF2-40B4-BE49-F238E27FC236}">
              <a16:creationId xmlns:a16="http://schemas.microsoft.com/office/drawing/2014/main" id="{1D52C92D-FEA4-75CE-3F4A-73FE52E49178}"/>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171450</xdr:rowOff>
    </xdr:to>
    <xdr:sp macro="" textlink="">
      <xdr:nvSpPr>
        <xdr:cNvPr id="482386" name="Text Box 1106" hidden="1">
          <a:extLst>
            <a:ext uri="{FF2B5EF4-FFF2-40B4-BE49-F238E27FC236}">
              <a16:creationId xmlns:a16="http://schemas.microsoft.com/office/drawing/2014/main" id="{B66E3725-7583-7405-6243-51D3137F7928}"/>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171450</xdr:rowOff>
    </xdr:to>
    <xdr:sp macro="" textlink="">
      <xdr:nvSpPr>
        <xdr:cNvPr id="482385" name="Text Box 1105" hidden="1">
          <a:extLst>
            <a:ext uri="{FF2B5EF4-FFF2-40B4-BE49-F238E27FC236}">
              <a16:creationId xmlns:a16="http://schemas.microsoft.com/office/drawing/2014/main" id="{E4C57D4F-EA1C-656B-57E5-B531D0B1560F}"/>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171450</xdr:rowOff>
    </xdr:to>
    <xdr:sp macro="" textlink="">
      <xdr:nvSpPr>
        <xdr:cNvPr id="482384" name="Text Box 1104" hidden="1">
          <a:extLst>
            <a:ext uri="{FF2B5EF4-FFF2-40B4-BE49-F238E27FC236}">
              <a16:creationId xmlns:a16="http://schemas.microsoft.com/office/drawing/2014/main" id="{659F331D-290A-3626-00CD-BE6AF0659BC2}"/>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171450</xdr:rowOff>
    </xdr:to>
    <xdr:sp macro="" textlink="">
      <xdr:nvSpPr>
        <xdr:cNvPr id="482383" name="Text Box 1103" hidden="1">
          <a:extLst>
            <a:ext uri="{FF2B5EF4-FFF2-40B4-BE49-F238E27FC236}">
              <a16:creationId xmlns:a16="http://schemas.microsoft.com/office/drawing/2014/main" id="{9C3C524E-4522-FCCE-AA24-7858209A7866}"/>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171450</xdr:rowOff>
    </xdr:to>
    <xdr:sp macro="" textlink="">
      <xdr:nvSpPr>
        <xdr:cNvPr id="482382" name="Text Box 1102" hidden="1">
          <a:extLst>
            <a:ext uri="{FF2B5EF4-FFF2-40B4-BE49-F238E27FC236}">
              <a16:creationId xmlns:a16="http://schemas.microsoft.com/office/drawing/2014/main" id="{BD300A5E-4E81-6C75-C117-8A249C3643EC}"/>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171450</xdr:rowOff>
    </xdr:to>
    <xdr:sp macro="" textlink="">
      <xdr:nvSpPr>
        <xdr:cNvPr id="482381" name="Text Box 1101" hidden="1">
          <a:extLst>
            <a:ext uri="{FF2B5EF4-FFF2-40B4-BE49-F238E27FC236}">
              <a16:creationId xmlns:a16="http://schemas.microsoft.com/office/drawing/2014/main" id="{B6742468-E695-2F8E-954D-23A16C1F6D34}"/>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171450</xdr:rowOff>
    </xdr:to>
    <xdr:sp macro="" textlink="">
      <xdr:nvSpPr>
        <xdr:cNvPr id="482380" name="Text Box 1100" hidden="1">
          <a:extLst>
            <a:ext uri="{FF2B5EF4-FFF2-40B4-BE49-F238E27FC236}">
              <a16:creationId xmlns:a16="http://schemas.microsoft.com/office/drawing/2014/main" id="{C6669BF0-92E2-2FD4-8704-A4B9E3FE7317}"/>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66675</xdr:rowOff>
    </xdr:to>
    <xdr:sp macro="" textlink="">
      <xdr:nvSpPr>
        <xdr:cNvPr id="482379" name="Text Box 1099" hidden="1">
          <a:extLst>
            <a:ext uri="{FF2B5EF4-FFF2-40B4-BE49-F238E27FC236}">
              <a16:creationId xmlns:a16="http://schemas.microsoft.com/office/drawing/2014/main" id="{D2140001-728D-E425-4208-317637C8A6B5}"/>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63</xdr:row>
      <xdr:rowOff>66675</xdr:rowOff>
    </xdr:to>
    <xdr:sp macro="" textlink="">
      <xdr:nvSpPr>
        <xdr:cNvPr id="482378" name="Text Box 1098" hidden="1">
          <a:extLst>
            <a:ext uri="{FF2B5EF4-FFF2-40B4-BE49-F238E27FC236}">
              <a16:creationId xmlns:a16="http://schemas.microsoft.com/office/drawing/2014/main" id="{7C7781AE-7759-9EE1-1A7F-D9513B35B6B6}"/>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63</xdr:row>
      <xdr:rowOff>66675</xdr:rowOff>
    </xdr:to>
    <xdr:sp macro="" textlink="">
      <xdr:nvSpPr>
        <xdr:cNvPr id="482377" name="Text Box 1097" hidden="1">
          <a:extLst>
            <a:ext uri="{FF2B5EF4-FFF2-40B4-BE49-F238E27FC236}">
              <a16:creationId xmlns:a16="http://schemas.microsoft.com/office/drawing/2014/main" id="{CB15430D-9912-85DE-5ED4-7D43BE257DD2}"/>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63</xdr:row>
      <xdr:rowOff>66675</xdr:rowOff>
    </xdr:to>
    <xdr:sp macro="" textlink="">
      <xdr:nvSpPr>
        <xdr:cNvPr id="482376" name="Text Box 1096" hidden="1">
          <a:extLst>
            <a:ext uri="{FF2B5EF4-FFF2-40B4-BE49-F238E27FC236}">
              <a16:creationId xmlns:a16="http://schemas.microsoft.com/office/drawing/2014/main" id="{8BD890E3-98E2-5ECB-58CC-D1D1B6D97B7A}"/>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628650</xdr:colOff>
      <xdr:row>79</xdr:row>
      <xdr:rowOff>142993</xdr:rowOff>
    </xdr:to>
    <xdr:sp macro="" textlink="">
      <xdr:nvSpPr>
        <xdr:cNvPr id="482375" name="Text Box 1095" hidden="1">
          <a:extLst>
            <a:ext uri="{FF2B5EF4-FFF2-40B4-BE49-F238E27FC236}">
              <a16:creationId xmlns:a16="http://schemas.microsoft.com/office/drawing/2014/main" id="{504276E8-69C3-AF75-B68A-21843876E0DF}"/>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79</xdr:row>
      <xdr:rowOff>142993</xdr:rowOff>
    </xdr:to>
    <xdr:sp macro="" textlink="">
      <xdr:nvSpPr>
        <xdr:cNvPr id="482374" name="Text Box 1094" hidden="1">
          <a:extLst>
            <a:ext uri="{FF2B5EF4-FFF2-40B4-BE49-F238E27FC236}">
              <a16:creationId xmlns:a16="http://schemas.microsoft.com/office/drawing/2014/main" id="{8F9A84CB-663B-9AEE-7638-0DA241DF14B1}"/>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141111</xdr:rowOff>
    </xdr:from>
    <xdr:to>
      <xdr:col>9</xdr:col>
      <xdr:colOff>628650</xdr:colOff>
      <xdr:row>84</xdr:row>
      <xdr:rowOff>125354</xdr:rowOff>
    </xdr:to>
    <xdr:sp macro="" textlink="">
      <xdr:nvSpPr>
        <xdr:cNvPr id="482373" name="Text Box 1093" hidden="1">
          <a:extLst>
            <a:ext uri="{FF2B5EF4-FFF2-40B4-BE49-F238E27FC236}">
              <a16:creationId xmlns:a16="http://schemas.microsoft.com/office/drawing/2014/main" id="{CD6DC18A-2033-2AFD-4D20-4EAFF2660C6F}"/>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114300</xdr:rowOff>
    </xdr:from>
    <xdr:to>
      <xdr:col>9</xdr:col>
      <xdr:colOff>628650</xdr:colOff>
      <xdr:row>86</xdr:row>
      <xdr:rowOff>122179</xdr:rowOff>
    </xdr:to>
    <xdr:sp macro="" textlink="">
      <xdr:nvSpPr>
        <xdr:cNvPr id="482372" name="Text Box 1092" hidden="1">
          <a:extLst>
            <a:ext uri="{FF2B5EF4-FFF2-40B4-BE49-F238E27FC236}">
              <a16:creationId xmlns:a16="http://schemas.microsoft.com/office/drawing/2014/main" id="{014912A5-3448-D97E-8174-D1DCF7E64154}"/>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79022</xdr:rowOff>
    </xdr:from>
    <xdr:to>
      <xdr:col>9</xdr:col>
      <xdr:colOff>628650</xdr:colOff>
      <xdr:row>87</xdr:row>
      <xdr:rowOff>141229</xdr:rowOff>
    </xdr:to>
    <xdr:sp macro="" textlink="">
      <xdr:nvSpPr>
        <xdr:cNvPr id="482371" name="Text Box 1091" hidden="1">
          <a:extLst>
            <a:ext uri="{FF2B5EF4-FFF2-40B4-BE49-F238E27FC236}">
              <a16:creationId xmlns:a16="http://schemas.microsoft.com/office/drawing/2014/main" id="{81D9E7B2-CD9A-263C-9EB7-338EC9226D2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104422</xdr:rowOff>
    </xdr:from>
    <xdr:to>
      <xdr:col>9</xdr:col>
      <xdr:colOff>628650</xdr:colOff>
      <xdr:row>89</xdr:row>
      <xdr:rowOff>37864</xdr:rowOff>
    </xdr:to>
    <xdr:sp macro="" textlink="">
      <xdr:nvSpPr>
        <xdr:cNvPr id="482370" name="Text Box 1090" hidden="1">
          <a:extLst>
            <a:ext uri="{FF2B5EF4-FFF2-40B4-BE49-F238E27FC236}">
              <a16:creationId xmlns:a16="http://schemas.microsoft.com/office/drawing/2014/main" id="{0833BAF6-0058-BBCD-9786-27829BA7430A}"/>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68</xdr:row>
      <xdr:rowOff>104422</xdr:rowOff>
    </xdr:from>
    <xdr:to>
      <xdr:col>18</xdr:col>
      <xdr:colOff>476250</xdr:colOff>
      <xdr:row>89</xdr:row>
      <xdr:rowOff>37864</xdr:rowOff>
    </xdr:to>
    <xdr:sp macro="" textlink="">
      <xdr:nvSpPr>
        <xdr:cNvPr id="482369" name="Text Box 1089" hidden="1">
          <a:extLst>
            <a:ext uri="{FF2B5EF4-FFF2-40B4-BE49-F238E27FC236}">
              <a16:creationId xmlns:a16="http://schemas.microsoft.com/office/drawing/2014/main" id="{F4CF7314-7D9E-16DB-5FEB-267A1B3A9E62}"/>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69614</xdr:rowOff>
    </xdr:from>
    <xdr:to>
      <xdr:col>9</xdr:col>
      <xdr:colOff>628650</xdr:colOff>
      <xdr:row>109</xdr:row>
      <xdr:rowOff>37747</xdr:rowOff>
    </xdr:to>
    <xdr:sp macro="" textlink="">
      <xdr:nvSpPr>
        <xdr:cNvPr id="482368" name="Text Box 1088" hidden="1">
          <a:extLst>
            <a:ext uri="{FF2B5EF4-FFF2-40B4-BE49-F238E27FC236}">
              <a16:creationId xmlns:a16="http://schemas.microsoft.com/office/drawing/2014/main" id="{03DB09EB-0533-B39D-3401-A2EE4F55523C}"/>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79023</xdr:rowOff>
    </xdr:from>
    <xdr:to>
      <xdr:col>9</xdr:col>
      <xdr:colOff>628650</xdr:colOff>
      <xdr:row>109</xdr:row>
      <xdr:rowOff>141111</xdr:rowOff>
    </xdr:to>
    <xdr:sp macro="" textlink="">
      <xdr:nvSpPr>
        <xdr:cNvPr id="482367" name="Text Box 1087" hidden="1">
          <a:extLst>
            <a:ext uri="{FF2B5EF4-FFF2-40B4-BE49-F238E27FC236}">
              <a16:creationId xmlns:a16="http://schemas.microsoft.com/office/drawing/2014/main" id="{1207636E-9F40-4281-3C5D-01A47C7D773A}"/>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91</xdr:row>
      <xdr:rowOff>79023</xdr:rowOff>
    </xdr:from>
    <xdr:to>
      <xdr:col>9</xdr:col>
      <xdr:colOff>628650</xdr:colOff>
      <xdr:row>111</xdr:row>
      <xdr:rowOff>142522</xdr:rowOff>
    </xdr:to>
    <xdr:sp macro="" textlink="">
      <xdr:nvSpPr>
        <xdr:cNvPr id="482366" name="Text Box 1086" hidden="1">
          <a:extLst>
            <a:ext uri="{FF2B5EF4-FFF2-40B4-BE49-F238E27FC236}">
              <a16:creationId xmlns:a16="http://schemas.microsoft.com/office/drawing/2014/main" id="{23A18D9B-8183-7317-F756-48DBACAE8366}"/>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79022</xdr:rowOff>
    </xdr:from>
    <xdr:to>
      <xdr:col>9</xdr:col>
      <xdr:colOff>628650</xdr:colOff>
      <xdr:row>112</xdr:row>
      <xdr:rowOff>83726</xdr:rowOff>
    </xdr:to>
    <xdr:sp macro="" textlink="">
      <xdr:nvSpPr>
        <xdr:cNvPr id="482365" name="Text Box 1085" hidden="1">
          <a:extLst>
            <a:ext uri="{FF2B5EF4-FFF2-40B4-BE49-F238E27FC236}">
              <a16:creationId xmlns:a16="http://schemas.microsoft.com/office/drawing/2014/main" id="{C9989D45-B1B3-4306-FA28-419FAF4145C2}"/>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113</xdr:row>
      <xdr:rowOff>20226</xdr:rowOff>
    </xdr:from>
    <xdr:to>
      <xdr:col>9</xdr:col>
      <xdr:colOff>628650</xdr:colOff>
      <xdr:row>133</xdr:row>
      <xdr:rowOff>142522</xdr:rowOff>
    </xdr:to>
    <xdr:sp macro="" textlink="">
      <xdr:nvSpPr>
        <xdr:cNvPr id="482364" name="Text Box 1084" hidden="1">
          <a:extLst>
            <a:ext uri="{FF2B5EF4-FFF2-40B4-BE49-F238E27FC236}">
              <a16:creationId xmlns:a16="http://schemas.microsoft.com/office/drawing/2014/main" id="{AE343BEB-E48F-F766-CD1F-9A56450CB883}"/>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17051</xdr:rowOff>
    </xdr:from>
    <xdr:to>
      <xdr:col>9</xdr:col>
      <xdr:colOff>628650</xdr:colOff>
      <xdr:row>134</xdr:row>
      <xdr:rowOff>142522</xdr:rowOff>
    </xdr:to>
    <xdr:sp macro="" textlink="">
      <xdr:nvSpPr>
        <xdr:cNvPr id="482363" name="Text Box 1083" hidden="1">
          <a:extLst>
            <a:ext uri="{FF2B5EF4-FFF2-40B4-BE49-F238E27FC236}">
              <a16:creationId xmlns:a16="http://schemas.microsoft.com/office/drawing/2014/main" id="{5D06945D-F9DE-7300-4951-4BB3CEE1073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17051</xdr:rowOff>
    </xdr:from>
    <xdr:to>
      <xdr:col>9</xdr:col>
      <xdr:colOff>628650</xdr:colOff>
      <xdr:row>135</xdr:row>
      <xdr:rowOff>18698</xdr:rowOff>
    </xdr:to>
    <xdr:sp macro="" textlink="">
      <xdr:nvSpPr>
        <xdr:cNvPr id="482362" name="Text Box 1082" hidden="1">
          <a:extLst>
            <a:ext uri="{FF2B5EF4-FFF2-40B4-BE49-F238E27FC236}">
              <a16:creationId xmlns:a16="http://schemas.microsoft.com/office/drawing/2014/main" id="{FB33EE3B-EF4D-BA41-0292-FE3A46C4718A}"/>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17051</xdr:rowOff>
    </xdr:from>
    <xdr:to>
      <xdr:col>9</xdr:col>
      <xdr:colOff>628650</xdr:colOff>
      <xdr:row>136</xdr:row>
      <xdr:rowOff>18698</xdr:rowOff>
    </xdr:to>
    <xdr:sp macro="" textlink="">
      <xdr:nvSpPr>
        <xdr:cNvPr id="482361" name="Text Box 1081" hidden="1">
          <a:extLst>
            <a:ext uri="{FF2B5EF4-FFF2-40B4-BE49-F238E27FC236}">
              <a16:creationId xmlns:a16="http://schemas.microsoft.com/office/drawing/2014/main" id="{13EFD793-ACA2-CD02-49EC-3A54F5AF0532}"/>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139</xdr:row>
      <xdr:rowOff>79022</xdr:rowOff>
    </xdr:from>
    <xdr:to>
      <xdr:col>26</xdr:col>
      <xdr:colOff>647700</xdr:colOff>
      <xdr:row>159</xdr:row>
      <xdr:rowOff>142522</xdr:rowOff>
    </xdr:to>
    <xdr:sp macro="" textlink="">
      <xdr:nvSpPr>
        <xdr:cNvPr id="482360" name="Text Box 1080" hidden="1">
          <a:extLst>
            <a:ext uri="{FF2B5EF4-FFF2-40B4-BE49-F238E27FC236}">
              <a16:creationId xmlns:a16="http://schemas.microsoft.com/office/drawing/2014/main" id="{4CE6C284-9516-0ADB-F0D5-0F8CC50E2892}"/>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142</xdr:row>
      <xdr:rowOff>79022</xdr:rowOff>
    </xdr:from>
    <xdr:to>
      <xdr:col>27</xdr:col>
      <xdr:colOff>647700</xdr:colOff>
      <xdr:row>162</xdr:row>
      <xdr:rowOff>142523</xdr:rowOff>
    </xdr:to>
    <xdr:sp macro="" textlink="">
      <xdr:nvSpPr>
        <xdr:cNvPr id="482359" name="Text Box 1079" hidden="1">
          <a:extLst>
            <a:ext uri="{FF2B5EF4-FFF2-40B4-BE49-F238E27FC236}">
              <a16:creationId xmlns:a16="http://schemas.microsoft.com/office/drawing/2014/main" id="{88ABCD51-EFC2-E04B-73AA-ED488DBE7492}"/>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142</xdr:row>
      <xdr:rowOff>79022</xdr:rowOff>
    </xdr:from>
    <xdr:to>
      <xdr:col>28</xdr:col>
      <xdr:colOff>647700</xdr:colOff>
      <xdr:row>162</xdr:row>
      <xdr:rowOff>142523</xdr:rowOff>
    </xdr:to>
    <xdr:sp macro="" textlink="">
      <xdr:nvSpPr>
        <xdr:cNvPr id="482358" name="Text Box 1078" hidden="1">
          <a:extLst>
            <a:ext uri="{FF2B5EF4-FFF2-40B4-BE49-F238E27FC236}">
              <a16:creationId xmlns:a16="http://schemas.microsoft.com/office/drawing/2014/main" id="{16946200-F862-D00F-4724-7D9BAC430B88}"/>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142</xdr:row>
      <xdr:rowOff>79022</xdr:rowOff>
    </xdr:from>
    <xdr:to>
      <xdr:col>29</xdr:col>
      <xdr:colOff>647700</xdr:colOff>
      <xdr:row>162</xdr:row>
      <xdr:rowOff>142523</xdr:rowOff>
    </xdr:to>
    <xdr:sp macro="" textlink="">
      <xdr:nvSpPr>
        <xdr:cNvPr id="482357" name="Text Box 1077" hidden="1">
          <a:extLst>
            <a:ext uri="{FF2B5EF4-FFF2-40B4-BE49-F238E27FC236}">
              <a16:creationId xmlns:a16="http://schemas.microsoft.com/office/drawing/2014/main" id="{3F8324B9-515F-DF7C-DD95-DE2FEBB59CEE}"/>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142</xdr:row>
      <xdr:rowOff>79022</xdr:rowOff>
    </xdr:from>
    <xdr:to>
      <xdr:col>30</xdr:col>
      <xdr:colOff>647700</xdr:colOff>
      <xdr:row>162</xdr:row>
      <xdr:rowOff>142523</xdr:rowOff>
    </xdr:to>
    <xdr:sp macro="" textlink="">
      <xdr:nvSpPr>
        <xdr:cNvPr id="482356" name="Text Box 1076" hidden="1">
          <a:extLst>
            <a:ext uri="{FF2B5EF4-FFF2-40B4-BE49-F238E27FC236}">
              <a16:creationId xmlns:a16="http://schemas.microsoft.com/office/drawing/2014/main" id="{7CFF69CB-13A2-DD6F-CA5D-C65FD1A71D5D}"/>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142</xdr:row>
      <xdr:rowOff>79022</xdr:rowOff>
    </xdr:from>
    <xdr:to>
      <xdr:col>31</xdr:col>
      <xdr:colOff>647700</xdr:colOff>
      <xdr:row>162</xdr:row>
      <xdr:rowOff>142523</xdr:rowOff>
    </xdr:to>
    <xdr:sp macro="" textlink="">
      <xdr:nvSpPr>
        <xdr:cNvPr id="482355" name="Text Box 1075" hidden="1">
          <a:extLst>
            <a:ext uri="{FF2B5EF4-FFF2-40B4-BE49-F238E27FC236}">
              <a16:creationId xmlns:a16="http://schemas.microsoft.com/office/drawing/2014/main" id="{6829B2F9-A713-C06C-961E-AE40D159E7F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142</xdr:row>
      <xdr:rowOff>79022</xdr:rowOff>
    </xdr:from>
    <xdr:to>
      <xdr:col>32</xdr:col>
      <xdr:colOff>647700</xdr:colOff>
      <xdr:row>162</xdr:row>
      <xdr:rowOff>142523</xdr:rowOff>
    </xdr:to>
    <xdr:sp macro="" textlink="">
      <xdr:nvSpPr>
        <xdr:cNvPr id="482354" name="Text Box 1074" hidden="1">
          <a:extLst>
            <a:ext uri="{FF2B5EF4-FFF2-40B4-BE49-F238E27FC236}">
              <a16:creationId xmlns:a16="http://schemas.microsoft.com/office/drawing/2014/main" id="{8FD38871-1818-2EEB-A252-29ECEBF6005F}"/>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142</xdr:row>
      <xdr:rowOff>79022</xdr:rowOff>
    </xdr:from>
    <xdr:to>
      <xdr:col>34</xdr:col>
      <xdr:colOff>647700</xdr:colOff>
      <xdr:row>162</xdr:row>
      <xdr:rowOff>142523</xdr:rowOff>
    </xdr:to>
    <xdr:sp macro="" textlink="">
      <xdr:nvSpPr>
        <xdr:cNvPr id="482353" name="Text Box 1073" hidden="1">
          <a:extLst>
            <a:ext uri="{FF2B5EF4-FFF2-40B4-BE49-F238E27FC236}">
              <a16:creationId xmlns:a16="http://schemas.microsoft.com/office/drawing/2014/main" id="{C0A18A3F-0832-81E8-BDB2-77EDC9A7C46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95250</xdr:rowOff>
    </xdr:from>
    <xdr:to>
      <xdr:col>35</xdr:col>
      <xdr:colOff>171450</xdr:colOff>
      <xdr:row>34</xdr:row>
      <xdr:rowOff>0</xdr:rowOff>
    </xdr:to>
    <xdr:sp macro="" textlink="">
      <xdr:nvSpPr>
        <xdr:cNvPr id="482352" name="Text Box 1072" hidden="1">
          <a:extLst>
            <a:ext uri="{FF2B5EF4-FFF2-40B4-BE49-F238E27FC236}">
              <a16:creationId xmlns:a16="http://schemas.microsoft.com/office/drawing/2014/main" id="{35734C50-1DCD-54FD-BD86-375785ABCA1A}"/>
            </a:ext>
          </a:extLst>
        </xdr:cNvPr>
        <xdr:cNvSpPr txBox="1">
          <a:spLocks noChangeArrowheads="1"/>
        </xdr:cNvSpPr>
      </xdr:nvSpPr>
      <xdr:spPr bwMode="auto">
        <a:xfrm>
          <a:off x="25685750" y="3556000"/>
          <a:ext cx="49847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6</xdr:row>
      <xdr:rowOff>114300</xdr:rowOff>
    </xdr:from>
    <xdr:to>
      <xdr:col>23</xdr:col>
      <xdr:colOff>571500</xdr:colOff>
      <xdr:row>26</xdr:row>
      <xdr:rowOff>0</xdr:rowOff>
    </xdr:to>
    <xdr:sp macro="" textlink="">
      <xdr:nvSpPr>
        <xdr:cNvPr id="482445" name="Text Box 141" hidden="1">
          <a:extLst>
            <a:ext uri="{FF2B5EF4-FFF2-40B4-BE49-F238E27FC236}">
              <a16:creationId xmlns:a16="http://schemas.microsoft.com/office/drawing/2014/main" id="{FAB475C3-2CA8-C121-F135-A9F9B1AB79D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0</xdr:rowOff>
    </xdr:to>
    <xdr:sp macro="" textlink="">
      <xdr:nvSpPr>
        <xdr:cNvPr id="482444" name="Text Box 140" hidden="1">
          <a:extLst>
            <a:ext uri="{FF2B5EF4-FFF2-40B4-BE49-F238E27FC236}">
              <a16:creationId xmlns:a16="http://schemas.microsoft.com/office/drawing/2014/main" id="{A4A65611-9CE8-E3A1-2E8F-EB504EACE2C0}"/>
            </a:ext>
          </a:extLst>
        </xdr:cNvPr>
        <xdr:cNvSpPr txBox="1">
          <a:spLocks noChangeArrowheads="1"/>
        </xdr:cNvSpPr>
      </xdr:nvSpPr>
      <xdr:spPr bwMode="auto">
        <a:xfrm>
          <a:off x="19456400" y="4127500"/>
          <a:ext cx="4368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0</xdr:rowOff>
    </xdr:to>
    <xdr:sp macro="" textlink="">
      <xdr:nvSpPr>
        <xdr:cNvPr id="482443" name="Text Box 139" hidden="1">
          <a:extLst>
            <a:ext uri="{FF2B5EF4-FFF2-40B4-BE49-F238E27FC236}">
              <a16:creationId xmlns:a16="http://schemas.microsoft.com/office/drawing/2014/main" id="{0E83E700-76FF-B24F-13A3-41541A1A76C8}"/>
            </a:ext>
          </a:extLst>
        </xdr:cNvPr>
        <xdr:cNvSpPr txBox="1">
          <a:spLocks noChangeArrowheads="1"/>
        </xdr:cNvSpPr>
      </xdr:nvSpPr>
      <xdr:spPr bwMode="auto">
        <a:xfrm>
          <a:off x="20218400" y="4127500"/>
          <a:ext cx="437515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0</xdr:rowOff>
    </xdr:to>
    <xdr:sp macro="" textlink="">
      <xdr:nvSpPr>
        <xdr:cNvPr id="482442" name="Text Box 138" hidden="1">
          <a:extLst>
            <a:ext uri="{FF2B5EF4-FFF2-40B4-BE49-F238E27FC236}">
              <a16:creationId xmlns:a16="http://schemas.microsoft.com/office/drawing/2014/main" id="{CA76A819-2A29-A058-BF75-0B8F74B10BDD}"/>
            </a:ext>
          </a:extLst>
        </xdr:cNvPr>
        <xdr:cNvSpPr txBox="1">
          <a:spLocks noChangeArrowheads="1"/>
        </xdr:cNvSpPr>
      </xdr:nvSpPr>
      <xdr:spPr bwMode="auto">
        <a:xfrm>
          <a:off x="20980400" y="4127500"/>
          <a:ext cx="43815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0</xdr:rowOff>
    </xdr:to>
    <xdr:sp macro="" textlink="">
      <xdr:nvSpPr>
        <xdr:cNvPr id="482441" name="Text Box 137" hidden="1">
          <a:extLst>
            <a:ext uri="{FF2B5EF4-FFF2-40B4-BE49-F238E27FC236}">
              <a16:creationId xmlns:a16="http://schemas.microsoft.com/office/drawing/2014/main" id="{F42F1E0C-FB48-DFD9-F5BA-6792911B15FD}"/>
            </a:ext>
          </a:extLst>
        </xdr:cNvPr>
        <xdr:cNvSpPr txBox="1">
          <a:spLocks noChangeArrowheads="1"/>
        </xdr:cNvSpPr>
      </xdr:nvSpPr>
      <xdr:spPr bwMode="auto">
        <a:xfrm>
          <a:off x="21742400" y="4127500"/>
          <a:ext cx="4495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647700</xdr:colOff>
      <xdr:row>37</xdr:row>
      <xdr:rowOff>0</xdr:rowOff>
    </xdr:to>
    <xdr:sp macro="" textlink="">
      <xdr:nvSpPr>
        <xdr:cNvPr id="482440" name="Text Box 136" hidden="1">
          <a:extLst>
            <a:ext uri="{FF2B5EF4-FFF2-40B4-BE49-F238E27FC236}">
              <a16:creationId xmlns:a16="http://schemas.microsoft.com/office/drawing/2014/main" id="{41AF9654-1716-1F75-0B13-E7082C31381A}"/>
            </a:ext>
          </a:extLst>
        </xdr:cNvPr>
        <xdr:cNvSpPr txBox="1">
          <a:spLocks noChangeArrowheads="1"/>
        </xdr:cNvSpPr>
      </xdr:nvSpPr>
      <xdr:spPr bwMode="auto">
        <a:xfrm>
          <a:off x="22504400" y="4127500"/>
          <a:ext cx="49784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647700</xdr:colOff>
      <xdr:row>37</xdr:row>
      <xdr:rowOff>0</xdr:rowOff>
    </xdr:to>
    <xdr:sp macro="" textlink="">
      <xdr:nvSpPr>
        <xdr:cNvPr id="482439" name="Text Box 135" hidden="1">
          <a:extLst>
            <a:ext uri="{FF2B5EF4-FFF2-40B4-BE49-F238E27FC236}">
              <a16:creationId xmlns:a16="http://schemas.microsoft.com/office/drawing/2014/main" id="{280AEC0B-8BE1-69AA-3A95-35FC174F8CAA}"/>
            </a:ext>
          </a:extLst>
        </xdr:cNvPr>
        <xdr:cNvSpPr txBox="1">
          <a:spLocks noChangeArrowheads="1"/>
        </xdr:cNvSpPr>
      </xdr:nvSpPr>
      <xdr:spPr bwMode="auto">
        <a:xfrm>
          <a:off x="23272750" y="4127500"/>
          <a:ext cx="508635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647700</xdr:colOff>
      <xdr:row>37</xdr:row>
      <xdr:rowOff>0</xdr:rowOff>
    </xdr:to>
    <xdr:sp macro="" textlink="">
      <xdr:nvSpPr>
        <xdr:cNvPr id="482438" name="Text Box 134" hidden="1">
          <a:extLst>
            <a:ext uri="{FF2B5EF4-FFF2-40B4-BE49-F238E27FC236}">
              <a16:creationId xmlns:a16="http://schemas.microsoft.com/office/drawing/2014/main" id="{2A3CC585-563F-2A64-8183-ED267ACD5184}"/>
            </a:ext>
          </a:extLst>
        </xdr:cNvPr>
        <xdr:cNvSpPr txBox="1">
          <a:spLocks noChangeArrowheads="1"/>
        </xdr:cNvSpPr>
      </xdr:nvSpPr>
      <xdr:spPr bwMode="auto">
        <a:xfrm>
          <a:off x="24041100" y="4127500"/>
          <a:ext cx="51943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647700</xdr:colOff>
      <xdr:row>37</xdr:row>
      <xdr:rowOff>0</xdr:rowOff>
    </xdr:to>
    <xdr:sp macro="" textlink="">
      <xdr:nvSpPr>
        <xdr:cNvPr id="482437" name="Text Box 133" hidden="1">
          <a:extLst>
            <a:ext uri="{FF2B5EF4-FFF2-40B4-BE49-F238E27FC236}">
              <a16:creationId xmlns:a16="http://schemas.microsoft.com/office/drawing/2014/main" id="{6D4EBDA2-E1B3-5B47-8EEA-E0F60F55F49F}"/>
            </a:ext>
          </a:extLst>
        </xdr:cNvPr>
        <xdr:cNvSpPr txBox="1">
          <a:spLocks noChangeArrowheads="1"/>
        </xdr:cNvSpPr>
      </xdr:nvSpPr>
      <xdr:spPr bwMode="auto">
        <a:xfrm>
          <a:off x="24809450" y="4127500"/>
          <a:ext cx="530225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457200</xdr:rowOff>
    </xdr:from>
    <xdr:to>
      <xdr:col>34</xdr:col>
      <xdr:colOff>647700</xdr:colOff>
      <xdr:row>43</xdr:row>
      <xdr:rowOff>38100</xdr:rowOff>
    </xdr:to>
    <xdr:sp macro="" textlink="">
      <xdr:nvSpPr>
        <xdr:cNvPr id="482436" name="Text Box 132" hidden="1">
          <a:extLst>
            <a:ext uri="{FF2B5EF4-FFF2-40B4-BE49-F238E27FC236}">
              <a16:creationId xmlns:a16="http://schemas.microsoft.com/office/drawing/2014/main" id="{81035FE7-8CBB-56CE-9FB5-86C21346F249}"/>
            </a:ext>
          </a:extLst>
        </xdr:cNvPr>
        <xdr:cNvSpPr txBox="1">
          <a:spLocks noChangeArrowheads="1"/>
        </xdr:cNvSpPr>
      </xdr:nvSpPr>
      <xdr:spPr bwMode="auto">
        <a:xfrm>
          <a:off x="24809450" y="5575300"/>
          <a:ext cx="53022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457200</xdr:rowOff>
    </xdr:from>
    <xdr:to>
      <xdr:col>38</xdr:col>
      <xdr:colOff>647700</xdr:colOff>
      <xdr:row>43</xdr:row>
      <xdr:rowOff>38100</xdr:rowOff>
    </xdr:to>
    <xdr:sp macro="" textlink="">
      <xdr:nvSpPr>
        <xdr:cNvPr id="482435" name="Text Box 131" hidden="1">
          <a:extLst>
            <a:ext uri="{FF2B5EF4-FFF2-40B4-BE49-F238E27FC236}">
              <a16:creationId xmlns:a16="http://schemas.microsoft.com/office/drawing/2014/main" id="{1AEA18E4-1851-74B1-852D-1FEBE732279A}"/>
            </a:ext>
          </a:extLst>
        </xdr:cNvPr>
        <xdr:cNvSpPr txBox="1">
          <a:spLocks noChangeArrowheads="1"/>
        </xdr:cNvSpPr>
      </xdr:nvSpPr>
      <xdr:spPr bwMode="auto">
        <a:xfrm>
          <a:off x="28682950" y="5575300"/>
          <a:ext cx="500380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27</xdr:row>
      <xdr:rowOff>114300</xdr:rowOff>
    </xdr:from>
    <xdr:to>
      <xdr:col>27</xdr:col>
      <xdr:colOff>647700</xdr:colOff>
      <xdr:row>47</xdr:row>
      <xdr:rowOff>0</xdr:rowOff>
    </xdr:to>
    <xdr:sp macro="" textlink="">
      <xdr:nvSpPr>
        <xdr:cNvPr id="482434" name="Text Box 130" hidden="1">
          <a:extLst>
            <a:ext uri="{FF2B5EF4-FFF2-40B4-BE49-F238E27FC236}">
              <a16:creationId xmlns:a16="http://schemas.microsoft.com/office/drawing/2014/main" id="{C590EC07-4BBC-2E4D-34C3-AEA91909E5E4}"/>
            </a:ext>
          </a:extLst>
        </xdr:cNvPr>
        <xdr:cNvSpPr txBox="1">
          <a:spLocks noChangeArrowheads="1"/>
        </xdr:cNvSpPr>
      </xdr:nvSpPr>
      <xdr:spPr bwMode="auto">
        <a:xfrm>
          <a:off x="19456400" y="6318250"/>
          <a:ext cx="4368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114300</xdr:rowOff>
    </xdr:from>
    <xdr:to>
      <xdr:col>28</xdr:col>
      <xdr:colOff>647700</xdr:colOff>
      <xdr:row>47</xdr:row>
      <xdr:rowOff>0</xdr:rowOff>
    </xdr:to>
    <xdr:sp macro="" textlink="">
      <xdr:nvSpPr>
        <xdr:cNvPr id="482433" name="Text Box 129" hidden="1">
          <a:extLst>
            <a:ext uri="{FF2B5EF4-FFF2-40B4-BE49-F238E27FC236}">
              <a16:creationId xmlns:a16="http://schemas.microsoft.com/office/drawing/2014/main" id="{48F2CC0E-54A9-A886-D755-8A89B2F5AA55}"/>
            </a:ext>
          </a:extLst>
        </xdr:cNvPr>
        <xdr:cNvSpPr txBox="1">
          <a:spLocks noChangeArrowheads="1"/>
        </xdr:cNvSpPr>
      </xdr:nvSpPr>
      <xdr:spPr bwMode="auto">
        <a:xfrm>
          <a:off x="20218400" y="6318250"/>
          <a:ext cx="43751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114300</xdr:rowOff>
    </xdr:from>
    <xdr:to>
      <xdr:col>29</xdr:col>
      <xdr:colOff>647700</xdr:colOff>
      <xdr:row>47</xdr:row>
      <xdr:rowOff>0</xdr:rowOff>
    </xdr:to>
    <xdr:sp macro="" textlink="">
      <xdr:nvSpPr>
        <xdr:cNvPr id="482432" name="Text Box 128" hidden="1">
          <a:extLst>
            <a:ext uri="{FF2B5EF4-FFF2-40B4-BE49-F238E27FC236}">
              <a16:creationId xmlns:a16="http://schemas.microsoft.com/office/drawing/2014/main" id="{8EBB7EF1-70F1-9E00-10B2-087C032DF2EA}"/>
            </a:ext>
          </a:extLst>
        </xdr:cNvPr>
        <xdr:cNvSpPr txBox="1">
          <a:spLocks noChangeArrowheads="1"/>
        </xdr:cNvSpPr>
      </xdr:nvSpPr>
      <xdr:spPr bwMode="auto">
        <a:xfrm>
          <a:off x="20980400" y="6318250"/>
          <a:ext cx="43815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114300</xdr:rowOff>
    </xdr:from>
    <xdr:to>
      <xdr:col>30</xdr:col>
      <xdr:colOff>647700</xdr:colOff>
      <xdr:row>47</xdr:row>
      <xdr:rowOff>0</xdr:rowOff>
    </xdr:to>
    <xdr:sp macro="" textlink="">
      <xdr:nvSpPr>
        <xdr:cNvPr id="482431" name="Text Box 127" hidden="1">
          <a:extLst>
            <a:ext uri="{FF2B5EF4-FFF2-40B4-BE49-F238E27FC236}">
              <a16:creationId xmlns:a16="http://schemas.microsoft.com/office/drawing/2014/main" id="{CA6E8F4F-DB27-C914-E1EB-4455B50A5210}"/>
            </a:ext>
          </a:extLst>
        </xdr:cNvPr>
        <xdr:cNvSpPr txBox="1">
          <a:spLocks noChangeArrowheads="1"/>
        </xdr:cNvSpPr>
      </xdr:nvSpPr>
      <xdr:spPr bwMode="auto">
        <a:xfrm>
          <a:off x="21742400" y="6318250"/>
          <a:ext cx="4495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114300</xdr:rowOff>
    </xdr:from>
    <xdr:to>
      <xdr:col>31</xdr:col>
      <xdr:colOff>647700</xdr:colOff>
      <xdr:row>47</xdr:row>
      <xdr:rowOff>0</xdr:rowOff>
    </xdr:to>
    <xdr:sp macro="" textlink="">
      <xdr:nvSpPr>
        <xdr:cNvPr id="482430" name="Text Box 126" hidden="1">
          <a:extLst>
            <a:ext uri="{FF2B5EF4-FFF2-40B4-BE49-F238E27FC236}">
              <a16:creationId xmlns:a16="http://schemas.microsoft.com/office/drawing/2014/main" id="{D9E421AB-305F-D9F8-F692-CB2FC03C34E6}"/>
            </a:ext>
          </a:extLst>
        </xdr:cNvPr>
        <xdr:cNvSpPr txBox="1">
          <a:spLocks noChangeArrowheads="1"/>
        </xdr:cNvSpPr>
      </xdr:nvSpPr>
      <xdr:spPr bwMode="auto">
        <a:xfrm>
          <a:off x="22504400" y="6318250"/>
          <a:ext cx="49784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27</xdr:row>
      <xdr:rowOff>114300</xdr:rowOff>
    </xdr:from>
    <xdr:to>
      <xdr:col>32</xdr:col>
      <xdr:colOff>647700</xdr:colOff>
      <xdr:row>47</xdr:row>
      <xdr:rowOff>0</xdr:rowOff>
    </xdr:to>
    <xdr:sp macro="" textlink="">
      <xdr:nvSpPr>
        <xdr:cNvPr id="482429" name="Text Box 125" hidden="1">
          <a:extLst>
            <a:ext uri="{FF2B5EF4-FFF2-40B4-BE49-F238E27FC236}">
              <a16:creationId xmlns:a16="http://schemas.microsoft.com/office/drawing/2014/main" id="{CB805E1B-4D2E-9E75-ED0B-DB4F7550FBC5}"/>
            </a:ext>
          </a:extLst>
        </xdr:cNvPr>
        <xdr:cNvSpPr txBox="1">
          <a:spLocks noChangeArrowheads="1"/>
        </xdr:cNvSpPr>
      </xdr:nvSpPr>
      <xdr:spPr bwMode="auto">
        <a:xfrm>
          <a:off x="23272750" y="6318250"/>
          <a:ext cx="50863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114300</xdr:rowOff>
    </xdr:from>
    <xdr:to>
      <xdr:col>33</xdr:col>
      <xdr:colOff>647700</xdr:colOff>
      <xdr:row>47</xdr:row>
      <xdr:rowOff>0</xdr:rowOff>
    </xdr:to>
    <xdr:sp macro="" textlink="">
      <xdr:nvSpPr>
        <xdr:cNvPr id="482428" name="Text Box 124" hidden="1">
          <a:extLst>
            <a:ext uri="{FF2B5EF4-FFF2-40B4-BE49-F238E27FC236}">
              <a16:creationId xmlns:a16="http://schemas.microsoft.com/office/drawing/2014/main" id="{F191D32F-4111-2C4D-CFD2-06511F57FD6D}"/>
            </a:ext>
          </a:extLst>
        </xdr:cNvPr>
        <xdr:cNvSpPr txBox="1">
          <a:spLocks noChangeArrowheads="1"/>
        </xdr:cNvSpPr>
      </xdr:nvSpPr>
      <xdr:spPr bwMode="auto">
        <a:xfrm>
          <a:off x="24041100" y="6318250"/>
          <a:ext cx="51943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27</xdr:row>
      <xdr:rowOff>114300</xdr:rowOff>
    </xdr:from>
    <xdr:to>
      <xdr:col>34</xdr:col>
      <xdr:colOff>647700</xdr:colOff>
      <xdr:row>47</xdr:row>
      <xdr:rowOff>0</xdr:rowOff>
    </xdr:to>
    <xdr:sp macro="" textlink="">
      <xdr:nvSpPr>
        <xdr:cNvPr id="482427" name="Text Box 123" hidden="1">
          <a:extLst>
            <a:ext uri="{FF2B5EF4-FFF2-40B4-BE49-F238E27FC236}">
              <a16:creationId xmlns:a16="http://schemas.microsoft.com/office/drawing/2014/main" id="{98965DDF-A13E-6E36-6AEA-92B1AD423ACE}"/>
            </a:ext>
          </a:extLst>
        </xdr:cNvPr>
        <xdr:cNvSpPr txBox="1">
          <a:spLocks noChangeArrowheads="1"/>
        </xdr:cNvSpPr>
      </xdr:nvSpPr>
      <xdr:spPr bwMode="auto">
        <a:xfrm>
          <a:off x="24809450" y="6318250"/>
          <a:ext cx="53022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438150</xdr:rowOff>
    </xdr:to>
    <xdr:sp macro="" textlink="">
      <xdr:nvSpPr>
        <xdr:cNvPr id="482426" name="Text Box 122" hidden="1">
          <a:extLst>
            <a:ext uri="{FF2B5EF4-FFF2-40B4-BE49-F238E27FC236}">
              <a16:creationId xmlns:a16="http://schemas.microsoft.com/office/drawing/2014/main" id="{3C78F8C0-30A0-AAC0-8B28-3B036CFE9093}"/>
            </a:ext>
          </a:extLst>
        </xdr:cNvPr>
        <xdr:cNvSpPr txBox="1">
          <a:spLocks noChangeArrowheads="1"/>
        </xdr:cNvSpPr>
      </xdr:nvSpPr>
      <xdr:spPr bwMode="auto">
        <a:xfrm>
          <a:off x="10179050" y="8337550"/>
          <a:ext cx="48577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42</xdr:row>
      <xdr:rowOff>114300</xdr:rowOff>
    </xdr:from>
    <xdr:to>
      <xdr:col>16</xdr:col>
      <xdr:colOff>323850</xdr:colOff>
      <xdr:row>62</xdr:row>
      <xdr:rowOff>228600</xdr:rowOff>
    </xdr:to>
    <xdr:sp macro="" textlink="">
      <xdr:nvSpPr>
        <xdr:cNvPr id="482425" name="Text Box 121" hidden="1">
          <a:extLst>
            <a:ext uri="{FF2B5EF4-FFF2-40B4-BE49-F238E27FC236}">
              <a16:creationId xmlns:a16="http://schemas.microsoft.com/office/drawing/2014/main" id="{57824DC8-0AC1-DD88-8088-B8AD7A7DA2EC}"/>
            </a:ext>
          </a:extLst>
        </xdr:cNvPr>
        <xdr:cNvSpPr txBox="1">
          <a:spLocks noChangeArrowheads="1"/>
        </xdr:cNvSpPr>
      </xdr:nvSpPr>
      <xdr:spPr bwMode="auto">
        <a:xfrm>
          <a:off x="10179050" y="9074150"/>
          <a:ext cx="48577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42</xdr:row>
      <xdr:rowOff>114300</xdr:rowOff>
    </xdr:from>
    <xdr:to>
      <xdr:col>17</xdr:col>
      <xdr:colOff>552450</xdr:colOff>
      <xdr:row>62</xdr:row>
      <xdr:rowOff>228600</xdr:rowOff>
    </xdr:to>
    <xdr:sp macro="" textlink="">
      <xdr:nvSpPr>
        <xdr:cNvPr id="482424" name="Text Box 120" hidden="1">
          <a:extLst>
            <a:ext uri="{FF2B5EF4-FFF2-40B4-BE49-F238E27FC236}">
              <a16:creationId xmlns:a16="http://schemas.microsoft.com/office/drawing/2014/main" id="{5896C7C2-EEA6-CFC9-7FE9-F1F4A8F00059}"/>
            </a:ext>
          </a:extLst>
        </xdr:cNvPr>
        <xdr:cNvSpPr txBox="1">
          <a:spLocks noChangeArrowheads="1"/>
        </xdr:cNvSpPr>
      </xdr:nvSpPr>
      <xdr:spPr bwMode="auto">
        <a:xfrm>
          <a:off x="11277600" y="9074150"/>
          <a:ext cx="47498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42</xdr:row>
      <xdr:rowOff>114300</xdr:rowOff>
    </xdr:from>
    <xdr:to>
      <xdr:col>18</xdr:col>
      <xdr:colOff>476250</xdr:colOff>
      <xdr:row>62</xdr:row>
      <xdr:rowOff>228600</xdr:rowOff>
    </xdr:to>
    <xdr:sp macro="" textlink="">
      <xdr:nvSpPr>
        <xdr:cNvPr id="482423" name="Text Box 119" hidden="1">
          <a:extLst>
            <a:ext uri="{FF2B5EF4-FFF2-40B4-BE49-F238E27FC236}">
              <a16:creationId xmlns:a16="http://schemas.microsoft.com/office/drawing/2014/main" id="{28C55867-C662-B944-0D5F-C70684AD2864}"/>
            </a:ext>
          </a:extLst>
        </xdr:cNvPr>
        <xdr:cNvSpPr txBox="1">
          <a:spLocks noChangeArrowheads="1"/>
        </xdr:cNvSpPr>
      </xdr:nvSpPr>
      <xdr:spPr bwMode="auto">
        <a:xfrm>
          <a:off x="12147550" y="907415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609600</xdr:colOff>
      <xdr:row>78</xdr:row>
      <xdr:rowOff>342900</xdr:rowOff>
    </xdr:to>
    <xdr:sp macro="" textlink="">
      <xdr:nvSpPr>
        <xdr:cNvPr id="482422" name="Text Box 118" hidden="1">
          <a:extLst>
            <a:ext uri="{FF2B5EF4-FFF2-40B4-BE49-F238E27FC236}">
              <a16:creationId xmlns:a16="http://schemas.microsoft.com/office/drawing/2014/main" id="{2EE26A63-9E86-B191-A081-71D34AAC628F}"/>
            </a:ext>
          </a:extLst>
        </xdr:cNvPr>
        <xdr:cNvSpPr txBox="1">
          <a:spLocks noChangeArrowheads="1"/>
        </xdr:cNvSpPr>
      </xdr:nvSpPr>
      <xdr:spPr bwMode="auto">
        <a:xfrm>
          <a:off x="4508500" y="12573000"/>
          <a:ext cx="4343400" cy="448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78</xdr:row>
      <xdr:rowOff>342900</xdr:rowOff>
    </xdr:to>
    <xdr:sp macro="" textlink="">
      <xdr:nvSpPr>
        <xdr:cNvPr id="482421" name="Text Box 117" hidden="1">
          <a:extLst>
            <a:ext uri="{FF2B5EF4-FFF2-40B4-BE49-F238E27FC236}">
              <a16:creationId xmlns:a16="http://schemas.microsoft.com/office/drawing/2014/main" id="{6DDEFAA6-74D8-326C-CCF9-58FF9D5EA698}"/>
            </a:ext>
          </a:extLst>
        </xdr:cNvPr>
        <xdr:cNvSpPr txBox="1">
          <a:spLocks noChangeArrowheads="1"/>
        </xdr:cNvSpPr>
      </xdr:nvSpPr>
      <xdr:spPr bwMode="auto">
        <a:xfrm>
          <a:off x="12147550" y="12573000"/>
          <a:ext cx="4565650" cy="448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114300</xdr:rowOff>
    </xdr:from>
    <xdr:to>
      <xdr:col>9</xdr:col>
      <xdr:colOff>609600</xdr:colOff>
      <xdr:row>80</xdr:row>
      <xdr:rowOff>57150</xdr:rowOff>
    </xdr:to>
    <xdr:sp macro="" textlink="">
      <xdr:nvSpPr>
        <xdr:cNvPr id="482420" name="Text Box 116" hidden="1">
          <a:extLst>
            <a:ext uri="{FF2B5EF4-FFF2-40B4-BE49-F238E27FC236}">
              <a16:creationId xmlns:a16="http://schemas.microsoft.com/office/drawing/2014/main" id="{2C2FB2AB-F8CD-01B5-83D7-B3FC428A0668}"/>
            </a:ext>
          </a:extLst>
        </xdr:cNvPr>
        <xdr:cNvSpPr txBox="1">
          <a:spLocks noChangeArrowheads="1"/>
        </xdr:cNvSpPr>
      </xdr:nvSpPr>
      <xdr:spPr bwMode="auto">
        <a:xfrm>
          <a:off x="4508500" y="13138150"/>
          <a:ext cx="434340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114300</xdr:rowOff>
    </xdr:from>
    <xdr:to>
      <xdr:col>9</xdr:col>
      <xdr:colOff>609600</xdr:colOff>
      <xdr:row>81</xdr:row>
      <xdr:rowOff>0</xdr:rowOff>
    </xdr:to>
    <xdr:sp macro="" textlink="">
      <xdr:nvSpPr>
        <xdr:cNvPr id="482419" name="Text Box 115" hidden="1">
          <a:extLst>
            <a:ext uri="{FF2B5EF4-FFF2-40B4-BE49-F238E27FC236}">
              <a16:creationId xmlns:a16="http://schemas.microsoft.com/office/drawing/2014/main" id="{D3B97ED8-363D-B682-ABA9-97DF62D83E4E}"/>
            </a:ext>
          </a:extLst>
        </xdr:cNvPr>
        <xdr:cNvSpPr txBox="1">
          <a:spLocks noChangeArrowheads="1"/>
        </xdr:cNvSpPr>
      </xdr:nvSpPr>
      <xdr:spPr bwMode="auto">
        <a:xfrm>
          <a:off x="4508500" y="13525500"/>
          <a:ext cx="434340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76200</xdr:rowOff>
    </xdr:from>
    <xdr:to>
      <xdr:col>9</xdr:col>
      <xdr:colOff>609600</xdr:colOff>
      <xdr:row>82</xdr:row>
      <xdr:rowOff>133350</xdr:rowOff>
    </xdr:to>
    <xdr:sp macro="" textlink="">
      <xdr:nvSpPr>
        <xdr:cNvPr id="482418" name="Text Box 114" hidden="1">
          <a:extLst>
            <a:ext uri="{FF2B5EF4-FFF2-40B4-BE49-F238E27FC236}">
              <a16:creationId xmlns:a16="http://schemas.microsoft.com/office/drawing/2014/main" id="{65BF3665-0E06-FECD-2AF2-44EE3BA0385A}"/>
            </a:ext>
          </a:extLst>
        </xdr:cNvPr>
        <xdr:cNvSpPr txBox="1">
          <a:spLocks noChangeArrowheads="1"/>
        </xdr:cNvSpPr>
      </xdr:nvSpPr>
      <xdr:spPr bwMode="auto">
        <a:xfrm>
          <a:off x="4508500" y="13696950"/>
          <a:ext cx="4343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95250</xdr:rowOff>
    </xdr:from>
    <xdr:to>
      <xdr:col>9</xdr:col>
      <xdr:colOff>609600</xdr:colOff>
      <xdr:row>83</xdr:row>
      <xdr:rowOff>133350</xdr:rowOff>
    </xdr:to>
    <xdr:sp macro="" textlink="">
      <xdr:nvSpPr>
        <xdr:cNvPr id="482417" name="Text Box 113" hidden="1">
          <a:extLst>
            <a:ext uri="{FF2B5EF4-FFF2-40B4-BE49-F238E27FC236}">
              <a16:creationId xmlns:a16="http://schemas.microsoft.com/office/drawing/2014/main" id="{88D542AA-12A6-48C8-83FA-DBC16C4AA743}"/>
            </a:ext>
          </a:extLst>
        </xdr:cNvPr>
        <xdr:cNvSpPr txBox="1">
          <a:spLocks noChangeArrowheads="1"/>
        </xdr:cNvSpPr>
      </xdr:nvSpPr>
      <xdr:spPr bwMode="auto">
        <a:xfrm>
          <a:off x="4508500" y="13900150"/>
          <a:ext cx="4343400" cy="4222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63</xdr:row>
      <xdr:rowOff>95250</xdr:rowOff>
    </xdr:from>
    <xdr:to>
      <xdr:col>18</xdr:col>
      <xdr:colOff>476250</xdr:colOff>
      <xdr:row>83</xdr:row>
      <xdr:rowOff>133350</xdr:rowOff>
    </xdr:to>
    <xdr:sp macro="" textlink="">
      <xdr:nvSpPr>
        <xdr:cNvPr id="482416" name="Text Box 112" hidden="1">
          <a:extLst>
            <a:ext uri="{FF2B5EF4-FFF2-40B4-BE49-F238E27FC236}">
              <a16:creationId xmlns:a16="http://schemas.microsoft.com/office/drawing/2014/main" id="{D5F963EB-AFC2-A4CC-8C25-AD957A094018}"/>
            </a:ext>
          </a:extLst>
        </xdr:cNvPr>
        <xdr:cNvSpPr txBox="1">
          <a:spLocks noChangeArrowheads="1"/>
        </xdr:cNvSpPr>
      </xdr:nvSpPr>
      <xdr:spPr bwMode="auto">
        <a:xfrm>
          <a:off x="12147550" y="13900150"/>
          <a:ext cx="4565650" cy="4222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82</xdr:row>
      <xdr:rowOff>95250</xdr:rowOff>
    </xdr:from>
    <xdr:to>
      <xdr:col>9</xdr:col>
      <xdr:colOff>609600</xdr:colOff>
      <xdr:row>102</xdr:row>
      <xdr:rowOff>38100</xdr:rowOff>
    </xdr:to>
    <xdr:sp macro="" textlink="">
      <xdr:nvSpPr>
        <xdr:cNvPr id="482415" name="Text Box 111" hidden="1">
          <a:extLst>
            <a:ext uri="{FF2B5EF4-FFF2-40B4-BE49-F238E27FC236}">
              <a16:creationId xmlns:a16="http://schemas.microsoft.com/office/drawing/2014/main" id="{BE554953-27BF-73DD-619D-DBA04D26C761}"/>
            </a:ext>
          </a:extLst>
        </xdr:cNvPr>
        <xdr:cNvSpPr txBox="1">
          <a:spLocks noChangeArrowheads="1"/>
        </xdr:cNvSpPr>
      </xdr:nvSpPr>
      <xdr:spPr bwMode="auto">
        <a:xfrm>
          <a:off x="4508500" y="17703800"/>
          <a:ext cx="43434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82</xdr:row>
      <xdr:rowOff>285750</xdr:rowOff>
    </xdr:from>
    <xdr:to>
      <xdr:col>9</xdr:col>
      <xdr:colOff>609600</xdr:colOff>
      <xdr:row>102</xdr:row>
      <xdr:rowOff>0</xdr:rowOff>
    </xdr:to>
    <xdr:sp macro="" textlink="">
      <xdr:nvSpPr>
        <xdr:cNvPr id="482414" name="Text Box 110" hidden="1">
          <a:extLst>
            <a:ext uri="{FF2B5EF4-FFF2-40B4-BE49-F238E27FC236}">
              <a16:creationId xmlns:a16="http://schemas.microsoft.com/office/drawing/2014/main" id="{C8754680-AB05-4C31-DEE1-159039A35935}"/>
            </a:ext>
          </a:extLst>
        </xdr:cNvPr>
        <xdr:cNvSpPr txBox="1">
          <a:spLocks noChangeArrowheads="1"/>
        </xdr:cNvSpPr>
      </xdr:nvSpPr>
      <xdr:spPr bwMode="auto">
        <a:xfrm>
          <a:off x="4508500" y="17894300"/>
          <a:ext cx="434340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83</xdr:row>
      <xdr:rowOff>76200</xdr:rowOff>
    </xdr:from>
    <xdr:to>
      <xdr:col>9</xdr:col>
      <xdr:colOff>609600</xdr:colOff>
      <xdr:row>103</xdr:row>
      <xdr:rowOff>133350</xdr:rowOff>
    </xdr:to>
    <xdr:sp macro="" textlink="">
      <xdr:nvSpPr>
        <xdr:cNvPr id="482413" name="Text Box 109" hidden="1">
          <a:extLst>
            <a:ext uri="{FF2B5EF4-FFF2-40B4-BE49-F238E27FC236}">
              <a16:creationId xmlns:a16="http://schemas.microsoft.com/office/drawing/2014/main" id="{8879D509-F3C7-2EE6-9643-CA4934D186AA}"/>
            </a:ext>
          </a:extLst>
        </xdr:cNvPr>
        <xdr:cNvSpPr txBox="1">
          <a:spLocks noChangeArrowheads="1"/>
        </xdr:cNvSpPr>
      </xdr:nvSpPr>
      <xdr:spPr bwMode="auto">
        <a:xfrm>
          <a:off x="4508500" y="18065750"/>
          <a:ext cx="43434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84</xdr:row>
      <xdr:rowOff>76200</xdr:rowOff>
    </xdr:from>
    <xdr:to>
      <xdr:col>9</xdr:col>
      <xdr:colOff>609600</xdr:colOff>
      <xdr:row>104</xdr:row>
      <xdr:rowOff>133350</xdr:rowOff>
    </xdr:to>
    <xdr:sp macro="" textlink="">
      <xdr:nvSpPr>
        <xdr:cNvPr id="482412" name="Text Box 108" hidden="1">
          <a:extLst>
            <a:ext uri="{FF2B5EF4-FFF2-40B4-BE49-F238E27FC236}">
              <a16:creationId xmlns:a16="http://schemas.microsoft.com/office/drawing/2014/main" id="{419B1E32-A1BF-E03C-F79B-CC07ABE8E9EB}"/>
            </a:ext>
          </a:extLst>
        </xdr:cNvPr>
        <xdr:cNvSpPr txBox="1">
          <a:spLocks noChangeArrowheads="1"/>
        </xdr:cNvSpPr>
      </xdr:nvSpPr>
      <xdr:spPr bwMode="auto">
        <a:xfrm>
          <a:off x="4508500" y="18249900"/>
          <a:ext cx="43434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105</xdr:row>
      <xdr:rowOff>76200</xdr:rowOff>
    </xdr:from>
    <xdr:to>
      <xdr:col>9</xdr:col>
      <xdr:colOff>609600</xdr:colOff>
      <xdr:row>125</xdr:row>
      <xdr:rowOff>133350</xdr:rowOff>
    </xdr:to>
    <xdr:sp macro="" textlink="">
      <xdr:nvSpPr>
        <xdr:cNvPr id="482411" name="Text Box 107" hidden="1">
          <a:extLst>
            <a:ext uri="{FF2B5EF4-FFF2-40B4-BE49-F238E27FC236}">
              <a16:creationId xmlns:a16="http://schemas.microsoft.com/office/drawing/2014/main" id="{484BBACE-A948-5A9E-D7C7-3DEAF4AA8453}"/>
            </a:ext>
          </a:extLst>
        </xdr:cNvPr>
        <xdr:cNvSpPr txBox="1">
          <a:spLocks noChangeArrowheads="1"/>
        </xdr:cNvSpPr>
      </xdr:nvSpPr>
      <xdr:spPr bwMode="auto">
        <a:xfrm>
          <a:off x="4508500" y="22352000"/>
          <a:ext cx="43434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106</xdr:row>
      <xdr:rowOff>76200</xdr:rowOff>
    </xdr:from>
    <xdr:to>
      <xdr:col>9</xdr:col>
      <xdr:colOff>609600</xdr:colOff>
      <xdr:row>126</xdr:row>
      <xdr:rowOff>133350</xdr:rowOff>
    </xdr:to>
    <xdr:sp macro="" textlink="">
      <xdr:nvSpPr>
        <xdr:cNvPr id="482410" name="Text Box 106" hidden="1">
          <a:extLst>
            <a:ext uri="{FF2B5EF4-FFF2-40B4-BE49-F238E27FC236}">
              <a16:creationId xmlns:a16="http://schemas.microsoft.com/office/drawing/2014/main" id="{F69D9FED-50BB-81B2-F642-7D14697439E4}"/>
            </a:ext>
          </a:extLst>
        </xdr:cNvPr>
        <xdr:cNvSpPr txBox="1">
          <a:spLocks noChangeArrowheads="1"/>
        </xdr:cNvSpPr>
      </xdr:nvSpPr>
      <xdr:spPr bwMode="auto">
        <a:xfrm>
          <a:off x="4508500" y="22536150"/>
          <a:ext cx="43434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76200</xdr:rowOff>
    </xdr:from>
    <xdr:to>
      <xdr:col>9</xdr:col>
      <xdr:colOff>609600</xdr:colOff>
      <xdr:row>127</xdr:row>
      <xdr:rowOff>19050</xdr:rowOff>
    </xdr:to>
    <xdr:sp macro="" textlink="">
      <xdr:nvSpPr>
        <xdr:cNvPr id="482409" name="Text Box 105" hidden="1">
          <a:extLst>
            <a:ext uri="{FF2B5EF4-FFF2-40B4-BE49-F238E27FC236}">
              <a16:creationId xmlns:a16="http://schemas.microsoft.com/office/drawing/2014/main" id="{2BEE7520-AD84-17FA-9269-C151D0B00ADA}"/>
            </a:ext>
          </a:extLst>
        </xdr:cNvPr>
        <xdr:cNvSpPr txBox="1">
          <a:spLocks noChangeArrowheads="1"/>
        </xdr:cNvSpPr>
      </xdr:nvSpPr>
      <xdr:spPr bwMode="auto">
        <a:xfrm>
          <a:off x="4508500" y="22720300"/>
          <a:ext cx="43434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108</xdr:row>
      <xdr:rowOff>76200</xdr:rowOff>
    </xdr:from>
    <xdr:to>
      <xdr:col>9</xdr:col>
      <xdr:colOff>609600</xdr:colOff>
      <xdr:row>128</xdr:row>
      <xdr:rowOff>19050</xdr:rowOff>
    </xdr:to>
    <xdr:sp macro="" textlink="">
      <xdr:nvSpPr>
        <xdr:cNvPr id="482408" name="Text Box 104" hidden="1">
          <a:extLst>
            <a:ext uri="{FF2B5EF4-FFF2-40B4-BE49-F238E27FC236}">
              <a16:creationId xmlns:a16="http://schemas.microsoft.com/office/drawing/2014/main" id="{B50FB95B-354F-05F7-7154-269133F193C7}"/>
            </a:ext>
          </a:extLst>
        </xdr:cNvPr>
        <xdr:cNvSpPr txBox="1">
          <a:spLocks noChangeArrowheads="1"/>
        </xdr:cNvSpPr>
      </xdr:nvSpPr>
      <xdr:spPr bwMode="auto">
        <a:xfrm>
          <a:off x="4508500" y="22904450"/>
          <a:ext cx="43434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131</xdr:row>
      <xdr:rowOff>76200</xdr:rowOff>
    </xdr:from>
    <xdr:to>
      <xdr:col>26</xdr:col>
      <xdr:colOff>647700</xdr:colOff>
      <xdr:row>151</xdr:row>
      <xdr:rowOff>133350</xdr:rowOff>
    </xdr:to>
    <xdr:sp macro="" textlink="">
      <xdr:nvSpPr>
        <xdr:cNvPr id="482407" name="Text Box 103" hidden="1">
          <a:extLst>
            <a:ext uri="{FF2B5EF4-FFF2-40B4-BE49-F238E27FC236}">
              <a16:creationId xmlns:a16="http://schemas.microsoft.com/office/drawing/2014/main" id="{CF64CF0E-FC03-628E-2E5B-91B4B7BDB0F0}"/>
            </a:ext>
          </a:extLst>
        </xdr:cNvPr>
        <xdr:cNvSpPr txBox="1">
          <a:spLocks noChangeArrowheads="1"/>
        </xdr:cNvSpPr>
      </xdr:nvSpPr>
      <xdr:spPr bwMode="auto">
        <a:xfrm>
          <a:off x="18694400" y="271907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134</xdr:row>
      <xdr:rowOff>76200</xdr:rowOff>
    </xdr:from>
    <xdr:to>
      <xdr:col>27</xdr:col>
      <xdr:colOff>647700</xdr:colOff>
      <xdr:row>154</xdr:row>
      <xdr:rowOff>133350</xdr:rowOff>
    </xdr:to>
    <xdr:sp macro="" textlink="">
      <xdr:nvSpPr>
        <xdr:cNvPr id="482406" name="Text Box 102" hidden="1">
          <a:extLst>
            <a:ext uri="{FF2B5EF4-FFF2-40B4-BE49-F238E27FC236}">
              <a16:creationId xmlns:a16="http://schemas.microsoft.com/office/drawing/2014/main" id="{68E91332-9684-82B6-A09A-9983F86D1170}"/>
            </a:ext>
          </a:extLst>
        </xdr:cNvPr>
        <xdr:cNvSpPr txBox="1">
          <a:spLocks noChangeArrowheads="1"/>
        </xdr:cNvSpPr>
      </xdr:nvSpPr>
      <xdr:spPr bwMode="auto">
        <a:xfrm>
          <a:off x="19456400" y="2774315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134</xdr:row>
      <xdr:rowOff>76200</xdr:rowOff>
    </xdr:from>
    <xdr:to>
      <xdr:col>28</xdr:col>
      <xdr:colOff>647700</xdr:colOff>
      <xdr:row>154</xdr:row>
      <xdr:rowOff>133350</xdr:rowOff>
    </xdr:to>
    <xdr:sp macro="" textlink="">
      <xdr:nvSpPr>
        <xdr:cNvPr id="482405" name="Text Box 101" hidden="1">
          <a:extLst>
            <a:ext uri="{FF2B5EF4-FFF2-40B4-BE49-F238E27FC236}">
              <a16:creationId xmlns:a16="http://schemas.microsoft.com/office/drawing/2014/main" id="{7271882A-64E1-036C-218C-88079EA9807D}"/>
            </a:ext>
          </a:extLst>
        </xdr:cNvPr>
        <xdr:cNvSpPr txBox="1">
          <a:spLocks noChangeArrowheads="1"/>
        </xdr:cNvSpPr>
      </xdr:nvSpPr>
      <xdr:spPr bwMode="auto">
        <a:xfrm>
          <a:off x="20218400" y="2774315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134</xdr:row>
      <xdr:rowOff>76200</xdr:rowOff>
    </xdr:from>
    <xdr:to>
      <xdr:col>29</xdr:col>
      <xdr:colOff>647700</xdr:colOff>
      <xdr:row>154</xdr:row>
      <xdr:rowOff>133350</xdr:rowOff>
    </xdr:to>
    <xdr:sp macro="" textlink="">
      <xdr:nvSpPr>
        <xdr:cNvPr id="482404" name="Text Box 100" hidden="1">
          <a:extLst>
            <a:ext uri="{FF2B5EF4-FFF2-40B4-BE49-F238E27FC236}">
              <a16:creationId xmlns:a16="http://schemas.microsoft.com/office/drawing/2014/main" id="{75A9957C-B24A-FFF7-8CB6-B13DCB3074CB}"/>
            </a:ext>
          </a:extLst>
        </xdr:cNvPr>
        <xdr:cNvSpPr txBox="1">
          <a:spLocks noChangeArrowheads="1"/>
        </xdr:cNvSpPr>
      </xdr:nvSpPr>
      <xdr:spPr bwMode="auto">
        <a:xfrm>
          <a:off x="20980400" y="2774315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134</xdr:row>
      <xdr:rowOff>76200</xdr:rowOff>
    </xdr:from>
    <xdr:to>
      <xdr:col>30</xdr:col>
      <xdr:colOff>647700</xdr:colOff>
      <xdr:row>154</xdr:row>
      <xdr:rowOff>133350</xdr:rowOff>
    </xdr:to>
    <xdr:sp macro="" textlink="">
      <xdr:nvSpPr>
        <xdr:cNvPr id="482403" name="Text Box 99" hidden="1">
          <a:extLst>
            <a:ext uri="{FF2B5EF4-FFF2-40B4-BE49-F238E27FC236}">
              <a16:creationId xmlns:a16="http://schemas.microsoft.com/office/drawing/2014/main" id="{6FDAAA7C-5EC5-BC93-8245-5763A91F8D2A}"/>
            </a:ext>
          </a:extLst>
        </xdr:cNvPr>
        <xdr:cNvSpPr txBox="1">
          <a:spLocks noChangeArrowheads="1"/>
        </xdr:cNvSpPr>
      </xdr:nvSpPr>
      <xdr:spPr bwMode="auto">
        <a:xfrm>
          <a:off x="21742400" y="2774315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134</xdr:row>
      <xdr:rowOff>76200</xdr:rowOff>
    </xdr:from>
    <xdr:to>
      <xdr:col>31</xdr:col>
      <xdr:colOff>647700</xdr:colOff>
      <xdr:row>154</xdr:row>
      <xdr:rowOff>133350</xdr:rowOff>
    </xdr:to>
    <xdr:sp macro="" textlink="">
      <xdr:nvSpPr>
        <xdr:cNvPr id="482402" name="Text Box 98" hidden="1">
          <a:extLst>
            <a:ext uri="{FF2B5EF4-FFF2-40B4-BE49-F238E27FC236}">
              <a16:creationId xmlns:a16="http://schemas.microsoft.com/office/drawing/2014/main" id="{6FF1D21B-8540-0D3E-FF2F-499495279A64}"/>
            </a:ext>
          </a:extLst>
        </xdr:cNvPr>
        <xdr:cNvSpPr txBox="1">
          <a:spLocks noChangeArrowheads="1"/>
        </xdr:cNvSpPr>
      </xdr:nvSpPr>
      <xdr:spPr bwMode="auto">
        <a:xfrm>
          <a:off x="22504400" y="2774315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76200</xdr:rowOff>
    </xdr:from>
    <xdr:to>
      <xdr:col>32</xdr:col>
      <xdr:colOff>647700</xdr:colOff>
      <xdr:row>154</xdr:row>
      <xdr:rowOff>133350</xdr:rowOff>
    </xdr:to>
    <xdr:sp macro="" textlink="">
      <xdr:nvSpPr>
        <xdr:cNvPr id="482401" name="Text Box 97" hidden="1">
          <a:extLst>
            <a:ext uri="{FF2B5EF4-FFF2-40B4-BE49-F238E27FC236}">
              <a16:creationId xmlns:a16="http://schemas.microsoft.com/office/drawing/2014/main" id="{3CE8EC0E-7134-3EC4-146E-48FCCE304BCC}"/>
            </a:ext>
          </a:extLst>
        </xdr:cNvPr>
        <xdr:cNvSpPr txBox="1">
          <a:spLocks noChangeArrowheads="1"/>
        </xdr:cNvSpPr>
      </xdr:nvSpPr>
      <xdr:spPr bwMode="auto">
        <a:xfrm>
          <a:off x="23272750" y="2774315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76200</xdr:rowOff>
    </xdr:from>
    <xdr:to>
      <xdr:col>34</xdr:col>
      <xdr:colOff>647700</xdr:colOff>
      <xdr:row>154</xdr:row>
      <xdr:rowOff>133350</xdr:rowOff>
    </xdr:to>
    <xdr:sp macro="" textlink="">
      <xdr:nvSpPr>
        <xdr:cNvPr id="482400" name="Text Box 96" hidden="1">
          <a:extLst>
            <a:ext uri="{FF2B5EF4-FFF2-40B4-BE49-F238E27FC236}">
              <a16:creationId xmlns:a16="http://schemas.microsoft.com/office/drawing/2014/main" id="{BBB2DD6C-E1BE-1D51-3F06-1857C6B22BEA}"/>
            </a:ext>
          </a:extLst>
        </xdr:cNvPr>
        <xdr:cNvSpPr txBox="1">
          <a:spLocks noChangeArrowheads="1"/>
        </xdr:cNvSpPr>
      </xdr:nvSpPr>
      <xdr:spPr bwMode="auto">
        <a:xfrm>
          <a:off x="24809450" y="2774315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95250</xdr:rowOff>
    </xdr:from>
    <xdr:to>
      <xdr:col>35</xdr:col>
      <xdr:colOff>171450</xdr:colOff>
      <xdr:row>34</xdr:row>
      <xdr:rowOff>0</xdr:rowOff>
    </xdr:to>
    <xdr:sp macro="" textlink="">
      <xdr:nvSpPr>
        <xdr:cNvPr id="482399" name="Text Box 95" hidden="1">
          <a:extLst>
            <a:ext uri="{FF2B5EF4-FFF2-40B4-BE49-F238E27FC236}">
              <a16:creationId xmlns:a16="http://schemas.microsoft.com/office/drawing/2014/main" id="{2AAE3050-76DC-20F6-0F52-FBF6632C0A86}"/>
            </a:ext>
          </a:extLst>
        </xdr:cNvPr>
        <xdr:cNvSpPr txBox="1">
          <a:spLocks noChangeArrowheads="1"/>
        </xdr:cNvSpPr>
      </xdr:nvSpPr>
      <xdr:spPr bwMode="auto">
        <a:xfrm>
          <a:off x="25685750" y="3556000"/>
          <a:ext cx="49847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31</xdr:col>
      <xdr:colOff>171450</xdr:colOff>
      <xdr:row>21</xdr:row>
      <xdr:rowOff>171450</xdr:rowOff>
    </xdr:to>
    <xdr:sp macro="" textlink="">
      <xdr:nvSpPr>
        <xdr:cNvPr id="482446" name="Text Box 142" hidden="1">
          <a:extLst>
            <a:ext uri="{FF2B5EF4-FFF2-40B4-BE49-F238E27FC236}">
              <a16:creationId xmlns:a16="http://schemas.microsoft.com/office/drawing/2014/main" id="{08BBC23A-8224-4FEE-2134-B5C25AAFAEBA}"/>
            </a:ext>
          </a:extLst>
        </xdr:cNvPr>
        <xdr:cNvSpPr txBox="1">
          <a:spLocks noChangeArrowheads="1"/>
        </xdr:cNvSpPr>
      </xdr:nvSpPr>
      <xdr:spPr bwMode="auto">
        <a:xfrm>
          <a:off x="25685750" y="41275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27</xdr:row>
      <xdr:rowOff>114300</xdr:rowOff>
    </xdr:from>
    <xdr:to>
      <xdr:col>31</xdr:col>
      <xdr:colOff>171450</xdr:colOff>
      <xdr:row>31</xdr:row>
      <xdr:rowOff>171450</xdr:rowOff>
    </xdr:to>
    <xdr:sp macro="" textlink="">
      <xdr:nvSpPr>
        <xdr:cNvPr id="482447" name="Text Box 143" hidden="1">
          <a:extLst>
            <a:ext uri="{FF2B5EF4-FFF2-40B4-BE49-F238E27FC236}">
              <a16:creationId xmlns:a16="http://schemas.microsoft.com/office/drawing/2014/main" id="{0C59DF68-5E74-3994-75F6-8773479504EC}"/>
            </a:ext>
          </a:extLst>
        </xdr:cNvPr>
        <xdr:cNvSpPr txBox="1">
          <a:spLocks noChangeArrowheads="1"/>
        </xdr:cNvSpPr>
      </xdr:nvSpPr>
      <xdr:spPr bwMode="auto">
        <a:xfrm>
          <a:off x="25685750" y="631825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135</xdr:row>
      <xdr:rowOff>114300</xdr:rowOff>
    </xdr:from>
    <xdr:to>
      <xdr:col>31</xdr:col>
      <xdr:colOff>171450</xdr:colOff>
      <xdr:row>139</xdr:row>
      <xdr:rowOff>171450</xdr:rowOff>
    </xdr:to>
    <xdr:sp macro="" textlink="">
      <xdr:nvSpPr>
        <xdr:cNvPr id="482448" name="Text Box 144" hidden="1">
          <a:extLst>
            <a:ext uri="{FF2B5EF4-FFF2-40B4-BE49-F238E27FC236}">
              <a16:creationId xmlns:a16="http://schemas.microsoft.com/office/drawing/2014/main" id="{ECC7DC96-09E9-D74B-2675-121F05D2B556}"/>
            </a:ext>
          </a:extLst>
        </xdr:cNvPr>
        <xdr:cNvSpPr txBox="1">
          <a:spLocks noChangeArrowheads="1"/>
        </xdr:cNvSpPr>
      </xdr:nvSpPr>
      <xdr:spPr bwMode="auto">
        <a:xfrm>
          <a:off x="25685750" y="279654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80" name="Text Box 44" hidden="1">
          <a:extLst>
            <a:ext uri="{FF2B5EF4-FFF2-40B4-BE49-F238E27FC236}">
              <a16:creationId xmlns:a16="http://schemas.microsoft.com/office/drawing/2014/main" id="{95533E37-DC3B-B2BA-8284-62C9D28EFF5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79" name="Text Box 43" hidden="1">
          <a:extLst>
            <a:ext uri="{FF2B5EF4-FFF2-40B4-BE49-F238E27FC236}">
              <a16:creationId xmlns:a16="http://schemas.microsoft.com/office/drawing/2014/main" id="{3AD9DCB6-6CC2-A441-94AE-05A67485201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78" name="Text Box 42" hidden="1">
          <a:extLst>
            <a:ext uri="{FF2B5EF4-FFF2-40B4-BE49-F238E27FC236}">
              <a16:creationId xmlns:a16="http://schemas.microsoft.com/office/drawing/2014/main" id="{EDF5BF53-021A-DD5A-19D1-71F18583D4A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77" name="Text Box 41" hidden="1">
          <a:extLst>
            <a:ext uri="{FF2B5EF4-FFF2-40B4-BE49-F238E27FC236}">
              <a16:creationId xmlns:a16="http://schemas.microsoft.com/office/drawing/2014/main" id="{612F6C21-1D8A-3F22-427B-FB47CF39FC1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76" name="Text Box 40" hidden="1">
          <a:extLst>
            <a:ext uri="{FF2B5EF4-FFF2-40B4-BE49-F238E27FC236}">
              <a16:creationId xmlns:a16="http://schemas.microsoft.com/office/drawing/2014/main" id="{F40FF776-EBD5-3DA2-83AD-49575D91A20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75" name="Text Box 39" hidden="1">
          <a:extLst>
            <a:ext uri="{FF2B5EF4-FFF2-40B4-BE49-F238E27FC236}">
              <a16:creationId xmlns:a16="http://schemas.microsoft.com/office/drawing/2014/main" id="{B9B1DEE3-D79F-D268-5C36-ECC23C4BD2D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74" name="Text Box 38" hidden="1">
          <a:extLst>
            <a:ext uri="{FF2B5EF4-FFF2-40B4-BE49-F238E27FC236}">
              <a16:creationId xmlns:a16="http://schemas.microsoft.com/office/drawing/2014/main" id="{CADC0C1A-A4C4-9F96-EC1C-E9A2AC421273}"/>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73" name="Text Box 37" hidden="1">
          <a:extLst>
            <a:ext uri="{FF2B5EF4-FFF2-40B4-BE49-F238E27FC236}">
              <a16:creationId xmlns:a16="http://schemas.microsoft.com/office/drawing/2014/main" id="{4FDA3CDA-C63B-1FF8-BBFD-8B8239289E17}"/>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72" name="Text Box 36" hidden="1">
          <a:extLst>
            <a:ext uri="{FF2B5EF4-FFF2-40B4-BE49-F238E27FC236}">
              <a16:creationId xmlns:a16="http://schemas.microsoft.com/office/drawing/2014/main" id="{7E17ED0A-A3D8-A916-28C5-F152AC89675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71" name="Text Box 35" hidden="1">
          <a:extLst>
            <a:ext uri="{FF2B5EF4-FFF2-40B4-BE49-F238E27FC236}">
              <a16:creationId xmlns:a16="http://schemas.microsoft.com/office/drawing/2014/main" id="{0D1E3409-1F5C-BF61-7B17-3F65475742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70" name="Text Box 34" hidden="1">
          <a:extLst>
            <a:ext uri="{FF2B5EF4-FFF2-40B4-BE49-F238E27FC236}">
              <a16:creationId xmlns:a16="http://schemas.microsoft.com/office/drawing/2014/main" id="{3D7EB798-A3DD-2A1A-7C6E-3103974BAE2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69" name="Text Box 33" hidden="1">
          <a:extLst>
            <a:ext uri="{FF2B5EF4-FFF2-40B4-BE49-F238E27FC236}">
              <a16:creationId xmlns:a16="http://schemas.microsoft.com/office/drawing/2014/main" id="{727653C2-3446-739A-46F5-0A3E848636C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68" name="Text Box 32" hidden="1">
          <a:extLst>
            <a:ext uri="{FF2B5EF4-FFF2-40B4-BE49-F238E27FC236}">
              <a16:creationId xmlns:a16="http://schemas.microsoft.com/office/drawing/2014/main" id="{24E32506-464E-6FBB-17DC-389AD09AB61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67" name="Text Box 31" hidden="1">
          <a:extLst>
            <a:ext uri="{FF2B5EF4-FFF2-40B4-BE49-F238E27FC236}">
              <a16:creationId xmlns:a16="http://schemas.microsoft.com/office/drawing/2014/main" id="{A462484E-4B78-2363-8C0D-B964A9F1C57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66" name="Text Box 30" hidden="1">
          <a:extLst>
            <a:ext uri="{FF2B5EF4-FFF2-40B4-BE49-F238E27FC236}">
              <a16:creationId xmlns:a16="http://schemas.microsoft.com/office/drawing/2014/main" id="{7E65D6B3-AF97-AB44-BBB4-F95F00CF8447}"/>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65" name="Text Box 29" hidden="1">
          <a:extLst>
            <a:ext uri="{FF2B5EF4-FFF2-40B4-BE49-F238E27FC236}">
              <a16:creationId xmlns:a16="http://schemas.microsoft.com/office/drawing/2014/main" id="{49A9F5C9-B172-B5F2-A424-7E34AB6201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64" name="Text Box 28" hidden="1">
          <a:extLst>
            <a:ext uri="{FF2B5EF4-FFF2-40B4-BE49-F238E27FC236}">
              <a16:creationId xmlns:a16="http://schemas.microsoft.com/office/drawing/2014/main" id="{4EAE0C48-856E-E896-87D1-9BF7B4527EA6}"/>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63" name="Text Box 27" hidden="1">
          <a:extLst>
            <a:ext uri="{FF2B5EF4-FFF2-40B4-BE49-F238E27FC236}">
              <a16:creationId xmlns:a16="http://schemas.microsoft.com/office/drawing/2014/main" id="{278BE1ED-41A2-E775-0A3E-F005748DA61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62" name="Text Box 26" hidden="1">
          <a:extLst>
            <a:ext uri="{FF2B5EF4-FFF2-40B4-BE49-F238E27FC236}">
              <a16:creationId xmlns:a16="http://schemas.microsoft.com/office/drawing/2014/main" id="{CA85E7F7-E9ED-9D5C-5D50-F3DD13E01E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61" name="Text Box 25" hidden="1">
          <a:extLst>
            <a:ext uri="{FF2B5EF4-FFF2-40B4-BE49-F238E27FC236}">
              <a16:creationId xmlns:a16="http://schemas.microsoft.com/office/drawing/2014/main" id="{6ADE2CEC-4DFD-5DE3-9766-87C815AF4619}"/>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60" name="Text Box 24" hidden="1">
          <a:extLst>
            <a:ext uri="{FF2B5EF4-FFF2-40B4-BE49-F238E27FC236}">
              <a16:creationId xmlns:a16="http://schemas.microsoft.com/office/drawing/2014/main" id="{3EE907FB-18C5-A826-DFCE-D95465F7E67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59" name="Text Box 23" hidden="1">
          <a:extLst>
            <a:ext uri="{FF2B5EF4-FFF2-40B4-BE49-F238E27FC236}">
              <a16:creationId xmlns:a16="http://schemas.microsoft.com/office/drawing/2014/main" id="{E1E56A68-ACEA-DBDB-7084-51B1169DF7AA}"/>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4374" name="Text Box 22" hidden="1">
          <a:extLst>
            <a:ext uri="{FF2B5EF4-FFF2-40B4-BE49-F238E27FC236}">
              <a16:creationId xmlns:a16="http://schemas.microsoft.com/office/drawing/2014/main" id="{D900B902-EAD8-6C5D-5991-B8B369CF42BD}"/>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4373" name="Text Box 21" hidden="1">
          <a:extLst>
            <a:ext uri="{FF2B5EF4-FFF2-40B4-BE49-F238E27FC236}">
              <a16:creationId xmlns:a16="http://schemas.microsoft.com/office/drawing/2014/main" id="{AA4E58F4-7F45-C50F-039B-1C29E67FBDB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4372" name="Text Box 20" hidden="1">
          <a:extLst>
            <a:ext uri="{FF2B5EF4-FFF2-40B4-BE49-F238E27FC236}">
              <a16:creationId xmlns:a16="http://schemas.microsoft.com/office/drawing/2014/main" id="{5A497412-88F5-5553-2CB3-63605E7738F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4371" name="Text Box 19" hidden="1">
          <a:extLst>
            <a:ext uri="{FF2B5EF4-FFF2-40B4-BE49-F238E27FC236}">
              <a16:creationId xmlns:a16="http://schemas.microsoft.com/office/drawing/2014/main" id="{B67EE8D3-EB88-5B71-C956-A772454340B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4370" name="Text Box 18" hidden="1">
          <a:extLst>
            <a:ext uri="{FF2B5EF4-FFF2-40B4-BE49-F238E27FC236}">
              <a16:creationId xmlns:a16="http://schemas.microsoft.com/office/drawing/2014/main" id="{8E2D3C28-32DA-C019-C450-7EFCCD9F7D1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4369" name="Text Box 17" hidden="1">
          <a:extLst>
            <a:ext uri="{FF2B5EF4-FFF2-40B4-BE49-F238E27FC236}">
              <a16:creationId xmlns:a16="http://schemas.microsoft.com/office/drawing/2014/main" id="{078A26D7-9F4D-8CEF-B7CF-E582A61525BA}"/>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4368" name="Text Box 16" hidden="1">
          <a:extLst>
            <a:ext uri="{FF2B5EF4-FFF2-40B4-BE49-F238E27FC236}">
              <a16:creationId xmlns:a16="http://schemas.microsoft.com/office/drawing/2014/main" id="{EC30C49A-613D-95BD-7D26-D0944D90B0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4367" name="Text Box 15" hidden="1">
          <a:extLst>
            <a:ext uri="{FF2B5EF4-FFF2-40B4-BE49-F238E27FC236}">
              <a16:creationId xmlns:a16="http://schemas.microsoft.com/office/drawing/2014/main" id="{4858C6B9-7DA1-B77F-CD84-556C8DCA515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4366" name="Text Box 14" hidden="1">
          <a:extLst>
            <a:ext uri="{FF2B5EF4-FFF2-40B4-BE49-F238E27FC236}">
              <a16:creationId xmlns:a16="http://schemas.microsoft.com/office/drawing/2014/main" id="{9E020448-1D13-3B42-8925-2AFD5628C1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4365" name="Text Box 13" hidden="1">
          <a:extLst>
            <a:ext uri="{FF2B5EF4-FFF2-40B4-BE49-F238E27FC236}">
              <a16:creationId xmlns:a16="http://schemas.microsoft.com/office/drawing/2014/main" id="{7205A5C9-4D9A-22CD-5A99-E8B88572E14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4364" name="Text Box 12" hidden="1">
          <a:extLst>
            <a:ext uri="{FF2B5EF4-FFF2-40B4-BE49-F238E27FC236}">
              <a16:creationId xmlns:a16="http://schemas.microsoft.com/office/drawing/2014/main" id="{355526E4-A0E8-78F2-851A-9DF5CE49AA48}"/>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4363" name="Text Box 11" hidden="1">
          <a:extLst>
            <a:ext uri="{FF2B5EF4-FFF2-40B4-BE49-F238E27FC236}">
              <a16:creationId xmlns:a16="http://schemas.microsoft.com/office/drawing/2014/main" id="{6EC0856E-93EF-F434-03CC-46952F158B4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4362" name="Text Box 10" hidden="1">
          <a:extLst>
            <a:ext uri="{FF2B5EF4-FFF2-40B4-BE49-F238E27FC236}">
              <a16:creationId xmlns:a16="http://schemas.microsoft.com/office/drawing/2014/main" id="{B2C0026E-D03F-D965-7D2A-5B6D69BF8453}"/>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4361" name="Text Box 9" hidden="1">
          <a:extLst>
            <a:ext uri="{FF2B5EF4-FFF2-40B4-BE49-F238E27FC236}">
              <a16:creationId xmlns:a16="http://schemas.microsoft.com/office/drawing/2014/main" id="{1B3B7117-66FA-443A-DDFA-88E13F635E03}"/>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4360" name="Text Box 8" hidden="1">
          <a:extLst>
            <a:ext uri="{FF2B5EF4-FFF2-40B4-BE49-F238E27FC236}">
              <a16:creationId xmlns:a16="http://schemas.microsoft.com/office/drawing/2014/main" id="{99292B13-1B5C-6BAE-B402-1DA2653F797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4359" name="Text Box 7" hidden="1">
          <a:extLst>
            <a:ext uri="{FF2B5EF4-FFF2-40B4-BE49-F238E27FC236}">
              <a16:creationId xmlns:a16="http://schemas.microsoft.com/office/drawing/2014/main" id="{AFC454DB-819D-6D88-A089-F93B5A09CD74}"/>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4358" name="Text Box 6" hidden="1">
          <a:extLst>
            <a:ext uri="{FF2B5EF4-FFF2-40B4-BE49-F238E27FC236}">
              <a16:creationId xmlns:a16="http://schemas.microsoft.com/office/drawing/2014/main" id="{F5C87F5F-7518-C20E-E74C-9F4DD4AC49F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4357" name="Text Box 5" hidden="1">
          <a:extLst>
            <a:ext uri="{FF2B5EF4-FFF2-40B4-BE49-F238E27FC236}">
              <a16:creationId xmlns:a16="http://schemas.microsoft.com/office/drawing/2014/main" id="{8B8B1369-3D01-4FF5-F319-E80A5466BAA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4356" name="Text Box 4" hidden="1">
          <a:extLst>
            <a:ext uri="{FF2B5EF4-FFF2-40B4-BE49-F238E27FC236}">
              <a16:creationId xmlns:a16="http://schemas.microsoft.com/office/drawing/2014/main" id="{FD7B0F2C-8E34-FC55-AAC0-505A2F21B5B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4355" name="Text Box 3" hidden="1">
          <a:extLst>
            <a:ext uri="{FF2B5EF4-FFF2-40B4-BE49-F238E27FC236}">
              <a16:creationId xmlns:a16="http://schemas.microsoft.com/office/drawing/2014/main" id="{846BF452-77EB-8DED-7629-F1B28C33E123}"/>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4354" name="Text Box 2" hidden="1">
          <a:extLst>
            <a:ext uri="{FF2B5EF4-FFF2-40B4-BE49-F238E27FC236}">
              <a16:creationId xmlns:a16="http://schemas.microsoft.com/office/drawing/2014/main" id="{47744752-773B-273C-BC4E-46A1CCFEFFE2}"/>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4353" name="Text Box 1" hidden="1">
          <a:extLst>
            <a:ext uri="{FF2B5EF4-FFF2-40B4-BE49-F238E27FC236}">
              <a16:creationId xmlns:a16="http://schemas.microsoft.com/office/drawing/2014/main" id="{7B299754-3145-BC08-1F33-1BD115C587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98710" name="Text Box 22" hidden="1">
          <a:extLst>
            <a:ext uri="{FF2B5EF4-FFF2-40B4-BE49-F238E27FC236}">
              <a16:creationId xmlns:a16="http://schemas.microsoft.com/office/drawing/2014/main" id="{E0891461-AC76-B782-3FA9-01EEC50A8BD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98709" name="Text Box 21" hidden="1">
          <a:extLst>
            <a:ext uri="{FF2B5EF4-FFF2-40B4-BE49-F238E27FC236}">
              <a16:creationId xmlns:a16="http://schemas.microsoft.com/office/drawing/2014/main" id="{82D7A46E-D3C0-227B-2444-0018E0BDB9C4}"/>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98708" name="Text Box 20" hidden="1">
          <a:extLst>
            <a:ext uri="{FF2B5EF4-FFF2-40B4-BE49-F238E27FC236}">
              <a16:creationId xmlns:a16="http://schemas.microsoft.com/office/drawing/2014/main" id="{B7452C41-D8FD-0ACF-15AC-6EA583E194C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98707" name="Text Box 19" hidden="1">
          <a:extLst>
            <a:ext uri="{FF2B5EF4-FFF2-40B4-BE49-F238E27FC236}">
              <a16:creationId xmlns:a16="http://schemas.microsoft.com/office/drawing/2014/main" id="{B10BF195-2232-5E97-55EE-AC11B7D0264D}"/>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98706" name="Text Box 18" hidden="1">
          <a:extLst>
            <a:ext uri="{FF2B5EF4-FFF2-40B4-BE49-F238E27FC236}">
              <a16:creationId xmlns:a16="http://schemas.microsoft.com/office/drawing/2014/main" id="{F4CE8164-9E8F-F065-FE1C-C9178583A97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98705" name="Text Box 17" hidden="1">
          <a:extLst>
            <a:ext uri="{FF2B5EF4-FFF2-40B4-BE49-F238E27FC236}">
              <a16:creationId xmlns:a16="http://schemas.microsoft.com/office/drawing/2014/main" id="{5DEB149E-184F-C5CC-0D45-0445C25C670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98704" name="Text Box 16" hidden="1">
          <a:extLst>
            <a:ext uri="{FF2B5EF4-FFF2-40B4-BE49-F238E27FC236}">
              <a16:creationId xmlns:a16="http://schemas.microsoft.com/office/drawing/2014/main" id="{FCAF8BB5-74F4-06C6-EB04-963C45B7103E}"/>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98703" name="Text Box 15" hidden="1">
          <a:extLst>
            <a:ext uri="{FF2B5EF4-FFF2-40B4-BE49-F238E27FC236}">
              <a16:creationId xmlns:a16="http://schemas.microsoft.com/office/drawing/2014/main" id="{0D8B628B-84FE-7979-89F2-3513456A7499}"/>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98702" name="Text Box 14" hidden="1">
          <a:extLst>
            <a:ext uri="{FF2B5EF4-FFF2-40B4-BE49-F238E27FC236}">
              <a16:creationId xmlns:a16="http://schemas.microsoft.com/office/drawing/2014/main" id="{82EFB741-1BC0-340F-C045-398F9588703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98701" name="Text Box 13" hidden="1">
          <a:extLst>
            <a:ext uri="{FF2B5EF4-FFF2-40B4-BE49-F238E27FC236}">
              <a16:creationId xmlns:a16="http://schemas.microsoft.com/office/drawing/2014/main" id="{694DB630-FC5B-639C-318D-1631FEA05F7F}"/>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98700" name="Text Box 12" hidden="1">
          <a:extLst>
            <a:ext uri="{FF2B5EF4-FFF2-40B4-BE49-F238E27FC236}">
              <a16:creationId xmlns:a16="http://schemas.microsoft.com/office/drawing/2014/main" id="{D4E11B31-DFF7-EE3D-C1E9-174B5071271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98699" name="Text Box 11" hidden="1">
          <a:extLst>
            <a:ext uri="{FF2B5EF4-FFF2-40B4-BE49-F238E27FC236}">
              <a16:creationId xmlns:a16="http://schemas.microsoft.com/office/drawing/2014/main" id="{05423E05-C407-C058-4327-31ABDBCA30B5}"/>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98698" name="Text Box 10" hidden="1">
          <a:extLst>
            <a:ext uri="{FF2B5EF4-FFF2-40B4-BE49-F238E27FC236}">
              <a16:creationId xmlns:a16="http://schemas.microsoft.com/office/drawing/2014/main" id="{91828597-6597-018B-6F02-33865721D374}"/>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98697" name="Text Box 9" hidden="1">
          <a:extLst>
            <a:ext uri="{FF2B5EF4-FFF2-40B4-BE49-F238E27FC236}">
              <a16:creationId xmlns:a16="http://schemas.microsoft.com/office/drawing/2014/main" id="{4C177FC1-F5EB-6D9C-6638-4FBBC7A7602B}"/>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98696" name="Text Box 8" hidden="1">
          <a:extLst>
            <a:ext uri="{FF2B5EF4-FFF2-40B4-BE49-F238E27FC236}">
              <a16:creationId xmlns:a16="http://schemas.microsoft.com/office/drawing/2014/main" id="{8738C5A7-FDC9-C8CC-F297-A68A2BF3B13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98695" name="Text Box 7" hidden="1">
          <a:extLst>
            <a:ext uri="{FF2B5EF4-FFF2-40B4-BE49-F238E27FC236}">
              <a16:creationId xmlns:a16="http://schemas.microsoft.com/office/drawing/2014/main" id="{87281377-C77E-231C-71E0-4D4A243619F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98694" name="Text Box 6" hidden="1">
          <a:extLst>
            <a:ext uri="{FF2B5EF4-FFF2-40B4-BE49-F238E27FC236}">
              <a16:creationId xmlns:a16="http://schemas.microsoft.com/office/drawing/2014/main" id="{E8F03EF7-101B-050E-ADDF-029AD0AA0F4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98693" name="Text Box 5" hidden="1">
          <a:extLst>
            <a:ext uri="{FF2B5EF4-FFF2-40B4-BE49-F238E27FC236}">
              <a16:creationId xmlns:a16="http://schemas.microsoft.com/office/drawing/2014/main" id="{41BE6CC2-A0E9-546D-FB90-8F77FA85C5F0}"/>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98692" name="Text Box 4" hidden="1">
          <a:extLst>
            <a:ext uri="{FF2B5EF4-FFF2-40B4-BE49-F238E27FC236}">
              <a16:creationId xmlns:a16="http://schemas.microsoft.com/office/drawing/2014/main" id="{0E495C66-CBA5-64AF-4EF7-765782E3EF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98691" name="Text Box 3" hidden="1">
          <a:extLst>
            <a:ext uri="{FF2B5EF4-FFF2-40B4-BE49-F238E27FC236}">
              <a16:creationId xmlns:a16="http://schemas.microsoft.com/office/drawing/2014/main" id="{567056A7-8F2F-F9E3-B4E0-E2EB566B71EE}"/>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98690" name="Text Box 2" hidden="1">
          <a:extLst>
            <a:ext uri="{FF2B5EF4-FFF2-40B4-BE49-F238E27FC236}">
              <a16:creationId xmlns:a16="http://schemas.microsoft.com/office/drawing/2014/main" id="{38817651-CC27-EB6F-0DA6-7FED00E612C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98689" name="Text Box 1" hidden="1">
          <a:extLst>
            <a:ext uri="{FF2B5EF4-FFF2-40B4-BE49-F238E27FC236}">
              <a16:creationId xmlns:a16="http://schemas.microsoft.com/office/drawing/2014/main" id="{8B1779EE-FD33-6160-4854-B98BB477490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9.xml><?xml version="1.0" encoding="utf-8"?>
<xdr:wsDr xmlns:xdr="http://schemas.openxmlformats.org/drawingml/2006/spreadsheetDrawing" xmlns:a="http://schemas.openxmlformats.org/drawingml/2006/main" xmlns:r="http://schemas.openxmlformats.org/officeDocument/2006/relationships">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3.xml><?xml version="1.0" encoding="utf-8"?>
<xdr:wsDr xmlns:xdr="http://schemas.openxmlformats.org/drawingml/2006/spreadsheetDrawing" xmlns:a="http://schemas.openxmlformats.org/drawingml/2006/main" xmlns:r="http://schemas.openxmlformats.org/officeDocument/2006/relationships">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6" name="Text Box 2" hidden="1">
          <a:extLst>
            <a:ext uri="{FF2B5EF4-FFF2-40B4-BE49-F238E27FC236}">
              <a16:creationId xmlns:a16="http://schemas.microsoft.com/office/drawing/2014/main" id="{46D69413-F7BE-F47C-8127-E99AE2997109}"/>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6401" name="Text Box 1" hidden="1">
          <a:extLst>
            <a:ext uri="{FF2B5EF4-FFF2-40B4-BE49-F238E27FC236}">
              <a16:creationId xmlns:a16="http://schemas.microsoft.com/office/drawing/2014/main" id="{CDF54745-03E3-8226-C555-BCEF334C7E9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00737" name="Text Box 1" hidden="1">
          <a:extLst>
            <a:ext uri="{FF2B5EF4-FFF2-40B4-BE49-F238E27FC236}">
              <a16:creationId xmlns:a16="http://schemas.microsoft.com/office/drawing/2014/main" id="{C04B53CB-AFF2-1ED2-FAC4-48674376AE7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4.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2" name="Text Box 4" hidden="1">
          <a:extLst>
            <a:ext uri="{FF2B5EF4-FFF2-40B4-BE49-F238E27FC236}">
              <a16:creationId xmlns:a16="http://schemas.microsoft.com/office/drawing/2014/main" id="{5EA30A56-E611-62A2-33DF-1704E26D85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11" name="Text Box 3" hidden="1">
          <a:extLst>
            <a:ext uri="{FF2B5EF4-FFF2-40B4-BE49-F238E27FC236}">
              <a16:creationId xmlns:a16="http://schemas.microsoft.com/office/drawing/2014/main" id="{4A6F21B7-FC4C-66DF-8453-C7112C479AB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7426" name="Text Box 2" hidden="1">
          <a:extLst>
            <a:ext uri="{FF2B5EF4-FFF2-40B4-BE49-F238E27FC236}">
              <a16:creationId xmlns:a16="http://schemas.microsoft.com/office/drawing/2014/main" id="{F0C9F8D9-6C45-9A5A-E4F4-C98E21DF1A4D}"/>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7425" name="Text Box 1" hidden="1">
          <a:extLst>
            <a:ext uri="{FF2B5EF4-FFF2-40B4-BE49-F238E27FC236}">
              <a16:creationId xmlns:a16="http://schemas.microsoft.com/office/drawing/2014/main" id="{D6F96B91-4E5C-2B60-322F-0654B72A6D81}"/>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01762" name="Text Box 2" hidden="1">
          <a:extLst>
            <a:ext uri="{FF2B5EF4-FFF2-40B4-BE49-F238E27FC236}">
              <a16:creationId xmlns:a16="http://schemas.microsoft.com/office/drawing/2014/main" id="{DED8B219-0121-C514-26FC-1625A97CC67D}"/>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01761" name="Text Box 1" hidden="1">
          <a:extLst>
            <a:ext uri="{FF2B5EF4-FFF2-40B4-BE49-F238E27FC236}">
              <a16:creationId xmlns:a16="http://schemas.microsoft.com/office/drawing/2014/main" id="{B1F34555-AD66-6A7E-EAA0-041CCEC1BAE5}"/>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67">
      <pivotArea field="3" type="button" dataOnly="0" labelOnly="1" outline="0" axis="axisRow" fieldPosition="0"/>
    </format>
    <format dxfId="66">
      <pivotArea dataOnly="0" labelOnly="1" outline="0" axis="axisValues" fieldPosition="0"/>
    </format>
    <format dxfId="65">
      <pivotArea collapsedLevelsAreSubtotals="1" fieldPosition="0">
        <references count="2">
          <reference field="2" count="1">
            <x v="1"/>
          </reference>
          <reference field="3" count="1" selected="0">
            <x v="1"/>
          </reference>
        </references>
      </pivotArea>
    </format>
    <format dxfId="64">
      <pivotArea collapsedLevelsAreSubtotals="1" fieldPosition="0">
        <references count="2">
          <reference field="2" count="1">
            <x v="2"/>
          </reference>
          <reference field="3" count="1" selected="0">
            <x v="1"/>
          </reference>
        </references>
      </pivotArea>
    </format>
    <format dxfId="63">
      <pivotArea collapsedLevelsAreSubtotals="1" fieldPosition="0">
        <references count="2">
          <reference field="2" count="1">
            <x v="3"/>
          </reference>
          <reference field="3" count="1" selected="0">
            <x v="1"/>
          </reference>
        </references>
      </pivotArea>
    </format>
    <format dxfId="62">
      <pivotArea collapsedLevelsAreSubtotals="1" fieldPosition="0">
        <references count="2">
          <reference field="2" count="1">
            <x v="4"/>
          </reference>
          <reference field="3" count="1" selected="0">
            <x v="1"/>
          </reference>
        </references>
      </pivotArea>
    </format>
    <format dxfId="61">
      <pivotArea collapsedLevelsAreSubtotals="1" fieldPosition="0">
        <references count="1">
          <reference field="3" count="1">
            <x v="2"/>
          </reference>
        </references>
      </pivotArea>
    </format>
    <format dxfId="60">
      <pivotArea collapsedLevelsAreSubtotals="1" fieldPosition="0">
        <references count="2">
          <reference field="2" count="1">
            <x v="1"/>
          </reference>
          <reference field="3" count="1" selected="0">
            <x v="2"/>
          </reference>
        </references>
      </pivotArea>
    </format>
    <format dxfId="59">
      <pivotArea collapsedLevelsAreSubtotals="1" fieldPosition="0">
        <references count="2">
          <reference field="2" count="1">
            <x v="2"/>
          </reference>
          <reference field="3" count="1" selected="0">
            <x v="2"/>
          </reference>
        </references>
      </pivotArea>
    </format>
    <format dxfId="58">
      <pivotArea collapsedLevelsAreSubtotals="1" fieldPosition="0">
        <references count="2">
          <reference field="2" count="1">
            <x v="3"/>
          </reference>
          <reference field="3" count="1" selected="0">
            <x v="2"/>
          </reference>
        </references>
      </pivotArea>
    </format>
    <format dxfId="57">
      <pivotArea collapsedLevelsAreSubtotals="1" fieldPosition="0">
        <references count="2">
          <reference field="2" count="1">
            <x v="4"/>
          </reference>
          <reference field="3" count="1" selected="0">
            <x v="2"/>
          </reference>
        </references>
      </pivotArea>
    </format>
    <format dxfId="56">
      <pivotArea collapsedLevelsAreSubtotals="1" fieldPosition="0">
        <references count="1">
          <reference field="3" count="1">
            <x v="3"/>
          </reference>
        </references>
      </pivotArea>
    </format>
    <format dxfId="55">
      <pivotArea collapsedLevelsAreSubtotals="1" fieldPosition="0">
        <references count="2">
          <reference field="2" count="1">
            <x v="1"/>
          </reference>
          <reference field="3" count="1" selected="0">
            <x v="3"/>
          </reference>
        </references>
      </pivotArea>
    </format>
    <format dxfId="54">
      <pivotArea collapsedLevelsAreSubtotals="1" fieldPosition="0">
        <references count="2">
          <reference field="2" count="1">
            <x v="2"/>
          </reference>
          <reference field="3" count="1" selected="0">
            <x v="3"/>
          </reference>
        </references>
      </pivotArea>
    </format>
    <format dxfId="53">
      <pivotArea collapsedLevelsAreSubtotals="1" fieldPosition="0">
        <references count="2">
          <reference field="2" count="1">
            <x v="3"/>
          </reference>
          <reference field="3" count="1" selected="0">
            <x v="3"/>
          </reference>
        </references>
      </pivotArea>
    </format>
    <format dxfId="52">
      <pivotArea collapsedLevelsAreSubtotals="1" fieldPosition="0">
        <references count="2">
          <reference field="2" count="1">
            <x v="4"/>
          </reference>
          <reference field="3" count="1" selected="0">
            <x v="3"/>
          </reference>
        </references>
      </pivotArea>
    </format>
    <format dxfId="51">
      <pivotArea collapsedLevelsAreSubtotals="1" fieldPosition="0">
        <references count="1">
          <reference field="3" count="1">
            <x v="4"/>
          </reference>
        </references>
      </pivotArea>
    </format>
    <format dxfId="50">
      <pivotArea collapsedLevelsAreSubtotals="1" fieldPosition="0">
        <references count="2">
          <reference field="2" count="1">
            <x v="1"/>
          </reference>
          <reference field="3" count="1" selected="0">
            <x v="4"/>
          </reference>
        </references>
      </pivotArea>
    </format>
    <format dxfId="49">
      <pivotArea collapsedLevelsAreSubtotals="1" fieldPosition="0">
        <references count="2">
          <reference field="2" count="1">
            <x v="2"/>
          </reference>
          <reference field="3" count="1" selected="0">
            <x v="4"/>
          </reference>
        </references>
      </pivotArea>
    </format>
    <format dxfId="48">
      <pivotArea collapsedLevelsAreSubtotals="1" fieldPosition="0">
        <references count="2">
          <reference field="2" count="1">
            <x v="3"/>
          </reference>
          <reference field="3" count="1" selected="0">
            <x v="4"/>
          </reference>
        </references>
      </pivotArea>
    </format>
    <format dxfId="47">
      <pivotArea collapsedLevelsAreSubtotals="1" fieldPosition="0">
        <references count="2">
          <reference field="2" count="1">
            <x v="4"/>
          </reference>
          <reference field="3" count="1" selected="0">
            <x v="4"/>
          </reference>
        </references>
      </pivotArea>
    </format>
    <format dxfId="46">
      <pivotArea collapsedLevelsAreSubtotals="1" fieldPosition="0">
        <references count="1">
          <reference field="3" count="1">
            <x v="5"/>
          </reference>
        </references>
      </pivotArea>
    </format>
    <format dxfId="45">
      <pivotArea collapsedLevelsAreSubtotals="1" fieldPosition="0">
        <references count="2">
          <reference field="2" count="1">
            <x v="1"/>
          </reference>
          <reference field="3" count="1" selected="0">
            <x v="5"/>
          </reference>
        </references>
      </pivotArea>
    </format>
    <format dxfId="44">
      <pivotArea collapsedLevelsAreSubtotals="1" fieldPosition="0">
        <references count="2">
          <reference field="2" count="1">
            <x v="2"/>
          </reference>
          <reference field="3" count="1" selected="0">
            <x v="5"/>
          </reference>
        </references>
      </pivotArea>
    </format>
    <format dxfId="43">
      <pivotArea collapsedLevelsAreSubtotals="1" fieldPosition="0">
        <references count="2">
          <reference field="2" count="1">
            <x v="3"/>
          </reference>
          <reference field="3" count="1" selected="0">
            <x v="5"/>
          </reference>
        </references>
      </pivotArea>
    </format>
    <format dxfId="42">
      <pivotArea collapsedLevelsAreSubtotals="1" fieldPosition="0">
        <references count="2">
          <reference field="2" count="1">
            <x v="4"/>
          </reference>
          <reference field="3" count="1" selected="0">
            <x v="5"/>
          </reference>
        </references>
      </pivotArea>
    </format>
    <format dxfId="41">
      <pivotArea collapsedLevelsAreSubtotals="1" fieldPosition="0">
        <references count="1">
          <reference field="3" count="1">
            <x v="6"/>
          </reference>
        </references>
      </pivotArea>
    </format>
    <format dxfId="40">
      <pivotArea collapsedLevelsAreSubtotals="1" fieldPosition="0">
        <references count="2">
          <reference field="2" count="1">
            <x v="1"/>
          </reference>
          <reference field="3" count="1" selected="0">
            <x v="6"/>
          </reference>
        </references>
      </pivotArea>
    </format>
    <format dxfId="39">
      <pivotArea collapsedLevelsAreSubtotals="1" fieldPosition="0">
        <references count="2">
          <reference field="2" count="1">
            <x v="2"/>
          </reference>
          <reference field="3" count="1" selected="0">
            <x v="6"/>
          </reference>
        </references>
      </pivotArea>
    </format>
    <format dxfId="38">
      <pivotArea collapsedLevelsAreSubtotals="1" fieldPosition="0">
        <references count="2">
          <reference field="2" count="1">
            <x v="3"/>
          </reference>
          <reference field="3" count="1" selected="0">
            <x v="6"/>
          </reference>
        </references>
      </pivotArea>
    </format>
    <format dxfId="3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36">
      <pivotArea field="3" type="button" dataOnly="0" labelOnly="1" outline="0" axis="axisRow" fieldPosition="0"/>
    </format>
    <format dxfId="35">
      <pivotArea dataOnly="0" labelOnly="1" outline="0" axis="axisValues" fieldPosition="0"/>
    </format>
    <format dxfId="34">
      <pivotArea collapsedLevelsAreSubtotals="1" fieldPosition="0">
        <references count="2">
          <reference field="2" count="1">
            <x v="1"/>
          </reference>
          <reference field="3" count="1" selected="0">
            <x v="1"/>
          </reference>
        </references>
      </pivotArea>
    </format>
    <format dxfId="33">
      <pivotArea collapsedLevelsAreSubtotals="1" fieldPosition="0">
        <references count="2">
          <reference field="2" count="1">
            <x v="2"/>
          </reference>
          <reference field="3" count="1" selected="0">
            <x v="1"/>
          </reference>
        </references>
      </pivotArea>
    </format>
    <format dxfId="32">
      <pivotArea collapsedLevelsAreSubtotals="1" fieldPosition="0">
        <references count="2">
          <reference field="2" count="1">
            <x v="3"/>
          </reference>
          <reference field="3" count="1" selected="0">
            <x v="1"/>
          </reference>
        </references>
      </pivotArea>
    </format>
    <format dxfId="31">
      <pivotArea collapsedLevelsAreSubtotals="1" fieldPosition="0">
        <references count="2">
          <reference field="2" count="1">
            <x v="4"/>
          </reference>
          <reference field="3" count="1" selected="0">
            <x v="1"/>
          </reference>
        </references>
      </pivotArea>
    </format>
    <format dxfId="30">
      <pivotArea collapsedLevelsAreSubtotals="1" fieldPosition="0">
        <references count="1">
          <reference field="3" count="1">
            <x v="2"/>
          </reference>
        </references>
      </pivotArea>
    </format>
    <format dxfId="29">
      <pivotArea collapsedLevelsAreSubtotals="1" fieldPosition="0">
        <references count="2">
          <reference field="2" count="1">
            <x v="1"/>
          </reference>
          <reference field="3" count="1" selected="0">
            <x v="2"/>
          </reference>
        </references>
      </pivotArea>
    </format>
    <format dxfId="28">
      <pivotArea collapsedLevelsAreSubtotals="1" fieldPosition="0">
        <references count="2">
          <reference field="2" count="1">
            <x v="2"/>
          </reference>
          <reference field="3" count="1" selected="0">
            <x v="2"/>
          </reference>
        </references>
      </pivotArea>
    </format>
    <format dxfId="27">
      <pivotArea collapsedLevelsAreSubtotals="1" fieldPosition="0">
        <references count="2">
          <reference field="2" count="1">
            <x v="3"/>
          </reference>
          <reference field="3" count="1" selected="0">
            <x v="2"/>
          </reference>
        </references>
      </pivotArea>
    </format>
    <format dxfId="26">
      <pivotArea collapsedLevelsAreSubtotals="1" fieldPosition="0">
        <references count="2">
          <reference field="2" count="1">
            <x v="4"/>
          </reference>
          <reference field="3" count="1" selected="0">
            <x v="2"/>
          </reference>
        </references>
      </pivotArea>
    </format>
    <format dxfId="25">
      <pivotArea collapsedLevelsAreSubtotals="1" fieldPosition="0">
        <references count="1">
          <reference field="3" count="1">
            <x v="3"/>
          </reference>
        </references>
      </pivotArea>
    </format>
    <format dxfId="24">
      <pivotArea collapsedLevelsAreSubtotals="1" fieldPosition="0">
        <references count="2">
          <reference field="2" count="1">
            <x v="1"/>
          </reference>
          <reference field="3" count="1" selected="0">
            <x v="3"/>
          </reference>
        </references>
      </pivotArea>
    </format>
    <format dxfId="23">
      <pivotArea collapsedLevelsAreSubtotals="1" fieldPosition="0">
        <references count="2">
          <reference field="2" count="1">
            <x v="2"/>
          </reference>
          <reference field="3" count="1" selected="0">
            <x v="3"/>
          </reference>
        </references>
      </pivotArea>
    </format>
    <format dxfId="22">
      <pivotArea collapsedLevelsAreSubtotals="1" fieldPosition="0">
        <references count="2">
          <reference field="2" count="1">
            <x v="3"/>
          </reference>
          <reference field="3" count="1" selected="0">
            <x v="3"/>
          </reference>
        </references>
      </pivotArea>
    </format>
    <format dxfId="21">
      <pivotArea collapsedLevelsAreSubtotals="1" fieldPosition="0">
        <references count="2">
          <reference field="2" count="1">
            <x v="4"/>
          </reference>
          <reference field="3" count="1" selected="0">
            <x v="3"/>
          </reference>
        </references>
      </pivotArea>
    </format>
    <format dxfId="20">
      <pivotArea collapsedLevelsAreSubtotals="1" fieldPosition="0">
        <references count="1">
          <reference field="3" count="1">
            <x v="4"/>
          </reference>
        </references>
      </pivotArea>
    </format>
    <format dxfId="19">
      <pivotArea collapsedLevelsAreSubtotals="1" fieldPosition="0">
        <references count="2">
          <reference field="2" count="1">
            <x v="1"/>
          </reference>
          <reference field="3" count="1" selected="0">
            <x v="4"/>
          </reference>
        </references>
      </pivotArea>
    </format>
    <format dxfId="18">
      <pivotArea collapsedLevelsAreSubtotals="1" fieldPosition="0">
        <references count="2">
          <reference field="2" count="1">
            <x v="2"/>
          </reference>
          <reference field="3" count="1" selected="0">
            <x v="4"/>
          </reference>
        </references>
      </pivotArea>
    </format>
    <format dxfId="17">
      <pivotArea collapsedLevelsAreSubtotals="1" fieldPosition="0">
        <references count="2">
          <reference field="2" count="1">
            <x v="3"/>
          </reference>
          <reference field="3" count="1" selected="0">
            <x v="4"/>
          </reference>
        </references>
      </pivotArea>
    </format>
    <format dxfId="16">
      <pivotArea collapsedLevelsAreSubtotals="1" fieldPosition="0">
        <references count="2">
          <reference field="2" count="1">
            <x v="4"/>
          </reference>
          <reference field="3" count="1" selected="0">
            <x v="4"/>
          </reference>
        </references>
      </pivotArea>
    </format>
    <format dxfId="15">
      <pivotArea collapsedLevelsAreSubtotals="1" fieldPosition="0">
        <references count="1">
          <reference field="3" count="1">
            <x v="5"/>
          </reference>
        </references>
      </pivotArea>
    </format>
    <format dxfId="14">
      <pivotArea collapsedLevelsAreSubtotals="1" fieldPosition="0">
        <references count="2">
          <reference field="2" count="1">
            <x v="1"/>
          </reference>
          <reference field="3" count="1" selected="0">
            <x v="5"/>
          </reference>
        </references>
      </pivotArea>
    </format>
    <format dxfId="13">
      <pivotArea collapsedLevelsAreSubtotals="1" fieldPosition="0">
        <references count="2">
          <reference field="2" count="1">
            <x v="2"/>
          </reference>
          <reference field="3" count="1" selected="0">
            <x v="5"/>
          </reference>
        </references>
      </pivotArea>
    </format>
    <format dxfId="12">
      <pivotArea collapsedLevelsAreSubtotals="1" fieldPosition="0">
        <references count="2">
          <reference field="2" count="1">
            <x v="3"/>
          </reference>
          <reference field="3" count="1" selected="0">
            <x v="5"/>
          </reference>
        </references>
      </pivotArea>
    </format>
    <format dxfId="11">
      <pivotArea collapsedLevelsAreSubtotals="1" fieldPosition="0">
        <references count="2">
          <reference field="2" count="1">
            <x v="4"/>
          </reference>
          <reference field="3" count="1" selected="0">
            <x v="5"/>
          </reference>
        </references>
      </pivotArea>
    </format>
    <format dxfId="10">
      <pivotArea collapsedLevelsAreSubtotals="1" fieldPosition="0">
        <references count="1">
          <reference field="3" count="1">
            <x v="6"/>
          </reference>
        </references>
      </pivotArea>
    </format>
    <format dxfId="9">
      <pivotArea collapsedLevelsAreSubtotals="1" fieldPosition="0">
        <references count="2">
          <reference field="2" count="1">
            <x v="1"/>
          </reference>
          <reference field="3" count="1" selected="0">
            <x v="6"/>
          </reference>
        </references>
      </pivotArea>
    </format>
    <format dxfId="8">
      <pivotArea collapsedLevelsAreSubtotals="1" fieldPosition="0">
        <references count="2">
          <reference field="2" count="1">
            <x v="2"/>
          </reference>
          <reference field="3" count="1" selected="0">
            <x v="6"/>
          </reference>
        </references>
      </pivotArea>
    </format>
    <format dxfId="7">
      <pivotArea collapsedLevelsAreSubtotals="1" fieldPosition="0">
        <references count="2">
          <reference field="2" count="1">
            <x v="3"/>
          </reference>
          <reference field="3" count="1" selected="0">
            <x v="6"/>
          </reference>
        </references>
      </pivotArea>
    </format>
    <format dxfId="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AN10" dT="2025-08-06T18:43:20.15" personId="{B61C96CF-201E-4FBB-AE0C-863888EC2CC5}" id="{18363169-A7D7-42DD-888B-F761ACCEE485}">
    <text>Update once there is more data</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2" dT="2023-01-26T22:24:09.34" personId="{609654FB-393E-4954-B3A3-EDB231775774}" id="{B0AE173E-88C7-4C43-8692-EA69235B268A}">
    <text>Hard coded, formulas otherwise maintained.</text>
  </threadedComment>
  <threadedComment ref="AG22" dT="2024-04-26T17:18:21.29" personId="{2C68A5A1-706F-4A3E-93A3-741BBABEC4EA}" id="{EC257424-3C35-4E89-BC13-81BB897D99B1}">
    <text>We set this equal to 0 because ARP Quarterly ran out of data and it's small anyway</text>
  </threadedComment>
  <threadedComment ref="AG23" dT="2024-04-26T17:19:21.98" personId="{2C68A5A1-706F-4A3E-93A3-741BBABEC4EA}" id="{2042EA8F-AFDD-40F5-975B-1EE9661A1F7D}">
    <text>We set this equal to 0 because ARP Quarterly ran out of data and it's small anyway</text>
  </threadedComment>
  <threadedComment ref="W24"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5" dT="2022-10-27T17:47:53.13" personId="{609654FB-393E-4954-B3A3-EDB231775774}" id="{235CAA93-3154-4EE8-8464-7B6A92AD61AE}">
    <text>This didn't get automatically pulled in by Haver. Run Haver pull tomorrow.</text>
  </threadedComment>
  <threadedComment ref="U25" dT="2023-04-28T16:49:22.08" personId="{104078EE-2393-4C21-9029-18A325FBDB70}" id="{AF07707A-0AB9-4DEF-BCDB-3A8A1879E97E}">
    <text>Back to pre-pandemic level so we no longer get data from BEA and we don't use it</text>
  </threadedComment>
  <threadedComment ref="S27" dT="2022-10-27T17:37:59.67" personId="{609654FB-393E-4954-B3A3-EDB231775774}" id="{83D694D8-9AA8-4EE4-BBD5-83FADB7033F7}">
    <text>Another prediction ARP will crash. Do we still want this?</text>
  </threadedComment>
  <threadedComment ref="B28" dT="2023-02-16T19:02:57.27" personId="{609654FB-393E-4954-B3A3-EDB231775774}" id="{D527F62C-879E-4A08-96E8-D6F40D9D8EBB}">
    <text>Same issue as previous--we have policies but they don't feed into anything we get from the CBO. So what do we do?</text>
  </threadedComment>
  <threadedComment ref="W44" dT="2023-07-28T17:56:37.74" personId="{2C68A5A1-706F-4A3E-93A3-741BBABEC4EA}" id="{7AFF80FB-09A6-46E2-A0FD-31F1CA6ACC32}">
    <text>We're assuming it will stay at 37.7 because of the new TFP</text>
  </threadedComment>
  <threadedComment ref="B77" dT="2023-02-24T16:39:02.09" personId="{104078EE-2393-4C21-9029-18A325FBDB70}" id="{A87F0E1F-EE65-4D57-8D74-EEA13146A4C2}">
    <text>CBO Feb 2023 budget projections table 1-4, social security subtotal</text>
  </threadedComment>
  <threadedComment ref="B77" dT="2023-06-29T15:43:04.78" personId="{2C68A5A1-706F-4A3E-93A3-741BBABEC4EA}" id="{05D692CA-CBAB-4B45-84BD-BDA29C36DFC3}" parentId="{A87F0E1F-EE65-4D57-8D74-EEA13146A4C2}">
    <text>CBO May 2023 budget projections supplemental table 2, social security subtotal</text>
  </threadedComment>
  <threadedComment ref="B77"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77"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77"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AD16" dT="2025-08-05T20:24:56.54" personId="{B61C96CF-201E-4FBB-AE0C-863888EC2CC5}" id="{58AC9925-C9D4-4FBB-9A9D-964D937718B7}">
    <text>Do not drag forward as we forecast this differently.</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D19" dT="2025-08-28T13:44:37.49" personId="{B61C96CF-201E-4FBB-AE0C-863888EC2CC5}" id="{32416F5F-2629-4CED-B47F-FBF4624F278E}">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13:44:55.16" personId="{B61C96CF-201E-4FBB-AE0C-863888EC2CC5}" id="{277F5CA3-F656-4125-998E-C4839D288D01}">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L44" dT="2025-08-05T20:50:39.18" personId="{B61C96CF-201E-4FBB-AE0C-863888EC2CC5}" id="{456C9F3F-BF20-460E-9B0A-A2F60F61B91C}" parentId="{3226D48D-8EB7-4B9C-B680-A80BCA57EBDA}">
    <text>We adjusted this to match our forecast</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M60" dT="2025-08-05T20:54:48.28" personId="{B61C96CF-201E-4FBB-AE0C-863888EC2CC5}" id="{7DFAF430-F4E7-4637-9022-25D4903EFAD5}" parentId="{D25A36D9-28A7-4FC3-9120-890A23F5F3DF}">
    <text>Removed and included an add factor based on Current Law in OBBBA add factor</text>
  </threadedComment>
  <threadedComment ref="D62" dT="2023-02-15T20:40:59.29" personId="{609654FB-393E-4954-B3A3-EDB231775774}" id="{097006B6-67FE-456D-98C0-EEDBBF620524}">
    <text>February 2023 Budget Projections Table 1 Row 13</text>
  </threadedComment>
  <threadedComment ref="D62" dT="2023-07-27T18:42:32.97" personId="{609654FB-393E-4954-B3A3-EDB231775774}" id="{47972C5B-1EA3-4920-9C72-53098C6EE1E6}" parentId="{097006B6-67FE-456D-98C0-EEDBBF620524}">
    <text>These are now May 2023 Budget Projections Table 1 row 13</text>
  </threadedComment>
  <threadedComment ref="D62" dT="2024-02-22T14:36:16.32" personId="{09FAC3F1-DFDB-4CF8-9903-358701529E2B}" id="{6FE65376-98C3-4A98-9D0E-A3141E7D6F88}" parentId="{097006B6-67FE-456D-98C0-EEDBBF620524}">
    <text>February 2024 CBO Budget Projections Table 1-1 Row 11</text>
  </threadedComment>
  <threadedComment ref="D62" dT="2024-06-27T14:28:28.14" personId="{2C68A5A1-706F-4A3E-93A3-741BBABEC4EA}" id="{512A4DAA-221D-4FB4-84C0-48654CC9EBEA}" parentId="{097006B6-67FE-456D-98C0-EEDBBF620524}">
    <text>June 2024 CBO Budget Projections Table 1-1 Row 11</text>
  </threadedComment>
  <threadedComment ref="D62" dT="2025-01-23T19:51:13.49" personId="{B61C96CF-201E-4FBB-AE0C-863888EC2CC5}" id="{C525E404-B98D-4057-8514-9B0FA7C1D6B2}" parentId="{097006B6-67FE-456D-98C0-EEDBBF620524}">
    <text>January 2025 CBO Budget Projections Table B-1 Row 12 from 2024 onward</text>
  </threadedComment>
  <threadedComment ref="D64" dT="2023-02-15T20:49:24.23" personId="{609654FB-393E-4954-B3A3-EDB231775774}" id="{75116B21-85F0-41FF-8761-1C32F5413CDC}">
    <text>February 2023 CBO Budget Projections Table 1-6 Row 14</text>
  </threadedComment>
  <threadedComment ref="D64" dT="2024-02-22T14:44:59.03" personId="{09FAC3F1-DFDB-4CF8-9903-358701529E2B}" id="{E5D0E48D-7BF7-43CB-89A1-F96118BD8563}" parentId="{75116B21-85F0-41FF-8761-1C32F5413CDC}">
    <text>February 2024 CBO Budget Projections Table 1-7 Row 14</text>
  </threadedComment>
  <threadedComment ref="D64" dT="2024-06-27T21:11:02.98" personId="{09FAC3F1-DFDB-4CF8-9903-358701529E2B}" id="{CAC567F3-8886-4E0B-A946-B1F4F8217E12}" parentId="{75116B21-85F0-41FF-8761-1C32F5413CDC}">
    <text>June 2024 CBO Revenue Projections by Category, Revenue Projections, Row 14</text>
  </threadedComment>
  <threadedComment ref="D64" dT="2025-01-24T16:18:13.91" personId="{09FAC3F1-DFDB-4CF8-9903-358701529E2B}" id="{E032A028-A56A-4921-B4FA-EB71BFC10271}" parentId="{75116B21-85F0-41FF-8761-1C32F5413CDC}">
    <text>January 2025 CBO Revenue Projections, by Category, Revenue Projections Row 14</text>
  </threadedComment>
  <threadedComment ref="D65" dT="2023-02-15T20:50:01.14" personId="{609654FB-393E-4954-B3A3-EDB231775774}" id="{EBDB931A-D867-4379-AEC4-D01DA7FE1ACD}">
    <text>February 2023 CBO Budget Projections Table 1-6 Row 16</text>
  </threadedComment>
  <threadedComment ref="D65" dT="2024-02-22T14:45:22.24" personId="{09FAC3F1-DFDB-4CF8-9903-358701529E2B}" id="{ED794DE9-410D-4C15-B82A-5D3CF41DD874}" parentId="{EBDB931A-D867-4379-AEC4-D01DA7FE1ACD}">
    <text>February 2024 CBO Budget Projections Table 1-7, row 16</text>
  </threadedComment>
  <threadedComment ref="D65" dT="2024-06-27T21:11:21.66" personId="{09FAC3F1-DFDB-4CF8-9903-358701529E2B}" id="{1D6374F3-7234-4C5B-AC35-F11980D0384F}" parentId="{EBDB931A-D867-4379-AEC4-D01DA7FE1ACD}">
    <text>June 2024 CBO Revenue Projections, Revenue Projections Sheet, Row 16</text>
  </threadedComment>
  <threadedComment ref="D65" dT="2025-01-24T16:20:10.43" personId="{09FAC3F1-DFDB-4CF8-9903-358701529E2B}" id="{FCE743DB-D29D-44C1-83E8-73F6E97FFD06}" parentId="{EBDB931A-D867-4379-AEC4-D01DA7FE1ACD}">
    <text xml:space="preserve">January 2025 CBO Revenue Projections, Revenue Projections Sheet, Row 15
</text>
  </threadedComment>
  <threadedComment ref="D66" dT="2023-02-15T20:51:09.94" personId="{609654FB-393E-4954-B3A3-EDB231775774}" id="{2C4BAD88-B40B-4A01-A5F2-F84C2536C03E}">
    <text>May 2023 CBO Budget Projections Table 1 Row 14</text>
  </threadedComment>
  <threadedComment ref="D66" dT="2024-02-22T14:47:44.47" personId="{09FAC3F1-DFDB-4CF8-9903-358701529E2B}" id="{56D856A9-9BA2-49ED-883D-63CB631230CC}" parentId="{2C4BAD88-B40B-4A01-A5F2-F84C2536C03E}">
    <text>February 2023 CBO Budget Projections Table 1-1, row 12</text>
  </threadedComment>
  <threadedComment ref="D66" dT="2024-06-27T14:32:38.18" personId="{2C68A5A1-706F-4A3E-93A3-741BBABEC4EA}" id="{FD495377-F4B3-4E2A-B7D0-A8B8FF2573A7}" parentId="{2C4BAD88-B40B-4A01-A5F2-F84C2536C03E}">
    <text>June 2024 CBO Budget projections table 1-1 row 12</text>
  </threadedComment>
  <threadedComment ref="D66" dT="2025-01-23T19:53:53.10" personId="{B61C96CF-201E-4FBB-AE0C-863888EC2CC5}" id="{F9AE7CE9-F293-4D36-A070-90D0725CEE0C}" parentId="{2C4BAD88-B40B-4A01-A5F2-F84C2536C03E}">
    <text>January 2025 CBO Budget Projections Table B-1 row 13 from 2024 onward</text>
  </threadedComment>
  <threadedComment ref="M66" dT="2024-05-30T19:35:19.75" personId="{2C68A5A1-706F-4A3E-93A3-741BBABEC4EA}" id="{FE7E9557-0FDB-4920-AE7B-BFDFF7C3F868}" done="1">
    <text xml:space="preserve">See comment in M56 on using CBO estimate of TCJA not expiring
</text>
  </threadedComment>
  <threadedComment ref="D84" dT="2023-02-15T20:53:24.39" personId="{609654FB-393E-4954-B3A3-EDB231775774}" id="{EDAE8D47-AFCA-423D-A859-CA0C5A663F65}">
    <text>February 2023 CBO Economic Projections Fiscal Year Table row 92</text>
  </threadedComment>
  <threadedComment ref="D84" dT="2023-07-27T18:46:48.63" personId="{609654FB-393E-4954-B3A3-EDB231775774}" id="{0CE4D702-B30F-4920-BFC6-75E7E8E3FE94}" parentId="{EDAE8D47-AFCA-423D-A859-CA0C5A663F65}">
    <text>July 2023 now</text>
  </threadedComment>
  <threadedComment ref="D84" dT="2024-02-22T15:10:21.02" personId="{09FAC3F1-DFDB-4CF8-9903-358701529E2B}" id="{7AE8B3C4-B170-462F-B829-C4CBDBAF4609}" parentId="{EDAE8D47-AFCA-423D-A859-CA0C5A663F65}">
    <text>This is now February 2024 CBO Economic Projections Fiscal Year Sheet, row 94</text>
  </threadedComment>
  <threadedComment ref="D84" dT="2024-06-27T14:34:45.71" personId="{2C68A5A1-706F-4A3E-93A3-741BBABEC4EA}" id="{391545C3-75BA-4E8A-B80C-D080C3D4D887}" parentId="{EDAE8D47-AFCA-423D-A859-CA0C5A663F65}">
    <text>June 2024 Econ projections Fiscal Year sheet row 94. Pasted for 2021 onward</text>
  </threadedComment>
  <threadedComment ref="D84" dT="2025-01-23T19:55:46.36" personId="{B61C96CF-201E-4FBB-AE0C-863888EC2CC5}" id="{38D6559F-A2C1-454D-9735-7FE503578198}" parentId="{EDAE8D47-AFCA-423D-A859-CA0C5A663F65}">
    <text>January 2025 Economic Projections Fiscal Year Sheet row 94 from 2022 onward</text>
  </threadedComment>
  <threadedComment ref="D85" dT="2023-02-15T20:55:16.88" personId="{609654FB-393E-4954-B3A3-EDB231775774}" id="{98619BF5-BFE1-4C95-8FB5-43A86C16D5FA}">
    <text>February 2023 CBO Economic Projections Fiscal Year Table row 96</text>
  </threadedComment>
  <threadedComment ref="D85" dT="2023-07-27T18:46:54.82" personId="{609654FB-393E-4954-B3A3-EDB231775774}" id="{4FC7086E-9C1C-4EE4-8D09-08117BD8E9A6}" parentId="{98619BF5-BFE1-4C95-8FB5-43A86C16D5FA}">
    <text>July 2023 now</text>
  </threadedComment>
  <threadedComment ref="D85" dT="2024-02-22T15:12:46.20" personId="{09FAC3F1-DFDB-4CF8-9903-358701529E2B}" id="{51B2DBD7-8496-49F3-945F-2B112D3108D8}" parentId="{98619BF5-BFE1-4C95-8FB5-43A86C16D5FA}">
    <text>This is now February 2024 CBO Economic Projections Fiscal Year Table row, row 98</text>
  </threadedComment>
  <threadedComment ref="D85" dT="2024-06-27T14:35:02.92" personId="{2C68A5A1-706F-4A3E-93A3-741BBABEC4EA}" id="{388DD623-D96E-4D43-A2D5-5E89866F2D9C}" parentId="{98619BF5-BFE1-4C95-8FB5-43A86C16D5FA}">
    <text>June 2024 Econ projections Fiscal Year sheet row 98. Pasted for 2021 onward</text>
  </threadedComment>
  <threadedComment ref="D85" dT="2025-01-23T21:37:17.60" personId="{B61C96CF-201E-4FBB-AE0C-863888EC2CC5}" id="{EDE6B7F6-F00C-413D-9541-8D68546383B2}" parentId="{98619BF5-BFE1-4C95-8FB5-43A86C16D5FA}">
    <text>January 2025 Economic Projections Fiscal Year Row 98 from 2022 onward</text>
  </threadedComment>
  <threadedComment ref="D86" dT="2023-02-15T20:56:03.85" personId="{609654FB-393E-4954-B3A3-EDB231775774}" id="{46014701-D9E5-4859-A3AE-AC59F7604C25}">
    <text>February 2023 CBO Economic Projections, Fiscal Year Table row 116</text>
  </threadedComment>
  <threadedComment ref="D86" dT="2023-07-27T18:47:32.66" personId="{609654FB-393E-4954-B3A3-EDB231775774}" id="{D033DF60-0EA4-42B2-BD4E-BFE9E46BB54B}" parentId="{46014701-D9E5-4859-A3AE-AC59F7604C25}">
    <text>July now</text>
  </threadedComment>
  <threadedComment ref="D86" dT="2024-02-22T15:13:36.88" personId="{09FAC3F1-DFDB-4CF8-9903-358701529E2B}" id="{DAC5B9ED-E3AA-4747-95FD-480C9B8E3AA2}" parentId="{46014701-D9E5-4859-A3AE-AC59F7604C25}">
    <text>February 2024 CBO Economic Projections, Fiscal Year Table, row 118</text>
  </threadedComment>
  <threadedComment ref="D86" dT="2024-06-27T14:36:46.17" personId="{2C68A5A1-706F-4A3E-93A3-741BBABEC4EA}" id="{9AB0F8C1-8EF4-4A61-8E26-73D627A86EFA}" parentId="{46014701-D9E5-4859-A3AE-AC59F7604C25}">
    <text>June 2024 CBO Economic Projections, Fiscal Year Table, row 118 pasted from 2021 onward</text>
  </threadedComment>
  <threadedComment ref="D86" dT="2025-01-23T21:39:29.83" personId="{B61C96CF-201E-4FBB-AE0C-863888EC2CC5}" id="{EF393852-E852-4B38-92F3-F6E5CDDCFBE9}" parentId="{46014701-D9E5-4859-A3AE-AC59F7604C25}">
    <text>January 2025 CBO Economic Projections, Fiscal Year Table, row 118 from 2022 onward</text>
  </threadedComment>
  <threadedComment ref="D87" dT="2023-02-15T20:57:01.88" personId="{609654FB-393E-4954-B3A3-EDB231775774}" id="{8B80F2C4-DC7D-4FD8-A76B-013229C88626}">
    <text>February 2023 CBO Economic Projections Fiscal Year Table row 110</text>
  </threadedComment>
  <threadedComment ref="D87" dT="2023-07-27T18:47:56.03" personId="{609654FB-393E-4954-B3A3-EDB231775774}" id="{0E2C819B-A949-4133-9197-4914E69E57D6}" parentId="{8B80F2C4-DC7D-4FD8-A76B-013229C88626}">
    <text>July now</text>
  </threadedComment>
  <threadedComment ref="D87" dT="2024-02-22T15:15:43.17" personId="{09FAC3F1-DFDB-4CF8-9903-358701529E2B}" id="{5E65C3B6-7591-434A-A302-8D343F00AAEA}" parentId="{8B80F2C4-DC7D-4FD8-A76B-013229C88626}">
    <text>This is now February 2024 CBO Economic Projections Fiscal Year Table, row 112</text>
  </threadedComment>
  <threadedComment ref="D87" dT="2024-06-27T14:37:42.80" personId="{2C68A5A1-706F-4A3E-93A3-741BBABEC4EA}" id="{E3557D96-DE00-477F-A1AE-D3C649C5BAC9}" parentId="{8B80F2C4-DC7D-4FD8-A76B-013229C88626}">
    <text>June 2024 CBO Economic Projections Fiscal Year Table, row 112 from 2021 onward</text>
  </threadedComment>
  <threadedComment ref="D87" dT="2025-01-23T21:41:08.62" personId="{B61C96CF-201E-4FBB-AE0C-863888EC2CC5}" id="{DAB742E1-69C2-4178-8DA0-205662AEA824}" parentId="{8B80F2C4-DC7D-4FD8-A76B-013229C88626}">
    <text>January 2025 CBO Economic Projections Fiscal Year Table, row 112 from 2022 onward</text>
  </threadedComment>
  <threadedComment ref="D108" dT="2023-02-15T21:14:11.24" personId="{609654FB-393E-4954-B3A3-EDB231775774}" id="{D8EA9740-DEF1-4DB0-BE97-84BC7067AF0C}">
    <text>February 2023 CBO Economic Projections Quarterly Table, row 96</text>
  </threadedComment>
  <threadedComment ref="D108" dT="2023-07-27T18:51:44.27" personId="{609654FB-393E-4954-B3A3-EDB231775774}" id="{399961A0-76CD-4567-ABB2-73B23F0A809E}" parentId="{D8EA9740-DEF1-4DB0-BE97-84BC7067AF0C}">
    <text>Same table and row, July 2023</text>
  </threadedComment>
  <threadedComment ref="D108" dT="2024-02-22T15:28:26.88" personId="{09FAC3F1-DFDB-4CF8-9903-358701529E2B}" id="{87D40157-C1F2-4FE8-828B-C4F0E6CF9780}" parentId="{D8EA9740-DEF1-4DB0-BE97-84BC7067AF0C}">
    <text>February 2024 CBO Economic Projections Quarterly Table, row 98</text>
  </threadedComment>
  <threadedComment ref="D108" dT="2024-06-27T14:40:11.35" personId="{2C68A5A1-706F-4A3E-93A3-741BBABEC4EA}" id="{7753BE9A-55B4-496C-AA32-94241080EBE4}" parentId="{D8EA9740-DEF1-4DB0-BE97-84BC7067AF0C}">
    <text>Ju 2024 economic projections quarterly table row 98 pasted from 2021 Q1 onward</text>
  </threadedComment>
  <threadedComment ref="D108" dT="2025-01-23T21:43:23.67" personId="{B61C96CF-201E-4FBB-AE0C-863888EC2CC5}" id="{36C6FB06-4CBB-490E-BBC4-4E898ABD02FF}" parentId="{D8EA9740-DEF1-4DB0-BE97-84BC7067AF0C}">
    <text>January 2025 Economic Projections Quarterly Table, Row 98 from 2022 Q1 onward</text>
  </threadedComment>
  <threadedComment ref="D109" dT="2023-02-15T21:14:52.42" personId="{609654FB-393E-4954-B3A3-EDB231775774}" id="{01A0D228-FB54-4190-9CF6-9C01EC1BA5B9}">
    <text>February 2023 CBO Economic Projections quarterly tables, row 98</text>
  </threadedComment>
  <threadedComment ref="D109" dT="2023-07-27T18:51:58.38" personId="{609654FB-393E-4954-B3A3-EDB231775774}" id="{6E1FAE13-5A68-4FE8-8FA0-1053141CB3C4}" parentId="{01A0D228-FB54-4190-9CF6-9C01EC1BA5B9}">
    <text>Same table and row, July 2023</text>
  </threadedComment>
  <threadedComment ref="D109" dT="2024-02-22T15:30:49.62" personId="{09FAC3F1-DFDB-4CF8-9903-358701529E2B}" id="{E119985C-D646-4892-8A75-85679B84D917}" parentId="{01A0D228-FB54-4190-9CF6-9C01EC1BA5B9}">
    <text>February 2024 CBO Economic Projections quarterly tables, row 100</text>
  </threadedComment>
  <threadedComment ref="D109" dT="2024-06-27T14:41:16.43" personId="{2C68A5A1-706F-4A3E-93A3-741BBABEC4EA}" id="{39CE186E-7681-41C2-93D2-3339FE77B061}" parentId="{01A0D228-FB54-4190-9CF6-9C01EC1BA5B9}">
    <text>June 2024 CBO Economic Projections Quarterly table row 100 from 2021 Q1 onward</text>
  </threadedComment>
  <threadedComment ref="D109" dT="2025-01-23T21:44:55.46" personId="{B61C96CF-201E-4FBB-AE0C-863888EC2CC5}" id="{A4F62206-F061-4E64-9EB3-53347C2451E8}" parentId="{01A0D228-FB54-4190-9CF6-9C01EC1BA5B9}">
    <text>January 2025 CBO Economic Projections Quarterly Table, Row 100 from 2022 Q1 onward</text>
  </threadedComment>
  <threadedComment ref="D110" dT="2023-02-15T21:15:38.27" personId="{609654FB-393E-4954-B3A3-EDB231775774}" id="{6D8A3FCA-DD94-4151-98C1-C08147ACC4FE}">
    <text>February 2023 CBO Economic Projections quarterly table, row 116</text>
  </threadedComment>
  <threadedComment ref="D110" dT="2023-07-27T18:51:50.61" personId="{609654FB-393E-4954-B3A3-EDB231775774}" id="{719D2217-E5E3-4821-A242-3276C342DE0E}" parentId="{6D8A3FCA-DD94-4151-98C1-C08147ACC4FE}">
    <text>Same table and row, July 2023</text>
  </threadedComment>
  <threadedComment ref="D110" dT="2024-02-22T15:37:14.65" personId="{09FAC3F1-DFDB-4CF8-9903-358701529E2B}" id="{FADB33BB-BCAB-4425-A604-B2B5DF9306B1}" parentId="{6D8A3FCA-DD94-4151-98C1-C08147ACC4FE}">
    <text>This is now February 2024 CBO Economic Projections Quarterly Table, row 118</text>
  </threadedComment>
  <threadedComment ref="D110"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0" dT="2025-01-23T21:45:46.12" personId="{B61C96CF-201E-4FBB-AE0C-863888EC2CC5}" id="{49BCD814-D450-4C94-91A2-9FB37D0E0FE3}" parentId="{6D8A3FCA-DD94-4151-98C1-C08147ACC4FE}">
    <text>January 2025 CBO Economic Projections Quarterly Table, Row 118 from 2022 Q1 onward</text>
  </threadedComment>
  <threadedComment ref="D111" dT="2023-02-15T21:16:25.78" personId="{609654FB-393E-4954-B3A3-EDB231775774}" id="{E66890F8-22DF-42B0-AC60-B1869F7BC621}">
    <text>February 2023 CBO Economic Projections quarterly table row 112</text>
  </threadedComment>
  <threadedComment ref="D111" dT="2023-07-27T18:52:05.52" personId="{609654FB-393E-4954-B3A3-EDB231775774}" id="{F7A27CC0-C2FC-48F0-A609-745A420CC291}" parentId="{E66890F8-22DF-42B0-AC60-B1869F7BC621}">
    <text>Same table and row, July 2023</text>
  </threadedComment>
  <threadedComment ref="D111" dT="2024-02-22T15:42:56.34" personId="{09FAC3F1-DFDB-4CF8-9903-358701529E2B}" id="{2C2B4911-84B8-41A5-8DE1-C7EEC224424A}" parentId="{E66890F8-22DF-42B0-AC60-B1869F7BC621}">
    <text>February 2024 CBO Economic Projections quarterly table row 114 corporate profits domestic</text>
  </threadedComment>
  <threadedComment ref="D111"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1"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4" dT="2023-04-27T03:02:33.18" personId="{2C68A5A1-706F-4A3E-93A3-741BBABEC4EA}" id="{C6C0613E-5824-4E44-9B9B-56A8FAD3277B}">
    <text>I can't drag these over because of circular references.</text>
  </threadedComment>
  <threadedComment ref="V137" dT="2023-07-27T14:08:57.55" personId="{2C68A5A1-706F-4A3E-93A3-741BBABEC4EA}" id="{76E9B5E8-2A8A-4C12-9070-2F3AE74C018D}">
    <text>Drag my predecessor forward in August 2023!! (Corporate taxes come in late, and we couldn't update in July!)</text>
  </threadedComment>
  <threadedComment ref="W137" dT="2023-10-26T13:42:51.37" personId="{609654FB-393E-4954-B3A3-EDB231775774}" id="{C29AB431-29D9-4CCA-987B-D276EB079D36}">
    <text>Drag forward in November by same logic as in previous cell.</text>
  </threadedComment>
  <threadedComment ref="X137" dT="2024-01-24T19:09:22.97" personId="{09FAC3F1-DFDB-4CF8-9903-358701529E2B}" id="{8B1B2CE3-6A04-42EE-BE87-716D5CF48A6A}">
    <text>Drag forward in February because we get Q4 Data 1 month late.</text>
  </threadedComment>
  <threadedComment ref="Y137" dT="2024-07-25T15:51:05.68" personId="{09FAC3F1-DFDB-4CF8-9903-358701529E2B}" id="{0636232B-B9F8-4715-951F-C32233D486DD}">
    <text xml:space="preserve">Drag forward in August because we get the data a month late. </text>
  </threadedComment>
  <threadedComment ref="Z137" dT="2024-08-29T14:15:29.25" personId="{09FAC3F1-DFDB-4CF8-9903-358701529E2B}" id="{19F28DCE-9161-40FF-A0B0-819C3E4800B6}">
    <text xml:space="preserve">Drag this forward in November because we get taxes a month late. </text>
  </threadedComment>
  <threadedComment ref="AA137" dT="2025-01-31T15:14:38.88" personId="{B61C96CF-201E-4FBB-AE0C-863888EC2CC5}" id="{FC537E22-6E2A-4FE6-AC48-0FF2E86CD862}">
    <text xml:space="preserve">Drag this forward in February because we get taxes a month late. </text>
  </threadedComment>
  <threadedComment ref="AC137" dT="2025-05-29T15:32:21.65" personId="{B61C96CF-201E-4FBB-AE0C-863888EC2CC5}" id="{A0BB555F-DC13-4C98-8E1D-5CFBA09D2493}">
    <text>Drag this forward in August because we get taxes a month late.</text>
  </threadedComment>
  <threadedComment ref="AD137" dT="2025-08-28T13:45:19.06" personId="{B61C96CF-201E-4FBB-AE0C-863888EC2CC5}" id="{B294A1F0-7EFA-4C5B-9DC7-6AA798C3430F}">
    <text xml:space="preserve">Drag this forward in November - we get corporate taxes a month late. </text>
  </threadedComment>
</ThreadedComments>
</file>

<file path=xl/threadedComments/threadedComment15.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6.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7.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www.bea.gov/news/current-releases"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s://www.bea.gov/news/current-releases"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comment" Type="http://schemas.openxmlformats.org/officeDocument/2006/relationships/comments" Target="../comments9.xml"/><Relationship Id="rIdthread" Type="http://schemas.microsoft.com/office/2017/10/relationships/threadedComment" Target="../threadedComments/threadedComment1.xml"/><Relationship Id="rId1h" Type="http://schemas.openxmlformats.org/officeDocument/2006/relationships/hyperlink" Target="https://www.bea.gov/help/faq/1407" TargetMode="External"/><Relationship Id="rId2h" Type="http://schemas.openxmlformats.org/officeDocument/2006/relationships/hyperlink" Target="https://www.bea.gov/help/faq/121" TargetMode="External"/><Relationship Id="rId3h" Type="http://schemas.openxmlformats.org/officeDocument/2006/relationships/hyperlink" Target="https://www.bea.gov/help/faq/1415" TargetMode="External"/><Relationship Id="rId4h" Type="http://schemas.openxmlformats.org/officeDocument/2006/relationships/hyperlink" Target="https://www.bea.gov/help/faq/1409" TargetMode="External"/><Relationship Id="rId5h" Type="http://schemas.openxmlformats.org/officeDocument/2006/relationships/hyperlink" Target="https://www.bea.gov/help/faq/1407" TargetMode="External"/><Relationship Id="rId6h" Type="http://schemas.openxmlformats.org/officeDocument/2006/relationships/hyperlink" Target="https://www.bea.gov/help/faq/121" TargetMode="External"/><Relationship Id="rId7h" Type="http://schemas.openxmlformats.org/officeDocument/2006/relationships/hyperlink" Target="https://www.bea.gov/help/faq/1409" TargetMode="External"/><Relationship Id="rId8h" Type="http://schemas.openxmlformats.org/officeDocument/2006/relationships/hyperlink" Target="mailto:lasgova@usecon" TargetMode="External"/><Relationship Id="rId9h"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comment" Type="http://schemas.openxmlformats.org/officeDocument/2006/relationships/comments" Target="../comments11.xml"/><Relationship Id="rIdthread" Type="http://schemas.microsoft.com/office/2017/10/relationships/threadedComment" Target="../threadedComments/threadedComment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20001" Type="http://schemas.openxmlformats.org/officeDocument/2006/relationships/pivotTable" Target="../pivotTables/pivotTable1.xml"/><Relationship Id="rIdcomment" Type="http://schemas.openxmlformats.org/officeDocument/2006/relationships/comments" Target="../comments13.xml"/><Relationship Id="rIdthread" Type="http://schemas.microsoft.com/office/2017/10/relationships/threadedComment" Target="../threadedComments/threadedComment3.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20001" Type="http://schemas.openxmlformats.org/officeDocument/2006/relationships/pivotTable" Target="../pivotTables/pivotTable2.xml"/><Relationship Id="rIdcomment" Type="http://schemas.openxmlformats.org/officeDocument/2006/relationships/comments" Target="../comments14.xml"/><Relationship Id="rIdthread" Type="http://schemas.microsoft.com/office/2017/10/relationships/threadedComment" Target="../threadedComments/threadedComment4.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comment" Type="http://schemas.openxmlformats.org/officeDocument/2006/relationships/comments" Target="../comments15.xml"/><Relationship Id="rIdthread" Type="http://schemas.microsoft.com/office/2017/10/relationships/threadedComment" Target="../threadedComments/threadedComment5.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comment" Type="http://schemas.openxmlformats.org/officeDocument/2006/relationships/comments" Target="../comments16.xml"/><Relationship Id="rIdthread" Type="http://schemas.microsoft.com/office/2017/10/relationships/threadedComment" Target="../threadedComments/threadedComment6.xml"/><Relationship Id="rId1h" Type="http://schemas.openxmlformats.org/officeDocument/2006/relationships/hyperlink" Target="mailto:lasgova@usecon" TargetMode="External"/><Relationship Id="rId2h" Type="http://schemas.openxmlformats.org/officeDocument/2006/relationships/hyperlink" Target="mailto:lalgova@usecon" TargetMode="Externa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comment" Type="http://schemas.openxmlformats.org/officeDocument/2006/relationships/comments" Target="../comments17.xml"/><Relationship Id="rIdthread" Type="http://schemas.microsoft.com/office/2017/10/relationships/threadedComment" Target="../threadedComments/threadedComment7.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comment" Type="http://schemas.openxmlformats.org/officeDocument/2006/relationships/comments" Target="../comments18.xml"/><Relationship Id="rIdthread" Type="http://schemas.microsoft.com/office/2017/10/relationships/threadedComment" Target="../threadedComments/threadedComment8.x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 Id="rIdcomment" Type="http://schemas.openxmlformats.org/officeDocument/2006/relationships/comments" Target="../comments19.xml"/><Relationship Id="rIdthread" Type="http://schemas.microsoft.com/office/2017/10/relationships/threadedComment" Target="../threadedComments/threadedComment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 Id="rIdcomment" Type="http://schemas.openxmlformats.org/officeDocument/2006/relationships/comments" Target="../comments20.xml"/><Relationship Id="rIdthread" Type="http://schemas.microsoft.com/office/2017/10/relationships/threadedComment" Target="../threadedComments/threadedComment10.xml"/><Relationship Id="rId1h" Type="http://schemas.openxmlformats.org/officeDocument/2006/relationships/hyperlink" Target="https://www.cbo.gov/system/files/2023-03/58983-IDR.pdf" TargetMode="Externa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 Id="rIdcomment" Type="http://schemas.openxmlformats.org/officeDocument/2006/relationships/comments" Target="../comments21.xml"/><Relationship Id="rIdthread" Type="http://schemas.microsoft.com/office/2017/10/relationships/threadedComment" Target="../threadedComments/threadedComment11.x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 Id="rIdcomment" Type="http://schemas.openxmlformats.org/officeDocument/2006/relationships/comments" Target="../comments22.xml"/><Relationship Id="rIdthread" Type="http://schemas.microsoft.com/office/2017/10/relationships/threadedComment" Target="../threadedComments/threadedComment12.x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 Id="rIdcomment" Type="http://schemas.openxmlformats.org/officeDocument/2006/relationships/comments" Target="../comments23.xml"/><Relationship Id="rIdthread" Type="http://schemas.microsoft.com/office/2017/10/relationships/threadedComment" Target="../threadedComments/threadedComment1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 Id="rIdcomment" Type="http://schemas.openxmlformats.org/officeDocument/2006/relationships/comments" Target="../comments25.xml"/><Relationship Id="rIdthread" Type="http://schemas.microsoft.com/office/2017/10/relationships/threadedComment" Target="../threadedComments/threadedComment14.x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 Id="rIdcomment" Type="http://schemas.openxmlformats.org/officeDocument/2006/relationships/comments" Target="../comments26.xml"/><Relationship Id="rIdthread" Type="http://schemas.microsoft.com/office/2017/10/relationships/threadedComment" Target="../threadedComments/threadedComment15.x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 Id="rId1h" Type="http://schemas.openxmlformats.org/officeDocument/2006/relationships/hyperlink" Target="https://www.americanactionforum.org/research/tracker-paycheck-protection-program-loans/" TargetMode="Externa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 Id="rId1h" Type="http://schemas.openxmlformats.org/officeDocument/2006/relationships/hyperlink" Target="https://www.bea.gov/sites/default/files/2021-05/effects-of-selected-federal-pandemic-response-programs-on-personal-income-april-2021.pdf" TargetMode="External"/></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31.xml"/><Relationship Id="rId2" Type="http://schemas.openxmlformats.org/officeDocument/2006/relationships/printerSettings" Target="../printerSettings/printerSettings31.bin"/><Relationship Id="rIdvml" Type="http://schemas.openxmlformats.org/officeDocument/2006/relationships/vmlDrawing" Target="../drawings/vmlDrawing31.vml"/><Relationship Id="rId1h" Type="http://schemas.openxmlformats.org/officeDocument/2006/relationships/hyperlink" Target="http://www.cbo.gov/publication/56517" TargetMode="External"/></Relationships>
</file>

<file path=xl/worksheets/_rels/sheet32.xml.rels><?xml version="1.0" encoding="UTF-8" standalone="yes"?><Relationships xmlns="http://schemas.openxmlformats.org/package/2006/relationships"><Relationship Id="rId1" Type="http://schemas.openxmlformats.org/officeDocument/2006/relationships/drawing" Target="../drawings/drawing32.xml"/><Relationship Id="rId2" Type="http://schemas.openxmlformats.org/officeDocument/2006/relationships/printerSettings" Target="../printerSettings/printerSettings32.bin"/><Relationship Id="rIdvml" Type="http://schemas.openxmlformats.org/officeDocument/2006/relationships/vmlDrawing" Target="../drawings/vmlDrawing32.vml"/><Relationship Id="rId1h" Type="http://schemas.openxmlformats.org/officeDocument/2006/relationships/hyperlink" Target="https://www.rd.usda.gov/programs-services/energy-programs/rural-energy-america-program-renewable-energy-systems-energy-efficiency-improvement-guaranteed-loans" TargetMode="External"/><Relationship Id="rId2h" Type="http://schemas.openxmlformats.org/officeDocument/2006/relationships/hyperlink" Target="https://www.apta.com/advocacy-legislation-policy/legislative-updates-alerts/updates/inflation-reduction-act-public-transit-tax-credits-and-new-investments/" TargetMode="External"/><Relationship Id="rId3h" Type="http://schemas.openxmlformats.org/officeDocument/2006/relationships/hyperlink" Target="https://www.benefits.gov/benefit/5868" TargetMode="External"/><Relationship Id="rId4h" Type="http://schemas.openxmlformats.org/officeDocument/2006/relationships/hyperlink" Target="https://www.cbo.gov/system/files/2022-09/PL117-169_9-7-22.pdf" TargetMode="External"/></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33.xml"/><Relationship Id="rId2" Type="http://schemas.openxmlformats.org/officeDocument/2006/relationships/printerSettings" Target="../printerSettings/printerSettings33.bin"/><Relationship Id="rIdvml" Type="http://schemas.openxmlformats.org/officeDocument/2006/relationships/vmlDrawing" Target="../drawings/vmlDrawing33.vml"/><Relationship Id="rId3" Type="http://schemas.openxmlformats.org/officeDocument/2006/relationships/table" Target="../tables/table3.xml"/><Relationship Id="rIdcomment" Type="http://schemas.openxmlformats.org/officeDocument/2006/relationships/comments" Target="../comments33.xml"/><Relationship Id="rIdthread" Type="http://schemas.microsoft.com/office/2017/10/relationships/threadedComment" Target="../threadedComments/threadedComment16.xml"/></Relationships>
</file>

<file path=xl/worksheets/_rels/sheet34.xml.rels><?xml version="1.0" encoding="UTF-8" standalone="yes"?><Relationships xmlns="http://schemas.openxmlformats.org/package/2006/relationships"><Relationship Id="rId1" Type="http://schemas.openxmlformats.org/officeDocument/2006/relationships/drawing" Target="../drawings/drawing34.xml"/><Relationship Id="rId2" Type="http://schemas.openxmlformats.org/officeDocument/2006/relationships/printerSettings" Target="../printerSettings/printerSettings34.bin"/><Relationship Id="rIdvml" Type="http://schemas.openxmlformats.org/officeDocument/2006/relationships/vmlDrawing" Target="../drawings/vmlDrawing34.vml"/><Relationship Id="rIdcomment" Type="http://schemas.openxmlformats.org/officeDocument/2006/relationships/comments" Target="../comments34.xml"/><Relationship Id="rIdthread" Type="http://schemas.microsoft.com/office/2017/10/relationships/threadedComment" Target="../threadedComments/threadedComment17.xml"/></Relationships>
</file>

<file path=xl/worksheets/_rels/sheet35.xml.rels><?xml version="1.0" encoding="UTF-8" standalone="yes"?><Relationships xmlns="http://schemas.openxmlformats.org/package/2006/relationships"><Relationship Id="rId1" Type="http://schemas.openxmlformats.org/officeDocument/2006/relationships/drawing" Target="../drawings/drawing35.xml"/><Relationship Id="rId2" Type="http://schemas.openxmlformats.org/officeDocument/2006/relationships/printerSettings" Target="../printerSettings/printerSettings35.bin"/><Relationship Id="rIdvml" Type="http://schemas.openxmlformats.org/officeDocument/2006/relationships/vmlDrawing" Target="../drawings/vmlDrawing35.vml"/></Relationships>
</file>

<file path=xl/worksheets/_rels/sheet36.xml.rels><?xml version="1.0" encoding="UTF-8" standalone="yes"?><Relationships xmlns="http://schemas.openxmlformats.org/package/2006/relationships"><Relationship Id="rId1" Type="http://schemas.openxmlformats.org/officeDocument/2006/relationships/drawing" Target="../drawings/drawing36.xml"/><Relationship Id="rId2" Type="http://schemas.openxmlformats.org/officeDocument/2006/relationships/printerSettings" Target="../printerSettings/printerSettings36.bin"/><Relationship Id="rIdvml" Type="http://schemas.openxmlformats.org/officeDocument/2006/relationships/vmlDrawing" Target="../drawings/vmlDrawing36.vml"/></Relationships>
</file>

<file path=xl/worksheets/_rels/sheet37.xml.rels><?xml version="1.0" encoding="UTF-8" standalone="yes"?><Relationships xmlns="http://schemas.openxmlformats.org/package/2006/relationships"><Relationship Id="rId1" Type="http://schemas.openxmlformats.org/officeDocument/2006/relationships/drawing" Target="../drawings/drawing37.xml"/><Relationship Id="rId2" Type="http://schemas.openxmlformats.org/officeDocument/2006/relationships/printerSettings" Target="../printerSettings/printerSettings37.bin"/><Relationship Id="rIdvml" Type="http://schemas.openxmlformats.org/officeDocument/2006/relationships/vmlDrawing" Target="../drawings/vmlDrawing3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2" zoomScaleNormal="82" workbookViewId="0">
      <selection activeCell="B26" sqref="B26"/>
    </sheetView>
  </sheetViews>
  <sheetFormatPr defaultRowHeight="15.0" baseColWidth="10"/>
  <cols>
    <col min="2" max="2" width="34.1796875" hidden="0" customWidth="1"/>
    <col min="17" max="17" width="38.453125" hidden="0" customWidth="1"/>
  </cols>
  <sheetData>
    <row r="1" ht="18.5" customHeight="1">
      <c r="B1" s="33" t="s">
        <v>1958</v>
      </c>
    </row>
    <row r="3">
      <c r="B3" s="8" t="s">
        <v>0</v>
      </c>
      <c r="C3" s="9"/>
      <c r="D3" s="9"/>
      <c r="E3" s="9"/>
      <c r="F3" s="9"/>
      <c r="G3" s="9"/>
      <c r="H3" s="9"/>
      <c r="I3" s="9"/>
      <c r="J3" s="9"/>
      <c r="K3" s="9"/>
      <c r="L3" s="9"/>
      <c r="M3" s="9"/>
      <c r="N3" s="9"/>
      <c r="O3" s="9"/>
      <c r="P3" s="9"/>
      <c r="Q3" s="10"/>
    </row>
    <row r="4">
      <c r="B4" s="11"/>
      <c r="C4" s="12"/>
      <c r="D4" s="12"/>
      <c r="E4" s="12"/>
      <c r="F4" s="12"/>
      <c r="G4" s="12"/>
      <c r="H4" s="12"/>
      <c r="I4" s="12"/>
      <c r="J4" s="12"/>
      <c r="K4" s="12"/>
      <c r="L4" s="12"/>
      <c r="M4" s="12"/>
      <c r="N4" s="12"/>
      <c r="O4" s="12"/>
      <c r="P4" s="12"/>
      <c r="Q4" s="13"/>
    </row>
    <row r="5">
      <c r="B5" s="30" t="s">
        <v>1</v>
      </c>
      <c r="C5" s="28"/>
      <c r="D5" s="28"/>
      <c r="E5" s="28"/>
      <c r="F5" s="28"/>
      <c r="G5" s="28"/>
      <c r="H5" s="28"/>
      <c r="I5" s="28"/>
      <c r="J5" s="28"/>
      <c r="K5" s="28"/>
      <c r="L5" s="28"/>
      <c r="M5" s="28"/>
      <c r="N5" s="28"/>
      <c r="O5" s="28"/>
      <c r="P5" s="28"/>
      <c r="Q5" s="27"/>
    </row>
    <row r="6">
      <c r="B6" s="29" t="s">
        <v>2</v>
      </c>
      <c r="C6" s="4" t="s">
        <v>1922</v>
      </c>
      <c r="D6" s="4"/>
      <c r="E6" s="4"/>
      <c r="F6" s="4"/>
      <c r="G6" s="4"/>
      <c r="H6" s="4"/>
      <c r="I6" s="4"/>
      <c r="J6" s="4"/>
      <c r="K6" s="4"/>
      <c r="L6" s="4"/>
      <c r="M6" s="4"/>
      <c r="N6" s="4"/>
      <c r="O6" s="4"/>
      <c r="P6" s="4"/>
      <c r="Q6" s="14"/>
    </row>
    <row r="7">
      <c r="B7" s="29" t="s">
        <v>3</v>
      </c>
      <c r="C7" s="34" t="s">
        <v>1923</v>
      </c>
      <c r="D7" s="34"/>
      <c r="E7" s="34"/>
      <c r="F7" s="34"/>
      <c r="G7" s="34"/>
      <c r="H7" s="34"/>
      <c r="I7" s="34"/>
      <c r="J7" s="34"/>
      <c r="K7" s="34"/>
      <c r="L7" s="34"/>
      <c r="M7" s="34"/>
      <c r="N7" s="34"/>
      <c r="O7" s="34"/>
      <c r="P7" s="34"/>
      <c r="Q7" s="35"/>
    </row>
    <row r="8">
      <c r="B8" s="29" t="s">
        <v>4</v>
      </c>
      <c r="C8" s="34" t="s">
        <v>1924</v>
      </c>
      <c r="D8" s="34"/>
      <c r="E8" s="34"/>
      <c r="F8" s="34"/>
      <c r="G8" s="34"/>
      <c r="H8" s="34"/>
      <c r="I8" s="34"/>
      <c r="J8" s="34"/>
      <c r="K8" s="34"/>
      <c r="L8" s="34"/>
      <c r="M8" s="34"/>
      <c r="N8" s="34"/>
      <c r="O8" s="34"/>
      <c r="P8" s="34"/>
      <c r="Q8" s="35"/>
    </row>
    <row r="9" ht="31.4" customHeight="1">
      <c r="B9" s="31" t="s">
        <v>9</v>
      </c>
      <c r="C9" s="15" t="s">
        <v>1925</v>
      </c>
      <c r="D9" s="15"/>
      <c r="E9" s="15"/>
      <c r="F9" s="15"/>
      <c r="G9" s="15"/>
      <c r="H9" s="15"/>
      <c r="I9" s="15"/>
      <c r="J9" s="15"/>
      <c r="K9" s="15"/>
      <c r="L9" s="15"/>
      <c r="M9" s="15"/>
      <c r="N9" s="15"/>
      <c r="O9" s="15"/>
      <c r="P9" s="15"/>
      <c r="Q9" s="16"/>
    </row>
    <row r="10" ht="30.75" customHeight="1">
      <c r="B10" s="3" t="s">
        <v>1914</v>
      </c>
      <c r="C10" s="15" t="s">
        <v>8</v>
      </c>
      <c r="D10" s="15"/>
      <c r="E10" s="15"/>
      <c r="F10" s="15"/>
      <c r="G10" s="15"/>
      <c r="H10" s="15"/>
      <c r="I10" s="15"/>
      <c r="J10" s="15"/>
      <c r="K10" s="15"/>
      <c r="L10" s="15"/>
      <c r="M10" s="15"/>
      <c r="N10" s="15"/>
      <c r="O10" s="15"/>
      <c r="P10" s="15"/>
      <c r="Q10" s="16"/>
    </row>
    <row r="11" ht="30.75" customHeight="1">
      <c r="B11" s="3" t="s">
        <v>1915</v>
      </c>
      <c r="C11" s="4" t="s">
        <v>1959</v>
      </c>
      <c r="D11" s="4"/>
      <c r="E11" s="4"/>
      <c r="F11" s="4"/>
      <c r="G11" s="4"/>
      <c r="H11" s="4"/>
      <c r="I11" s="4"/>
      <c r="J11" s="4"/>
      <c r="K11" s="4"/>
      <c r="L11" s="4"/>
      <c r="M11" s="4"/>
      <c r="N11" s="4"/>
      <c r="O11" s="4"/>
      <c r="P11" s="4"/>
      <c r="Q11" s="18"/>
    </row>
    <row r="12">
      <c r="B12" s="29" t="s">
        <v>1917</v>
      </c>
      <c r="C12" s="34" t="s">
        <v>6</v>
      </c>
      <c r="D12" s="34"/>
      <c r="E12" s="34"/>
      <c r="F12" s="34"/>
      <c r="G12" s="34"/>
      <c r="H12" s="34"/>
      <c r="I12" s="34"/>
      <c r="J12" s="34"/>
      <c r="K12" s="34"/>
      <c r="L12" s="34"/>
      <c r="M12" s="34"/>
      <c r="N12" s="34"/>
      <c r="O12" s="34"/>
      <c r="P12" s="34"/>
      <c r="Q12" s="35"/>
    </row>
    <row r="13">
      <c r="B13" s="29" t="s">
        <v>1916</v>
      </c>
      <c r="C13" s="34" t="s">
        <v>7</v>
      </c>
      <c r="D13" s="34"/>
      <c r="E13" s="34"/>
      <c r="F13" s="34"/>
      <c r="G13" s="34"/>
      <c r="H13" s="34"/>
      <c r="I13" s="34"/>
      <c r="J13" s="34"/>
      <c r="K13" s="34"/>
      <c r="L13" s="34"/>
      <c r="M13" s="34"/>
      <c r="N13" s="34"/>
      <c r="O13" s="34"/>
      <c r="P13" s="34"/>
      <c r="Q13" s="35"/>
    </row>
    <row r="14">
      <c r="B14" s="19" t="s">
        <v>1918</v>
      </c>
      <c r="C14" s="34" t="s">
        <v>741</v>
      </c>
      <c r="D14" s="34"/>
      <c r="E14" s="34"/>
      <c r="F14" s="34"/>
      <c r="G14" s="34"/>
      <c r="H14" s="34"/>
      <c r="I14" s="34"/>
      <c r="J14" s="34"/>
      <c r="K14" s="34"/>
      <c r="L14" s="34"/>
      <c r="M14" s="34"/>
      <c r="N14" s="34"/>
      <c r="O14" s="34"/>
      <c r="P14" s="34"/>
      <c r="Q14" s="35"/>
    </row>
    <row r="15">
      <c r="B15" s="29" t="s">
        <v>18</v>
      </c>
      <c r="C15" s="34" t="s">
        <v>19</v>
      </c>
      <c r="D15" s="34"/>
      <c r="E15" s="34"/>
      <c r="F15" s="34"/>
      <c r="G15" s="34"/>
      <c r="H15" s="34"/>
      <c r="I15" s="34"/>
      <c r="J15" s="34"/>
      <c r="K15" s="34"/>
      <c r="L15" s="34"/>
      <c r="M15" s="34"/>
      <c r="N15" s="34"/>
      <c r="O15" s="34"/>
      <c r="P15" s="34"/>
      <c r="Q15" s="35"/>
    </row>
    <row r="16">
      <c r="B16" s="32" t="s">
        <v>1919</v>
      </c>
      <c r="C16" s="2" t="s">
        <v>1957</v>
      </c>
      <c r="D16" s="34"/>
      <c r="E16" s="34"/>
      <c r="F16" s="34"/>
      <c r="G16" s="34"/>
      <c r="H16" s="34"/>
      <c r="I16" s="34"/>
      <c r="J16" s="34"/>
      <c r="K16" s="34"/>
      <c r="L16" s="34"/>
      <c r="M16" s="34"/>
      <c r="N16" s="34"/>
      <c r="O16" s="34"/>
      <c r="P16" s="34"/>
      <c r="Q16" s="35"/>
    </row>
    <row r="17" ht="78.5" customHeight="1">
      <c r="B17" s="1" t="s">
        <v>1921</v>
      </c>
      <c r="C17" s="15" t="s">
        <v>742</v>
      </c>
      <c r="D17" s="15"/>
      <c r="E17" s="15"/>
      <c r="F17" s="15"/>
      <c r="G17" s="15"/>
      <c r="H17" s="15"/>
      <c r="I17" s="15"/>
      <c r="J17" s="15"/>
      <c r="K17" s="15"/>
      <c r="L17" s="15"/>
      <c r="M17" s="15"/>
      <c r="N17" s="15"/>
      <c r="O17" s="15"/>
      <c r="P17" s="15"/>
      <c r="Q17" s="16"/>
    </row>
    <row r="18" ht="116" customHeight="1">
      <c r="B18" s="1" t="s">
        <v>1920</v>
      </c>
      <c r="C18" s="15" t="s">
        <v>1972</v>
      </c>
      <c r="D18" s="15"/>
      <c r="E18" s="15"/>
      <c r="F18" s="15"/>
      <c r="G18" s="15"/>
      <c r="H18" s="15"/>
      <c r="I18" s="15"/>
      <c r="J18" s="15"/>
      <c r="K18" s="15"/>
      <c r="L18" s="15"/>
      <c r="M18" s="15"/>
      <c r="N18" s="15"/>
      <c r="O18" s="15"/>
      <c r="P18" s="15"/>
      <c r="Q18" s="17"/>
    </row>
    <row r="19">
      <c r="B19" s="29" t="s">
        <v>10</v>
      </c>
      <c r="C19" s="22" t="s">
        <v>11</v>
      </c>
      <c r="D19" s="22"/>
      <c r="E19" s="22"/>
      <c r="F19" s="22"/>
      <c r="G19" s="22"/>
      <c r="H19" s="22"/>
      <c r="I19" s="22"/>
      <c r="J19" s="22"/>
      <c r="K19" s="22"/>
      <c r="L19" s="22"/>
      <c r="M19" s="22"/>
      <c r="N19" s="22"/>
      <c r="O19" s="22"/>
      <c r="P19" s="22"/>
      <c r="Q19" s="23"/>
    </row>
    <row r="20">
      <c r="B20" s="29" t="s">
        <v>12</v>
      </c>
      <c r="C20" s="22" t="s">
        <v>13</v>
      </c>
      <c r="D20" s="22"/>
      <c r="E20" s="22"/>
      <c r="F20" s="22"/>
      <c r="G20" s="22"/>
      <c r="H20" s="22"/>
      <c r="I20" s="22"/>
      <c r="J20" s="22"/>
      <c r="K20" s="22"/>
      <c r="L20" s="22"/>
      <c r="M20" s="22"/>
      <c r="N20" s="22"/>
      <c r="O20" s="22"/>
      <c r="P20" s="22"/>
      <c r="Q20" s="23"/>
    </row>
    <row r="21">
      <c r="B21" s="29" t="s">
        <v>14</v>
      </c>
      <c r="C21" s="22" t="s">
        <v>15</v>
      </c>
      <c r="D21" s="22"/>
      <c r="E21" s="22"/>
      <c r="F21" s="22"/>
      <c r="G21" s="22"/>
      <c r="H21" s="22"/>
      <c r="I21" s="22"/>
      <c r="J21" s="22"/>
      <c r="K21" s="22"/>
      <c r="L21" s="22"/>
      <c r="M21" s="22"/>
      <c r="N21" s="22"/>
      <c r="O21" s="22"/>
      <c r="P21" s="22"/>
      <c r="Q21" s="23"/>
    </row>
    <row r="22">
      <c r="B22" s="29" t="s">
        <v>16</v>
      </c>
      <c r="C22" s="22" t="s">
        <v>743</v>
      </c>
      <c r="D22" s="22"/>
      <c r="E22" s="22"/>
      <c r="F22" s="22"/>
      <c r="G22" s="22"/>
      <c r="H22" s="22"/>
      <c r="I22" s="22"/>
      <c r="J22" s="22"/>
      <c r="K22" s="22"/>
      <c r="L22" s="22"/>
      <c r="M22" s="22"/>
      <c r="N22" s="22"/>
      <c r="O22" s="22"/>
      <c r="P22" s="22"/>
      <c r="Q22" s="23"/>
    </row>
    <row r="23">
      <c r="B23" s="29" t="s">
        <v>17</v>
      </c>
      <c r="C23" s="22" t="s">
        <v>744</v>
      </c>
      <c r="D23" s="22"/>
      <c r="E23" s="22"/>
      <c r="F23" s="22"/>
      <c r="G23" s="22"/>
      <c r="H23" s="22"/>
      <c r="I23" s="22"/>
      <c r="J23" s="22"/>
      <c r="K23" s="22"/>
      <c r="L23" s="22"/>
      <c r="M23" s="22"/>
      <c r="N23" s="22"/>
      <c r="O23" s="22"/>
      <c r="P23" s="22"/>
      <c r="Q23" s="23"/>
    </row>
    <row r="24">
      <c r="B24" s="29"/>
      <c r="C24" s="22"/>
      <c r="D24" s="22"/>
      <c r="E24" s="22"/>
      <c r="F24" s="22"/>
      <c r="G24" s="22"/>
      <c r="H24" s="22"/>
      <c r="I24" s="22"/>
      <c r="J24" s="22"/>
      <c r="K24" s="22"/>
      <c r="L24" s="22"/>
      <c r="M24" s="22"/>
      <c r="N24" s="22"/>
      <c r="O24" s="22"/>
      <c r="P24" s="22"/>
      <c r="Q24" s="23"/>
    </row>
    <row r="25">
      <c r="B25" s="19" t="s">
        <v>20</v>
      </c>
      <c r="C25" s="22"/>
      <c r="D25" s="22"/>
      <c r="E25" s="22"/>
      <c r="F25" s="22"/>
      <c r="G25" s="22"/>
      <c r="H25" s="22"/>
      <c r="I25" s="22"/>
      <c r="J25" s="22"/>
      <c r="K25" s="22"/>
      <c r="L25" s="22"/>
      <c r="M25" s="22"/>
      <c r="N25" s="22"/>
      <c r="O25" s="22"/>
      <c r="P25" s="22"/>
      <c r="Q25" s="23"/>
    </row>
    <row r="26">
      <c r="B26" s="29" t="s">
        <v>21</v>
      </c>
      <c r="C26" s="22"/>
      <c r="D26" s="22"/>
      <c r="E26" s="22"/>
      <c r="F26" s="22"/>
      <c r="G26" s="22"/>
      <c r="H26" s="22"/>
      <c r="I26" s="22"/>
      <c r="J26" s="22"/>
      <c r="K26" s="22"/>
      <c r="L26" s="22"/>
      <c r="M26" s="22"/>
      <c r="N26" s="22"/>
      <c r="O26" s="22"/>
      <c r="P26" s="22"/>
      <c r="Q26" s="23"/>
    </row>
    <row r="27" ht="30.75" customHeight="1">
      <c r="B27" s="5" t="s">
        <v>745</v>
      </c>
      <c r="C27" s="6"/>
      <c r="D27" s="6"/>
      <c r="E27" s="6"/>
      <c r="F27" s="6"/>
      <c r="G27" s="6"/>
      <c r="H27" s="6"/>
      <c r="I27" s="6"/>
      <c r="J27" s="6"/>
      <c r="K27" s="6"/>
      <c r="L27" s="6"/>
      <c r="M27" s="6"/>
      <c r="N27" s="6"/>
      <c r="O27" s="6"/>
      <c r="P27" s="6"/>
      <c r="Q27" s="7"/>
    </row>
    <row r="28">
      <c r="B28" s="26" t="s">
        <v>22</v>
      </c>
      <c r="C28" s="22"/>
      <c r="D28" s="22"/>
      <c r="E28" s="22"/>
      <c r="F28" s="22"/>
      <c r="G28" s="22"/>
      <c r="H28" s="22"/>
      <c r="I28" s="22"/>
      <c r="J28" s="22"/>
      <c r="K28" s="22"/>
      <c r="L28" s="22"/>
      <c r="M28" s="22"/>
      <c r="N28" s="22"/>
      <c r="O28" s="22"/>
      <c r="P28" s="22"/>
      <c r="Q28" s="23"/>
    </row>
    <row r="29">
      <c r="B29" s="29" t="s">
        <v>23</v>
      </c>
      <c r="C29" s="22"/>
      <c r="D29" s="22"/>
      <c r="E29" s="22"/>
      <c r="F29" s="22"/>
      <c r="G29" s="22"/>
      <c r="H29" s="22"/>
      <c r="I29" s="22"/>
      <c r="J29" s="22"/>
      <c r="K29" s="22"/>
      <c r="L29" s="22"/>
      <c r="M29" s="22"/>
      <c r="N29" s="22"/>
      <c r="O29" s="22"/>
      <c r="P29" s="22"/>
      <c r="Q29" s="23"/>
    </row>
    <row r="30">
      <c r="B30" s="25" t="s">
        <v>24</v>
      </c>
      <c r="C30" s="21"/>
      <c r="D30" s="21"/>
      <c r="E30" s="21"/>
      <c r="F30" s="21"/>
      <c r="G30" s="21"/>
      <c r="H30" s="21"/>
      <c r="I30" s="21"/>
      <c r="J30" s="21"/>
      <c r="K30" s="21"/>
      <c r="L30" s="21"/>
      <c r="M30" s="21"/>
      <c r="N30" s="21"/>
      <c r="O30" s="21"/>
      <c r="P30" s="21"/>
      <c r="Q30" s="24"/>
    </row>
    <row r="33">
      <c r="B33" s="20"/>
      <c r="C33" s="20"/>
      <c r="D33" s="20"/>
      <c r="E33" s="20"/>
      <c r="F33" s="20"/>
      <c r="G33" s="20"/>
      <c r="H33" s="20"/>
      <c r="I33" s="20"/>
      <c r="J33" s="20"/>
      <c r="K33" s="20"/>
      <c r="L33" s="20"/>
      <c r="M33" s="20"/>
      <c r="N33" s="20"/>
      <c r="O33" s="20"/>
      <c r="P33" s="20"/>
      <c r="Q33" s="20"/>
    </row>
    <row r="34">
      <c r="B34" s="20"/>
      <c r="C34" s="20"/>
      <c r="D34" s="20"/>
      <c r="E34" s="20"/>
      <c r="F34" s="20"/>
      <c r="G34" s="20"/>
      <c r="H34" s="20"/>
      <c r="I34" s="20"/>
      <c r="J34" s="20"/>
      <c r="K34" s="20"/>
      <c r="L34" s="20"/>
      <c r="M34" s="20"/>
      <c r="N34" s="20"/>
      <c r="O34" s="20"/>
      <c r="P34" s="20"/>
      <c r="Q34" s="20"/>
    </row>
    <row r="35">
      <c r="B35" s="20"/>
      <c r="C35" s="20"/>
      <c r="D35" s="20"/>
      <c r="E35" s="20"/>
      <c r="F35" s="20"/>
      <c r="G35" s="20"/>
      <c r="H35" s="20"/>
      <c r="I35" s="20"/>
      <c r="J35" s="20"/>
      <c r="K35" s="20"/>
      <c r="L35" s="20"/>
      <c r="M35" s="20"/>
      <c r="N35" s="20"/>
      <c r="O35" s="20"/>
      <c r="P35" s="20"/>
      <c r="Q35" s="20"/>
    </row>
    <row r="36">
      <c r="B36" s="20"/>
      <c r="C36" s="20"/>
      <c r="D36" s="20"/>
      <c r="E36" s="20"/>
      <c r="F36" s="20"/>
      <c r="G36" s="20"/>
      <c r="H36" s="20"/>
      <c r="I36" s="20"/>
      <c r="J36" s="20"/>
      <c r="K36" s="20"/>
      <c r="L36" s="20"/>
      <c r="M36" s="20"/>
      <c r="N36" s="20"/>
      <c r="O36" s="20"/>
      <c r="P36" s="20"/>
      <c r="Q36" s="20"/>
    </row>
    <row r="37">
      <c r="B37" s="20"/>
      <c r="C37" s="20"/>
      <c r="D37" s="20"/>
      <c r="E37" s="20"/>
      <c r="F37" s="20"/>
      <c r="G37" s="20"/>
      <c r="H37" s="20"/>
      <c r="I37" s="20"/>
      <c r="J37" s="20"/>
      <c r="K37" s="20"/>
      <c r="L37" s="20"/>
      <c r="M37" s="20"/>
      <c r="N37" s="20"/>
      <c r="O37" s="20"/>
      <c r="P37" s="20"/>
      <c r="Q37" s="20"/>
    </row>
  </sheetData>
  <mergeCells count="7">
    <mergeCell ref="B27:Q27"/>
    <mergeCell ref="B3:Q4"/>
    <mergeCell ref="C6:Q6"/>
    <mergeCell ref="C17:Q17"/>
    <mergeCell ref="C10:Q10"/>
    <mergeCell ref="C9:Q9"/>
    <mergeCell ref="C18:Q1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5" zoomScaleNormal="85" workbookViewId="0">
      <pane xSplit="1" ySplit="2" topLeftCell="B4" activePane="bottomRight" state="frozen"/>
      <selection pane="topRight" activeCell="B1" sqref="B1"/>
      <selection pane="bottomLeft" activeCell="A3" sqref="A3"/>
      <selection pane="bottomRight" activeCell="C4" sqref="C4"/>
    </sheetView>
  </sheetViews>
  <sheetFormatPr defaultRowHeight="15.0" baseColWidth="10"/>
  <cols>
    <col min="1" max="1" width="44.1796875" hidden="0" customWidth="1"/>
    <col min="2" max="2" width="58.81640625" hidden="0" customWidth="1"/>
    <col min="3" max="3" width="56.453125" hidden="0" customWidth="1"/>
    <col min="5" max="5" width="21.453125" hidden="0" customWidth="1"/>
  </cols>
  <sheetData>
    <row r="1" ht="47.9" customHeight="1">
      <c r="A1" s="55" t="s">
        <v>25</v>
      </c>
      <c r="B1" s="56" t="s">
        <v>26</v>
      </c>
      <c r="C1" s="56" t="s">
        <v>27</v>
      </c>
      <c r="D1" s="57" t="s">
        <v>1903</v>
      </c>
      <c r="E1" s="47"/>
    </row>
    <row r="2" ht="16.5" customHeight="1">
      <c r="A2" s="38" t="s">
        <v>29</v>
      </c>
      <c r="B2" s="39"/>
      <c r="C2" s="39"/>
      <c r="D2" s="40"/>
      <c r="E2" s="47"/>
    </row>
    <row r="3" ht="148.4" customHeight="1">
      <c r="A3" s="49" t="s">
        <v>757</v>
      </c>
      <c r="B3" s="45" t="s">
        <v>1646</v>
      </c>
      <c r="C3" s="45" t="s">
        <v>756</v>
      </c>
      <c r="D3" s="53" t="s">
        <v>820</v>
      </c>
    </row>
    <row r="4" ht="85.5" customHeight="1">
      <c r="A4" s="49" t="s">
        <v>1722</v>
      </c>
      <c r="B4" s="45" t="s">
        <v>1723</v>
      </c>
      <c r="C4" s="45" t="s">
        <v>822</v>
      </c>
      <c r="D4" s="53" t="s">
        <v>820</v>
      </c>
      <c r="E4" s="45"/>
    </row>
    <row r="5" ht="168" customHeight="1">
      <c r="A5" s="49" t="s">
        <v>746</v>
      </c>
      <c r="B5" s="45" t="s">
        <v>747</v>
      </c>
      <c r="C5" s="45" t="s">
        <v>768</v>
      </c>
      <c r="D5" s="53" t="s">
        <v>820</v>
      </c>
      <c r="E5" s="45"/>
    </row>
    <row r="6" ht="101.5" customHeight="1">
      <c r="A6" s="49" t="s">
        <v>748</v>
      </c>
      <c r="B6" s="45" t="s">
        <v>30</v>
      </c>
      <c r="C6" s="45" t="s">
        <v>31</v>
      </c>
      <c r="D6" s="53" t="s">
        <v>820</v>
      </c>
      <c r="E6" s="45"/>
    </row>
    <row r="7" ht="88" customHeight="1">
      <c r="A7" s="49" t="s">
        <v>1725</v>
      </c>
      <c r="B7" s="45" t="s">
        <v>1726</v>
      </c>
      <c r="C7" s="45" t="s">
        <v>1730</v>
      </c>
      <c r="D7" s="53" t="s">
        <v>820</v>
      </c>
      <c r="E7" s="45"/>
    </row>
    <row r="8" ht="100.4" customHeight="1">
      <c r="A8" s="49" t="s">
        <v>34</v>
      </c>
      <c r="B8" s="45" t="s">
        <v>35</v>
      </c>
      <c r="C8" s="58" t="s">
        <v>36</v>
      </c>
      <c r="D8" s="53" t="s">
        <v>820</v>
      </c>
      <c r="E8" s="45"/>
      <c r="F8" s="59"/>
    </row>
    <row r="9" ht="78" customHeight="1">
      <c r="A9" s="49" t="s">
        <v>37</v>
      </c>
      <c r="B9" s="45" t="s">
        <v>38</v>
      </c>
      <c r="C9" s="45" t="s">
        <v>774</v>
      </c>
      <c r="D9" s="53" t="s">
        <v>820</v>
      </c>
      <c r="E9" s="45"/>
    </row>
    <row r="10" ht="67.5" customHeight="1">
      <c r="A10" s="49" t="s">
        <v>726</v>
      </c>
      <c r="B10" s="45" t="s">
        <v>736</v>
      </c>
      <c r="C10" s="45" t="s">
        <v>786</v>
      </c>
      <c r="D10" s="53" t="s">
        <v>820</v>
      </c>
      <c r="E10" s="45"/>
    </row>
    <row r="11" ht="88" customHeight="1">
      <c r="A11" s="49" t="s">
        <v>39</v>
      </c>
      <c r="B11" s="45" t="s">
        <v>1961</v>
      </c>
      <c r="C11" s="45" t="s">
        <v>1960</v>
      </c>
      <c r="D11" s="53" t="s">
        <v>820</v>
      </c>
      <c r="E11" s="45"/>
    </row>
    <row r="12" ht="15" customHeight="1">
      <c r="A12" s="38" t="s">
        <v>750</v>
      </c>
      <c r="B12" s="39"/>
      <c r="C12" s="39"/>
      <c r="D12" s="40"/>
      <c r="E12" s="45"/>
    </row>
    <row r="13" ht="29.9" customHeight="1">
      <c r="A13" s="50" t="s">
        <v>5</v>
      </c>
      <c r="B13" s="44" t="s">
        <v>752</v>
      </c>
      <c r="C13" s="44"/>
      <c r="D13" s="54"/>
      <c r="E13" s="45"/>
    </row>
    <row r="14" ht="48.65" customHeight="1">
      <c r="A14" s="48" t="s">
        <v>751</v>
      </c>
      <c r="B14" s="44" t="s">
        <v>761</v>
      </c>
      <c r="C14" s="44"/>
      <c r="D14" s="53"/>
      <c r="E14" s="45"/>
    </row>
    <row r="15" ht="48.65" customHeight="1">
      <c r="A15" s="48" t="s">
        <v>753</v>
      </c>
      <c r="B15" s="44" t="s">
        <v>754</v>
      </c>
      <c r="C15" s="44"/>
      <c r="D15" s="46"/>
      <c r="E15" s="45"/>
    </row>
    <row r="16">
      <c r="A16" s="41" t="s">
        <v>50</v>
      </c>
      <c r="B16" s="42"/>
      <c r="C16" s="42"/>
      <c r="D16" s="43"/>
      <c r="E16" s="45"/>
    </row>
    <row r="17" ht="36.65" customHeight="1">
      <c r="A17" s="36" t="s">
        <v>755</v>
      </c>
      <c r="B17" s="37"/>
      <c r="C17" s="37"/>
      <c r="D17" s="54"/>
      <c r="E17" s="45"/>
    </row>
    <row r="18" ht="145.5" customHeight="1">
      <c r="A18" s="49" t="s">
        <v>51</v>
      </c>
      <c r="B18" s="45" t="s">
        <v>1963</v>
      </c>
      <c r="C18" s="45" t="s">
        <v>781</v>
      </c>
      <c r="D18" s="53"/>
      <c r="E18" s="45"/>
    </row>
    <row r="19" ht="63.65" customHeight="1">
      <c r="A19" s="49" t="s">
        <v>52</v>
      </c>
      <c r="B19" s="45" t="s">
        <v>1962</v>
      </c>
      <c r="C19" s="45" t="s">
        <v>777</v>
      </c>
      <c r="D19" s="53"/>
      <c r="E19" s="45"/>
    </row>
    <row r="20" ht="63.65" customHeight="1">
      <c r="A20" s="49" t="s">
        <v>778</v>
      </c>
      <c r="B20" s="45" t="s">
        <v>779</v>
      </c>
      <c r="C20" s="45" t="s">
        <v>780</v>
      </c>
      <c r="D20" s="53"/>
      <c r="E20" s="45"/>
    </row>
    <row r="21" ht="34.4" customHeight="1">
      <c r="A21" s="36" t="s">
        <v>733</v>
      </c>
      <c r="B21" s="37"/>
      <c r="C21" s="37"/>
      <c r="D21" s="46"/>
      <c r="E21" s="45"/>
    </row>
    <row r="22">
      <c r="A22" s="41" t="s">
        <v>53</v>
      </c>
      <c r="B22" s="42"/>
      <c r="C22" s="42"/>
      <c r="D22" s="43"/>
      <c r="E22" s="45"/>
    </row>
    <row r="23" ht="29.15" customHeight="1">
      <c r="A23" s="49" t="s">
        <v>54</v>
      </c>
      <c r="B23" s="45"/>
      <c r="C23" s="45" t="s">
        <v>55</v>
      </c>
      <c r="D23" s="54"/>
      <c r="E23" s="45"/>
    </row>
    <row r="24" ht="57.65" customHeight="1">
      <c r="A24" s="49" t="s">
        <v>56</v>
      </c>
      <c r="B24" s="45" t="s">
        <v>57</v>
      </c>
      <c r="C24" s="45" t="s">
        <v>58</v>
      </c>
      <c r="D24" s="53"/>
      <c r="E24" s="45"/>
    </row>
    <row r="25" ht="29.15" customHeight="1">
      <c r="A25" s="49" t="s">
        <v>59</v>
      </c>
      <c r="B25" s="45" t="s">
        <v>60</v>
      </c>
      <c r="C25" s="45" t="s">
        <v>767</v>
      </c>
      <c r="D25" s="53"/>
      <c r="E25" s="45"/>
    </row>
    <row r="26" ht="72" customHeight="1">
      <c r="A26" s="51" t="s">
        <v>61</v>
      </c>
      <c r="B26" s="52" t="s">
        <v>62</v>
      </c>
      <c r="C26" s="52" t="s">
        <v>1964</v>
      </c>
      <c r="D26" s="46"/>
      <c r="E26" s="45"/>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76" priority="1" operator="containsText" text="Yes">
      <formula>NOT(ISERROR(SEARCH("Yes",D3)))</formula>
    </cfRule>
  </conditionalFormatting>
  <conditionalFormatting sqref="D13:D15">
    <cfRule type="containsText" dxfId="75" priority="6" operator="containsText" text="Yes">
      <formula>NOT(ISERROR(SEARCH("Yes",D13)))</formula>
    </cfRule>
  </conditionalFormatting>
  <conditionalFormatting sqref="D17:D21">
    <cfRule type="containsText" dxfId="74" priority="3" operator="containsText" text="Yes">
      <formula>NOT(ISERROR(SEARCH("Yes",D17)))</formula>
    </cfRule>
  </conditionalFormatting>
  <conditionalFormatting sqref="D23:D26">
    <cfRule type="containsText" dxfId="73" priority="4" operator="containsText" text="Yes">
      <formula>NOT(ISERROR(SEARCH("Yes",D23)))</formula>
    </cfRule>
  </conditionalFormatting>
  <hyperlinks>
    <hyperlink ref="C8" r:id="rId1h"/>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5" zoomScaleNormal="85" workbookViewId="0">
      <pane ySplit="1" topLeftCell="A2" activePane="bottomLeft" state="frozen"/>
      <selection pane="bottomLeft" activeCell="C7" sqref="C7"/>
    </sheetView>
  </sheetViews>
  <sheetFormatPr defaultRowHeight="15.0" baseColWidth="10"/>
  <cols>
    <col min="1" max="1" width="30.81640625" hidden="0" customWidth="1"/>
    <col min="2" max="2" width="109.453125" hidden="0" customWidth="1"/>
    <col min="3" max="3" width="47" hidden="0" customWidth="1"/>
    <col min="4" max="4" width="18.81640625" hidden="0" customWidth="1"/>
    <col min="5" max="5" width="58.81640625" hidden="0" customWidth="1"/>
    <col min="6" max="6" width="33.1796875" hidden="0" customWidth="1"/>
  </cols>
  <sheetData>
    <row r="1" ht="47.9" customHeight="1">
      <c r="A1" s="55" t="s">
        <v>25</v>
      </c>
      <c r="B1" s="56" t="s">
        <v>26</v>
      </c>
      <c r="C1" s="56" t="s">
        <v>27</v>
      </c>
      <c r="D1" s="57" t="s">
        <v>28</v>
      </c>
      <c r="E1" s="69"/>
      <c r="F1" s="69"/>
    </row>
    <row r="2" ht="16.5" customHeight="1">
      <c r="A2" s="38" t="s">
        <v>29</v>
      </c>
      <c r="B2" s="39"/>
      <c r="C2" s="39"/>
      <c r="D2" s="40"/>
      <c r="E2" s="69"/>
      <c r="F2" s="69"/>
    </row>
    <row r="3" ht="148.4" customHeight="1">
      <c r="A3" s="49" t="s">
        <v>757</v>
      </c>
      <c r="B3" s="45" t="s">
        <v>1856</v>
      </c>
      <c r="C3" s="45" t="s">
        <v>756</v>
      </c>
      <c r="D3" s="53" t="s">
        <v>820</v>
      </c>
      <c r="E3" s="45"/>
    </row>
    <row r="4" ht="148.4" customHeight="1">
      <c r="A4" s="49" t="s">
        <v>69</v>
      </c>
      <c r="B4" s="45" t="s">
        <v>32</v>
      </c>
      <c r="C4" s="45" t="s">
        <v>1875</v>
      </c>
      <c r="D4" s="53" t="s">
        <v>1976</v>
      </c>
      <c r="E4" s="45"/>
      <c r="F4" s="45"/>
    </row>
    <row r="5" ht="75" customHeight="1">
      <c r="A5" s="49"/>
      <c r="B5" s="45"/>
      <c r="C5" s="45" t="s">
        <v>1879</v>
      </c>
      <c r="D5" s="53" t="s">
        <v>1976</v>
      </c>
      <c r="E5" s="45"/>
      <c r="F5" s="45"/>
    </row>
    <row r="6" ht="61.5" customHeight="1">
      <c r="A6" s="49" t="s">
        <v>63</v>
      </c>
      <c r="B6" s="45" t="s">
        <v>64</v>
      </c>
      <c r="C6" s="68" t="s">
        <v>36</v>
      </c>
      <c r="D6" s="53" t="s">
        <v>1976</v>
      </c>
      <c r="E6" s="45"/>
    </row>
    <row r="7" ht="78" customHeight="1">
      <c r="A7" s="49" t="s">
        <v>37</v>
      </c>
      <c r="B7" s="45" t="s">
        <v>1965</v>
      </c>
      <c r="C7" s="45" t="s">
        <v>1857</v>
      </c>
      <c r="D7" s="53" t="s">
        <v>820</v>
      </c>
      <c r="E7" s="45"/>
      <c r="F7" s="45"/>
    </row>
    <row r="8" ht="50.9" customHeight="1">
      <c r="A8" s="49" t="s">
        <v>726</v>
      </c>
      <c r="B8" s="45" t="s">
        <v>736</v>
      </c>
      <c r="C8" s="45" t="s">
        <v>1966</v>
      </c>
      <c r="D8" s="53" t="s">
        <v>820</v>
      </c>
      <c r="E8" s="47"/>
      <c r="F8" s="45"/>
    </row>
    <row r="9" ht="78.650000000000006" customHeight="1">
      <c r="A9" s="49" t="s">
        <v>65</v>
      </c>
      <c r="B9" s="45" t="s">
        <v>66</v>
      </c>
      <c r="C9" s="45" t="s">
        <v>67</v>
      </c>
      <c r="D9" s="53" t="s">
        <v>820</v>
      </c>
      <c r="E9" s="47"/>
      <c r="F9" s="45"/>
    </row>
    <row r="10" ht="96.65" customHeight="1">
      <c r="A10" s="49" t="s">
        <v>39</v>
      </c>
      <c r="B10" s="45" t="s">
        <v>1967</v>
      </c>
      <c r="C10" s="45" t="s">
        <v>749</v>
      </c>
      <c r="D10" s="53" t="s">
        <v>820</v>
      </c>
      <c r="E10" s="47"/>
      <c r="F10" s="45"/>
    </row>
    <row r="11" ht="22.5" customHeight="1">
      <c r="A11" s="38" t="s">
        <v>750</v>
      </c>
      <c r="B11" s="39"/>
      <c r="C11" s="39"/>
      <c r="D11" s="40"/>
      <c r="E11" s="47"/>
      <c r="F11" s="45"/>
    </row>
    <row r="12" ht="22.5" customHeight="1">
      <c r="A12" s="50" t="s">
        <v>65</v>
      </c>
      <c r="B12" s="66" t="s">
        <v>759</v>
      </c>
      <c r="C12" s="67"/>
      <c r="D12" s="70"/>
      <c r="E12" s="47"/>
      <c r="F12" s="45"/>
    </row>
    <row r="13" ht="33" customHeight="1">
      <c r="A13" s="50" t="s">
        <v>758</v>
      </c>
      <c r="B13" s="44" t="s">
        <v>760</v>
      </c>
      <c r="C13" s="44"/>
      <c r="D13" s="53"/>
      <c r="E13" s="45"/>
      <c r="F13" s="45"/>
    </row>
    <row r="14" ht="39.65" customHeight="1">
      <c r="A14" s="48" t="s">
        <v>751</v>
      </c>
      <c r="B14" s="44" t="s">
        <v>761</v>
      </c>
      <c r="C14" s="44"/>
      <c r="D14" s="53"/>
    </row>
    <row r="15" ht="38.9" customHeight="1">
      <c r="A15" s="48" t="s">
        <v>753</v>
      </c>
      <c r="B15" s="44" t="s">
        <v>754</v>
      </c>
      <c r="C15" s="44"/>
      <c r="D15" s="53"/>
    </row>
    <row r="16" ht="20.149999999999999" customHeight="1">
      <c r="A16" s="41" t="s">
        <v>50</v>
      </c>
      <c r="B16" s="42"/>
      <c r="C16" s="42"/>
      <c r="D16" s="43"/>
    </row>
    <row r="17" ht="24.65" customHeight="1">
      <c r="A17" s="60" t="s">
        <v>734</v>
      </c>
      <c r="B17" s="61"/>
      <c r="C17" s="62"/>
      <c r="D17" s="53"/>
    </row>
    <row r="18" ht="101.9" customHeight="1">
      <c r="A18" s="48" t="s">
        <v>51</v>
      </c>
      <c r="B18" s="71" t="s">
        <v>775</v>
      </c>
      <c r="C18" s="71" t="s">
        <v>781</v>
      </c>
      <c r="D18" s="72"/>
      <c r="E18" s="71"/>
      <c r="F18" s="71"/>
      <c r="G18" s="71"/>
    </row>
    <row r="19" ht="101.15" customHeight="1">
      <c r="A19" s="48" t="s">
        <v>52</v>
      </c>
      <c r="B19" s="71" t="s">
        <v>776</v>
      </c>
      <c r="C19" s="71" t="s">
        <v>777</v>
      </c>
      <c r="D19" s="72"/>
      <c r="E19" s="71"/>
      <c r="F19" s="71"/>
      <c r="G19" s="71"/>
    </row>
    <row r="20" ht="57.65" customHeight="1">
      <c r="A20" s="48" t="s">
        <v>778</v>
      </c>
      <c r="B20" s="71" t="s">
        <v>779</v>
      </c>
      <c r="C20" s="71" t="s">
        <v>780</v>
      </c>
      <c r="D20" s="72"/>
      <c r="E20" s="71"/>
      <c r="F20" s="71"/>
      <c r="G20" s="71"/>
    </row>
    <row r="21" ht="37.5" customHeight="1">
      <c r="A21" s="63" t="s">
        <v>733</v>
      </c>
      <c r="B21" s="64"/>
      <c r="C21" s="65"/>
      <c r="D21" s="53"/>
    </row>
    <row r="22">
      <c r="A22" s="41" t="s">
        <v>53</v>
      </c>
      <c r="B22" s="42"/>
      <c r="C22" s="42"/>
      <c r="D22" s="43"/>
    </row>
    <row r="23" ht="29.15" customHeight="1">
      <c r="A23" s="49" t="s">
        <v>54</v>
      </c>
      <c r="B23" s="45" t="s">
        <v>68</v>
      </c>
      <c r="C23" s="45" t="s">
        <v>55</v>
      </c>
      <c r="D23" s="53"/>
    </row>
    <row r="24" ht="72" customHeight="1">
      <c r="A24" s="49" t="s">
        <v>56</v>
      </c>
      <c r="B24" s="45" t="s">
        <v>57</v>
      </c>
      <c r="C24" s="45" t="s">
        <v>58</v>
      </c>
      <c r="D24" s="53"/>
    </row>
    <row r="25" ht="29.15" customHeight="1">
      <c r="A25" s="49" t="s">
        <v>59</v>
      </c>
      <c r="B25" s="45" t="s">
        <v>60</v>
      </c>
      <c r="C25" s="45" t="s">
        <v>767</v>
      </c>
      <c r="D25" s="53"/>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72" priority="3" operator="containsText" text="Yes">
      <formula>NOT(ISERROR(SEARCH("Yes",D13)))</formula>
    </cfRule>
  </conditionalFormatting>
  <conditionalFormatting sqref="D17 D21 D23:D137">
    <cfRule type="containsText" dxfId="71" priority="7" operator="containsText" text="Yes">
      <formula>NOT(ISERROR(SEARCH("Yes",D17)))</formula>
    </cfRule>
  </conditionalFormatting>
  <conditionalFormatting sqref="E3 D3:D10 E6">
    <cfRule type="containsText" dxfId="70" priority="6" operator="containsText" text="Yes">
      <formula>NOT(ISERROR(SEARCH("Yes",D3)))</formula>
    </cfRule>
  </conditionalFormatting>
  <hyperlinks>
    <hyperlink ref="C6" r:id="rId1h"/>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93" zoomScaleNormal="100" workbookViewId="0">
      <selection activeCell="B2" sqref="B2"/>
    </sheetView>
  </sheetViews>
  <sheetFormatPr defaultRowHeight="15.0" baseColWidth="10"/>
  <cols>
    <col min="1" max="1" width="23.81640625" hidden="0" customWidth="1"/>
    <col min="2" max="2" width="79.453125" hidden="0" customWidth="1"/>
    <col min="3" max="3" width="33.453125" hidden="0" customWidth="1"/>
  </cols>
  <sheetData>
    <row r="1" ht="47.9" customHeight="1">
      <c r="A1" s="82" t="s">
        <v>25</v>
      </c>
      <c r="B1" s="83" t="s">
        <v>26</v>
      </c>
      <c r="C1" s="83" t="s">
        <v>27</v>
      </c>
      <c r="D1" s="84" t="s">
        <v>28</v>
      </c>
    </row>
    <row r="2" ht="116.15" customHeight="1">
      <c r="A2" s="80" t="s">
        <v>1870</v>
      </c>
      <c r="B2" s="73" t="s">
        <v>1968</v>
      </c>
      <c r="C2" s="81" t="s">
        <v>807</v>
      </c>
      <c r="D2" s="79" t="s">
        <v>820</v>
      </c>
    </row>
    <row r="3" ht="63.75" customHeight="1">
      <c r="A3" s="49" t="s">
        <v>69</v>
      </c>
      <c r="B3" s="76" t="s">
        <v>32</v>
      </c>
      <c r="C3" s="45" t="s">
        <v>33</v>
      </c>
      <c r="D3" s="79" t="s">
        <v>820</v>
      </c>
    </row>
    <row r="4" ht="170.25" customHeight="1">
      <c r="A4" s="85" t="s">
        <v>70</v>
      </c>
      <c r="B4" s="76" t="s">
        <v>806</v>
      </c>
      <c r="C4" s="45" t="s">
        <v>1871</v>
      </c>
      <c r="D4" s="79" t="s">
        <v>820</v>
      </c>
    </row>
    <row r="5" ht="29.25" customHeight="1">
      <c r="A5" s="85" t="s">
        <v>71</v>
      </c>
      <c r="B5" s="74" t="s">
        <v>72</v>
      </c>
      <c r="C5" s="78" t="s">
        <v>73</v>
      </c>
      <c r="D5" s="79" t="s">
        <v>820</v>
      </c>
    </row>
    <row r="6" ht="43.4" customHeight="1">
      <c r="A6" s="51" t="s">
        <v>74</v>
      </c>
      <c r="B6" s="75" t="s">
        <v>783</v>
      </c>
      <c r="C6" s="77" t="s">
        <v>782</v>
      </c>
      <c r="D6" s="79" t="s">
        <v>820</v>
      </c>
    </row>
    <row r="8">
      <c r="B8" s="59"/>
    </row>
    <row r="9">
      <c r="B9" s="59"/>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O1" workbookViewId="0">
      <selection activeCell="B12" sqref="B12"/>
    </sheetView>
  </sheetViews>
  <sheetFormatPr defaultRowHeight="15.0" baseColWidth="10"/>
  <cols>
    <col min="1" max="1" width="33" hidden="0" customWidth="1"/>
    <col min="2" max="2" width="42" hidden="0" customWidth="1"/>
    <col min="3" max="3" width="7.81640625" hidden="0" customWidth="1"/>
  </cols>
  <sheetData>
    <row r="1">
      <c r="A1" s="86" t="s">
        <v>111</v>
      </c>
      <c r="B1" s="86" t="s">
        <v>112</v>
      </c>
      <c r="C1" s="86" t="s">
        <v>1033</v>
      </c>
      <c r="D1" s="87" t="s">
        <v>180</v>
      </c>
      <c r="E1" s="87" t="s">
        <v>181</v>
      </c>
      <c r="F1" s="87" t="s">
        <v>1823</v>
      </c>
      <c r="G1" s="87" t="s">
        <v>183</v>
      </c>
      <c r="H1" s="87" t="s">
        <v>113</v>
      </c>
      <c r="I1" s="87" t="s">
        <v>114</v>
      </c>
      <c r="J1" s="87" t="s">
        <v>1824</v>
      </c>
      <c r="K1" s="87" t="s">
        <v>116</v>
      </c>
      <c r="L1" s="87" t="s">
        <v>117</v>
      </c>
      <c r="M1" s="87" t="s">
        <v>118</v>
      </c>
      <c r="N1" s="87" t="s">
        <v>1825</v>
      </c>
      <c r="O1" s="87" t="s">
        <v>120</v>
      </c>
      <c r="P1" s="87" t="s">
        <v>121</v>
      </c>
      <c r="Q1" s="87" t="s">
        <v>122</v>
      </c>
      <c r="R1" s="87" t="s">
        <v>1802</v>
      </c>
      <c r="S1" s="87" t="s">
        <v>124</v>
      </c>
      <c r="T1" s="87" t="s">
        <v>108</v>
      </c>
      <c r="U1" s="87" t="s">
        <v>109</v>
      </c>
      <c r="V1" s="87" t="s">
        <v>110</v>
      </c>
      <c r="W1" s="87" t="s">
        <v>675</v>
      </c>
    </row>
    <row r="2" ht="29.15" customHeight="1">
      <c r="A2" s="45" t="s">
        <v>184</v>
      </c>
      <c r="B2" t="s">
        <v>185</v>
      </c>
      <c r="C2" t="n">
        <v>321.19400000000007</v>
      </c>
      <c r="D2" t="n">
        <f>Grants!K73</f>
        <v>68.7</v>
      </c>
      <c r="E2" t="n">
        <f>Grants!L73</f>
        <v>69.400000000000006</v>
      </c>
      <c r="F2" t="n">
        <f>Grants!M73</f>
        <v>72.7</v>
      </c>
      <c r="G2" t="n">
        <f>Grants!N73</f>
        <v>46.344000000000008</v>
      </c>
      <c r="H2" t="n">
        <f>Grants!O73</f>
        <v>60.044000000000004</v>
      </c>
      <c r="I2" s="78" t="n">
        <f>Grants!P73</f>
        <v>74.24985199999999</v>
      </c>
      <c r="J2" s="78" t="n">
        <f>Grants!Q73</f>
        <v>124.72527479999997</v>
      </c>
      <c r="K2" s="78" t="n">
        <f>Grants!R73</f>
        <v>167.279032</v>
      </c>
      <c r="L2" s="78" t="n">
        <f>Grants!S73</f>
        <v>178.22486800000001</v>
      </c>
      <c r="M2" s="78" t="n">
        <f>Grants!T73</f>
        <v>139.69092799999999</v>
      </c>
      <c r="N2" s="78" t="n">
        <f>Grants!U73</f>
        <v>130.07454319999999</v>
      </c>
      <c r="O2" s="78" t="n">
        <f>Grants!V73</f>
        <v>130.16872000000001</v>
      </c>
      <c r="P2" s="78" t="n">
        <f>Grants!W73</f>
        <v>124.865944</v>
      </c>
      <c r="Q2" s="78" t="n">
        <f>Grants!X73</f>
        <v>142.23394399999998</v>
      </c>
      <c r="R2" s="78" t="n">
        <f>Grants!Y73</f>
        <v>156.73394400000001</v>
      </c>
      <c r="S2" s="78" t="n">
        <f>Grants!Z73</f>
        <v>164.65410900000001</v>
      </c>
      <c r="T2" s="78" t="n">
        <f>Grants!AA73</f>
        <v>167.46432999999999</v>
      </c>
      <c r="U2" s="78" t="n">
        <f>Grants!AB73</f>
        <v>184.6163257</v>
      </c>
      <c r="V2" s="78" t="n">
        <f>Grants!AC73</f>
        <v>165.98499700000002</v>
      </c>
      <c r="W2" s="78" t="n">
        <f>Grants!AD73</f>
        <v>158.58561950000001</v>
      </c>
    </row>
    <row r="3" ht="29.15" customHeight="1">
      <c r="A3" s="45" t="s">
        <v>702</v>
      </c>
      <c r="B3" t="s">
        <v>699</v>
      </c>
      <c r="C3" t="n">
        <v>1649.3000000000004</v>
      </c>
      <c r="D3" s="78" t="n">
        <f>'Social Benefits'!K30</f>
        <v>53.600000000000009</v>
      </c>
      <c r="E3" s="78" t="n">
        <f>'Social Benefits'!L30</f>
        <v>55.2</v>
      </c>
      <c r="F3" s="78" t="n">
        <f>'Social Benefits'!M30</f>
        <v>54.600000000000009</v>
      </c>
      <c r="G3" s="78" t="n">
        <f>'Social Benefits'!N30</f>
        <v>21.678159999999977</v>
      </c>
      <c r="H3" s="78" t="n">
        <f>'Social Benefits'!O30</f>
        <v>18.329839999999919</v>
      </c>
      <c r="I3" s="78" t="n">
        <f>'Social Benefits'!P30</f>
        <v>-4.3759999999999941</v>
      </c>
      <c r="J3" s="78" t="n">
        <f>'Social Benefits'!Q30</f>
        <v>-3.3760000000000083</v>
      </c>
      <c r="K3" s="78" t="n">
        <f>'Social Benefits'!R30</f>
        <v>-2.3760000000000083</v>
      </c>
      <c r="L3" s="78" t="n">
        <f>'Social Benefits'!S30</f>
        <v>-0.87600000000000833</v>
      </c>
      <c r="M3" s="78" t="n">
        <f>'Social Benefits'!T30</f>
        <v>45.183999999999997</v>
      </c>
      <c r="N3" s="78" t="n">
        <f>'Social Benefits'!U30</f>
        <v>68.183999999999997</v>
      </c>
      <c r="O3" s="78" t="n">
        <f>'Social Benefits'!V30</f>
        <v>72.992571428571438</v>
      </c>
      <c r="P3" s="78" t="n">
        <f>'Social Benefits'!W30</f>
        <v>77.892571428571429</v>
      </c>
      <c r="Q3" s="78" t="n">
        <f>'Social Benefits'!X30</f>
        <v>86.099000000000004</v>
      </c>
      <c r="R3" s="78" t="n">
        <f>'Social Benefits'!Y30</f>
        <v>93.898999999999987</v>
      </c>
      <c r="S3" s="78" t="n">
        <f>'Social Benefits'!Z30</f>
        <v>94.899000000000015</v>
      </c>
      <c r="T3" s="78" t="n">
        <f>'Social Benefits'!AA30</f>
        <v>96.499000000000024</v>
      </c>
      <c r="U3" s="78" t="n">
        <f>'Social Benefits'!AB30</f>
        <v>101.998</v>
      </c>
      <c r="V3" s="78" t="n">
        <f>'Social Benefits'!AC30</f>
        <v>100.89800000000001</v>
      </c>
      <c r="W3" s="78" t="n">
        <f>'Social Benefits'!AD30</f>
        <v>106.09800000000001</v>
      </c>
    </row>
    <row r="4" ht="29.15" customHeight="1">
      <c r="A4" s="45" t="s">
        <v>704</v>
      </c>
      <c r="B4" t="s">
        <v>700</v>
      </c>
      <c r="C4" t="n">
        <v>0</v>
      </c>
      <c r="D4" t="n">
        <f>'Social Benefits'!K22</f>
        <v>0</v>
      </c>
      <c r="E4" t="n">
        <f>'Social Benefits'!L22</f>
        <v>0</v>
      </c>
      <c r="F4" t="n">
        <f>'Social Benefits'!M22</f>
        <v>0</v>
      </c>
      <c r="G4" t="n">
        <f>'Social Benefits'!N22</f>
        <v>33.921840000000024</v>
      </c>
      <c r="H4" t="n">
        <f>'Social Benefits'!O22</f>
        <v>44.966160000000031</v>
      </c>
      <c r="I4" t="n">
        <f>'Social Benefits'!P22</f>
        <v>52.756999999999998</v>
      </c>
      <c r="J4" t="n">
        <f>'Social Benefits'!Q22</f>
        <v>52.756999999999998</v>
      </c>
      <c r="K4" t="n">
        <f>'Social Benefits'!R22</f>
        <v>52.756999999999998</v>
      </c>
      <c r="L4" t="n">
        <f>'Social Benefits'!S22</f>
        <v>52.756999999999998</v>
      </c>
      <c r="M4" t="n">
        <f>'Social Benefits'!T22</f>
        <v>30</v>
      </c>
      <c r="N4" t="n">
        <f>'Social Benefits'!U22</f>
        <v>12</v>
      </c>
      <c r="O4" t="n">
        <f>'Social Benefits'!V22</f>
        <v>12</v>
      </c>
      <c r="P4" t="n">
        <f>'Social Benefits'!W22</f>
        <v>12</v>
      </c>
      <c r="Q4" t="n">
        <f>'Social Benefits'!X22</f>
        <v>4.2219999999999995</v>
      </c>
      <c r="R4" t="n">
        <f>'Social Benefits'!Y22</f>
        <v>4.2219999999999995</v>
      </c>
      <c r="S4" t="n">
        <f>'Social Benefits'!Z22</f>
        <v>4.2219999999999995</v>
      </c>
      <c r="T4" t="n">
        <f>'Social Benefits'!AA22</f>
        <v>4.2219999999999995</v>
      </c>
      <c r="U4" t="n">
        <f>'Social Benefits'!AB22</f>
        <v>2.3719999999999999</v>
      </c>
      <c r="V4" t="n">
        <f>'Social Benefits'!AC22</f>
        <v>2.3719999999999999</v>
      </c>
      <c r="W4" t="n">
        <f>'Social Benefits'!AD22</f>
        <v>2.3719999999999999</v>
      </c>
    </row>
    <row r="5">
      <c r="A5" s="45" t="s">
        <v>703</v>
      </c>
      <c r="B5" t="s">
        <v>701</v>
      </c>
      <c r="C5" t="n">
        <v>160.9</v>
      </c>
      <c r="D5" t="n">
        <f>'Social Benefits'!K27</f>
        <v>0</v>
      </c>
      <c r="E5" t="n">
        <f>'Social Benefits'!L27</f>
        <v>0</v>
      </c>
      <c r="F5" t="n">
        <f>'Social Benefits'!M27</f>
        <v>0</v>
      </c>
      <c r="G5" t="n">
        <f>'Social Benefits'!N27</f>
        <v>0</v>
      </c>
      <c r="H5" t="n">
        <f>'Social Benefits'!O27</f>
        <v>3.1040000000000418</v>
      </c>
      <c r="I5" t="n">
        <f>'Social Benefits'!P27</f>
        <v>19.719000000000005</v>
      </c>
      <c r="J5" t="n">
        <f>'Social Benefits'!Q27</f>
        <v>19.719000000000005</v>
      </c>
      <c r="K5" t="n">
        <f>'Social Benefits'!R27</f>
        <v>19.719000000000005</v>
      </c>
      <c r="L5" t="n">
        <f>'Social Benefits'!S27</f>
        <v>19.719000000000005</v>
      </c>
      <c r="M5" t="n">
        <f>'Social Benefits'!T27</f>
        <v>1.4159999999999999</v>
      </c>
      <c r="N5" t="n">
        <f>'Social Benefits'!U27</f>
        <v>1.4159999999999999</v>
      </c>
      <c r="O5" t="n">
        <f>'Social Benefits'!V27</f>
        <v>1.4159999999999999</v>
      </c>
      <c r="P5" t="n">
        <f>'Social Benefits'!W27</f>
        <v>1.4159999999999999</v>
      </c>
      <c r="Q5" t="n">
        <f>'Social Benefits'!X27</f>
        <v>1.4790000000000001</v>
      </c>
      <c r="R5" t="n">
        <f>'Social Benefits'!Y27</f>
        <v>1.4790000000000001</v>
      </c>
      <c r="S5" t="n">
        <f>'Social Benefits'!Z27</f>
        <v>1.4790000000000001</v>
      </c>
      <c r="T5" t="n">
        <f>'Social Benefits'!AA27</f>
        <v>1.4790000000000001</v>
      </c>
      <c r="U5" t="n">
        <f>'Social Benefits'!AB27</f>
        <v>1.63</v>
      </c>
      <c r="V5" t="n">
        <f>'Social Benefits'!AC27</f>
        <v>1.63</v>
      </c>
      <c r="W5" t="n">
        <f>'Social Benefits'!AD27</f>
        <v>1.63</v>
      </c>
    </row>
    <row r="6">
      <c r="A6" s="78" t="s">
        <v>134</v>
      </c>
      <c r="B6" s="78" t="s">
        <v>738</v>
      </c>
      <c r="C6" s="78" t="n">
        <v>0</v>
      </c>
      <c r="D6" s="88" t="n">
        <f>Subsidies!K45</f>
        <v>0</v>
      </c>
      <c r="E6" s="88" t="n">
        <f>Subsidies!L45</f>
        <v>0</v>
      </c>
      <c r="F6" s="88" t="n">
        <f>Subsidies!M45</f>
        <v>0</v>
      </c>
      <c r="G6" s="88" t="n">
        <f>Subsidies!N45</f>
        <v>58.782959999999989</v>
      </c>
      <c r="H6" s="88" t="n">
        <f>Subsidies!O45</f>
        <v>267.78904</v>
      </c>
      <c r="I6" s="88" t="n">
        <f>Subsidies!P45</f>
        <v>110.24799999999999</v>
      </c>
      <c r="J6" s="88" t="n">
        <f>Subsidies!Q45</f>
        <v>110.24799999999999</v>
      </c>
      <c r="K6" s="88" t="n">
        <f>Subsidies!R45</f>
        <v>110.24799999999999</v>
      </c>
      <c r="L6" s="88" t="n">
        <f>Subsidies!S45</f>
        <v>110.24799999999999</v>
      </c>
      <c r="M6" s="88" t="n">
        <f>Subsidies!T45</f>
        <v>12.726000000000001</v>
      </c>
      <c r="N6" s="88" t="n">
        <f>Subsidies!U45</f>
        <v>12.726000000000001</v>
      </c>
      <c r="O6" s="88" t="n">
        <f>Subsidies!V45</f>
        <v>12.726000000000001</v>
      </c>
      <c r="P6" s="88" t="n">
        <f>Subsidies!W45</f>
        <v>12.726000000000001</v>
      </c>
      <c r="Q6" s="88" t="n">
        <f>Subsidies!X45</f>
        <v>1.365</v>
      </c>
      <c r="R6" s="88" t="n">
        <f>Subsidies!Y45</f>
        <v>1.365</v>
      </c>
      <c r="S6" s="88" t="n">
        <f>Subsidies!Z45</f>
        <v>1.365</v>
      </c>
      <c r="T6" s="88" t="n">
        <f>Subsidies!AA45</f>
        <v>1.365</v>
      </c>
      <c r="U6" s="88" t="n">
        <f>Subsidies!AB45</f>
        <v>-0.90100000000000025</v>
      </c>
      <c r="V6" s="88" t="n">
        <f>Subsidies!AC45</f>
        <v>-0.90100000000000025</v>
      </c>
      <c r="W6" s="88" t="n">
        <f>Subsidies!AD45</f>
        <v>-0.90100000000000025</v>
      </c>
    </row>
    <row r="7" ht="29.15" customHeight="1">
      <c r="A7" s="45" t="s">
        <v>772</v>
      </c>
      <c r="B7" t="s">
        <v>770</v>
      </c>
      <c r="C7" t="e">
        <v>#REF!</v>
      </c>
      <c r="D7" s="78" t="e">
        <f>#REF!</f>
        <v>#REF!</v>
      </c>
      <c r="E7" s="78" t="e">
        <f>#REF!</f>
        <v>#REF!</v>
      </c>
      <c r="F7" s="78" t="e">
        <f>#REF!</f>
        <v>#REF!</v>
      </c>
      <c r="G7" s="78" t="e">
        <f>#REF!</f>
        <v>#REF!</v>
      </c>
      <c r="H7" s="78" t="e">
        <f>#REF!</f>
        <v>#REF!</v>
      </c>
      <c r="I7" s="78" t="e">
        <f>#REF!</f>
        <v>#REF!</v>
      </c>
      <c r="J7" s="78" t="e">
        <f>#REF!</f>
        <v>#REF!</v>
      </c>
      <c r="K7" s="78" t="e">
        <f>#REF!</f>
        <v>#REF!</v>
      </c>
      <c r="L7" s="78" t="e">
        <f>#REF!</f>
        <v>#REF!</v>
      </c>
      <c r="M7" s="78" t="e">
        <f>#REF!</f>
        <v>#REF!</v>
      </c>
      <c r="N7" s="78" t="e">
        <f>#REF!</f>
        <v>#REF!</v>
      </c>
      <c r="O7" s="78" t="e">
        <f>#REF!</f>
        <v>#REF!</v>
      </c>
      <c r="P7" s="78" t="e">
        <f>#REF!</f>
        <v>#REF!</v>
      </c>
      <c r="Q7" s="78" t="e">
        <f>#REF!</f>
        <v>#REF!</v>
      </c>
      <c r="R7" s="78" t="e">
        <f>#REF!</f>
        <v>#REF!</v>
      </c>
      <c r="S7" s="78" t="e">
        <f>#REF!</f>
        <v>#REF!</v>
      </c>
      <c r="T7" s="78" t="e">
        <f>#REF!</f>
        <v>#REF!</v>
      </c>
      <c r="U7" s="78" t="e">
        <f>#REF!</f>
        <v>#REF!</v>
      </c>
      <c r="V7" s="78" t="e">
        <f>#REF!</f>
        <v>#REF!</v>
      </c>
      <c r="W7" s="78" t="e">
        <f>#REF!</f>
        <v>#REF!</v>
      </c>
    </row>
    <row r="8">
      <c r="A8" t="s">
        <v>773</v>
      </c>
      <c r="B8" t="s">
        <v>771</v>
      </c>
      <c r="D8" s="78"/>
      <c r="E8" s="78"/>
      <c r="F8" s="78"/>
      <c r="G8" s="78"/>
      <c r="H8" s="78"/>
      <c r="J8" s="89"/>
      <c r="K8" s="89"/>
      <c r="L8" s="89"/>
      <c r="M8" s="89"/>
      <c r="N8" s="89" t="e">
        <f>forecast!#REF!</f>
        <v>#REF!</v>
      </c>
      <c r="O8" s="89" t="e">
        <f>forecast!#REF!</f>
        <v>#REF!</v>
      </c>
      <c r="P8" s="89" t="e">
        <f>forecast!#REF!</f>
        <v>#REF!</v>
      </c>
      <c r="Q8" s="89" t="e">
        <f>forecast!#REF!</f>
        <v>#REF!</v>
      </c>
      <c r="R8" s="89" t="e">
        <f>forecast!#REF!</f>
        <v>#REF!</v>
      </c>
      <c r="S8" s="89" t="e">
        <f>forecast!#REF!</f>
        <v>#REF!</v>
      </c>
      <c r="T8" s="89" t="e">
        <f>forecast!#REF!</f>
        <v>#REF!</v>
      </c>
      <c r="U8" s="89" t="e">
        <f>forecast!#REF!</f>
        <v>#REF!</v>
      </c>
      <c r="V8" s="89" t="e">
        <f>forecast!#REF!</f>
        <v>#REF!</v>
      </c>
      <c r="W8" s="89" t="e">
        <f>forecast!#REF!</f>
        <v>#REF!</v>
      </c>
    </row>
    <row r="9">
      <c r="A9" s="45" t="s">
        <v>823</v>
      </c>
      <c r="B9" t="s">
        <v>824</v>
      </c>
      <c r="C9" t="n">
        <v>75.483999999999995</v>
      </c>
      <c r="D9" t="n">
        <f>Grants!K94</f>
        <v>5.6440000000000001</v>
      </c>
      <c r="E9" t="n">
        <f>Grants!L94</f>
        <v>5.6680000000000001</v>
      </c>
      <c r="F9" t="n">
        <f>Grants!M94</f>
        <v>5.2160000000000002</v>
      </c>
      <c r="G9" t="n">
        <f>Grants!N94</f>
        <v>6.7240000000000002</v>
      </c>
      <c r="H9" t="n">
        <f>Grants!O94</f>
        <v>5.7</v>
      </c>
      <c r="I9" t="n">
        <f>Grants!P94</f>
        <v>5.74</v>
      </c>
      <c r="J9" t="n">
        <f>Grants!Q94</f>
        <v>6.2080000000000002</v>
      </c>
      <c r="K9" t="n">
        <f>Grants!R94</f>
        <v>5.8262857142857154</v>
      </c>
      <c r="L9" t="n">
        <f>Grants!S94</f>
        <v>5.8262857142857154</v>
      </c>
      <c r="M9" s="78" t="n">
        <f>Grants!T94</f>
        <v>6.6452857142857154</v>
      </c>
      <c r="N9" s="78" t="n">
        <f>Grants!U94</f>
        <v>6.6452857142857154</v>
      </c>
      <c r="O9" s="78" t="n">
        <f>Grants!V94</f>
        <v>6.6452857142857154</v>
      </c>
      <c r="P9" s="78" t="n">
        <f>Grants!W94</f>
        <v>6.6452857142857154</v>
      </c>
      <c r="Q9" s="78" t="n">
        <f>Grants!X94</f>
        <v>8.3042857142857152</v>
      </c>
      <c r="R9" s="78" t="n">
        <f>Grants!Y94</f>
        <v>8.3042857142857152</v>
      </c>
      <c r="S9" s="78" t="n">
        <f>Grants!Z94</f>
        <v>8.3042857142857152</v>
      </c>
      <c r="T9" s="78" t="n">
        <f>Grants!AA94</f>
        <v>8.3042857142857152</v>
      </c>
      <c r="U9" s="78" t="n">
        <f>Grants!AB94</f>
        <v>9.8982857142857164</v>
      </c>
      <c r="V9" s="78" t="n">
        <f>Grants!AC94</f>
        <v>9.8982857142857164</v>
      </c>
      <c r="W9" s="78" t="n">
        <f>Grants!AD94</f>
        <v>5.8262857142857154</v>
      </c>
    </row>
    <row r="10">
      <c r="A10" t="s">
        <v>1780</v>
      </c>
      <c r="B10" t="s">
        <v>1781</v>
      </c>
      <c r="C10" t="n">
        <v>0</v>
      </c>
      <c r="D10" t="n">
        <v>0</v>
      </c>
      <c r="E10" t="n">
        <v>0</v>
      </c>
      <c r="F10" t="n">
        <v>0</v>
      </c>
      <c r="G10" t="n">
        <v>0</v>
      </c>
      <c r="H10" t="n">
        <v>0</v>
      </c>
      <c r="I10" t="n">
        <v>0</v>
      </c>
      <c r="J10" t="n">
        <v>0</v>
      </c>
      <c r="K10" t="n">
        <f>'Supply Side IRA'!R14</f>
        <v>0</v>
      </c>
      <c r="L10" t="n">
        <f>'Supply Side IRA'!S14</f>
        <v>4.7396187820222604</v>
      </c>
      <c r="M10" t="n">
        <f>'Supply Side IRA'!T14</f>
        <v>7.9776986848321831</v>
      </c>
      <c r="N10" t="n">
        <f>'Supply Side IRA'!U14</f>
        <v>30.340947133778037</v>
      </c>
      <c r="O10" t="n">
        <f>'Supply Side IRA'!V14</f>
        <v>46.245323437552436</v>
      </c>
      <c r="P10" s="78" t="n">
        <f>'Supply Side IRA'!W14</f>
        <v>62.071265434561823</v>
      </c>
      <c r="Q10" s="78" t="n">
        <f>'Supply Side IRA'!X14</f>
        <v>68.312190099849346</v>
      </c>
      <c r="R10" s="78" t="n">
        <f>'Supply Side IRA'!Y14</f>
        <v>78.014538004655279</v>
      </c>
      <c r="S10" s="78" t="n">
        <f>'Supply Side IRA'!Z14</f>
        <v>85.438721583871441</v>
      </c>
      <c r="T10" s="78" t="n">
        <f>'Supply Side IRA'!AA14</f>
        <v>79.629002831748679</v>
      </c>
      <c r="U10" s="78" t="n">
        <f>'Supply Side IRA'!AB14</f>
        <v>71.179167218325318</v>
      </c>
      <c r="V10" s="78" t="n">
        <f>'Supply Side IRA'!AC14</f>
        <v>73.980636292422588</v>
      </c>
      <c r="W10" s="78" t="n">
        <f>'Supply Side IRA'!AD14</f>
        <v>88.394442804062294</v>
      </c>
    </row>
    <row r="11">
      <c r="A11" s="45" t="s">
        <v>1784</v>
      </c>
      <c r="B11" t="s">
        <v>1785</v>
      </c>
      <c r="C11" t="n">
        <v>45</v>
      </c>
      <c r="D11" t="n">
        <f>'Student loans'!K12</f>
        <v>45</v>
      </c>
      <c r="E11" t="n">
        <f>'Student loans'!L12</f>
        <v>45</v>
      </c>
      <c r="F11" t="n">
        <f>'Student loans'!M12</f>
        <v>45</v>
      </c>
      <c r="G11" t="n">
        <f>'Student loans'!N12</f>
        <v>45</v>
      </c>
      <c r="H11" t="n">
        <f>'Student loans'!O12</f>
        <v>45</v>
      </c>
      <c r="I11" t="n">
        <f>'Student loans'!P12</f>
        <v>45</v>
      </c>
      <c r="J11" t="n">
        <f>'Student loans'!Q12</f>
        <v>45</v>
      </c>
      <c r="K11" t="n">
        <f>'Student loans'!R12</f>
        <v>45</v>
      </c>
      <c r="L11" t="n">
        <f>'Student loans'!S12</f>
        <v>45</v>
      </c>
      <c r="M11" t="n">
        <f>'Student loans'!T12</f>
        <v>45</v>
      </c>
      <c r="N11" t="n">
        <f>'Student loans'!U12</f>
        <v>45</v>
      </c>
      <c r="O11" t="n">
        <f>'Student loans'!V12</f>
        <v>45</v>
      </c>
      <c r="P11" s="78" t="n">
        <f>'Student loans'!W12</f>
        <v>2.0815079999999999</v>
      </c>
      <c r="Q11" s="78" t="n">
        <f>'Student loans'!X12</f>
        <v>2.1006180000000003</v>
      </c>
      <c r="R11" s="78" t="n">
        <f>'Student loans'!Y12</f>
        <v>2.5815300000000003</v>
      </c>
      <c r="S11" s="78" t="n">
        <f>'Student loans'!Z12</f>
        <v>2.6040450000000002</v>
      </c>
      <c r="T11" s="78" t="n">
        <f>'Student loans'!AA12</f>
        <v>2.626465</v>
      </c>
      <c r="U11" s="78" t="n">
        <f>'Student loans'!AB12</f>
        <v>2.6498349999999999</v>
      </c>
      <c r="V11" s="78" t="n">
        <f>'Student loans'!AC12</f>
        <v>2.6454420000000001</v>
      </c>
      <c r="W11" s="78" t="n">
        <f>'Student loans'!AD12</f>
        <v>2.6696</v>
      </c>
    </row>
    <row r="12">
      <c r="A12" t="s">
        <v>1973</v>
      </c>
      <c r="B12" t="s">
        <v>1974</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1" ySplit="1" topLeftCell="I27" activePane="bottomRight" state="frozen"/>
      <selection pane="topRight" activeCell="B1" sqref="B1"/>
      <selection pane="bottomLeft" activeCell="A2" sqref="A2"/>
      <selection pane="bottomRight" activeCell="AB27" sqref="AB27"/>
    </sheetView>
  </sheetViews>
  <sheetFormatPr defaultRowHeight="15.0" baseColWidth="10"/>
  <cols>
    <col min="1" max="1" width="11.71" hidden="0" customWidth="1"/>
    <col min="2" max="2" width="11.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 min="26" max="26" width="11.71" hidden="0" customWidth="1"/>
    <col min="27" max="27" width="11.71" hidden="0" customWidth="1"/>
    <col min="28" max="28" width="11.71" hidden="0" customWidth="1"/>
    <col min="29" max="29" width="11.71" hidden="0" customWidth="1"/>
    <col min="30" max="30" width="11.71" hidden="0" customWidth="1"/>
    <col min="31" max="31" width="11.71" hidden="0" customWidth="1"/>
    <col min="32" max="32" width="11.71" hidden="0" customWidth="1"/>
    <col min="33" max="33" width="11.71" hidden="0" customWidth="1"/>
    <col min="34" max="34" width="11.71" hidden="0" customWidth="1"/>
    <col min="35" max="35" width="11.71" hidden="0" customWidth="1"/>
    <col min="36" max="36" width="11.71" hidden="0" customWidth="1"/>
    <col min="37" max="37" width="11.71" hidden="0" customWidth="1"/>
    <col min="38" max="38" width="11.71" hidden="0" customWidth="1"/>
    <col min="39" max="39" width="11.71" hidden="0" customWidth="1"/>
    <col min="40" max="40" width="11.71" hidden="0" customWidth="1"/>
    <col min="41" max="41" width="11.71" hidden="0" customWidth="1"/>
    <col min="42" max="42" width="11.71" hidden="0" customWidth="1"/>
    <col min="43" max="43" width="11.71" hidden="0" customWidth="1"/>
    <col min="44" max="44" width="11.71" hidden="0" customWidth="1"/>
    <col min="45" max="45" width="11.71" hidden="0" customWidth="1"/>
    <col min="46" max="46" width="11.71" hidden="0" customWidth="1"/>
    <col min="47" max="47" width="11.71" hidden="0" customWidth="1"/>
    <col min="48" max="48" width="11.71" hidden="0" customWidth="1"/>
    <col min="49" max="49" width="11.71" hidden="0" customWidth="1"/>
    <col min="50" max="50" width="11.71" hidden="0" customWidth="1"/>
    <col min="51" max="51" width="11.71" hidden="0" customWidth="1"/>
    <col min="52" max="52" width="11.71" hidden="0" customWidth="1"/>
    <col min="53" max="53" width="11.71" hidden="0" customWidth="1"/>
    <col min="54" max="54" width="11.71" hidden="0" customWidth="1"/>
    <col min="55" max="55" width="11.71" hidden="0" customWidth="1"/>
    <col min="56" max="56" width="11.71" hidden="0" customWidth="1"/>
    <col min="57" max="57" width="11.71" hidden="0" customWidth="1"/>
    <col min="58" max="58" width="11.71" hidden="0" customWidth="1"/>
    <col min="59" max="59" width="11.71" hidden="0" customWidth="1"/>
    <col min="60" max="60" width="11.71" hidden="0" customWidth="1"/>
    <col min="61" max="61" width="11.71" hidden="0" customWidth="1"/>
    <col min="62" max="62" width="11.71" hidden="0" customWidth="1"/>
    <col min="63" max="63" width="11.71" hidden="0" customWidth="1"/>
    <col min="64" max="64" width="11.71" hidden="0" customWidth="1"/>
    <col min="65" max="65" width="11.71" hidden="0" customWidth="1"/>
    <col min="66" max="66" width="11.71" hidden="0" customWidth="1"/>
    <col min="67" max="67" width="11.71" hidden="0" customWidth="1"/>
    <col min="68" max="68" width="11.71" hidden="0" customWidth="1"/>
    <col min="69" max="69" width="11.71" hidden="0" customWidth="1"/>
    <col min="70" max="70" width="11.71" hidden="0" customWidth="1"/>
    <col min="71" max="71" width="11.71" hidden="0" customWidth="1"/>
    <col min="72" max="72" width="11.71" hidden="0" customWidth="1"/>
    <col min="73" max="73" width="11.71" hidden="0" customWidth="1"/>
    <col min="74" max="74" width="11.71" hidden="0" customWidth="1"/>
    <col min="75" max="75" width="11.71" hidden="0" customWidth="1"/>
    <col min="76" max="76" width="11.71" hidden="0" customWidth="1"/>
    <col min="77" max="77" width="11.71" hidden="0" customWidth="1"/>
    <col min="78" max="78" width="11.71" hidden="0" customWidth="1"/>
    <col min="79" max="79" width="11.71" hidden="0" customWidth="1"/>
    <col min="80" max="80" width="11.71" hidden="0" customWidth="1"/>
    <col min="81" max="81" width="11.71" hidden="0" customWidth="1"/>
    <col min="82" max="82" width="11.71" hidden="0" customWidth="1"/>
    <col min="83" max="83" width="11.71" hidden="0" customWidth="1"/>
    <col min="84" max="84" width="11.71" hidden="0" customWidth="1"/>
    <col min="85" max="85" width="11.71" hidden="0" customWidth="1"/>
    <col min="86" max="86" width="11.71" hidden="0" customWidth="1"/>
    <col min="87" max="87" width="11.71" hidden="0" customWidth="1"/>
    <col min="88" max="88" width="11.71" hidden="0" customWidth="1"/>
    <col min="89" max="89" width="11.71" hidden="0" customWidth="1"/>
    <col min="90" max="90" width="11.71" hidden="0" customWidth="1"/>
    <col min="91" max="91" width="11.71" hidden="0" customWidth="1"/>
    <col min="92" max="92" width="11.71" hidden="0" customWidth="1"/>
    <col min="93" max="93" width="11.71" hidden="0" customWidth="1"/>
    <col min="94" max="94" width="11.71" hidden="0" customWidth="1"/>
    <col min="95" max="95" width="11.71" hidden="0" customWidth="1"/>
    <col min="96" max="96" width="11.71" hidden="0" customWidth="1"/>
    <col min="97" max="97" width="11.71" hidden="0" customWidth="1"/>
    <col min="98" max="98" width="11.71" hidden="0" customWidth="1"/>
    <col min="99" max="99" width="11.71" hidden="0" customWidth="1"/>
    <col min="100" max="100" width="11.71" hidden="0" customWidth="1"/>
    <col min="101" max="101" width="11.71" hidden="0" customWidth="1"/>
    <col min="102" max="102" width="11.71" hidden="0" customWidth="1"/>
    <col min="103" max="103" width="11.71" hidden="0" customWidth="1"/>
    <col min="104" max="104" width="11.71" hidden="0" customWidth="1"/>
    <col min="105" max="105" width="11.71" hidden="0" customWidth="1"/>
    <col min="106" max="106" width="11.71" hidden="0" customWidth="1"/>
    <col min="107" max="107" width="11.71" hidden="0" customWidth="1"/>
    <col min="108" max="108" width="11.71" hidden="0" customWidth="1"/>
    <col min="109" max="109" width="11.71" hidden="0" customWidth="1"/>
    <col min="110" max="110" width="11.71" hidden="0" customWidth="1"/>
    <col min="111" max="111" width="11.71" hidden="0" customWidth="1"/>
    <col min="112" max="112" width="11.71" hidden="0" customWidth="1"/>
    <col min="113" max="113" width="11.71" hidden="0" customWidth="1"/>
    <col min="114" max="114" width="11.71" hidden="0" customWidth="1"/>
    <col min="115" max="115" width="11.71" hidden="0" customWidth="1"/>
    <col min="116" max="116" width="11.71" hidden="0" customWidth="1"/>
    <col min="117" max="117" width="11.71" hidden="0" customWidth="1"/>
    <col min="118" max="118" width="11.71" hidden="0" customWidth="1"/>
    <col min="119" max="119" width="11.71" hidden="0" customWidth="1"/>
    <col min="120" max="120" width="11.71" hidden="0" customWidth="1"/>
    <col min="121" max="121" width="11.71" hidden="0" customWidth="1"/>
    <col min="122" max="122" width="11.71" hidden="0" customWidth="1"/>
    <col min="123" max="123" width="11.71" hidden="0" customWidth="1"/>
    <col min="124" max="124" width="11.71" hidden="0" customWidth="1"/>
    <col min="125" max="125" width="11.71" hidden="0" customWidth="1"/>
    <col min="126" max="126" width="11.71" hidden="0" customWidth="1"/>
    <col min="127" max="127" width="11.71" hidden="0" customWidth="1"/>
    <col min="128" max="128" width="11.71" hidden="0" customWidth="1"/>
    <col min="129" max="129" width="11.71" hidden="0" customWidth="1"/>
    <col min="130" max="130" width="11.71" hidden="0" customWidth="1"/>
    <col min="131" max="131" width="11.71" hidden="0" customWidth="1"/>
    <col min="132" max="132" width="11.71" hidden="0" customWidth="1"/>
    <col min="133" max="133" width="11.71" hidden="0" customWidth="1"/>
    <col min="134" max="134" width="11.71" hidden="0" customWidth="1"/>
    <col min="135" max="135" width="11.71" hidden="0" customWidth="1"/>
    <col min="136" max="136" width="11.71" hidden="0" customWidth="1"/>
    <col min="137" max="137" width="11.71" hidden="0" customWidth="1"/>
    <col min="138" max="138" width="11.71" hidden="0" customWidth="1"/>
    <col min="139" max="139" width="11.71" hidden="0" customWidth="1"/>
    <col min="140" max="140" width="11.71" hidden="0" customWidth="1"/>
    <col min="141" max="141" width="11.71" hidden="0" customWidth="1"/>
    <col min="142" max="142" width="11.71" hidden="0" customWidth="1"/>
    <col min="143" max="143" width="11.71" hidden="0" customWidth="1"/>
    <col min="144" max="144" width="11.71" hidden="0" customWidth="1"/>
    <col min="145" max="145" width="11.71" hidden="0" customWidth="1"/>
    <col min="146" max="146" width="11.71" hidden="0" customWidth="1"/>
    <col min="147" max="147" width="11.71" hidden="0" customWidth="1"/>
    <col min="148" max="148" width="11.71" hidden="0" customWidth="1"/>
    <col min="149" max="149" width="11.71" hidden="0" customWidth="1"/>
    <col min="150" max="150" width="11.71" hidden="0" customWidth="1"/>
    <col min="151" max="151" width="11.71" hidden="0" customWidth="1"/>
    <col min="152" max="152" width="11.71" hidden="0" customWidth="1"/>
    <col min="153" max="153" width="11.71" hidden="0" customWidth="1"/>
    <col min="154" max="154" width="11.71" hidden="0" customWidth="1"/>
    <col min="155" max="155" width="11.71" hidden="0" customWidth="1"/>
    <col min="156" max="156" width="11.71" hidden="0" customWidth="1"/>
    <col min="157" max="157" width="11.71" hidden="0" customWidth="1"/>
    <col min="158" max="158" width="11.71" hidden="0" customWidth="1"/>
    <col min="159" max="159" width="11.71" hidden="0" customWidth="1"/>
    <col min="160" max="160" width="11.71" hidden="0" customWidth="1"/>
    <col min="161" max="161" width="11.71" hidden="0" customWidth="1"/>
    <col min="162" max="162" width="11.71" hidden="0" customWidth="1"/>
    <col min="163" max="163" width="11.71" hidden="0" customWidth="1"/>
    <col min="164" max="164" width="11.71" hidden="0" customWidth="1"/>
    <col min="165" max="165" width="11.71" hidden="0" customWidth="1"/>
    <col min="166" max="166" width="11.71" hidden="0" customWidth="1"/>
    <col min="167" max="167" width="11.71" hidden="0" customWidth="1"/>
    <col min="168" max="168" width="11.71" hidden="0" customWidth="1"/>
    <col min="169" max="169" width="11.71" hidden="0" customWidth="1"/>
    <col min="170" max="170" width="11.71" hidden="0" customWidth="1"/>
    <col min="171" max="171" width="11.71" hidden="0" customWidth="1"/>
    <col min="172" max="172" width="11.71" hidden="0" customWidth="1"/>
    <col min="173" max="173" width="11.71" hidden="0" customWidth="1"/>
    <col min="174" max="174" width="11.71" hidden="0" customWidth="1"/>
    <col min="175" max="175" width="11.71" hidden="0" customWidth="1"/>
    <col min="176" max="176" width="11.71" hidden="0" customWidth="1"/>
    <col min="177" max="177" width="11.71" hidden="0" customWidth="1"/>
    <col min="178" max="178" width="11.71" hidden="0" customWidth="1"/>
    <col min="179" max="179" width="11.71" hidden="0" customWidth="1"/>
    <col min="180" max="180" width="11.71" hidden="0" customWidth="1"/>
    <col min="181" max="181" width="11.71" hidden="0" customWidth="1"/>
    <col min="182" max="182" width="11.71" hidden="0" customWidth="1"/>
    <col min="183" max="183" width="11.71" hidden="0" customWidth="1"/>
    <col min="184" max="184" width="11.71" hidden="0" customWidth="1"/>
    <col min="185" max="185" width="11.71" hidden="0" customWidth="1"/>
    <col min="186" max="186" width="11.71" hidden="0" customWidth="1"/>
    <col min="187" max="187" width="11.71" hidden="0" customWidth="1"/>
    <col min="188" max="188" width="11.71" hidden="0" customWidth="1"/>
    <col min="189" max="189" width="11.71" hidden="0" customWidth="1"/>
    <col min="190" max="190" width="11.71" hidden="0" customWidth="1"/>
    <col min="191" max="191" width="11.71" hidden="0" customWidth="1"/>
    <col min="192" max="192" width="11.71" hidden="0" customWidth="1"/>
    <col min="193" max="193" width="11.71" hidden="0" customWidth="1"/>
    <col min="194" max="194" width="11.71" hidden="0" customWidth="1"/>
    <col min="195" max="195" width="11.71" hidden="0" customWidth="1"/>
    <col min="196" max="196" width="11.71" hidden="0" customWidth="1"/>
    <col min="197" max="197" width="11.71" hidden="0" customWidth="1"/>
    <col min="198" max="198" width="11.71" hidden="0" customWidth="1"/>
    <col min="199" max="199" width="11.71" hidden="0" customWidth="1"/>
    <col min="200" max="200" width="11.71" hidden="0" customWidth="1"/>
    <col min="201" max="201" width="11.71" hidden="0" customWidth="1"/>
    <col min="202" max="202" width="11.71" hidden="0" customWidth="1"/>
    <col min="203" max="203" width="11.71" hidden="0" customWidth="1"/>
    <col min="204" max="204" width="11.71" hidden="0" customWidth="1"/>
    <col min="205" max="205" width="11.71" hidden="0" customWidth="1"/>
    <col min="206" max="206" width="11.71" hidden="0" customWidth="1"/>
    <col min="207" max="207" width="11.71" hidden="0" customWidth="1"/>
    <col min="208" max="208" width="11.71" hidden="0" customWidth="1"/>
    <col min="209" max="209" width="11.71" hidden="0" customWidth="1"/>
    <col min="210" max="210" width="11.71" hidden="0" customWidth="1"/>
    <col min="211" max="211" width="11.71" hidden="0" customWidth="1"/>
    <col min="212" max="212" width="11.71" hidden="0" customWidth="1"/>
    <col min="213" max="213" width="11.71" hidden="0" customWidth="1"/>
    <col min="214" max="214" width="11.71" hidden="0" customWidth="1"/>
    <col min="215" max="215" width="11.71" hidden="0" customWidth="1"/>
    <col min="216" max="216" width="11.71" hidden="0" customWidth="1"/>
    <col min="217" max="217" width="11.71" hidden="0" customWidth="1"/>
    <col min="218" max="218" width="11.71" hidden="0" customWidth="1"/>
    <col min="219" max="219" width="11.71" hidden="0" customWidth="1"/>
    <col min="220" max="220" width="11.71" hidden="0" customWidth="1"/>
    <col min="221" max="221" width="11.71" hidden="0" customWidth="1"/>
    <col min="222" max="222" width="11.71" hidden="0" customWidth="1"/>
    <col min="223" max="223" width="11.71" hidden="0" customWidth="1"/>
  </cols>
  <sheetData>
    <row r="1">
      <c r="A1" s="86" t="s">
        <v>2291</v>
      </c>
      <c r="B1" s="86" t="s">
        <v>2292</v>
      </c>
      <c r="C1" s="86" t="s">
        <v>2293</v>
      </c>
      <c r="D1" s="86" t="s">
        <v>2294</v>
      </c>
      <c r="E1" s="86" t="s">
        <v>2295</v>
      </c>
      <c r="F1" s="86" t="s">
        <v>2296</v>
      </c>
      <c r="G1" s="86" t="s">
        <v>2297</v>
      </c>
      <c r="H1" s="86" t="s">
        <v>2298</v>
      </c>
      <c r="I1" s="86" t="s">
        <v>2299</v>
      </c>
      <c r="J1" s="86" t="s">
        <v>2300</v>
      </c>
      <c r="K1" s="86" t="s">
        <v>2301</v>
      </c>
      <c r="L1" s="86" t="s">
        <v>2302</v>
      </c>
      <c r="M1" s="86" t="s">
        <v>2303</v>
      </c>
      <c r="N1" s="86" t="s">
        <v>2304</v>
      </c>
      <c r="O1" s="86" t="s">
        <v>2305</v>
      </c>
      <c r="P1" s="86" t="s">
        <v>2306</v>
      </c>
      <c r="Q1" s="86" t="s">
        <v>2307</v>
      </c>
      <c r="R1" s="86" t="s">
        <v>2308</v>
      </c>
      <c r="S1" s="86" t="s">
        <v>2309</v>
      </c>
      <c r="T1" s="86" t="s">
        <v>2310</v>
      </c>
      <c r="U1" s="86" t="s">
        <v>2311</v>
      </c>
      <c r="V1" s="86" t="s">
        <v>2312</v>
      </c>
      <c r="W1" s="86" t="s">
        <v>2313</v>
      </c>
      <c r="X1" s="86" t="s">
        <v>2314</v>
      </c>
      <c r="Y1" s="86" t="s">
        <v>2315</v>
      </c>
      <c r="Z1" s="86" t="s">
        <v>2316</v>
      </c>
      <c r="AA1" s="86" t="s">
        <v>2317</v>
      </c>
      <c r="AB1" s="86" t="s">
        <v>2318</v>
      </c>
      <c r="AC1" s="1400" t="s">
        <v>2319</v>
      </c>
      <c r="AD1" s="1400" t="s">
        <v>2320</v>
      </c>
      <c r="AE1" s="1400" t="s">
        <v>2321</v>
      </c>
      <c r="AF1" s="1400" t="s">
        <v>2322</v>
      </c>
      <c r="AG1" s="1400" t="s">
        <v>2323</v>
      </c>
      <c r="AH1" s="1400" t="s">
        <v>2324</v>
      </c>
      <c r="AI1" s="1400" t="s">
        <v>2325</v>
      </c>
      <c r="AJ1" s="1400" t="s">
        <v>2326</v>
      </c>
      <c r="AK1" s="1400" t="s">
        <v>2327</v>
      </c>
      <c r="AL1" s="1400" t="s">
        <v>2328</v>
      </c>
      <c r="AM1" s="1400" t="s">
        <v>2329</v>
      </c>
      <c r="AN1" s="1400" t="s">
        <v>2330</v>
      </c>
      <c r="AO1" s="1400" t="s">
        <v>2331</v>
      </c>
      <c r="AP1" s="1400" t="s">
        <v>2332</v>
      </c>
      <c r="AQ1" s="1400" t="s">
        <v>2333</v>
      </c>
      <c r="AR1" s="1400" t="s">
        <v>2334</v>
      </c>
      <c r="AS1" s="1400" t="s">
        <v>2335</v>
      </c>
      <c r="AT1" s="1400" t="s">
        <v>2336</v>
      </c>
      <c r="AU1" s="1400" t="s">
        <v>2337</v>
      </c>
      <c r="AV1" s="1400" t="s">
        <v>2338</v>
      </c>
      <c r="AW1" s="1400" t="s">
        <v>2339</v>
      </c>
      <c r="AX1" s="1400" t="s">
        <v>2340</v>
      </c>
      <c r="AY1" s="1400" t="s">
        <v>2341</v>
      </c>
      <c r="AZ1" s="1400" t="s">
        <v>2342</v>
      </c>
      <c r="BA1" s="1400" t="s">
        <v>2343</v>
      </c>
      <c r="BB1" s="1400" t="s">
        <v>2344</v>
      </c>
      <c r="BC1" s="1400" t="s">
        <v>2345</v>
      </c>
      <c r="BD1" s="1400" t="s">
        <v>2346</v>
      </c>
      <c r="BE1" s="1400" t="s">
        <v>2347</v>
      </c>
      <c r="BF1" s="1400" t="s">
        <v>2348</v>
      </c>
      <c r="BG1" s="1400" t="s">
        <v>2349</v>
      </c>
      <c r="BH1" s="1400" t="s">
        <v>2350</v>
      </c>
      <c r="BI1" s="1400" t="s">
        <v>2351</v>
      </c>
      <c r="BJ1" s="1400" t="s">
        <v>2352</v>
      </c>
      <c r="BK1" s="1400" t="s">
        <v>2353</v>
      </c>
      <c r="BL1" s="1400" t="s">
        <v>2354</v>
      </c>
      <c r="BM1" s="1400" t="s">
        <v>2355</v>
      </c>
      <c r="BN1" s="1400" t="s">
        <v>2356</v>
      </c>
      <c r="BO1" s="1400" t="s">
        <v>2357</v>
      </c>
      <c r="BP1" s="1400" t="s">
        <v>2358</v>
      </c>
      <c r="BQ1" s="1400" t="s">
        <v>2359</v>
      </c>
      <c r="BR1" s="1400" t="s">
        <v>2360</v>
      </c>
      <c r="BS1" s="1400" t="s">
        <v>2361</v>
      </c>
      <c r="BT1" s="1400" t="s">
        <v>2362</v>
      </c>
      <c r="BU1" s="1400" t="s">
        <v>2363</v>
      </c>
      <c r="BV1" s="1400" t="s">
        <v>2364</v>
      </c>
      <c r="BW1" s="1400" t="s">
        <v>2365</v>
      </c>
      <c r="BX1" s="1400" t="s">
        <v>2366</v>
      </c>
      <c r="BY1" s="1400" t="s">
        <v>2367</v>
      </c>
      <c r="BZ1" s="1400" t="s">
        <v>2368</v>
      </c>
      <c r="CA1" s="1400" t="s">
        <v>2369</v>
      </c>
      <c r="CB1" s="1400" t="s">
        <v>2370</v>
      </c>
      <c r="CC1" s="1400" t="s">
        <v>2371</v>
      </c>
      <c r="CD1" s="1400" t="s">
        <v>2372</v>
      </c>
      <c r="CE1" s="1400" t="s">
        <v>2373</v>
      </c>
      <c r="CF1" s="1400" t="s">
        <v>2374</v>
      </c>
      <c r="CG1" s="1400" t="s">
        <v>2375</v>
      </c>
      <c r="CH1" s="1400" t="s">
        <v>2376</v>
      </c>
      <c r="CI1" s="1400" t="s">
        <v>2377</v>
      </c>
      <c r="CJ1" s="1400" t="s">
        <v>2378</v>
      </c>
      <c r="CK1" s="1400" t="s">
        <v>2379</v>
      </c>
      <c r="CL1" s="1400" t="s">
        <v>2380</v>
      </c>
      <c r="CM1" s="1400" t="s">
        <v>2381</v>
      </c>
      <c r="CN1" s="1400" t="s">
        <v>2382</v>
      </c>
      <c r="CO1" s="1400" t="s">
        <v>2383</v>
      </c>
      <c r="CP1" s="1400" t="s">
        <v>2384</v>
      </c>
      <c r="CQ1" s="1400" t="s">
        <v>2385</v>
      </c>
      <c r="CR1" s="1400" t="s">
        <v>2386</v>
      </c>
      <c r="CS1" s="1400" t="s">
        <v>2387</v>
      </c>
      <c r="CT1" s="1400" t="s">
        <v>2388</v>
      </c>
      <c r="CU1" s="1400" t="s">
        <v>2389</v>
      </c>
      <c r="CV1" s="1400" t="s">
        <v>2390</v>
      </c>
      <c r="CW1" s="1400" t="s">
        <v>2391</v>
      </c>
      <c r="CX1" s="1400" t="s">
        <v>2392</v>
      </c>
      <c r="CY1" s="1400" t="s">
        <v>2393</v>
      </c>
      <c r="CZ1" s="1400" t="s">
        <v>2394</v>
      </c>
      <c r="DA1" s="1400" t="s">
        <v>2395</v>
      </c>
      <c r="DB1" s="1400" t="s">
        <v>2396</v>
      </c>
      <c r="DC1" s="1400" t="s">
        <v>2397</v>
      </c>
      <c r="DD1" s="1400" t="s">
        <v>2398</v>
      </c>
      <c r="DE1" s="1400" t="s">
        <v>2399</v>
      </c>
      <c r="DF1" s="1400" t="s">
        <v>2400</v>
      </c>
      <c r="DG1" s="1400" t="s">
        <v>2401</v>
      </c>
      <c r="DH1" s="1400" t="s">
        <v>2402</v>
      </c>
      <c r="DI1" s="1400" t="s">
        <v>2403</v>
      </c>
      <c r="DJ1" s="1400" t="s">
        <v>2404</v>
      </c>
      <c r="DK1" s="1400" t="s">
        <v>2405</v>
      </c>
      <c r="DL1" s="1400" t="s">
        <v>2406</v>
      </c>
      <c r="DM1" s="1400" t="s">
        <v>2407</v>
      </c>
      <c r="DN1" s="1400" t="s">
        <v>2408</v>
      </c>
      <c r="DO1" s="1400" t="s">
        <v>2409</v>
      </c>
      <c r="DP1" s="1400" t="s">
        <v>2410</v>
      </c>
      <c r="DQ1" s="1400" t="s">
        <v>2411</v>
      </c>
      <c r="DR1" s="1400" t="s">
        <v>2412</v>
      </c>
      <c r="DS1" s="1400" t="s">
        <v>2413</v>
      </c>
      <c r="DT1" s="1400" t="s">
        <v>2414</v>
      </c>
      <c r="DU1" s="1400" t="s">
        <v>2415</v>
      </c>
      <c r="DV1" s="1400" t="s">
        <v>2416</v>
      </c>
      <c r="DW1" s="1400" t="s">
        <v>2417</v>
      </c>
      <c r="DX1" s="1400" t="s">
        <v>2418</v>
      </c>
      <c r="DY1" s="1400" t="s">
        <v>2419</v>
      </c>
      <c r="DZ1" s="1400" t="s">
        <v>2420</v>
      </c>
      <c r="EA1" s="1400" t="s">
        <v>2421</v>
      </c>
      <c r="EB1" s="1400" t="s">
        <v>2422</v>
      </c>
      <c r="EC1" s="1400" t="s">
        <v>2423</v>
      </c>
      <c r="ED1" s="1400" t="s">
        <v>2424</v>
      </c>
      <c r="EE1" s="1400" t="s">
        <v>2425</v>
      </c>
      <c r="EF1" s="1400" t="s">
        <v>2426</v>
      </c>
      <c r="EG1" s="1400" t="s">
        <v>2427</v>
      </c>
      <c r="EH1" s="1400" t="s">
        <v>2428</v>
      </c>
      <c r="EI1" s="1400" t="s">
        <v>2429</v>
      </c>
      <c r="EJ1" s="1400" t="s">
        <v>2430</v>
      </c>
      <c r="EK1" s="1400" t="s">
        <v>2431</v>
      </c>
      <c r="EL1" s="1400" t="s">
        <v>2432</v>
      </c>
      <c r="EM1" s="1400" t="s">
        <v>2433</v>
      </c>
      <c r="EN1" s="1400" t="s">
        <v>2434</v>
      </c>
      <c r="EO1" s="1400" t="s">
        <v>2435</v>
      </c>
      <c r="EP1" s="1400" t="s">
        <v>2436</v>
      </c>
      <c r="EQ1" s="1400" t="s">
        <v>2437</v>
      </c>
      <c r="ER1" s="1400" t="s">
        <v>2438</v>
      </c>
      <c r="ES1" s="1400" t="s">
        <v>2439</v>
      </c>
      <c r="ET1" s="1400" t="s">
        <v>2440</v>
      </c>
      <c r="EU1" s="1400" t="s">
        <v>2441</v>
      </c>
      <c r="EV1" s="1400" t="s">
        <v>2442</v>
      </c>
      <c r="EW1" s="1400" t="s">
        <v>2443</v>
      </c>
      <c r="EX1" s="1400" t="s">
        <v>2444</v>
      </c>
      <c r="EY1" s="1400" t="s">
        <v>2445</v>
      </c>
      <c r="EZ1" s="1400" t="s">
        <v>2446</v>
      </c>
      <c r="FA1" s="1400" t="s">
        <v>2447</v>
      </c>
      <c r="FB1" s="1400" t="s">
        <v>2448</v>
      </c>
      <c r="FC1" s="1400" t="s">
        <v>2449</v>
      </c>
      <c r="FD1" s="1400" t="s">
        <v>2450</v>
      </c>
      <c r="FE1" s="1400" t="s">
        <v>2451</v>
      </c>
      <c r="FF1" s="1400" t="s">
        <v>2452</v>
      </c>
      <c r="FG1" s="1400" t="s">
        <v>2453</v>
      </c>
      <c r="FH1" s="1400" t="s">
        <v>2454</v>
      </c>
      <c r="FI1" s="1400" t="s">
        <v>2455</v>
      </c>
      <c r="FJ1" s="1400" t="s">
        <v>2456</v>
      </c>
      <c r="FK1" s="1400" t="s">
        <v>2457</v>
      </c>
      <c r="FL1" s="1400" t="s">
        <v>2458</v>
      </c>
      <c r="FM1" s="1400" t="s">
        <v>2459</v>
      </c>
      <c r="FN1" s="1400" t="s">
        <v>2460</v>
      </c>
      <c r="FO1" s="1400" t="s">
        <v>2461</v>
      </c>
      <c r="FP1" s="1400" t="s">
        <v>2462</v>
      </c>
      <c r="FQ1" s="1400" t="s">
        <v>2463</v>
      </c>
      <c r="FR1" s="1400" t="s">
        <v>2464</v>
      </c>
      <c r="FS1" s="1400" t="s">
        <v>2465</v>
      </c>
      <c r="FT1" s="1400" t="s">
        <v>2466</v>
      </c>
      <c r="FU1" s="1400" t="s">
        <v>2467</v>
      </c>
      <c r="FV1" s="1400" t="s">
        <v>2468</v>
      </c>
      <c r="FW1" s="1400" t="s">
        <v>2469</v>
      </c>
      <c r="FX1" s="1400" t="s">
        <v>2470</v>
      </c>
      <c r="FY1" s="1400" t="s">
        <v>2471</v>
      </c>
      <c r="FZ1" s="1400" t="s">
        <v>2472</v>
      </c>
      <c r="GA1" s="1400" t="s">
        <v>2473</v>
      </c>
      <c r="GB1" s="1400" t="s">
        <v>2474</v>
      </c>
      <c r="GC1" s="1400" t="s">
        <v>2475</v>
      </c>
      <c r="GD1" s="1400" t="s">
        <v>2476</v>
      </c>
      <c r="GE1" s="1400" t="s">
        <v>2477</v>
      </c>
      <c r="GF1" s="1400" t="s">
        <v>2478</v>
      </c>
      <c r="GG1" s="1400" t="s">
        <v>2479</v>
      </c>
      <c r="GH1" s="1400" t="s">
        <v>2480</v>
      </c>
      <c r="GI1" s="1400" t="s">
        <v>2481</v>
      </c>
      <c r="GJ1" s="1400" t="s">
        <v>2482</v>
      </c>
      <c r="GK1" s="1400" t="s">
        <v>2483</v>
      </c>
      <c r="GL1" s="1400" t="s">
        <v>2484</v>
      </c>
      <c r="GM1" s="1400" t="s">
        <v>2485</v>
      </c>
      <c r="GN1" s="1400" t="s">
        <v>2486</v>
      </c>
      <c r="GO1" s="1400" t="s">
        <v>2487</v>
      </c>
      <c r="GP1" s="1400" t="s">
        <v>2488</v>
      </c>
      <c r="GQ1" s="1400" t="s">
        <v>2489</v>
      </c>
      <c r="GR1" s="1400" t="s">
        <v>2490</v>
      </c>
      <c r="GS1" s="1400" t="s">
        <v>2491</v>
      </c>
      <c r="GT1" s="1400" t="s">
        <v>2492</v>
      </c>
      <c r="GU1" s="1400" t="s">
        <v>2493</v>
      </c>
      <c r="GV1" s="1400" t="s">
        <v>2494</v>
      </c>
      <c r="GW1" s="1400" t="s">
        <v>2495</v>
      </c>
      <c r="GX1" s="1400" t="s">
        <v>2496</v>
      </c>
      <c r="GY1" s="1400" t="s">
        <v>2497</v>
      </c>
      <c r="GZ1" s="1400" t="s">
        <v>2498</v>
      </c>
      <c r="HA1" s="1400" t="s">
        <v>2499</v>
      </c>
      <c r="HB1" s="1400" t="s">
        <v>2500</v>
      </c>
      <c r="HC1" s="1400" t="s">
        <v>2501</v>
      </c>
      <c r="HD1" s="1400" t="s">
        <v>2502</v>
      </c>
      <c r="HE1" s="1400" t="s">
        <v>2503</v>
      </c>
      <c r="HF1" s="1400" t="s">
        <v>2504</v>
      </c>
      <c r="HG1" s="1400" t="s">
        <v>2505</v>
      </c>
      <c r="HH1" s="1400" t="s">
        <v>2506</v>
      </c>
      <c r="HI1" s="1400" t="s">
        <v>2507</v>
      </c>
      <c r="HJ1" s="1400" t="s">
        <v>2508</v>
      </c>
      <c r="HK1" s="1400" t="s">
        <v>2509</v>
      </c>
      <c r="HL1" s="1400" t="s">
        <v>2510</v>
      </c>
      <c r="HM1" s="1400" t="s">
        <v>2511</v>
      </c>
      <c r="HN1" s="1400" t="s">
        <v>2512</v>
      </c>
      <c r="HO1" s="1400" t="s">
        <v>2513</v>
      </c>
    </row>
    <row r="2">
      <c r="A2" s="78" t="s">
        <v>2514</v>
      </c>
      <c r="B2" s="78" t="n">
        <v>1051.2</v>
      </c>
      <c r="C2" s="78" t="n">
        <v>1067.4</v>
      </c>
      <c r="D2" s="78" t="n">
        <v>1086.1</v>
      </c>
      <c r="E2" s="78" t="n">
        <v>1088.6</v>
      </c>
      <c r="F2" s="78" t="n">
        <v>1135.2</v>
      </c>
      <c r="G2" s="78" t="n">
        <v>1156.3</v>
      </c>
      <c r="H2" s="78" t="n">
        <v>1177.7</v>
      </c>
      <c r="I2" s="78" t="n">
        <v>1190.3</v>
      </c>
      <c r="J2" s="78" t="n">
        <v>1230.6</v>
      </c>
      <c r="K2" s="78" t="n">
        <v>1266.4</v>
      </c>
      <c r="L2" s="78" t="n">
        <v>1290.6</v>
      </c>
      <c r="M2" s="78" t="n">
        <v>1328.9</v>
      </c>
      <c r="N2" s="78" t="n">
        <v>1377.5</v>
      </c>
      <c r="O2" s="78" t="n">
        <v>1413.9</v>
      </c>
      <c r="P2" t="n">
        <v>1433.8</v>
      </c>
      <c r="Q2" t="n">
        <v>1476.3</v>
      </c>
      <c r="R2" t="n">
        <v>1491.2</v>
      </c>
      <c r="S2" t="n">
        <v>1530.1</v>
      </c>
      <c r="T2" t="n">
        <v>1560</v>
      </c>
      <c r="U2" t="n">
        <v>1599.7</v>
      </c>
      <c r="V2" t="n">
        <v>1616.1</v>
      </c>
      <c r="W2" t="n">
        <v>1651.9</v>
      </c>
      <c r="X2" t="n">
        <v>1709.8</v>
      </c>
      <c r="Y2" t="n">
        <v>1761.8</v>
      </c>
      <c r="Z2" t="n">
        <v>1820.5</v>
      </c>
      <c r="AA2" t="n">
        <v>1852.3</v>
      </c>
      <c r="AB2" t="n">
        <v>1886.6</v>
      </c>
      <c r="AC2" t="n">
        <v>1934.3</v>
      </c>
      <c r="AD2" t="n">
        <v>1988.6</v>
      </c>
      <c r="AE2" t="n">
        <v>2055.9</v>
      </c>
      <c r="AF2" t="n">
        <v>2118.5</v>
      </c>
      <c r="AG2" t="n">
        <v>2164.3</v>
      </c>
      <c r="AH2" t="n">
        <v>2202.8</v>
      </c>
      <c r="AI2" t="n">
        <v>2331.6</v>
      </c>
      <c r="AJ2" t="n">
        <v>2395.1</v>
      </c>
      <c r="AK2" t="n">
        <v>2476.9</v>
      </c>
      <c r="AL2" t="n">
        <v>2526.6</v>
      </c>
      <c r="AM2" t="n">
        <v>2591.2</v>
      </c>
      <c r="AN2" t="n">
        <v>2667.6</v>
      </c>
      <c r="AO2" t="n">
        <v>2723.9</v>
      </c>
      <c r="AP2" t="n">
        <v>2789.8</v>
      </c>
      <c r="AQ2" t="n">
        <v>2797.4</v>
      </c>
      <c r="AR2" t="n">
        <v>2856.5</v>
      </c>
      <c r="AS2" t="n">
        <v>2985.6</v>
      </c>
      <c r="AT2" t="n">
        <v>3124.2</v>
      </c>
      <c r="AU2" t="n">
        <v>3162.5</v>
      </c>
      <c r="AV2" t="n">
        <v>3260.6</v>
      </c>
      <c r="AW2" t="n">
        <v>3280.8</v>
      </c>
      <c r="AX2" t="n">
        <v>3274.3</v>
      </c>
      <c r="AY2" t="n">
        <v>3332</v>
      </c>
      <c r="AZ2" t="n">
        <v>3366.3</v>
      </c>
      <c r="BA2" t="n">
        <v>3402.6</v>
      </c>
      <c r="BB2" t="n">
        <v>3473.4</v>
      </c>
      <c r="BC2" t="n">
        <v>3578.8</v>
      </c>
      <c r="BD2" t="n">
        <v>3689.2</v>
      </c>
      <c r="BE2" t="n">
        <v>3794.7</v>
      </c>
      <c r="BF2" t="n">
        <v>3908.1</v>
      </c>
      <c r="BG2" t="n">
        <v>4009.6</v>
      </c>
      <c r="BH2" t="n">
        <v>4084.3</v>
      </c>
      <c r="BI2" t="n">
        <v>4148.6</v>
      </c>
      <c r="BJ2" t="n">
        <v>4230.2</v>
      </c>
      <c r="BK2" t="n">
        <v>4294.9</v>
      </c>
      <c r="BL2" t="n">
        <v>4386.8</v>
      </c>
      <c r="BM2" t="n">
        <v>4444.1</v>
      </c>
      <c r="BN2" t="n">
        <v>4507.9</v>
      </c>
      <c r="BO2" t="n">
        <v>4545.3</v>
      </c>
      <c r="BP2" t="n">
        <v>4607.7</v>
      </c>
      <c r="BQ2" t="n">
        <v>4657.6</v>
      </c>
      <c r="BR2" t="n">
        <v>4722.2</v>
      </c>
      <c r="BS2" t="n">
        <v>4806.2</v>
      </c>
      <c r="BT2" t="n">
        <v>4884.6</v>
      </c>
      <c r="BU2" t="n">
        <v>5008</v>
      </c>
      <c r="BV2" t="n">
        <v>5073.4</v>
      </c>
      <c r="BW2" t="n">
        <v>5190</v>
      </c>
      <c r="BX2" t="n">
        <v>5282.8</v>
      </c>
      <c r="BY2" t="n">
        <v>5399.5</v>
      </c>
      <c r="BZ2" t="n">
        <v>5511.3</v>
      </c>
      <c r="CA2" t="n">
        <v>5612.5</v>
      </c>
      <c r="CB2" t="n">
        <v>5695.4</v>
      </c>
      <c r="CC2" t="n">
        <v>5747.2</v>
      </c>
      <c r="CD2" t="n">
        <v>5872.7</v>
      </c>
      <c r="CE2" t="n">
        <v>5960</v>
      </c>
      <c r="CF2" t="n">
        <v>6015.1</v>
      </c>
      <c r="CG2" t="n">
        <v>6004.7</v>
      </c>
      <c r="CH2" t="n">
        <v>6035.2</v>
      </c>
      <c r="CI2" t="n">
        <v>6126.9</v>
      </c>
      <c r="CJ2" t="n">
        <v>6205.9</v>
      </c>
      <c r="CK2" t="n">
        <v>6264.5</v>
      </c>
      <c r="CL2" t="n">
        <v>6363.1</v>
      </c>
      <c r="CM2" t="n">
        <v>6470.8</v>
      </c>
      <c r="CN2" t="n">
        <v>6566.6</v>
      </c>
      <c r="CO2" t="n">
        <v>6680.8</v>
      </c>
      <c r="CP2" t="n">
        <v>6729.5</v>
      </c>
      <c r="CQ2" t="n">
        <v>6808.9</v>
      </c>
      <c r="CR2" t="n">
        <v>6882.1</v>
      </c>
      <c r="CS2" t="n">
        <v>7013.7</v>
      </c>
      <c r="CT2" t="n">
        <v>7115.7</v>
      </c>
      <c r="CU2" t="n">
        <v>7246.9</v>
      </c>
      <c r="CV2" t="n">
        <v>7331.1</v>
      </c>
      <c r="CW2" t="n">
        <v>7455.3</v>
      </c>
      <c r="CX2" t="n">
        <v>7522.3</v>
      </c>
      <c r="CY2" t="n">
        <v>7581</v>
      </c>
      <c r="CZ2" t="n">
        <v>7683.1</v>
      </c>
      <c r="DA2" t="n">
        <v>7772.6</v>
      </c>
      <c r="DB2" t="n">
        <v>7868.5</v>
      </c>
      <c r="DC2" t="n">
        <v>8032.8</v>
      </c>
      <c r="DD2" t="n">
        <v>8131.4</v>
      </c>
      <c r="DE2" t="n">
        <v>8259.8</v>
      </c>
      <c r="DF2" t="n">
        <v>8362.7</v>
      </c>
      <c r="DG2" t="n">
        <v>8518.8</v>
      </c>
      <c r="DH2" t="n">
        <v>8662.8</v>
      </c>
      <c r="DI2" t="n">
        <v>8765.9</v>
      </c>
      <c r="DJ2" t="n">
        <v>8866.5</v>
      </c>
      <c r="DK2" t="n">
        <v>8969.7</v>
      </c>
      <c r="DL2" t="n">
        <v>9121.1</v>
      </c>
      <c r="DM2" t="n">
        <v>9294</v>
      </c>
      <c r="DN2" t="n">
        <v>9411.7</v>
      </c>
      <c r="DO2" t="n">
        <v>9526.2</v>
      </c>
      <c r="DP2" t="n">
        <v>9686.6</v>
      </c>
      <c r="DQ2" t="n">
        <v>9900.2</v>
      </c>
      <c r="DR2" t="n">
        <v>10002.2</v>
      </c>
      <c r="DS2" t="n">
        <v>10247.7</v>
      </c>
      <c r="DT2" t="n">
        <v>10318.2</v>
      </c>
      <c r="DU2" t="n">
        <v>10435.7</v>
      </c>
      <c r="DV2" t="n">
        <v>10470.2</v>
      </c>
      <c r="DW2" t="n">
        <v>10599</v>
      </c>
      <c r="DX2" t="n">
        <v>10598</v>
      </c>
      <c r="DY2" t="n">
        <v>10660.5</v>
      </c>
      <c r="DZ2" t="n">
        <v>10783.5</v>
      </c>
      <c r="EA2" t="n">
        <v>10887.5</v>
      </c>
      <c r="EB2" t="n">
        <v>10984</v>
      </c>
      <c r="EC2" t="n">
        <v>11061.4</v>
      </c>
      <c r="ED2" t="n">
        <v>11174.1</v>
      </c>
      <c r="EE2" t="n">
        <v>11312.8</v>
      </c>
      <c r="EF2" t="n">
        <v>11566.7</v>
      </c>
      <c r="EG2" t="n">
        <v>11772.2</v>
      </c>
      <c r="EH2" t="n">
        <v>11923.4</v>
      </c>
      <c r="EI2" t="n">
        <v>12112.8</v>
      </c>
      <c r="EJ2" t="n">
        <v>12305.3</v>
      </c>
      <c r="EK2" t="n">
        <v>12527.2</v>
      </c>
      <c r="EL2" t="n">
        <v>12767.3</v>
      </c>
      <c r="EM2" t="n">
        <v>12922.7</v>
      </c>
      <c r="EN2" t="n">
        <v>13142.6</v>
      </c>
      <c r="EO2" t="n">
        <v>13324.2</v>
      </c>
      <c r="EP2" t="n">
        <v>13599.2</v>
      </c>
      <c r="EQ2" t="n">
        <v>13753.4</v>
      </c>
      <c r="ER2" t="n">
        <v>13870.2</v>
      </c>
      <c r="ES2" t="n">
        <v>14039.6</v>
      </c>
      <c r="ET2" t="n">
        <v>14215.7</v>
      </c>
      <c r="EU2" t="n">
        <v>14402.1</v>
      </c>
      <c r="EV2" t="n">
        <v>14564.1</v>
      </c>
      <c r="EW2" t="n">
        <v>14715.1</v>
      </c>
      <c r="EX2" t="n">
        <v>14706.5</v>
      </c>
      <c r="EY2" t="n">
        <v>14865.7</v>
      </c>
      <c r="EZ2" t="n">
        <v>14899</v>
      </c>
      <c r="FA2" t="n">
        <v>14608.2</v>
      </c>
      <c r="FB2" t="n">
        <v>14430.9</v>
      </c>
      <c r="FC2" t="n">
        <v>14381.2</v>
      </c>
      <c r="FD2" t="n">
        <v>14448.9</v>
      </c>
      <c r="FE2" t="n">
        <v>14651.2</v>
      </c>
      <c r="FF2" t="n">
        <v>14764.6</v>
      </c>
      <c r="FG2" t="n">
        <v>14980.2</v>
      </c>
      <c r="FH2" t="n">
        <v>15141.6</v>
      </c>
      <c r="FI2" t="n">
        <v>15309.5</v>
      </c>
      <c r="FJ2" t="n">
        <v>15351.4</v>
      </c>
      <c r="FK2" t="n">
        <v>15557.5</v>
      </c>
      <c r="FL2" t="n">
        <v>15647.7</v>
      </c>
      <c r="FM2" t="n">
        <v>15842.3</v>
      </c>
      <c r="FN2" t="n">
        <v>16068.8</v>
      </c>
      <c r="FO2" t="n">
        <v>16207.1</v>
      </c>
      <c r="FP2" t="n">
        <v>16319.5</v>
      </c>
      <c r="FQ2" t="n">
        <v>16420.4</v>
      </c>
      <c r="FR2" t="n">
        <v>16648.2</v>
      </c>
      <c r="FS2" t="n">
        <v>16728.7</v>
      </c>
      <c r="FT2" t="n">
        <v>16953.8</v>
      </c>
      <c r="FU2" t="n">
        <v>17192</v>
      </c>
      <c r="FV2" t="n">
        <v>17197.7</v>
      </c>
      <c r="FW2" t="n">
        <v>17518.5</v>
      </c>
      <c r="FX2" t="n">
        <v>17804.2</v>
      </c>
      <c r="FY2" t="n">
        <v>17912.1</v>
      </c>
      <c r="FZ2" t="n">
        <v>18063.5</v>
      </c>
      <c r="GA2" t="n">
        <v>18279.8</v>
      </c>
      <c r="GB2" t="n">
        <v>18401.6</v>
      </c>
      <c r="GC2" t="n">
        <v>18435.1</v>
      </c>
      <c r="GD2" t="n">
        <v>18525.9</v>
      </c>
      <c r="GE2" t="n">
        <v>18711.7</v>
      </c>
      <c r="GF2" t="n">
        <v>18892.6</v>
      </c>
      <c r="GG2" t="n">
        <v>19089.4</v>
      </c>
      <c r="GH2" t="n">
        <v>19280.1</v>
      </c>
      <c r="GI2" t="n">
        <v>19438.6</v>
      </c>
      <c r="GJ2" t="n">
        <v>19692.6</v>
      </c>
      <c r="GK2" t="n">
        <v>20037.1</v>
      </c>
      <c r="GL2" t="n">
        <v>20328.6</v>
      </c>
      <c r="GM2" t="n">
        <v>20580.9</v>
      </c>
      <c r="GN2" t="n">
        <v>20798.7</v>
      </c>
      <c r="GO2" t="n">
        <v>20917.9</v>
      </c>
      <c r="GP2" t="n">
        <v>21111.6</v>
      </c>
      <c r="GQ2" t="n">
        <v>21397.9</v>
      </c>
      <c r="GR2" t="n">
        <v>21717.2</v>
      </c>
      <c r="GS2" t="n">
        <v>21933.2</v>
      </c>
      <c r="GT2" t="n">
        <v>21727.7</v>
      </c>
      <c r="GU2" t="n">
        <v>19935.4</v>
      </c>
      <c r="GV2" t="n">
        <v>21684.6</v>
      </c>
      <c r="GW2" t="n">
        <v>22068.8</v>
      </c>
      <c r="GX2" t="n">
        <v>22656.8</v>
      </c>
      <c r="GY2" t="n">
        <v>23368.9</v>
      </c>
      <c r="GZ2" t="n">
        <v>23922</v>
      </c>
      <c r="HA2" t="n">
        <v>24777</v>
      </c>
      <c r="HB2" t="n">
        <v>25215.5</v>
      </c>
      <c r="HC2" t="n">
        <v>25805.8</v>
      </c>
      <c r="HD2" t="n">
        <v>26272</v>
      </c>
      <c r="HE2" t="n">
        <v>26734.3</v>
      </c>
      <c r="HF2" t="n">
        <v>27164.4</v>
      </c>
      <c r="HG2" t="n">
        <v>27453.8</v>
      </c>
      <c r="HH2" t="n">
        <v>27967.7</v>
      </c>
      <c r="HI2" t="n">
        <v>28297</v>
      </c>
      <c r="HJ2" t="n">
        <v>28624.1</v>
      </c>
      <c r="HK2" t="n">
        <v>29016.7</v>
      </c>
      <c r="HL2" t="n">
        <v>29374.9</v>
      </c>
      <c r="HM2" t="n">
        <v>29723.9</v>
      </c>
      <c r="HN2" t="n">
        <v>29962</v>
      </c>
      <c r="HO2" t="n">
        <v>30353.9</v>
      </c>
    </row>
    <row r="3">
      <c r="A3" s="78" t="s">
        <v>2515</v>
      </c>
      <c r="B3" s="78" t="n">
        <v>5300.7</v>
      </c>
      <c r="C3" s="78" t="n">
        <v>5308.2</v>
      </c>
      <c r="D3" s="78" t="n">
        <v>5357.1</v>
      </c>
      <c r="E3" s="78" t="n">
        <v>5299.7</v>
      </c>
      <c r="F3" s="78" t="n">
        <v>5443.6</v>
      </c>
      <c r="G3" s="78" t="n">
        <v>5473.1</v>
      </c>
      <c r="H3" s="78" t="n">
        <v>5518.1</v>
      </c>
      <c r="I3" s="78" t="n">
        <v>5531</v>
      </c>
      <c r="J3" s="78" t="n">
        <v>5632.6</v>
      </c>
      <c r="K3" s="78" t="n">
        <v>5760.5</v>
      </c>
      <c r="L3" s="78" t="n">
        <v>5814.9</v>
      </c>
      <c r="M3" s="78" t="n">
        <v>5912.2</v>
      </c>
      <c r="N3" s="78" t="n">
        <v>6058.5</v>
      </c>
      <c r="O3" s="78" t="n">
        <v>6124.5</v>
      </c>
      <c r="P3" t="n">
        <v>6092.3</v>
      </c>
      <c r="Q3" t="n">
        <v>6150.1</v>
      </c>
      <c r="R3" t="n">
        <v>6097.3</v>
      </c>
      <c r="S3" t="n">
        <v>6111.8</v>
      </c>
      <c r="T3" t="n">
        <v>6054</v>
      </c>
      <c r="U3" t="n">
        <v>6030.5</v>
      </c>
      <c r="V3" t="n">
        <v>5957</v>
      </c>
      <c r="W3" t="n">
        <v>5999.6</v>
      </c>
      <c r="X3" t="n">
        <v>6102.3</v>
      </c>
      <c r="Y3" t="n">
        <v>6184.5</v>
      </c>
      <c r="Z3" t="n">
        <v>6323.6</v>
      </c>
      <c r="AA3" t="n">
        <v>6370</v>
      </c>
      <c r="AB3" t="n">
        <v>6404.9</v>
      </c>
      <c r="AC3" t="n">
        <v>6451.2</v>
      </c>
      <c r="AD3" t="n">
        <v>6527.7</v>
      </c>
      <c r="AE3" t="n">
        <v>6654.5</v>
      </c>
      <c r="AF3" t="n">
        <v>6774.5</v>
      </c>
      <c r="AG3" t="n">
        <v>6774.6</v>
      </c>
      <c r="AH3" t="n">
        <v>6796.3</v>
      </c>
      <c r="AI3" t="n">
        <v>7058.9</v>
      </c>
      <c r="AJ3" t="n">
        <v>7129.9</v>
      </c>
      <c r="AK3" t="n">
        <v>7225.8</v>
      </c>
      <c r="AL3" t="n">
        <v>7238.7</v>
      </c>
      <c r="AM3" t="n">
        <v>7246.5</v>
      </c>
      <c r="AN3" t="n">
        <v>7300.3</v>
      </c>
      <c r="AO3" t="n">
        <v>7318.5</v>
      </c>
      <c r="AP3" t="n">
        <v>7341.6</v>
      </c>
      <c r="AQ3" t="n">
        <v>7190.3</v>
      </c>
      <c r="AR3" t="n">
        <v>7181.7</v>
      </c>
      <c r="AS3" t="n">
        <v>7315.7</v>
      </c>
      <c r="AT3" t="n">
        <v>7459</v>
      </c>
      <c r="AU3" t="n">
        <v>7403.7</v>
      </c>
      <c r="AV3" t="n">
        <v>7492.4</v>
      </c>
      <c r="AW3" t="n">
        <v>7410.8</v>
      </c>
      <c r="AX3" t="n">
        <v>7295.6</v>
      </c>
      <c r="AY3" t="n">
        <v>7328.9</v>
      </c>
      <c r="AZ3" t="n">
        <v>7300.9</v>
      </c>
      <c r="BA3" t="n">
        <v>7303.8</v>
      </c>
      <c r="BB3" t="n">
        <v>7400.1</v>
      </c>
      <c r="BC3" t="n">
        <v>7568.5</v>
      </c>
      <c r="BD3" t="n">
        <v>7719.7</v>
      </c>
      <c r="BE3" t="n">
        <v>7880.8</v>
      </c>
      <c r="BF3" t="n">
        <v>8034.8</v>
      </c>
      <c r="BG3" t="n">
        <v>8173.7</v>
      </c>
      <c r="BH3" t="n">
        <v>8252.5</v>
      </c>
      <c r="BI3" t="n">
        <v>8320.2</v>
      </c>
      <c r="BJ3" t="n">
        <v>8400.8</v>
      </c>
      <c r="BK3" t="n">
        <v>8474.8</v>
      </c>
      <c r="BL3" t="n">
        <v>8604.2</v>
      </c>
      <c r="BM3" t="n">
        <v>8668.2</v>
      </c>
      <c r="BN3" t="n">
        <v>8749.1</v>
      </c>
      <c r="BO3" t="n">
        <v>8788.5</v>
      </c>
      <c r="BP3" t="n">
        <v>8872.6</v>
      </c>
      <c r="BQ3" t="n">
        <v>8920.2</v>
      </c>
      <c r="BR3" t="n">
        <v>8986.4</v>
      </c>
      <c r="BS3" t="n">
        <v>9083.3</v>
      </c>
      <c r="BT3" t="n">
        <v>9162</v>
      </c>
      <c r="BU3" t="n">
        <v>9319.3</v>
      </c>
      <c r="BV3" t="n">
        <v>9367.5</v>
      </c>
      <c r="BW3" t="n">
        <v>9490.6</v>
      </c>
      <c r="BX3" t="n">
        <v>9546.2</v>
      </c>
      <c r="BY3" t="n">
        <v>9673.4</v>
      </c>
      <c r="BZ3" t="n">
        <v>9771.7</v>
      </c>
      <c r="CA3" t="n">
        <v>9846.3</v>
      </c>
      <c r="CB3" t="n">
        <v>9919.2</v>
      </c>
      <c r="CC3" t="n">
        <v>9938.8</v>
      </c>
      <c r="CD3" t="n">
        <v>10047.4</v>
      </c>
      <c r="CE3" t="n">
        <v>10083.9</v>
      </c>
      <c r="CF3" t="n">
        <v>10090.6</v>
      </c>
      <c r="CG3" t="n">
        <v>9998.7</v>
      </c>
      <c r="CH3" t="n">
        <v>9951.9</v>
      </c>
      <c r="CI3" t="n">
        <v>10029.5</v>
      </c>
      <c r="CJ3" t="n">
        <v>10080.2</v>
      </c>
      <c r="CK3" t="n">
        <v>10115.3</v>
      </c>
      <c r="CL3" t="n">
        <v>10236.4</v>
      </c>
      <c r="CM3" t="n">
        <v>10347.4</v>
      </c>
      <c r="CN3" t="n">
        <v>10449.7</v>
      </c>
      <c r="CO3" t="n">
        <v>10558.6</v>
      </c>
      <c r="CP3" t="n">
        <v>10576.3</v>
      </c>
      <c r="CQ3" t="n">
        <v>10637.8</v>
      </c>
      <c r="CR3" t="n">
        <v>10688.6</v>
      </c>
      <c r="CS3" t="n">
        <v>10834</v>
      </c>
      <c r="CT3" t="n">
        <v>10939.1</v>
      </c>
      <c r="CU3" t="n">
        <v>11087.4</v>
      </c>
      <c r="CV3" t="n">
        <v>11152.2</v>
      </c>
      <c r="CW3" t="n">
        <v>11279.9</v>
      </c>
      <c r="CX3" t="n">
        <v>11320</v>
      </c>
      <c r="CY3" t="n">
        <v>11353.7</v>
      </c>
      <c r="CZ3" t="n">
        <v>11450.3</v>
      </c>
      <c r="DA3" t="n">
        <v>11528.1</v>
      </c>
      <c r="DB3" t="n">
        <v>11614.4</v>
      </c>
      <c r="DC3" t="n">
        <v>11808.1</v>
      </c>
      <c r="DD3" t="n">
        <v>11914.1</v>
      </c>
      <c r="DE3" t="n">
        <v>12037.8</v>
      </c>
      <c r="DF3" t="n">
        <v>12115.5</v>
      </c>
      <c r="DG3" t="n">
        <v>12317.2</v>
      </c>
      <c r="DH3" t="n">
        <v>12471</v>
      </c>
      <c r="DI3" t="n">
        <v>12577.5</v>
      </c>
      <c r="DJ3" t="n">
        <v>12703.7</v>
      </c>
      <c r="DK3" t="n">
        <v>12821.3</v>
      </c>
      <c r="DL3" t="n">
        <v>12982.8</v>
      </c>
      <c r="DM3" t="n">
        <v>13191.7</v>
      </c>
      <c r="DN3" t="n">
        <v>13315.6</v>
      </c>
      <c r="DO3" t="n">
        <v>13426.7</v>
      </c>
      <c r="DP3" t="n">
        <v>13604.8</v>
      </c>
      <c r="DQ3" t="n">
        <v>13828</v>
      </c>
      <c r="DR3" t="n">
        <v>13878.1</v>
      </c>
      <c r="DS3" t="n">
        <v>14130.9</v>
      </c>
      <c r="DT3" t="n">
        <v>14145.3</v>
      </c>
      <c r="DU3" t="n">
        <v>14229.8</v>
      </c>
      <c r="DV3" t="n">
        <v>14183.1</v>
      </c>
      <c r="DW3" t="n">
        <v>14271.7</v>
      </c>
      <c r="DX3" t="n">
        <v>14214.5</v>
      </c>
      <c r="DY3" t="n">
        <v>14253.6</v>
      </c>
      <c r="DZ3" t="n">
        <v>14372.8</v>
      </c>
      <c r="EA3" t="n">
        <v>14460.8</v>
      </c>
      <c r="EB3" t="n">
        <v>14519.6</v>
      </c>
      <c r="EC3" t="n">
        <v>14537.6</v>
      </c>
      <c r="ED3" t="n">
        <v>14614.1</v>
      </c>
      <c r="EE3" t="n">
        <v>14743.6</v>
      </c>
      <c r="EF3" t="n">
        <v>14988.8</v>
      </c>
      <c r="EG3" t="n">
        <v>15162.8</v>
      </c>
      <c r="EH3" t="n">
        <v>15248.7</v>
      </c>
      <c r="EI3" t="n">
        <v>15366.9</v>
      </c>
      <c r="EJ3" t="n">
        <v>15512.6</v>
      </c>
      <c r="EK3" t="n">
        <v>15670.9</v>
      </c>
      <c r="EL3" t="n">
        <v>15844.7</v>
      </c>
      <c r="EM3" t="n">
        <v>15922.8</v>
      </c>
      <c r="EN3" t="n">
        <v>16047.6</v>
      </c>
      <c r="EO3" t="n">
        <v>16136.7</v>
      </c>
      <c r="EP3" t="n">
        <v>16353.8</v>
      </c>
      <c r="EQ3" t="n">
        <v>16396.2</v>
      </c>
      <c r="ER3" t="n">
        <v>16420.7</v>
      </c>
      <c r="ES3" t="n">
        <v>16561.9</v>
      </c>
      <c r="ET3" t="n">
        <v>16611.7</v>
      </c>
      <c r="EU3" t="n">
        <v>16713.3</v>
      </c>
      <c r="EV3" t="n">
        <v>16809.6</v>
      </c>
      <c r="EW3" t="n">
        <v>16915.2</v>
      </c>
      <c r="EX3" t="n">
        <v>16843</v>
      </c>
      <c r="EY3" t="n">
        <v>16943.3</v>
      </c>
      <c r="EZ3" t="n">
        <v>16854.3</v>
      </c>
      <c r="FA3" t="n">
        <v>16485.4</v>
      </c>
      <c r="FB3" t="n">
        <v>16298.3</v>
      </c>
      <c r="FC3" t="n">
        <v>16269.1</v>
      </c>
      <c r="FD3" t="n">
        <v>16326.3</v>
      </c>
      <c r="FE3" t="n">
        <v>16502.8</v>
      </c>
      <c r="FF3" t="n">
        <v>16582.7</v>
      </c>
      <c r="FG3" t="n">
        <v>16743.2</v>
      </c>
      <c r="FH3" t="n">
        <v>16872.3</v>
      </c>
      <c r="FI3" t="n">
        <v>16960.9</v>
      </c>
      <c r="FJ3" t="n">
        <v>16920.6</v>
      </c>
      <c r="FK3" t="n">
        <v>17035.1</v>
      </c>
      <c r="FL3" t="n">
        <v>17031.3</v>
      </c>
      <c r="FM3" t="n">
        <v>17222.6</v>
      </c>
      <c r="FN3" t="n">
        <v>17367</v>
      </c>
      <c r="FO3" t="n">
        <v>17444.5</v>
      </c>
      <c r="FP3" t="n">
        <v>17469.7</v>
      </c>
      <c r="FQ3" t="n">
        <v>17489.9</v>
      </c>
      <c r="FR3" t="n">
        <v>17662.4</v>
      </c>
      <c r="FS3" t="n">
        <v>17709.7</v>
      </c>
      <c r="FT3" t="n">
        <v>17860.5</v>
      </c>
      <c r="FU3" t="n">
        <v>18016.1</v>
      </c>
      <c r="FV3" t="n">
        <v>17954</v>
      </c>
      <c r="FW3" t="n">
        <v>18185.9</v>
      </c>
      <c r="FX3" t="n">
        <v>18406.9</v>
      </c>
      <c r="FY3" t="n">
        <v>18500</v>
      </c>
      <c r="FZ3" t="n">
        <v>18666.6</v>
      </c>
      <c r="GA3" t="n">
        <v>18782.2</v>
      </c>
      <c r="GB3" t="n">
        <v>18857.4</v>
      </c>
      <c r="GC3" t="n">
        <v>18892.2</v>
      </c>
      <c r="GD3" t="n">
        <v>19001.7</v>
      </c>
      <c r="GE3" t="n">
        <v>19062.7</v>
      </c>
      <c r="GF3" t="n">
        <v>19197.9</v>
      </c>
      <c r="GG3" t="n">
        <v>19304.4</v>
      </c>
      <c r="GH3" t="n">
        <v>19398.3</v>
      </c>
      <c r="GI3" t="n">
        <v>19506.9</v>
      </c>
      <c r="GJ3" t="n">
        <v>19660.8</v>
      </c>
      <c r="GK3" t="n">
        <v>19882.4</v>
      </c>
      <c r="GL3" t="n">
        <v>20044.1</v>
      </c>
      <c r="GM3" t="n">
        <v>20150.5</v>
      </c>
      <c r="GN3" t="n">
        <v>20276.2</v>
      </c>
      <c r="GO3" t="n">
        <v>20304.9</v>
      </c>
      <c r="GP3" t="n">
        <v>20431.6</v>
      </c>
      <c r="GQ3" t="n">
        <v>20602.3</v>
      </c>
      <c r="GR3" t="n">
        <v>20843.3</v>
      </c>
      <c r="GS3" t="n">
        <v>20985.4</v>
      </c>
      <c r="GT3" t="n">
        <v>20693.2</v>
      </c>
      <c r="GU3" t="n">
        <v>19056.6</v>
      </c>
      <c r="GV3" t="n">
        <v>20548.8</v>
      </c>
      <c r="GW3" t="n">
        <v>20771.7</v>
      </c>
      <c r="GX3" t="n">
        <v>21058.4</v>
      </c>
      <c r="GY3" t="n">
        <v>21389</v>
      </c>
      <c r="GZ3" t="n">
        <v>21571.4</v>
      </c>
      <c r="HA3" t="n">
        <v>21960.4</v>
      </c>
      <c r="HB3" t="n">
        <v>21903.9</v>
      </c>
      <c r="HC3" t="n">
        <v>21919.2</v>
      </c>
      <c r="HD3" t="n">
        <v>22066.8</v>
      </c>
      <c r="HE3" t="n">
        <v>22249.5</v>
      </c>
      <c r="HF3" t="n">
        <v>22403.4</v>
      </c>
      <c r="HG3" t="n">
        <v>22539.4</v>
      </c>
      <c r="HH3" t="n">
        <v>22780.9</v>
      </c>
      <c r="HI3" t="n">
        <v>22960.6</v>
      </c>
      <c r="HJ3" t="n">
        <v>23053.5</v>
      </c>
      <c r="HK3" t="n">
        <v>23223.9</v>
      </c>
      <c r="HL3" t="n">
        <v>23400.3</v>
      </c>
      <c r="HM3" t="n">
        <v>23542.3</v>
      </c>
      <c r="HN3" t="n">
        <v>23512.7</v>
      </c>
      <c r="HO3" t="n">
        <v>23703.8</v>
      </c>
    </row>
    <row r="4">
      <c r="A4" s="78" t="s">
        <v>2516</v>
      </c>
      <c r="B4" s="78" t="n">
        <v>19.823</v>
      </c>
      <c r="C4" s="78" t="n">
        <v>20.109</v>
      </c>
      <c r="D4" s="78" t="n">
        <v>20.274</v>
      </c>
      <c r="E4" s="78" t="n">
        <v>20.539</v>
      </c>
      <c r="F4" s="78" t="n">
        <v>20.85</v>
      </c>
      <c r="G4" s="78" t="n">
        <v>21.13</v>
      </c>
      <c r="H4" s="78" t="n">
        <v>21.343</v>
      </c>
      <c r="I4" s="78" t="n">
        <v>21.52</v>
      </c>
      <c r="J4" s="78" t="n">
        <v>21.865</v>
      </c>
      <c r="K4" s="78" t="n">
        <v>21.999</v>
      </c>
      <c r="L4" s="78" t="n">
        <v>22.198</v>
      </c>
      <c r="M4" s="78" t="n">
        <v>22.45</v>
      </c>
      <c r="N4" s="78" t="n">
        <v>22.735</v>
      </c>
      <c r="O4" s="78" t="n">
        <v>23.111</v>
      </c>
      <c r="P4" t="n">
        <v>23.553</v>
      </c>
      <c r="Q4" t="n">
        <v>23.961</v>
      </c>
      <c r="R4" t="n">
        <v>24.446</v>
      </c>
      <c r="S4" t="n">
        <v>24.989</v>
      </c>
      <c r="T4" t="n">
        <v>25.759</v>
      </c>
      <c r="U4" t="n">
        <v>26.541</v>
      </c>
      <c r="V4" t="n">
        <v>27.141</v>
      </c>
      <c r="W4" t="n">
        <v>27.534</v>
      </c>
      <c r="X4" t="n">
        <v>28.021</v>
      </c>
      <c r="Y4" t="n">
        <v>28.489</v>
      </c>
      <c r="Z4" t="n">
        <v>28.8</v>
      </c>
      <c r="AA4" t="n">
        <v>29.088</v>
      </c>
      <c r="AB4" t="n">
        <v>29.459</v>
      </c>
      <c r="AC4" t="n">
        <v>29.96</v>
      </c>
      <c r="AD4" t="n">
        <v>30.443</v>
      </c>
      <c r="AE4" t="n">
        <v>30.925</v>
      </c>
      <c r="AF4" t="n">
        <v>31.351</v>
      </c>
      <c r="AG4" t="n">
        <v>31.875</v>
      </c>
      <c r="AH4" t="n">
        <v>32.397</v>
      </c>
      <c r="AI4" t="n">
        <v>33.043</v>
      </c>
      <c r="AJ4" t="n">
        <v>33.626</v>
      </c>
      <c r="AK4" t="n">
        <v>34.291</v>
      </c>
      <c r="AL4" t="n">
        <v>34.931</v>
      </c>
      <c r="AM4" t="n">
        <v>35.775</v>
      </c>
      <c r="AN4" t="n">
        <v>36.522</v>
      </c>
      <c r="AO4" t="n">
        <v>37.188</v>
      </c>
      <c r="AP4" t="n">
        <v>38.001</v>
      </c>
      <c r="AQ4" t="n">
        <v>38.903</v>
      </c>
      <c r="AR4" t="n">
        <v>39.77</v>
      </c>
      <c r="AS4" t="n">
        <v>40.825</v>
      </c>
      <c r="AT4" t="n">
        <v>41.907</v>
      </c>
      <c r="AU4" t="n">
        <v>42.694</v>
      </c>
      <c r="AV4" t="n">
        <v>43.524</v>
      </c>
      <c r="AW4" t="n">
        <v>44.243</v>
      </c>
      <c r="AX4" t="n">
        <v>44.877</v>
      </c>
      <c r="AY4" t="n">
        <v>45.473</v>
      </c>
      <c r="AZ4" t="n">
        <v>46.104</v>
      </c>
      <c r="BA4" t="n">
        <v>46.571</v>
      </c>
      <c r="BB4" t="n">
        <v>46.943</v>
      </c>
      <c r="BC4" t="n">
        <v>47.291</v>
      </c>
      <c r="BD4" t="n">
        <v>47.794</v>
      </c>
      <c r="BE4" t="n">
        <v>48.151</v>
      </c>
      <c r="BF4" t="n">
        <v>48.626</v>
      </c>
      <c r="BG4" t="n">
        <v>49.063</v>
      </c>
      <c r="BH4" t="n">
        <v>49.506</v>
      </c>
      <c r="BI4" t="n">
        <v>49.852</v>
      </c>
      <c r="BJ4" t="n">
        <v>50.363</v>
      </c>
      <c r="BK4" t="n">
        <v>50.66</v>
      </c>
      <c r="BL4" t="n">
        <v>50.997</v>
      </c>
      <c r="BM4" t="n">
        <v>51.262</v>
      </c>
      <c r="BN4" t="n">
        <v>51.515</v>
      </c>
      <c r="BO4" t="n">
        <v>51.695</v>
      </c>
      <c r="BP4" t="n">
        <v>51.941</v>
      </c>
      <c r="BQ4" t="n">
        <v>52.25</v>
      </c>
      <c r="BR4" t="n">
        <v>52.554</v>
      </c>
      <c r="BS4" t="n">
        <v>52.911</v>
      </c>
      <c r="BT4" t="n">
        <v>53.32</v>
      </c>
      <c r="BU4" t="n">
        <v>53.72</v>
      </c>
      <c r="BV4" t="n">
        <v>54.135</v>
      </c>
      <c r="BW4" t="n">
        <v>54.676</v>
      </c>
      <c r="BX4" t="n">
        <v>55.345</v>
      </c>
      <c r="BY4" t="n">
        <v>55.854</v>
      </c>
      <c r="BZ4" t="n">
        <v>56.392</v>
      </c>
      <c r="CA4" t="n">
        <v>57.002</v>
      </c>
      <c r="CB4" t="n">
        <v>57.425</v>
      </c>
      <c r="CC4" t="n">
        <v>57.817</v>
      </c>
      <c r="CD4" t="n">
        <v>58.447</v>
      </c>
      <c r="CE4" t="n">
        <v>59.101</v>
      </c>
      <c r="CF4" t="n">
        <v>59.612</v>
      </c>
      <c r="CG4" t="n">
        <v>60.067</v>
      </c>
      <c r="CH4" t="n">
        <v>60.651</v>
      </c>
      <c r="CI4" t="n">
        <v>61.088</v>
      </c>
      <c r="CJ4" t="n">
        <v>61.557</v>
      </c>
      <c r="CK4" t="n">
        <v>61.915</v>
      </c>
      <c r="CL4" t="n">
        <v>62.162</v>
      </c>
      <c r="CM4" t="n">
        <v>62.533</v>
      </c>
      <c r="CN4" t="n">
        <v>62.833</v>
      </c>
      <c r="CO4" t="n">
        <v>63.275</v>
      </c>
      <c r="CP4" t="n">
        <v>63.652</v>
      </c>
      <c r="CQ4" t="n">
        <v>64.027</v>
      </c>
      <c r="CR4" t="n">
        <v>64.349</v>
      </c>
      <c r="CS4" t="n">
        <v>64.727</v>
      </c>
      <c r="CT4" t="n">
        <v>65.058</v>
      </c>
      <c r="CU4" t="n">
        <v>65.369</v>
      </c>
      <c r="CV4" t="n">
        <v>65.717</v>
      </c>
      <c r="CW4" t="n">
        <v>66.083</v>
      </c>
      <c r="CX4" t="n">
        <v>66.46</v>
      </c>
      <c r="CY4" t="n">
        <v>66.785</v>
      </c>
      <c r="CZ4" t="n">
        <v>67.084</v>
      </c>
      <c r="DA4" t="n">
        <v>67.401</v>
      </c>
      <c r="DB4" t="n">
        <v>67.712</v>
      </c>
      <c r="DC4" t="n">
        <v>67.988</v>
      </c>
      <c r="DD4" t="n">
        <v>68.318</v>
      </c>
      <c r="DE4" t="n">
        <v>68.607</v>
      </c>
      <c r="DF4" t="n">
        <v>68.915</v>
      </c>
      <c r="DG4" t="n">
        <v>69.258</v>
      </c>
      <c r="DH4" t="n">
        <v>69.464</v>
      </c>
      <c r="DI4" t="n">
        <v>69.713</v>
      </c>
      <c r="DJ4" t="n">
        <v>69.783</v>
      </c>
      <c r="DK4" t="n">
        <v>69.964</v>
      </c>
      <c r="DL4" t="n">
        <v>70.235</v>
      </c>
      <c r="DM4" t="n">
        <v>70.424</v>
      </c>
      <c r="DN4" t="n">
        <v>70.615</v>
      </c>
      <c r="DO4" t="n">
        <v>70.934</v>
      </c>
      <c r="DP4" t="n">
        <v>71.207</v>
      </c>
      <c r="DQ4" t="n">
        <v>71.581</v>
      </c>
      <c r="DR4" t="n">
        <v>72.058</v>
      </c>
      <c r="DS4" t="n">
        <v>72.491</v>
      </c>
      <c r="DT4" t="n">
        <v>72.945</v>
      </c>
      <c r="DU4" t="n">
        <v>73.341</v>
      </c>
      <c r="DV4" t="n">
        <v>73.843</v>
      </c>
      <c r="DW4" t="n">
        <v>74.335</v>
      </c>
      <c r="DX4" t="n">
        <v>74.56</v>
      </c>
      <c r="DY4" t="n">
        <v>74.801</v>
      </c>
      <c r="DZ4" t="n">
        <v>74.998</v>
      </c>
      <c r="EA4" t="n">
        <v>75.295</v>
      </c>
      <c r="EB4" t="n">
        <v>75.633</v>
      </c>
      <c r="EC4" t="n">
        <v>76.073</v>
      </c>
      <c r="ED4" t="n">
        <v>76.482</v>
      </c>
      <c r="EE4" t="n">
        <v>76.746</v>
      </c>
      <c r="EF4" t="n">
        <v>77.185</v>
      </c>
      <c r="EG4" t="n">
        <v>77.633</v>
      </c>
      <c r="EH4" t="n">
        <v>78.191</v>
      </c>
      <c r="EI4" t="n">
        <v>78.825</v>
      </c>
      <c r="EJ4" t="n">
        <v>79.323</v>
      </c>
      <c r="EK4" t="n">
        <v>79.936</v>
      </c>
      <c r="EL4" t="n">
        <v>80.55</v>
      </c>
      <c r="EM4" t="n">
        <v>81.137</v>
      </c>
      <c r="EN4" t="n">
        <v>81.905</v>
      </c>
      <c r="EO4" t="n">
        <v>82.557</v>
      </c>
      <c r="EP4" t="n">
        <v>83.135</v>
      </c>
      <c r="EQ4" t="n">
        <v>83.871</v>
      </c>
      <c r="ER4" t="n">
        <v>84.486</v>
      </c>
      <c r="ES4" t="n">
        <v>84.806</v>
      </c>
      <c r="ET4" t="n">
        <v>85.655</v>
      </c>
      <c r="EU4" t="n">
        <v>86.201</v>
      </c>
      <c r="EV4" t="n">
        <v>86.568</v>
      </c>
      <c r="EW4" t="n">
        <v>86.982</v>
      </c>
      <c r="EX4" t="n">
        <v>87.359</v>
      </c>
      <c r="EY4" t="n">
        <v>87.678</v>
      </c>
      <c r="EZ4" t="n">
        <v>88.361</v>
      </c>
      <c r="FA4" t="n">
        <v>88.511</v>
      </c>
      <c r="FB4" t="n">
        <v>88.536</v>
      </c>
      <c r="FC4" t="n">
        <v>88.418</v>
      </c>
      <c r="FD4" t="n">
        <v>88.474</v>
      </c>
      <c r="FE4" t="n">
        <v>88.798</v>
      </c>
      <c r="FF4" t="n">
        <v>89.018</v>
      </c>
      <c r="FG4" t="n">
        <v>89.431</v>
      </c>
      <c r="FH4" t="n">
        <v>89.755</v>
      </c>
      <c r="FI4" t="n">
        <v>90.27</v>
      </c>
      <c r="FJ4" t="n">
        <v>90.71</v>
      </c>
      <c r="FK4" t="n">
        <v>91.363</v>
      </c>
      <c r="FL4" t="n">
        <v>91.84</v>
      </c>
      <c r="FM4" t="n">
        <v>91.951</v>
      </c>
      <c r="FN4" t="n">
        <v>92.495</v>
      </c>
      <c r="FO4" t="n">
        <v>92.881</v>
      </c>
      <c r="FP4" t="n">
        <v>93.459</v>
      </c>
      <c r="FQ4" t="n">
        <v>93.869</v>
      </c>
      <c r="FR4" t="n">
        <v>94.204</v>
      </c>
      <c r="FS4" t="n">
        <v>94.474</v>
      </c>
      <c r="FT4" t="n">
        <v>94.989</v>
      </c>
      <c r="FU4" t="n">
        <v>95.477</v>
      </c>
      <c r="FV4" t="n">
        <v>95.84</v>
      </c>
      <c r="FW4" t="n">
        <v>96.343</v>
      </c>
      <c r="FX4" t="n">
        <v>96.762</v>
      </c>
      <c r="FY4" t="n">
        <v>96.8</v>
      </c>
      <c r="FZ4" t="n">
        <v>96.742</v>
      </c>
      <c r="GA4" t="n">
        <v>97.302</v>
      </c>
      <c r="GB4" t="n">
        <v>97.536</v>
      </c>
      <c r="GC4" t="n">
        <v>97.527</v>
      </c>
      <c r="GD4" t="n">
        <v>97.468</v>
      </c>
      <c r="GE4" t="n">
        <v>98.108</v>
      </c>
      <c r="GF4" t="n">
        <v>98.372</v>
      </c>
      <c r="GG4" t="n">
        <v>98.884</v>
      </c>
      <c r="GH4" t="n">
        <v>99.389</v>
      </c>
      <c r="GI4" t="n">
        <v>99.656</v>
      </c>
      <c r="GJ4" t="n">
        <v>100.174</v>
      </c>
      <c r="GK4" t="n">
        <v>100.78</v>
      </c>
      <c r="GL4" t="n">
        <v>101.428</v>
      </c>
      <c r="GM4" t="n">
        <v>102.14</v>
      </c>
      <c r="GN4" t="n">
        <v>102.586</v>
      </c>
      <c r="GO4" t="n">
        <v>103.005</v>
      </c>
      <c r="GP4" t="n">
        <v>103.332</v>
      </c>
      <c r="GQ4" t="n">
        <v>103.855</v>
      </c>
      <c r="GR4" t="n">
        <v>104.196</v>
      </c>
      <c r="GS4" t="n">
        <v>104.543</v>
      </c>
      <c r="GT4" t="n">
        <v>105.001</v>
      </c>
      <c r="GU4" t="n">
        <v>104.651</v>
      </c>
      <c r="GV4" t="n">
        <v>105.574</v>
      </c>
      <c r="GW4" t="n">
        <v>106.293</v>
      </c>
      <c r="GX4" t="n">
        <v>107.645</v>
      </c>
      <c r="GY4" t="n">
        <v>109.278</v>
      </c>
      <c r="GZ4" t="n">
        <v>110.931</v>
      </c>
      <c r="HA4" t="n">
        <v>112.836</v>
      </c>
      <c r="HB4" t="n">
        <v>115.16</v>
      </c>
      <c r="HC4" t="n">
        <v>117.76</v>
      </c>
      <c r="HD4" t="n">
        <v>119.073</v>
      </c>
      <c r="HE4" t="n">
        <v>120.173</v>
      </c>
      <c r="HF4" t="n">
        <v>121.247</v>
      </c>
      <c r="HG4" t="n">
        <v>121.809</v>
      </c>
      <c r="HH4" t="n">
        <v>122.785</v>
      </c>
      <c r="HI4" t="n">
        <v>123.247</v>
      </c>
      <c r="HJ4" t="n">
        <v>124.168</v>
      </c>
      <c r="HK4" t="n">
        <v>124.942</v>
      </c>
      <c r="HL4" t="n">
        <v>125.543</v>
      </c>
      <c r="HM4" t="n">
        <v>126.27</v>
      </c>
      <c r="HN4" t="n">
        <v>127.441</v>
      </c>
      <c r="HO4" t="n">
        <v>128.063</v>
      </c>
    </row>
    <row r="5">
      <c r="A5" s="78" t="s">
        <v>2517</v>
      </c>
      <c r="B5" s="78" t="n">
        <v>631.7</v>
      </c>
      <c r="C5" s="78" t="n">
        <v>641.6</v>
      </c>
      <c r="D5" s="78" t="n">
        <v>653.5</v>
      </c>
      <c r="E5" s="78" t="n">
        <v>660.2</v>
      </c>
      <c r="F5" s="78" t="n">
        <v>679.2</v>
      </c>
      <c r="G5" s="78" t="n">
        <v>693.2</v>
      </c>
      <c r="H5" s="78" t="n">
        <v>705.6</v>
      </c>
      <c r="I5" s="78" t="n">
        <v>721.7</v>
      </c>
      <c r="J5" s="78" t="n">
        <v>738.9</v>
      </c>
      <c r="K5" s="78" t="n">
        <v>757.4</v>
      </c>
      <c r="L5" s="78" t="n">
        <v>775.8</v>
      </c>
      <c r="M5" s="78" t="n">
        <v>800.5</v>
      </c>
      <c r="N5" s="78" t="n">
        <v>825</v>
      </c>
      <c r="O5" s="78" t="n">
        <v>840.5</v>
      </c>
      <c r="P5" t="n">
        <v>858.9</v>
      </c>
      <c r="Q5" t="n">
        <v>873.9</v>
      </c>
      <c r="R5" t="n">
        <v>891.9</v>
      </c>
      <c r="S5" t="n">
        <v>920.4</v>
      </c>
      <c r="T5" t="n">
        <v>949.3</v>
      </c>
      <c r="U5" t="n">
        <v>959.1</v>
      </c>
      <c r="V5" t="n">
        <v>985.2</v>
      </c>
      <c r="W5" t="n">
        <v>1013.6</v>
      </c>
      <c r="X5" t="n">
        <v>1047.2</v>
      </c>
      <c r="Y5" t="n">
        <v>1076.2</v>
      </c>
      <c r="Z5" t="n">
        <v>1109.9</v>
      </c>
      <c r="AA5" t="n">
        <v>1129.5</v>
      </c>
      <c r="AB5" t="n">
        <v>1158.8</v>
      </c>
      <c r="AC5" t="n">
        <v>1192.4</v>
      </c>
      <c r="AD5" t="n">
        <v>1228.2</v>
      </c>
      <c r="AE5" t="n">
        <v>1256</v>
      </c>
      <c r="AF5" t="n">
        <v>1286.9</v>
      </c>
      <c r="AG5" t="n">
        <v>1324.8</v>
      </c>
      <c r="AH5" t="n">
        <v>1354.1</v>
      </c>
      <c r="AI5" t="n">
        <v>1411.4</v>
      </c>
      <c r="AJ5" t="n">
        <v>1442.2</v>
      </c>
      <c r="AK5" t="n">
        <v>1481.4</v>
      </c>
      <c r="AL5" t="n">
        <v>1517.1</v>
      </c>
      <c r="AM5" t="n">
        <v>1557.6</v>
      </c>
      <c r="AN5" t="n">
        <v>1611.9</v>
      </c>
      <c r="AO5" t="n">
        <v>1655</v>
      </c>
      <c r="AP5" t="n">
        <v>1702.3</v>
      </c>
      <c r="AQ5" t="n">
        <v>1704.7</v>
      </c>
      <c r="AR5" t="n">
        <v>1763.8</v>
      </c>
      <c r="AS5" t="n">
        <v>1831.9</v>
      </c>
      <c r="AT5" t="n">
        <v>1885.7</v>
      </c>
      <c r="AU5" t="n">
        <v>1917.5</v>
      </c>
      <c r="AV5" t="n">
        <v>1958.1</v>
      </c>
      <c r="AW5" t="n">
        <v>1974.4</v>
      </c>
      <c r="AX5" t="n">
        <v>2014.2</v>
      </c>
      <c r="AY5" t="n">
        <v>2039.6</v>
      </c>
      <c r="AZ5" t="n">
        <v>2085.7</v>
      </c>
      <c r="BA5" t="n">
        <v>2145.6</v>
      </c>
      <c r="BB5" t="n">
        <v>2184.6</v>
      </c>
      <c r="BC5" t="n">
        <v>2249.4</v>
      </c>
      <c r="BD5" t="n">
        <v>2319.9</v>
      </c>
      <c r="BE5" t="n">
        <v>2372.5</v>
      </c>
      <c r="BF5" t="n">
        <v>2418.2</v>
      </c>
      <c r="BG5" t="n">
        <v>2475.9</v>
      </c>
      <c r="BH5" t="n">
        <v>2513.5</v>
      </c>
      <c r="BI5" t="n">
        <v>2561.8</v>
      </c>
      <c r="BJ5" t="n">
        <v>2636</v>
      </c>
      <c r="BK5" t="n">
        <v>2681.8</v>
      </c>
      <c r="BL5" t="n">
        <v>2754.1</v>
      </c>
      <c r="BM5" t="n">
        <v>2779.4</v>
      </c>
      <c r="BN5" t="n">
        <v>2823.6</v>
      </c>
      <c r="BO5" t="n">
        <v>2851.5</v>
      </c>
      <c r="BP5" t="n">
        <v>2917.2</v>
      </c>
      <c r="BQ5" t="n">
        <v>2952.8</v>
      </c>
      <c r="BR5" t="n">
        <v>2983.5</v>
      </c>
      <c r="BS5" t="n">
        <v>3053.3</v>
      </c>
      <c r="BT5" t="n">
        <v>3117.4</v>
      </c>
      <c r="BU5" t="n">
        <v>3150.9</v>
      </c>
      <c r="BV5" t="n">
        <v>3231.9</v>
      </c>
      <c r="BW5" t="n">
        <v>3291.7</v>
      </c>
      <c r="BX5" t="n">
        <v>3361.9</v>
      </c>
      <c r="BY5" t="n">
        <v>3434.5</v>
      </c>
      <c r="BZ5" t="n">
        <v>3490.2</v>
      </c>
      <c r="CA5" t="n">
        <v>3553.8</v>
      </c>
      <c r="CB5" t="n">
        <v>3609.4</v>
      </c>
      <c r="CC5" t="n">
        <v>3653.7</v>
      </c>
      <c r="CD5" t="n">
        <v>3737.9</v>
      </c>
      <c r="CE5" t="n">
        <v>3783.4</v>
      </c>
      <c r="CF5" t="n">
        <v>3846.7</v>
      </c>
      <c r="CG5" t="n">
        <v>3867.9</v>
      </c>
      <c r="CH5" t="n">
        <v>3873.6</v>
      </c>
      <c r="CI5" t="n">
        <v>3926.9</v>
      </c>
      <c r="CJ5" t="n">
        <v>3973.3</v>
      </c>
      <c r="CK5" t="n">
        <v>4000</v>
      </c>
      <c r="CL5" t="n">
        <v>4100.4</v>
      </c>
      <c r="CM5" t="n">
        <v>4155.7</v>
      </c>
      <c r="CN5" t="n">
        <v>4227</v>
      </c>
      <c r="CO5" t="n">
        <v>4307.2</v>
      </c>
      <c r="CP5" t="n">
        <v>4349.5</v>
      </c>
      <c r="CQ5" t="n">
        <v>4418.6</v>
      </c>
      <c r="CR5" t="n">
        <v>4487.2</v>
      </c>
      <c r="CS5" t="n">
        <v>4552.7</v>
      </c>
      <c r="CT5" t="n">
        <v>4621.2</v>
      </c>
      <c r="CU5" t="n">
        <v>4683.2</v>
      </c>
      <c r="CV5" t="n">
        <v>4752.8</v>
      </c>
      <c r="CW5" t="n">
        <v>4826.7</v>
      </c>
      <c r="CX5" t="n">
        <v>4862.4</v>
      </c>
      <c r="CY5" t="n">
        <v>4933.6</v>
      </c>
      <c r="CZ5" t="n">
        <v>4998.7</v>
      </c>
      <c r="DA5" t="n">
        <v>5055.7</v>
      </c>
      <c r="DB5" t="n">
        <v>5130.6</v>
      </c>
      <c r="DC5" t="n">
        <v>5220.5</v>
      </c>
      <c r="DD5" t="n">
        <v>5274.5</v>
      </c>
      <c r="DE5" t="n">
        <v>5352.8</v>
      </c>
      <c r="DF5" t="n">
        <v>5433.1</v>
      </c>
      <c r="DG5" t="n">
        <v>5471.3</v>
      </c>
      <c r="DH5" t="n">
        <v>5579.2</v>
      </c>
      <c r="DI5" t="n">
        <v>5663.6</v>
      </c>
      <c r="DJ5" t="n">
        <v>5721.3</v>
      </c>
      <c r="DK5" t="n">
        <v>5832.6</v>
      </c>
      <c r="DL5" t="n">
        <v>5926.8</v>
      </c>
      <c r="DM5" t="n">
        <v>6028.2</v>
      </c>
      <c r="DN5" t="n">
        <v>6102</v>
      </c>
      <c r="DO5" t="n">
        <v>6230.6</v>
      </c>
      <c r="DP5" t="n">
        <v>6335.3</v>
      </c>
      <c r="DQ5" t="n">
        <v>6467</v>
      </c>
      <c r="DR5" t="n">
        <v>6618.2</v>
      </c>
      <c r="DS5" t="n">
        <v>6711.9</v>
      </c>
      <c r="DT5" t="n">
        <v>6820</v>
      </c>
      <c r="DU5" t="n">
        <v>6918.6</v>
      </c>
      <c r="DV5" t="n">
        <v>6995.3</v>
      </c>
      <c r="DW5" t="n">
        <v>7042.3</v>
      </c>
      <c r="DX5" t="n">
        <v>7070.3</v>
      </c>
      <c r="DY5" t="n">
        <v>7187.3</v>
      </c>
      <c r="DZ5" t="n">
        <v>7217.7</v>
      </c>
      <c r="EA5" t="n">
        <v>7308</v>
      </c>
      <c r="EB5" t="n">
        <v>7397.1</v>
      </c>
      <c r="EC5" t="n">
        <v>7473</v>
      </c>
      <c r="ED5" t="n">
        <v>7567.2</v>
      </c>
      <c r="EE5" t="n">
        <v>7661.5</v>
      </c>
      <c r="EF5" t="n">
        <v>7820.9</v>
      </c>
      <c r="EG5" t="n">
        <v>7913.5</v>
      </c>
      <c r="EH5" t="n">
        <v>8048.8</v>
      </c>
      <c r="EI5" t="n">
        <v>8147.1</v>
      </c>
      <c r="EJ5" t="n">
        <v>8283.3</v>
      </c>
      <c r="EK5" t="n">
        <v>8448.6</v>
      </c>
      <c r="EL5" t="n">
        <v>8551.7</v>
      </c>
      <c r="EM5" t="n">
        <v>8701.1</v>
      </c>
      <c r="EN5" t="n">
        <v>8868.1</v>
      </c>
      <c r="EO5" t="n">
        <v>8955.3</v>
      </c>
      <c r="EP5" t="n">
        <v>9100.2</v>
      </c>
      <c r="EQ5" t="n">
        <v>9227.6</v>
      </c>
      <c r="ER5" t="n">
        <v>9353.8</v>
      </c>
      <c r="ES5" t="n">
        <v>9427.4</v>
      </c>
      <c r="ET5" t="n">
        <v>9572.1</v>
      </c>
      <c r="EU5" t="n">
        <v>9678.7</v>
      </c>
      <c r="EV5" t="n">
        <v>9798.4</v>
      </c>
      <c r="EW5" t="n">
        <v>9937.1</v>
      </c>
      <c r="EX5" t="n">
        <v>10004.4</v>
      </c>
      <c r="EY5" t="n">
        <v>10129.9</v>
      </c>
      <c r="EZ5" t="n">
        <v>10159.1</v>
      </c>
      <c r="FA5" t="n">
        <v>9906.9</v>
      </c>
      <c r="FB5" t="n">
        <v>9815</v>
      </c>
      <c r="FC5" t="n">
        <v>9805.5</v>
      </c>
      <c r="FD5" t="n">
        <v>9939.4</v>
      </c>
      <c r="FE5" t="n">
        <v>10005</v>
      </c>
      <c r="FF5" t="n">
        <v>10101.8</v>
      </c>
      <c r="FG5" t="n">
        <v>10208.1</v>
      </c>
      <c r="FH5" t="n">
        <v>10300.8</v>
      </c>
      <c r="FI5" t="n">
        <v>10430.3</v>
      </c>
      <c r="FJ5" t="n">
        <v>10558.2</v>
      </c>
      <c r="FK5" t="n">
        <v>10673</v>
      </c>
      <c r="FL5" t="n">
        <v>10755</v>
      </c>
      <c r="FM5" t="n">
        <v>10809.2</v>
      </c>
      <c r="FN5" t="n">
        <v>10959.3</v>
      </c>
      <c r="FO5" t="n">
        <v>11005.1</v>
      </c>
      <c r="FP5" t="n">
        <v>11059.4</v>
      </c>
      <c r="FQ5" t="n">
        <v>11165.7</v>
      </c>
      <c r="FR5" t="n">
        <v>11277.7</v>
      </c>
      <c r="FS5" t="n">
        <v>11315.7</v>
      </c>
      <c r="FT5" t="n">
        <v>11408.4</v>
      </c>
      <c r="FU5" t="n">
        <v>11551.2</v>
      </c>
      <c r="FV5" t="n">
        <v>11646</v>
      </c>
      <c r="FW5" t="n">
        <v>11810.5</v>
      </c>
      <c r="FX5" t="n">
        <v>11959.8</v>
      </c>
      <c r="FY5" t="n">
        <v>12081.6</v>
      </c>
      <c r="FZ5" t="n">
        <v>12119.8</v>
      </c>
      <c r="GA5" t="n">
        <v>12264.1</v>
      </c>
      <c r="GB5" t="n">
        <v>12382.5</v>
      </c>
      <c r="GC5" t="n">
        <v>12423.4</v>
      </c>
      <c r="GD5" t="n">
        <v>12523.2</v>
      </c>
      <c r="GE5" t="n">
        <v>12665.1</v>
      </c>
      <c r="GF5" t="n">
        <v>12797.1</v>
      </c>
      <c r="GG5" t="n">
        <v>12922</v>
      </c>
      <c r="GH5" t="n">
        <v>13097.3</v>
      </c>
      <c r="GI5" t="n">
        <v>13188.7</v>
      </c>
      <c r="GJ5" t="n">
        <v>13325.1</v>
      </c>
      <c r="GK5" t="n">
        <v>13551.4</v>
      </c>
      <c r="GL5" t="n">
        <v>13745.1</v>
      </c>
      <c r="GM5" t="n">
        <v>13891.3</v>
      </c>
      <c r="GN5" t="n">
        <v>14002.2</v>
      </c>
      <c r="GO5" t="n">
        <v>14099.2</v>
      </c>
      <c r="GP5" t="n">
        <v>14150.2</v>
      </c>
      <c r="GQ5" t="n">
        <v>14350.7</v>
      </c>
      <c r="GR5" t="n">
        <v>14548.3</v>
      </c>
      <c r="GS5" t="n">
        <v>14701</v>
      </c>
      <c r="GT5" t="n">
        <v>14496.2</v>
      </c>
      <c r="GU5" t="n">
        <v>13175.6</v>
      </c>
      <c r="GV5" t="n">
        <v>14478</v>
      </c>
      <c r="GW5" t="n">
        <v>14752.7</v>
      </c>
      <c r="GX5" t="n">
        <v>15259.4</v>
      </c>
      <c r="GY5" t="n">
        <v>16016.3</v>
      </c>
      <c r="GZ5" t="n">
        <v>16363.9</v>
      </c>
      <c r="HA5" t="n">
        <v>16816.1</v>
      </c>
      <c r="HB5" t="n">
        <v>17175.1</v>
      </c>
      <c r="HC5" t="n">
        <v>17603.8</v>
      </c>
      <c r="HD5" t="n">
        <v>17876.2</v>
      </c>
      <c r="HE5" t="n">
        <v>18108.3</v>
      </c>
      <c r="HF5" t="n">
        <v>18506.2</v>
      </c>
      <c r="HG5" t="n">
        <v>18685.7</v>
      </c>
      <c r="HH5" t="n">
        <v>18929</v>
      </c>
      <c r="HI5" t="n">
        <v>19170.2</v>
      </c>
      <c r="HJ5" t="n">
        <v>19424.8</v>
      </c>
      <c r="HK5" t="n">
        <v>19682.7</v>
      </c>
      <c r="HL5" t="n">
        <v>19938.4</v>
      </c>
      <c r="HM5" t="n">
        <v>20255.5</v>
      </c>
      <c r="HN5" t="n">
        <v>20461.6</v>
      </c>
      <c r="HO5" t="n">
        <v>20643.9</v>
      </c>
    </row>
    <row r="6">
      <c r="A6" s="78" t="s">
        <v>2518</v>
      </c>
      <c r="B6" s="78" t="n">
        <v>3248.9</v>
      </c>
      <c r="C6" s="78" t="n">
        <v>3263.6</v>
      </c>
      <c r="D6" s="78" t="n">
        <v>3292.2</v>
      </c>
      <c r="E6" s="78" t="n">
        <v>3283.2</v>
      </c>
      <c r="F6" s="78" t="n">
        <v>3346.3</v>
      </c>
      <c r="G6" s="78" t="n">
        <v>3377</v>
      </c>
      <c r="H6" s="78" t="n">
        <v>3403.9</v>
      </c>
      <c r="I6" s="78" t="n">
        <v>3460.4</v>
      </c>
      <c r="J6" s="78" t="n">
        <v>3506.1</v>
      </c>
      <c r="K6" s="78" t="n">
        <v>3572.8</v>
      </c>
      <c r="L6" s="78" t="n">
        <v>3627.9</v>
      </c>
      <c r="M6" s="78" t="n">
        <v>3713</v>
      </c>
      <c r="N6" s="78" t="n">
        <v>3780.8</v>
      </c>
      <c r="O6" s="78" t="n">
        <v>3779.1</v>
      </c>
      <c r="P6" t="n">
        <v>3792.4</v>
      </c>
      <c r="Q6" t="n">
        <v>3781.1</v>
      </c>
      <c r="R6" t="n">
        <v>3747.3</v>
      </c>
      <c r="S6" t="n">
        <v>3760.8</v>
      </c>
      <c r="T6" t="n">
        <v>3776.9</v>
      </c>
      <c r="U6" t="n">
        <v>3721.7</v>
      </c>
      <c r="V6" t="n">
        <v>3752.9</v>
      </c>
      <c r="W6" t="n">
        <v>3814.7</v>
      </c>
      <c r="X6" t="n">
        <v>3868.9</v>
      </c>
      <c r="Y6" t="n">
        <v>3910.5</v>
      </c>
      <c r="Z6" t="n">
        <v>3988.7</v>
      </c>
      <c r="AA6" t="n">
        <v>4025.4</v>
      </c>
      <c r="AB6" t="n">
        <v>4067.8</v>
      </c>
      <c r="AC6" t="n">
        <v>4120.5</v>
      </c>
      <c r="AD6" t="n">
        <v>4169.1</v>
      </c>
      <c r="AE6" t="n">
        <v>4191.7</v>
      </c>
      <c r="AF6" t="n">
        <v>4231.3</v>
      </c>
      <c r="AG6" t="n">
        <v>4295</v>
      </c>
      <c r="AH6" t="n">
        <v>4319.1</v>
      </c>
      <c r="AI6" t="n">
        <v>4411.4</v>
      </c>
      <c r="AJ6" t="n">
        <v>4430</v>
      </c>
      <c r="AK6" t="n">
        <v>4465.7</v>
      </c>
      <c r="AL6" t="n">
        <v>4488.8</v>
      </c>
      <c r="AM6" t="n">
        <v>4485.9</v>
      </c>
      <c r="AN6" t="n">
        <v>4529.6</v>
      </c>
      <c r="AO6" t="n">
        <v>4540.8</v>
      </c>
      <c r="AP6" t="n">
        <v>4534.3</v>
      </c>
      <c r="AQ6" t="n">
        <v>4432.2</v>
      </c>
      <c r="AR6" t="n">
        <v>4480.8</v>
      </c>
      <c r="AS6" t="n">
        <v>4541.4</v>
      </c>
      <c r="AT6" t="n">
        <v>4556.6</v>
      </c>
      <c r="AU6" t="n">
        <v>4556.9</v>
      </c>
      <c r="AV6" t="n">
        <v>4578</v>
      </c>
      <c r="AW6" t="n">
        <v>4546.7</v>
      </c>
      <c r="AX6" t="n">
        <v>4580.2</v>
      </c>
      <c r="AY6" t="n">
        <v>4594.1</v>
      </c>
      <c r="AZ6" t="n">
        <v>4624.9</v>
      </c>
      <c r="BA6" t="n">
        <v>4706</v>
      </c>
      <c r="BB6" t="n">
        <v>4752.5</v>
      </c>
      <c r="BC6" t="n">
        <v>4849.3</v>
      </c>
      <c r="BD6" t="n">
        <v>4936.2</v>
      </c>
      <c r="BE6" t="n">
        <v>5014.9</v>
      </c>
      <c r="BF6" t="n">
        <v>5056.5</v>
      </c>
      <c r="BG6" t="n">
        <v>5127.3</v>
      </c>
      <c r="BH6" t="n">
        <v>5165.4</v>
      </c>
      <c r="BI6" t="n">
        <v>5232.3</v>
      </c>
      <c r="BJ6" t="n">
        <v>5321.2</v>
      </c>
      <c r="BK6" t="n">
        <v>5370</v>
      </c>
      <c r="BL6" t="n">
        <v>5472</v>
      </c>
      <c r="BM6" t="n">
        <v>5483.9</v>
      </c>
      <c r="BN6" t="n">
        <v>5531.8</v>
      </c>
      <c r="BO6" t="n">
        <v>5592.1</v>
      </c>
      <c r="BP6" t="n">
        <v>5691</v>
      </c>
      <c r="BQ6" t="n">
        <v>5725.8</v>
      </c>
      <c r="BR6" t="n">
        <v>5731.2</v>
      </c>
      <c r="BS6" t="n">
        <v>5809.4</v>
      </c>
      <c r="BT6" t="n">
        <v>5875.6</v>
      </c>
      <c r="BU6" t="n">
        <v>5888.1</v>
      </c>
      <c r="BV6" t="n">
        <v>5992.1</v>
      </c>
      <c r="BW6" t="n">
        <v>6036.4</v>
      </c>
      <c r="BX6" t="n">
        <v>6090</v>
      </c>
      <c r="BY6" t="n">
        <v>6159.2</v>
      </c>
      <c r="BZ6" t="n">
        <v>6187.8</v>
      </c>
      <c r="CA6" t="n">
        <v>6216.7</v>
      </c>
      <c r="CB6" t="n">
        <v>6276.9</v>
      </c>
      <c r="CC6" t="n">
        <v>6304.2</v>
      </c>
      <c r="CD6" t="n">
        <v>6357.2</v>
      </c>
      <c r="CE6" t="n">
        <v>6376.6</v>
      </c>
      <c r="CF6" t="n">
        <v>6401.8</v>
      </c>
      <c r="CG6" t="n">
        <v>6353.1</v>
      </c>
      <c r="CH6" t="n">
        <v>6329.2</v>
      </c>
      <c r="CI6" t="n">
        <v>6381.7</v>
      </c>
      <c r="CJ6" t="n">
        <v>6413.5</v>
      </c>
      <c r="CK6" t="n">
        <v>6410.3</v>
      </c>
      <c r="CL6" t="n">
        <v>6530.3</v>
      </c>
      <c r="CM6" t="n">
        <v>6574.7</v>
      </c>
      <c r="CN6" t="n">
        <v>6645.1</v>
      </c>
      <c r="CO6" t="n">
        <v>6724.3</v>
      </c>
      <c r="CP6" t="n">
        <v>6750.1</v>
      </c>
      <c r="CQ6" t="n">
        <v>6811.5</v>
      </c>
      <c r="CR6" t="n">
        <v>6887.3</v>
      </c>
      <c r="CS6" t="n">
        <v>6947.8</v>
      </c>
      <c r="CT6" t="n">
        <v>7027.3</v>
      </c>
      <c r="CU6" t="n">
        <v>7081.9</v>
      </c>
      <c r="CV6" t="n">
        <v>7135.9</v>
      </c>
      <c r="CW6" t="n">
        <v>7213.1</v>
      </c>
      <c r="CX6" t="n">
        <v>7231</v>
      </c>
      <c r="CY6" t="n">
        <v>7294.4</v>
      </c>
      <c r="CZ6" t="n">
        <v>7360.5</v>
      </c>
      <c r="DA6" t="n">
        <v>7411.9</v>
      </c>
      <c r="DB6" t="n">
        <v>7480.2</v>
      </c>
      <c r="DC6" t="n">
        <v>7560.7</v>
      </c>
      <c r="DD6" t="n">
        <v>7606.5</v>
      </c>
      <c r="DE6" t="n">
        <v>7667.1</v>
      </c>
      <c r="DF6" t="n">
        <v>7747.9</v>
      </c>
      <c r="DG6" t="n">
        <v>7782.8</v>
      </c>
      <c r="DH6" t="n">
        <v>7915.4</v>
      </c>
      <c r="DI6" t="n">
        <v>8010</v>
      </c>
      <c r="DJ6" t="n">
        <v>8091</v>
      </c>
      <c r="DK6" t="n">
        <v>8233.5</v>
      </c>
      <c r="DL6" t="n">
        <v>8340.8</v>
      </c>
      <c r="DM6" t="n">
        <v>8461.3</v>
      </c>
      <c r="DN6" t="n">
        <v>8548.2</v>
      </c>
      <c r="DO6" t="n">
        <v>8679.1</v>
      </c>
      <c r="DP6" t="n">
        <v>8776.7</v>
      </c>
      <c r="DQ6" t="n">
        <v>8905.1</v>
      </c>
      <c r="DR6" t="n">
        <v>9039.7</v>
      </c>
      <c r="DS6" t="n">
        <v>9124.2</v>
      </c>
      <c r="DT6" t="n">
        <v>9211.6</v>
      </c>
      <c r="DU6" t="n">
        <v>9292.1</v>
      </c>
      <c r="DV6" t="n">
        <v>9325.8</v>
      </c>
      <c r="DW6" t="n">
        <v>9344.5</v>
      </c>
      <c r="DX6" t="n">
        <v>9377</v>
      </c>
      <c r="DY6" t="n">
        <v>9528.3</v>
      </c>
      <c r="DZ6" t="n">
        <v>9549.5</v>
      </c>
      <c r="EA6" t="n">
        <v>9597.8</v>
      </c>
      <c r="EB6" t="n">
        <v>9665</v>
      </c>
      <c r="EC6" t="n">
        <v>9718.7</v>
      </c>
      <c r="ED6" t="n">
        <v>9766.6</v>
      </c>
      <c r="EE6" t="n">
        <v>9878.4</v>
      </c>
      <c r="EF6" t="n">
        <v>10018.1</v>
      </c>
      <c r="EG6" t="n">
        <v>10087.1</v>
      </c>
      <c r="EH6" t="n">
        <v>10181.1</v>
      </c>
      <c r="EI6" t="n">
        <v>10236.7</v>
      </c>
      <c r="EJ6" t="n">
        <v>10356.9</v>
      </c>
      <c r="EK6" t="n">
        <v>10474.1</v>
      </c>
      <c r="EL6" t="n">
        <v>10540.6</v>
      </c>
      <c r="EM6" t="n">
        <v>10657.4</v>
      </c>
      <c r="EN6" t="n">
        <v>10745.9</v>
      </c>
      <c r="EO6" t="n">
        <v>10765.7</v>
      </c>
      <c r="EP6" t="n">
        <v>10883.1</v>
      </c>
      <c r="EQ6" t="n">
        <v>10939.5</v>
      </c>
      <c r="ER6" t="n">
        <v>11009.7</v>
      </c>
      <c r="ES6" t="n">
        <v>11114.8</v>
      </c>
      <c r="ET6" t="n">
        <v>11183.3</v>
      </c>
      <c r="EU6" t="n">
        <v>11212.7</v>
      </c>
      <c r="EV6" t="n">
        <v>11287.5</v>
      </c>
      <c r="EW6" t="n">
        <v>11331.9</v>
      </c>
      <c r="EX6" t="n">
        <v>11316.4</v>
      </c>
      <c r="EY6" t="n">
        <v>11347.6</v>
      </c>
      <c r="EZ6" t="n">
        <v>11260.1</v>
      </c>
      <c r="FA6" t="n">
        <v>11158.8</v>
      </c>
      <c r="FB6" t="n">
        <v>11130.5</v>
      </c>
      <c r="FC6" t="n">
        <v>11075.7</v>
      </c>
      <c r="FD6" t="n">
        <v>11150.2</v>
      </c>
      <c r="FE6" t="n">
        <v>11137.9</v>
      </c>
      <c r="FF6" t="n">
        <v>11202.5</v>
      </c>
      <c r="FG6" t="n">
        <v>11303</v>
      </c>
      <c r="FH6" t="n">
        <v>11383.6</v>
      </c>
      <c r="FI6" t="n">
        <v>11453.4</v>
      </c>
      <c r="FJ6" t="n">
        <v>11497.1</v>
      </c>
      <c r="FK6" t="n">
        <v>11509</v>
      </c>
      <c r="FL6" t="n">
        <v>11544</v>
      </c>
      <c r="FM6" t="n">
        <v>11563.9</v>
      </c>
      <c r="FN6" t="n">
        <v>11647.3</v>
      </c>
      <c r="FO6" t="n">
        <v>11667.8</v>
      </c>
      <c r="FP6" t="n">
        <v>11691.4</v>
      </c>
      <c r="FQ6" t="n">
        <v>11738</v>
      </c>
      <c r="FR6" t="n">
        <v>11814.3</v>
      </c>
      <c r="FS6" t="n">
        <v>11848.1</v>
      </c>
      <c r="FT6" t="n">
        <v>11896.3</v>
      </c>
      <c r="FU6" t="n">
        <v>12001</v>
      </c>
      <c r="FV6" t="n">
        <v>12044.2</v>
      </c>
      <c r="FW6" t="n">
        <v>12159.9</v>
      </c>
      <c r="FX6" t="n">
        <v>12280.1</v>
      </c>
      <c r="FY6" t="n">
        <v>12421.6</v>
      </c>
      <c r="FZ6" t="n">
        <v>12516.9</v>
      </c>
      <c r="GA6" t="n">
        <v>12603.1</v>
      </c>
      <c r="GB6" t="n">
        <v>12691.8</v>
      </c>
      <c r="GC6" t="n">
        <v>12743.4</v>
      </c>
      <c r="GD6" t="n">
        <v>12839.6</v>
      </c>
      <c r="GE6" t="n">
        <v>12903.3</v>
      </c>
      <c r="GF6" t="n">
        <v>12993.1</v>
      </c>
      <c r="GG6" t="n">
        <v>13060.1</v>
      </c>
      <c r="GH6" t="n">
        <v>13160.5</v>
      </c>
      <c r="GI6" t="n">
        <v>13225.7</v>
      </c>
      <c r="GJ6" t="n">
        <v>13315.4</v>
      </c>
      <c r="GK6" t="n">
        <v>13460.9</v>
      </c>
      <c r="GL6" t="n">
        <v>13558.4</v>
      </c>
      <c r="GM6" t="n">
        <v>13631</v>
      </c>
      <c r="GN6" t="n">
        <v>13693.8</v>
      </c>
      <c r="GO6" t="n">
        <v>13736.6</v>
      </c>
      <c r="GP6" t="n">
        <v>13758.3</v>
      </c>
      <c r="GQ6" t="n">
        <v>13875.7</v>
      </c>
      <c r="GR6" t="n">
        <v>14033.2</v>
      </c>
      <c r="GS6" t="n">
        <v>14125.3</v>
      </c>
      <c r="GT6" t="n">
        <v>13885.9</v>
      </c>
      <c r="GU6" t="n">
        <v>12671.9</v>
      </c>
      <c r="GV6" t="n">
        <v>13813</v>
      </c>
      <c r="GW6" t="n">
        <v>14008.1</v>
      </c>
      <c r="GX6" t="n">
        <v>14328.6</v>
      </c>
      <c r="GY6" t="n">
        <v>14809.1</v>
      </c>
      <c r="GZ6" t="n">
        <v>14924.3</v>
      </c>
      <c r="HA6" t="n">
        <v>15086.9</v>
      </c>
      <c r="HB6" t="n">
        <v>15123.4</v>
      </c>
      <c r="HC6" t="n">
        <v>15219.9</v>
      </c>
      <c r="HD6" t="n">
        <v>15277.6</v>
      </c>
      <c r="HE6" t="n">
        <v>15324</v>
      </c>
      <c r="HF6" t="n">
        <v>15510.2</v>
      </c>
      <c r="HG6" t="n">
        <v>15548.5</v>
      </c>
      <c r="HH6" t="n">
        <v>15646.7</v>
      </c>
      <c r="HI6" t="n">
        <v>15781.4</v>
      </c>
      <c r="HJ6" t="n">
        <v>15856.9</v>
      </c>
      <c r="HK6" t="n">
        <v>15967.3</v>
      </c>
      <c r="HL6" t="n">
        <v>16113</v>
      </c>
      <c r="HM6" t="n">
        <v>16273.2</v>
      </c>
      <c r="HN6" t="n">
        <v>16291.8</v>
      </c>
      <c r="HO6" t="n">
        <v>16355.4</v>
      </c>
    </row>
    <row r="7">
      <c r="A7" s="78" t="s">
        <v>2519</v>
      </c>
      <c r="B7" s="78" t="n">
        <v>19.444</v>
      </c>
      <c r="C7" s="78" t="n">
        <v>19.659</v>
      </c>
      <c r="D7" s="78" t="n">
        <v>19.851</v>
      </c>
      <c r="E7" s="78" t="n">
        <v>20.108</v>
      </c>
      <c r="F7" s="78" t="n">
        <v>20.299</v>
      </c>
      <c r="G7" s="78" t="n">
        <v>20.53</v>
      </c>
      <c r="H7" s="78" t="n">
        <v>20.732</v>
      </c>
      <c r="I7" s="78" t="n">
        <v>20.86</v>
      </c>
      <c r="J7" s="78" t="n">
        <v>21.08</v>
      </c>
      <c r="K7" s="78" t="n">
        <v>21.202</v>
      </c>
      <c r="L7" s="78" t="n">
        <v>21.388</v>
      </c>
      <c r="M7" s="78" t="n">
        <v>21.562</v>
      </c>
      <c r="N7" s="78" t="n">
        <v>21.823</v>
      </c>
      <c r="O7" s="78" t="n">
        <v>22.242</v>
      </c>
      <c r="P7" t="n">
        <v>22.647</v>
      </c>
      <c r="Q7" t="n">
        <v>23.11</v>
      </c>
      <c r="R7" t="n">
        <v>23.798</v>
      </c>
      <c r="S7" t="n">
        <v>24.472</v>
      </c>
      <c r="T7" t="n">
        <v>25.132</v>
      </c>
      <c r="U7" t="n">
        <v>25.771</v>
      </c>
      <c r="V7" t="n">
        <v>26.256</v>
      </c>
      <c r="W7" t="n">
        <v>26.578</v>
      </c>
      <c r="X7" t="n">
        <v>27.076</v>
      </c>
      <c r="Y7" t="n">
        <v>27.53</v>
      </c>
      <c r="Z7" t="n">
        <v>27.833</v>
      </c>
      <c r="AA7" t="n">
        <v>28.066</v>
      </c>
      <c r="AB7" t="n">
        <v>28.492</v>
      </c>
      <c r="AC7" t="n">
        <v>28.942</v>
      </c>
      <c r="AD7" t="n">
        <v>29.465</v>
      </c>
      <c r="AE7" t="n">
        <v>29.969</v>
      </c>
      <c r="AF7" t="n">
        <v>30.42</v>
      </c>
      <c r="AG7" t="n">
        <v>30.852</v>
      </c>
      <c r="AH7" t="n">
        <v>31.358</v>
      </c>
      <c r="AI7" t="n">
        <v>32.002</v>
      </c>
      <c r="AJ7" t="n">
        <v>32.564</v>
      </c>
      <c r="AK7" t="n">
        <v>33.179</v>
      </c>
      <c r="AL7" t="n">
        <v>33.804</v>
      </c>
      <c r="AM7" t="n">
        <v>34.728</v>
      </c>
      <c r="AN7" t="n">
        <v>35.59</v>
      </c>
      <c r="AO7" t="n">
        <v>36.451</v>
      </c>
      <c r="AP7" t="n">
        <v>37.545</v>
      </c>
      <c r="AQ7" t="n">
        <v>38.464</v>
      </c>
      <c r="AR7" t="n">
        <v>39.364</v>
      </c>
      <c r="AS7" t="n">
        <v>40.338</v>
      </c>
      <c r="AT7" t="n">
        <v>41.384</v>
      </c>
      <c r="AU7" t="n">
        <v>42.078</v>
      </c>
      <c r="AV7" t="n">
        <v>42.772</v>
      </c>
      <c r="AW7" t="n">
        <v>43.427</v>
      </c>
      <c r="AX7" t="n">
        <v>43.979</v>
      </c>
      <c r="AY7" t="n">
        <v>44.402</v>
      </c>
      <c r="AZ7" t="n">
        <v>45.103</v>
      </c>
      <c r="BA7" t="n">
        <v>45.601</v>
      </c>
      <c r="BB7" t="n">
        <v>45.978</v>
      </c>
      <c r="BC7" t="n">
        <v>46.398</v>
      </c>
      <c r="BD7" t="n">
        <v>47.008</v>
      </c>
      <c r="BE7" t="n">
        <v>47.318</v>
      </c>
      <c r="BF7" t="n">
        <v>47.83</v>
      </c>
      <c r="BG7" t="n">
        <v>48.293</v>
      </c>
      <c r="BH7" t="n">
        <v>48.666</v>
      </c>
      <c r="BI7" t="n">
        <v>48.966</v>
      </c>
      <c r="BJ7" t="n">
        <v>49.544</v>
      </c>
      <c r="BK7" t="n">
        <v>49.945</v>
      </c>
      <c r="BL7" t="n">
        <v>50.337</v>
      </c>
      <c r="BM7" t="n">
        <v>50.688</v>
      </c>
      <c r="BN7" t="n">
        <v>51.047</v>
      </c>
      <c r="BO7" t="n">
        <v>50.993</v>
      </c>
      <c r="BP7" t="n">
        <v>51.263</v>
      </c>
      <c r="BQ7" t="n">
        <v>51.573</v>
      </c>
      <c r="BR7" t="n">
        <v>52.061</v>
      </c>
      <c r="BS7" t="n">
        <v>52.564</v>
      </c>
      <c r="BT7" t="n">
        <v>53.062</v>
      </c>
      <c r="BU7" t="n">
        <v>53.52</v>
      </c>
      <c r="BV7" t="n">
        <v>53.943</v>
      </c>
      <c r="BW7" t="n">
        <v>54.539</v>
      </c>
      <c r="BX7" t="n">
        <v>55.211</v>
      </c>
      <c r="BY7" t="n">
        <v>55.769</v>
      </c>
      <c r="BZ7" t="n">
        <v>56.41</v>
      </c>
      <c r="CA7" t="n">
        <v>57.17</v>
      </c>
      <c r="CB7" t="n">
        <v>57.507</v>
      </c>
      <c r="CC7" t="n">
        <v>57.959</v>
      </c>
      <c r="CD7" t="n">
        <v>58.799</v>
      </c>
      <c r="CE7" t="n">
        <v>59.333</v>
      </c>
      <c r="CF7" t="n">
        <v>60.087</v>
      </c>
      <c r="CG7" t="n">
        <v>60.882</v>
      </c>
      <c r="CH7" t="n">
        <v>61.202</v>
      </c>
      <c r="CI7" t="n">
        <v>61.536</v>
      </c>
      <c r="CJ7" t="n">
        <v>61.954</v>
      </c>
      <c r="CK7" t="n">
        <v>62.404</v>
      </c>
      <c r="CL7" t="n">
        <v>62.795</v>
      </c>
      <c r="CM7" t="n">
        <v>63.212</v>
      </c>
      <c r="CN7" t="n">
        <v>63.615</v>
      </c>
      <c r="CO7" t="n">
        <v>64.059</v>
      </c>
      <c r="CP7" t="n">
        <v>64.441</v>
      </c>
      <c r="CQ7" t="n">
        <v>64.874</v>
      </c>
      <c r="CR7" t="n">
        <v>65.155</v>
      </c>
      <c r="CS7" t="n">
        <v>65.531</v>
      </c>
      <c r="CT7" t="n">
        <v>65.766</v>
      </c>
      <c r="CU7" t="n">
        <v>66.133</v>
      </c>
      <c r="CV7" t="n">
        <v>66.607</v>
      </c>
      <c r="CW7" t="n">
        <v>66.92</v>
      </c>
      <c r="CX7" t="n">
        <v>67.247</v>
      </c>
      <c r="CY7" t="n">
        <v>67.639</v>
      </c>
      <c r="CZ7" t="n">
        <v>67.915</v>
      </c>
      <c r="DA7" t="n">
        <v>68.214</v>
      </c>
      <c r="DB7" t="n">
        <v>68.593</v>
      </c>
      <c r="DC7" t="n">
        <v>69.052</v>
      </c>
      <c r="DD7" t="n">
        <v>69.346</v>
      </c>
      <c r="DE7" t="n">
        <v>69.819</v>
      </c>
      <c r="DF7" t="n">
        <v>70.127</v>
      </c>
      <c r="DG7" t="n">
        <v>70.303</v>
      </c>
      <c r="DH7" t="n">
        <v>70.488</v>
      </c>
      <c r="DI7" t="n">
        <v>70.71</v>
      </c>
      <c r="DJ7" t="n">
        <v>70.715</v>
      </c>
      <c r="DK7" t="n">
        <v>70.843</v>
      </c>
      <c r="DL7" t="n">
        <v>71.062</v>
      </c>
      <c r="DM7" t="n">
        <v>71.249</v>
      </c>
      <c r="DN7" t="n">
        <v>71.39</v>
      </c>
      <c r="DO7" t="n">
        <v>71.796</v>
      </c>
      <c r="DP7" t="n">
        <v>72.191</v>
      </c>
      <c r="DQ7" t="n">
        <v>72.629</v>
      </c>
      <c r="DR7" t="n">
        <v>73.219</v>
      </c>
      <c r="DS7" t="n">
        <v>73.568</v>
      </c>
      <c r="DT7" t="n">
        <v>74.042</v>
      </c>
      <c r="DU7" t="n">
        <v>74.46</v>
      </c>
      <c r="DV7" t="n">
        <v>75.012</v>
      </c>
      <c r="DW7" t="n">
        <v>75.363</v>
      </c>
      <c r="DX7" t="n">
        <v>75.401</v>
      </c>
      <c r="DY7" t="n">
        <v>75.432</v>
      </c>
      <c r="DZ7" t="n">
        <v>75.584</v>
      </c>
      <c r="EA7" t="n">
        <v>76.145</v>
      </c>
      <c r="EB7" t="n">
        <v>76.539</v>
      </c>
      <c r="EC7" t="n">
        <v>76.896</v>
      </c>
      <c r="ED7" t="n">
        <v>77.484</v>
      </c>
      <c r="EE7" t="n">
        <v>77.562</v>
      </c>
      <c r="EF7" t="n">
        <v>78.073</v>
      </c>
      <c r="EG7" t="n">
        <v>78.457</v>
      </c>
      <c r="EH7" t="n">
        <v>79.062</v>
      </c>
      <c r="EI7" t="n">
        <v>79.594</v>
      </c>
      <c r="EJ7" t="n">
        <v>79.985</v>
      </c>
      <c r="EK7" t="n">
        <v>80.669</v>
      </c>
      <c r="EL7" t="n">
        <v>81.138</v>
      </c>
      <c r="EM7" t="n">
        <v>81.65</v>
      </c>
      <c r="EN7" t="n">
        <v>82.532</v>
      </c>
      <c r="EO7" t="n">
        <v>83.189</v>
      </c>
      <c r="EP7" t="n">
        <v>83.621</v>
      </c>
      <c r="EQ7" t="n">
        <v>84.355</v>
      </c>
      <c r="ER7" t="n">
        <v>84.962</v>
      </c>
      <c r="ES7" t="n">
        <v>84.822</v>
      </c>
      <c r="ET7" t="n">
        <v>85.597</v>
      </c>
      <c r="EU7" t="n">
        <v>86.324</v>
      </c>
      <c r="EV7" t="n">
        <v>86.812</v>
      </c>
      <c r="EW7" t="n">
        <v>87.694</v>
      </c>
      <c r="EX7" t="n">
        <v>88.408</v>
      </c>
      <c r="EY7" t="n">
        <v>89.269</v>
      </c>
      <c r="EZ7" t="n">
        <v>90.221</v>
      </c>
      <c r="FA7" t="n">
        <v>88.781</v>
      </c>
      <c r="FB7" t="n">
        <v>88.181</v>
      </c>
      <c r="FC7" t="n">
        <v>88.532</v>
      </c>
      <c r="FD7" t="n">
        <v>89.142</v>
      </c>
      <c r="FE7" t="n">
        <v>89.83</v>
      </c>
      <c r="FF7" t="n">
        <v>90.177</v>
      </c>
      <c r="FG7" t="n">
        <v>90.317</v>
      </c>
      <c r="FH7" t="n">
        <v>90.49</v>
      </c>
      <c r="FI7" t="n">
        <v>91.07</v>
      </c>
      <c r="FJ7" t="n">
        <v>91.835</v>
      </c>
      <c r="FK7" t="n">
        <v>92.738</v>
      </c>
      <c r="FL7" t="n">
        <v>93.167</v>
      </c>
      <c r="FM7" t="n">
        <v>93.475</v>
      </c>
      <c r="FN7" t="n">
        <v>94.094</v>
      </c>
      <c r="FO7" t="n">
        <v>94.321</v>
      </c>
      <c r="FP7" t="n">
        <v>94.595</v>
      </c>
      <c r="FQ7" t="n">
        <v>95.126</v>
      </c>
      <c r="FR7" t="n">
        <v>95.459</v>
      </c>
      <c r="FS7" t="n">
        <v>95.508</v>
      </c>
      <c r="FT7" t="n">
        <v>95.901</v>
      </c>
      <c r="FU7" t="n">
        <v>96.254</v>
      </c>
      <c r="FV7" t="n">
        <v>96.696</v>
      </c>
      <c r="FW7" t="n">
        <v>97.129</v>
      </c>
      <c r="FX7" t="n">
        <v>97.394</v>
      </c>
      <c r="FY7" t="n">
        <v>97.265</v>
      </c>
      <c r="FZ7" t="n">
        <v>96.829</v>
      </c>
      <c r="GA7" t="n">
        <v>97.312</v>
      </c>
      <c r="GB7" t="n">
        <v>97.565</v>
      </c>
      <c r="GC7" t="n">
        <v>97.49</v>
      </c>
      <c r="GD7" t="n">
        <v>97.538</v>
      </c>
      <c r="GE7" t="n">
        <v>98.157</v>
      </c>
      <c r="GF7" t="n">
        <v>98.496</v>
      </c>
      <c r="GG7" t="n">
        <v>98.947</v>
      </c>
      <c r="GH7" t="n">
        <v>99.524</v>
      </c>
      <c r="GI7" t="n">
        <v>99.724</v>
      </c>
      <c r="GJ7" t="n">
        <v>100.076</v>
      </c>
      <c r="GK7" t="n">
        <v>100.676</v>
      </c>
      <c r="GL7" t="n">
        <v>101.38</v>
      </c>
      <c r="GM7" t="n">
        <v>101.912</v>
      </c>
      <c r="GN7" t="n">
        <v>102.254</v>
      </c>
      <c r="GO7" t="n">
        <v>102.642</v>
      </c>
      <c r="GP7" t="n">
        <v>102.851</v>
      </c>
      <c r="GQ7" t="n">
        <v>103.426</v>
      </c>
      <c r="GR7" t="n">
        <v>103.675</v>
      </c>
      <c r="GS7" t="n">
        <v>104.083</v>
      </c>
      <c r="GT7" t="n">
        <v>104.404</v>
      </c>
      <c r="GU7" t="n">
        <v>103.988</v>
      </c>
      <c r="GV7" t="n">
        <v>104.832</v>
      </c>
      <c r="GW7" t="n">
        <v>105.34</v>
      </c>
      <c r="GX7" t="n">
        <v>106.529</v>
      </c>
      <c r="GY7" t="n">
        <v>108.188</v>
      </c>
      <c r="GZ7" t="n">
        <v>109.681</v>
      </c>
      <c r="HA7" t="n">
        <v>111.491</v>
      </c>
      <c r="HB7" t="n">
        <v>113.585</v>
      </c>
      <c r="HC7" t="n">
        <v>115.672</v>
      </c>
      <c r="HD7" t="n">
        <v>117.014</v>
      </c>
      <c r="HE7" t="n">
        <v>118.172</v>
      </c>
      <c r="HF7" t="n">
        <v>119.32</v>
      </c>
      <c r="HG7" t="n">
        <v>120.182</v>
      </c>
      <c r="HH7" t="n">
        <v>120.983</v>
      </c>
      <c r="HI7" t="n">
        <v>121.48</v>
      </c>
      <c r="HJ7" t="n">
        <v>122.507</v>
      </c>
      <c r="HK7" t="n">
        <v>123.275</v>
      </c>
      <c r="HL7" t="n">
        <v>123.747</v>
      </c>
      <c r="HM7" t="n">
        <v>124.478</v>
      </c>
      <c r="HN7" t="n">
        <v>125.601</v>
      </c>
      <c r="HO7" t="n">
        <v>126.227</v>
      </c>
    </row>
    <row r="8">
      <c r="A8" s="78" t="s">
        <v>2520</v>
      </c>
      <c r="B8" s="78" t="n">
        <v>17.722</v>
      </c>
      <c r="C8" s="78" t="n">
        <v>17.956</v>
      </c>
      <c r="D8" s="78" t="n">
        <v>18.263</v>
      </c>
      <c r="E8" s="78" t="n">
        <v>18.495</v>
      </c>
      <c r="F8" s="78" t="n">
        <v>19.081</v>
      </c>
      <c r="G8" s="78" t="n">
        <v>19.437</v>
      </c>
      <c r="H8" s="78" t="n">
        <v>19.719</v>
      </c>
      <c r="I8" s="78" t="n">
        <v>20.122</v>
      </c>
      <c r="J8" s="78" t="n">
        <v>20.953</v>
      </c>
      <c r="K8" s="78" t="n">
        <v>21.166</v>
      </c>
      <c r="L8" s="78" t="n">
        <v>21.34</v>
      </c>
      <c r="M8" s="78" t="n">
        <v>21.804</v>
      </c>
      <c r="N8" s="78" t="n">
        <v>22.155</v>
      </c>
      <c r="O8" s="78" t="n">
        <v>22.54</v>
      </c>
      <c r="P8" t="n">
        <v>23.006</v>
      </c>
      <c r="Q8" t="n">
        <v>23.498</v>
      </c>
      <c r="R8" t="n">
        <v>23.739</v>
      </c>
      <c r="S8" t="n">
        <v>24.168</v>
      </c>
      <c r="T8" t="n">
        <v>24.874</v>
      </c>
      <c r="U8" t="n">
        <v>25.7</v>
      </c>
      <c r="V8" t="n">
        <v>26.167</v>
      </c>
      <c r="W8" t="n">
        <v>26.546</v>
      </c>
      <c r="X8" t="n">
        <v>26.904</v>
      </c>
      <c r="Y8" t="n">
        <v>27.522</v>
      </c>
      <c r="Z8" t="n">
        <v>27.924</v>
      </c>
      <c r="AA8" t="n">
        <v>28.158</v>
      </c>
      <c r="AB8" t="n">
        <v>28.481</v>
      </c>
      <c r="AC8" t="n">
        <v>29.242</v>
      </c>
      <c r="AD8" t="n">
        <v>29.656</v>
      </c>
      <c r="AE8" t="n">
        <v>29.993</v>
      </c>
      <c r="AF8" t="n">
        <v>30.141</v>
      </c>
      <c r="AG8" t="n">
        <v>31.014</v>
      </c>
      <c r="AH8" t="n">
        <v>31.369</v>
      </c>
      <c r="AI8" t="n">
        <v>31.985</v>
      </c>
      <c r="AJ8" t="n">
        <v>32.52</v>
      </c>
      <c r="AK8" t="n">
        <v>33.081</v>
      </c>
      <c r="AL8" t="n">
        <v>33.691</v>
      </c>
      <c r="AM8" t="n">
        <v>34.2</v>
      </c>
      <c r="AN8" t="n">
        <v>34.998</v>
      </c>
      <c r="AO8" t="n">
        <v>35.768</v>
      </c>
      <c r="AP8" t="n">
        <v>36.475</v>
      </c>
      <c r="AQ8" t="n">
        <v>37.885</v>
      </c>
      <c r="AR8" t="n">
        <v>38.269</v>
      </c>
      <c r="AS8" t="n">
        <v>39.421</v>
      </c>
      <c r="AT8" t="n">
        <v>40.209</v>
      </c>
      <c r="AU8" t="n">
        <v>41.144</v>
      </c>
      <c r="AV8" t="n">
        <v>42.046</v>
      </c>
      <c r="AW8" t="n">
        <v>42.852</v>
      </c>
      <c r="AX8" t="n">
        <v>43.536</v>
      </c>
      <c r="AY8" t="n">
        <v>44.399</v>
      </c>
      <c r="AZ8" t="n">
        <v>44.771</v>
      </c>
      <c r="BA8" t="n">
        <v>45.3</v>
      </c>
      <c r="BB8" t="n">
        <v>45.385</v>
      </c>
      <c r="BC8" t="n">
        <v>45.735</v>
      </c>
      <c r="BD8" t="n">
        <v>46.242</v>
      </c>
      <c r="BE8" t="n">
        <v>46.544</v>
      </c>
      <c r="BF8" t="n">
        <v>47.147</v>
      </c>
      <c r="BG8" t="n">
        <v>47.617</v>
      </c>
      <c r="BH8" t="n">
        <v>48.325</v>
      </c>
      <c r="BI8" t="n">
        <v>48.92</v>
      </c>
      <c r="BJ8" t="n">
        <v>48.725</v>
      </c>
      <c r="BK8" t="n">
        <v>48.84</v>
      </c>
      <c r="BL8" t="n">
        <v>49.101</v>
      </c>
      <c r="BM8" t="n">
        <v>49.423</v>
      </c>
      <c r="BN8" t="n">
        <v>49.298</v>
      </c>
      <c r="BO8" t="n">
        <v>49.175</v>
      </c>
      <c r="BP8" t="n">
        <v>49.245</v>
      </c>
      <c r="BQ8" t="n">
        <v>49.3</v>
      </c>
      <c r="BR8" t="n">
        <v>49.217</v>
      </c>
      <c r="BS8" t="n">
        <v>49.45</v>
      </c>
      <c r="BT8" t="n">
        <v>49.808</v>
      </c>
      <c r="BU8" t="n">
        <v>49.912</v>
      </c>
      <c r="BV8" t="n">
        <v>50.593</v>
      </c>
      <c r="BW8" t="n">
        <v>51.09</v>
      </c>
      <c r="BX8" t="n">
        <v>51.382</v>
      </c>
      <c r="BY8" t="n">
        <v>51.796</v>
      </c>
      <c r="BZ8" t="n">
        <v>52.18</v>
      </c>
      <c r="CA8" t="n">
        <v>52.563</v>
      </c>
      <c r="CB8" t="n">
        <v>52.825</v>
      </c>
      <c r="CC8" t="n">
        <v>53.014</v>
      </c>
      <c r="CD8" t="n">
        <v>53.386</v>
      </c>
      <c r="CE8" t="n">
        <v>54.303</v>
      </c>
      <c r="CF8" t="n">
        <v>54.376</v>
      </c>
      <c r="CG8" t="n">
        <v>55.023</v>
      </c>
      <c r="CH8" t="n">
        <v>55.517</v>
      </c>
      <c r="CI8" t="n">
        <v>55.79</v>
      </c>
      <c r="CJ8" t="n">
        <v>56.508</v>
      </c>
      <c r="CK8" t="n">
        <v>57.079</v>
      </c>
      <c r="CL8" t="n">
        <v>57.163</v>
      </c>
      <c r="CM8" t="n">
        <v>57.371</v>
      </c>
      <c r="CN8" t="n">
        <v>57.872</v>
      </c>
      <c r="CO8" t="n">
        <v>58.235</v>
      </c>
      <c r="CP8" t="n">
        <v>58.381</v>
      </c>
      <c r="CQ8" t="n">
        <v>58.637</v>
      </c>
      <c r="CR8" t="n">
        <v>59.062</v>
      </c>
      <c r="CS8" t="n">
        <v>59.591</v>
      </c>
      <c r="CT8" t="n">
        <v>59.865</v>
      </c>
      <c r="CU8" t="n">
        <v>60.367</v>
      </c>
      <c r="CV8" t="n">
        <v>60.713</v>
      </c>
      <c r="CW8" t="n">
        <v>61.212</v>
      </c>
      <c r="CX8" t="n">
        <v>61.728</v>
      </c>
      <c r="CY8" t="n">
        <v>62.139</v>
      </c>
      <c r="CZ8" t="n">
        <v>62.461</v>
      </c>
      <c r="DA8" t="n">
        <v>63.323</v>
      </c>
      <c r="DB8" t="n">
        <v>63.472</v>
      </c>
      <c r="DC8" t="n">
        <v>63.132</v>
      </c>
      <c r="DD8" t="n">
        <v>63.499</v>
      </c>
      <c r="DE8" t="n">
        <v>63.716</v>
      </c>
      <c r="DF8" t="n">
        <v>63.934</v>
      </c>
      <c r="DG8" t="n">
        <v>64.354</v>
      </c>
      <c r="DH8" t="n">
        <v>64.503</v>
      </c>
      <c r="DI8" t="n">
        <v>64.954</v>
      </c>
      <c r="DJ8" t="n">
        <v>64.682</v>
      </c>
      <c r="DK8" t="n">
        <v>65.099</v>
      </c>
      <c r="DL8" t="n">
        <v>65.524</v>
      </c>
      <c r="DM8" t="n">
        <v>65.735</v>
      </c>
      <c r="DN8" t="n">
        <v>65.947</v>
      </c>
      <c r="DO8" t="n">
        <v>66.503</v>
      </c>
      <c r="DP8" t="n">
        <v>67.106</v>
      </c>
      <c r="DQ8" t="n">
        <v>67.931</v>
      </c>
      <c r="DR8" t="n">
        <v>68.593</v>
      </c>
      <c r="DS8" t="n">
        <v>68.856</v>
      </c>
      <c r="DT8" t="n">
        <v>69.349</v>
      </c>
      <c r="DU8" t="n">
        <v>69.662</v>
      </c>
      <c r="DV8" t="n">
        <v>69.782</v>
      </c>
      <c r="DW8" t="n">
        <v>70.148</v>
      </c>
      <c r="DX8" t="n">
        <v>70.597</v>
      </c>
      <c r="DY8" t="n">
        <v>71.055</v>
      </c>
      <c r="DZ8" t="n">
        <v>71.515</v>
      </c>
      <c r="EA8" t="n">
        <v>72.191</v>
      </c>
      <c r="EB8" t="n">
        <v>72.811</v>
      </c>
      <c r="EC8" t="n">
        <v>74.161</v>
      </c>
      <c r="ED8" t="n">
        <v>74.965</v>
      </c>
      <c r="EE8" t="n">
        <v>75.499</v>
      </c>
      <c r="EF8" t="n">
        <v>76.182</v>
      </c>
      <c r="EG8" t="n">
        <v>76.752</v>
      </c>
      <c r="EH8" t="n">
        <v>77.405</v>
      </c>
      <c r="EI8" t="n">
        <v>78.077</v>
      </c>
      <c r="EJ8" t="n">
        <v>78.792</v>
      </c>
      <c r="EK8" t="n">
        <v>79.559</v>
      </c>
      <c r="EL8" t="n">
        <v>80.606</v>
      </c>
      <c r="EM8" t="n">
        <v>81.333</v>
      </c>
      <c r="EN8" t="n">
        <v>82.182</v>
      </c>
      <c r="EO8" t="n">
        <v>82.772</v>
      </c>
      <c r="EP8" t="n">
        <v>83.469</v>
      </c>
      <c r="EQ8" t="n">
        <v>84.051</v>
      </c>
      <c r="ER8" t="n">
        <v>84.673</v>
      </c>
      <c r="ES8" t="n">
        <v>85.114</v>
      </c>
      <c r="ET8" t="n">
        <v>85.842</v>
      </c>
      <c r="EU8" t="n">
        <v>86.528</v>
      </c>
      <c r="EV8" t="n">
        <v>87.124</v>
      </c>
      <c r="EW8" t="n">
        <v>87.822</v>
      </c>
      <c r="EX8" t="n">
        <v>88.563</v>
      </c>
      <c r="EY8" t="n">
        <v>89.47</v>
      </c>
      <c r="EZ8" t="n">
        <v>90.141</v>
      </c>
      <c r="FA8" t="n">
        <v>89.712</v>
      </c>
      <c r="FB8" t="n">
        <v>88.959</v>
      </c>
      <c r="FC8" t="n">
        <v>88.975</v>
      </c>
      <c r="FD8" t="n">
        <v>89.247</v>
      </c>
      <c r="FE8" t="n">
        <v>89.933</v>
      </c>
      <c r="FF8" t="n">
        <v>90.506</v>
      </c>
      <c r="FG8" t="n">
        <v>91.2</v>
      </c>
      <c r="FH8" t="n">
        <v>91.562</v>
      </c>
      <c r="FI8" t="n">
        <v>92.307</v>
      </c>
      <c r="FJ8" t="n">
        <v>93.136</v>
      </c>
      <c r="FK8" t="n">
        <v>93.979</v>
      </c>
      <c r="FL8" t="n">
        <v>94.306</v>
      </c>
      <c r="FM8" t="n">
        <v>94.18</v>
      </c>
      <c r="FN8" t="n">
        <v>94.506</v>
      </c>
      <c r="FO8" t="n">
        <v>94.715</v>
      </c>
      <c r="FP8" t="n">
        <v>94.897</v>
      </c>
      <c r="FQ8" t="n">
        <v>95.013</v>
      </c>
      <c r="FR8" t="n">
        <v>94.947</v>
      </c>
      <c r="FS8" t="n">
        <v>95.102</v>
      </c>
      <c r="FT8" t="n">
        <v>95.436</v>
      </c>
      <c r="FU8" t="n">
        <v>96.904</v>
      </c>
      <c r="FV8" t="n">
        <v>96.649</v>
      </c>
      <c r="FW8" t="n">
        <v>97.057</v>
      </c>
      <c r="FX8" t="n">
        <v>97.513</v>
      </c>
      <c r="FY8" t="n">
        <v>97.642</v>
      </c>
      <c r="FZ8" t="n">
        <v>97.452</v>
      </c>
      <c r="GA8" t="n">
        <v>97.641</v>
      </c>
      <c r="GB8" t="n">
        <v>97.73</v>
      </c>
      <c r="GC8" t="n">
        <v>97.611</v>
      </c>
      <c r="GD8" t="n">
        <v>97.503</v>
      </c>
      <c r="GE8" t="n">
        <v>98.022</v>
      </c>
      <c r="GF8" t="n">
        <v>98.404</v>
      </c>
      <c r="GG8" t="n">
        <v>98.891</v>
      </c>
      <c r="GH8" t="n">
        <v>99.36</v>
      </c>
      <c r="GI8" t="n">
        <v>99.682</v>
      </c>
      <c r="GJ8" t="n">
        <v>100.12</v>
      </c>
      <c r="GK8" t="n">
        <v>100.838</v>
      </c>
      <c r="GL8" t="n">
        <v>101.798</v>
      </c>
      <c r="GM8" t="n">
        <v>102.497</v>
      </c>
      <c r="GN8" t="n">
        <v>103.027</v>
      </c>
      <c r="GO8" t="n">
        <v>103.778</v>
      </c>
      <c r="GP8" t="n">
        <v>104.731</v>
      </c>
      <c r="GQ8" t="n">
        <v>104.034</v>
      </c>
      <c r="GR8" t="n">
        <v>104.131</v>
      </c>
      <c r="GS8" t="n">
        <v>104.51</v>
      </c>
      <c r="GT8" t="n">
        <v>104.826</v>
      </c>
      <c r="GU8" t="n">
        <v>104.893</v>
      </c>
      <c r="GV8" t="n">
        <v>105.466</v>
      </c>
      <c r="GW8" t="n">
        <v>106.253</v>
      </c>
      <c r="GX8" t="n">
        <v>107.069</v>
      </c>
      <c r="GY8" t="n">
        <v>108.223</v>
      </c>
      <c r="GZ8" t="n">
        <v>109.501</v>
      </c>
      <c r="HA8" t="n">
        <v>110.856</v>
      </c>
      <c r="HB8" t="n">
        <v>112.633</v>
      </c>
      <c r="HC8" t="n">
        <v>114.685</v>
      </c>
      <c r="HD8" t="n">
        <v>116.184</v>
      </c>
      <c r="HE8" t="n">
        <v>117.371</v>
      </c>
      <c r="HF8" t="n">
        <v>118.61</v>
      </c>
      <c r="HG8" t="n">
        <v>119.635</v>
      </c>
      <c r="HH8" t="n">
        <v>120.759</v>
      </c>
      <c r="HI8" t="n">
        <v>121.899</v>
      </c>
      <c r="HJ8" t="n">
        <v>122.967</v>
      </c>
      <c r="HK8" t="n">
        <v>123.825</v>
      </c>
      <c r="HL8" t="n">
        <v>124.576</v>
      </c>
      <c r="HM8" t="n">
        <v>125.398</v>
      </c>
      <c r="HN8" t="n">
        <v>127.141</v>
      </c>
      <c r="HO8" t="n">
        <v>129.343</v>
      </c>
    </row>
    <row r="9">
      <c r="A9" s="78" t="s">
        <v>2521</v>
      </c>
      <c r="B9" s="78" t="n">
        <v>12.676</v>
      </c>
      <c r="C9" s="78" t="n">
        <v>12.944</v>
      </c>
      <c r="D9" s="78" t="n">
        <v>13.178</v>
      </c>
      <c r="E9" s="78" t="n">
        <v>13.428</v>
      </c>
      <c r="F9" s="78" t="n">
        <v>13.733</v>
      </c>
      <c r="G9" s="78" t="n">
        <v>13.981</v>
      </c>
      <c r="H9" s="78" t="n">
        <v>14.178</v>
      </c>
      <c r="I9" s="78" t="n">
        <v>14.333</v>
      </c>
      <c r="J9" s="78" t="n">
        <v>14.654</v>
      </c>
      <c r="K9" s="78" t="n">
        <v>14.827</v>
      </c>
      <c r="L9" s="78" t="n">
        <v>15.052</v>
      </c>
      <c r="M9" s="78" t="n">
        <v>15.259</v>
      </c>
      <c r="N9" s="78" t="n">
        <v>15.559</v>
      </c>
      <c r="O9" s="78" t="n">
        <v>15.836</v>
      </c>
      <c r="P9" t="n">
        <v>16.049</v>
      </c>
      <c r="Q9" t="n">
        <v>16.353</v>
      </c>
      <c r="R9" t="n">
        <v>16.828</v>
      </c>
      <c r="S9" t="n">
        <v>17.413</v>
      </c>
      <c r="T9" t="n">
        <v>18.048</v>
      </c>
      <c r="U9" t="n">
        <v>18.579</v>
      </c>
      <c r="V9" t="n">
        <v>18.953</v>
      </c>
      <c r="W9" t="n">
        <v>19.329</v>
      </c>
      <c r="X9" t="n">
        <v>19.576</v>
      </c>
      <c r="Y9" t="n">
        <v>19.826</v>
      </c>
      <c r="Z9" t="n">
        <v>20.05</v>
      </c>
      <c r="AA9" t="n">
        <v>20.293</v>
      </c>
      <c r="AB9" t="n">
        <v>20.444</v>
      </c>
      <c r="AC9" t="n">
        <v>20.689</v>
      </c>
      <c r="AD9" t="n">
        <v>21.079</v>
      </c>
      <c r="AE9" t="n">
        <v>21.456</v>
      </c>
      <c r="AF9" t="n">
        <v>21.821</v>
      </c>
      <c r="AG9" t="n">
        <v>22.189</v>
      </c>
      <c r="AH9" t="n">
        <v>22.503</v>
      </c>
      <c r="AI9" t="n">
        <v>22.879</v>
      </c>
      <c r="AJ9" t="n">
        <v>23.227</v>
      </c>
      <c r="AK9" t="n">
        <v>23.56</v>
      </c>
      <c r="AL9" t="n">
        <v>24.121</v>
      </c>
      <c r="AM9" t="n">
        <v>24.673</v>
      </c>
      <c r="AN9" t="n">
        <v>25.509</v>
      </c>
      <c r="AO9" t="n">
        <v>26.007</v>
      </c>
      <c r="AP9" t="n">
        <v>26.684</v>
      </c>
      <c r="AQ9" t="n">
        <v>27.417</v>
      </c>
      <c r="AR9" t="n">
        <v>28.208</v>
      </c>
      <c r="AS9" t="n">
        <v>28.976</v>
      </c>
      <c r="AT9" t="n">
        <v>29.917</v>
      </c>
      <c r="AU9" t="n">
        <v>30.562</v>
      </c>
      <c r="AV9" t="n">
        <v>30.977</v>
      </c>
      <c r="AW9" t="n">
        <v>31.466</v>
      </c>
      <c r="AX9" t="n">
        <v>31.997</v>
      </c>
      <c r="AY9" t="n">
        <v>32.511</v>
      </c>
      <c r="AZ9" t="n">
        <v>33.021</v>
      </c>
      <c r="BA9" t="n">
        <v>33.441</v>
      </c>
      <c r="BB9" t="n">
        <v>33.681</v>
      </c>
      <c r="BC9" t="n">
        <v>34.051</v>
      </c>
      <c r="BD9" t="n">
        <v>34.381</v>
      </c>
      <c r="BE9" t="n">
        <v>34.642</v>
      </c>
      <c r="BF9" t="n">
        <v>35.145</v>
      </c>
      <c r="BG9" t="n">
        <v>35.479</v>
      </c>
      <c r="BH9" t="n">
        <v>35.81</v>
      </c>
      <c r="BI9" t="n">
        <v>36.166</v>
      </c>
      <c r="BJ9" t="n">
        <v>36.593</v>
      </c>
      <c r="BK9" t="n">
        <v>36.953</v>
      </c>
      <c r="BL9" t="n">
        <v>37.259</v>
      </c>
      <c r="BM9" t="n">
        <v>37.604</v>
      </c>
      <c r="BN9" t="n">
        <v>37.76</v>
      </c>
      <c r="BO9" t="n">
        <v>37.927</v>
      </c>
      <c r="BP9" t="n">
        <v>38.255</v>
      </c>
      <c r="BQ9" t="n">
        <v>38.741</v>
      </c>
      <c r="BR9" t="n">
        <v>39.295</v>
      </c>
      <c r="BS9" t="n">
        <v>39.776</v>
      </c>
      <c r="BT9" t="n">
        <v>40.252</v>
      </c>
      <c r="BU9" t="n">
        <v>40.491</v>
      </c>
      <c r="BV9" t="n">
        <v>40.699</v>
      </c>
      <c r="BW9" t="n">
        <v>41.096</v>
      </c>
      <c r="BX9" t="n">
        <v>41.443</v>
      </c>
      <c r="BY9" t="n">
        <v>41.918</v>
      </c>
      <c r="BZ9" t="n">
        <v>42.469</v>
      </c>
      <c r="CA9" t="n">
        <v>43.046</v>
      </c>
      <c r="CB9" t="n">
        <v>43.45</v>
      </c>
      <c r="CC9" t="n">
        <v>44.011</v>
      </c>
      <c r="CD9" t="n">
        <v>44.634</v>
      </c>
      <c r="CE9" t="n">
        <v>45.094</v>
      </c>
      <c r="CF9" t="n">
        <v>45.707</v>
      </c>
      <c r="CG9" t="n">
        <v>46.427</v>
      </c>
      <c r="CH9" t="n">
        <v>46.622</v>
      </c>
      <c r="CI9" t="n">
        <v>46.904</v>
      </c>
      <c r="CJ9" t="n">
        <v>47.29</v>
      </c>
      <c r="CK9" t="n">
        <v>47.703</v>
      </c>
      <c r="CL9" t="n">
        <v>48.043</v>
      </c>
      <c r="CM9" t="n">
        <v>48.617</v>
      </c>
      <c r="CN9" t="n">
        <v>48.975</v>
      </c>
      <c r="CO9" t="n">
        <v>49.31</v>
      </c>
      <c r="CP9" t="n">
        <v>49.597</v>
      </c>
      <c r="CQ9" t="n">
        <v>49.889</v>
      </c>
      <c r="CR9" t="n">
        <v>50.031</v>
      </c>
      <c r="CS9" t="n">
        <v>50.283</v>
      </c>
      <c r="CT9" t="n">
        <v>50.694</v>
      </c>
      <c r="CU9" t="n">
        <v>50.975</v>
      </c>
      <c r="CV9" t="n">
        <v>51.421</v>
      </c>
      <c r="CW9" t="n">
        <v>51.857</v>
      </c>
      <c r="CX9" t="n">
        <v>52.146</v>
      </c>
      <c r="CY9" t="n">
        <v>52.542</v>
      </c>
      <c r="CZ9" t="n">
        <v>52.758</v>
      </c>
      <c r="DA9" t="n">
        <v>52.96</v>
      </c>
      <c r="DB9" t="n">
        <v>53.489</v>
      </c>
      <c r="DC9" t="n">
        <v>53.561</v>
      </c>
      <c r="DD9" t="n">
        <v>53.899</v>
      </c>
      <c r="DE9" t="n">
        <v>54.286</v>
      </c>
      <c r="DF9" t="n">
        <v>54.646</v>
      </c>
      <c r="DG9" t="n">
        <v>54.823</v>
      </c>
      <c r="DH9" t="n">
        <v>55.061</v>
      </c>
      <c r="DI9" t="n">
        <v>55.493</v>
      </c>
      <c r="DJ9" t="n">
        <v>55.567</v>
      </c>
      <c r="DK9" t="n">
        <v>55.813</v>
      </c>
      <c r="DL9" t="n">
        <v>56.231</v>
      </c>
      <c r="DM9" t="n">
        <v>56.701</v>
      </c>
      <c r="DN9" t="n">
        <v>57.135</v>
      </c>
      <c r="DO9" t="n">
        <v>57.909</v>
      </c>
      <c r="DP9" t="n">
        <v>58.604</v>
      </c>
      <c r="DQ9" t="n">
        <v>59.277</v>
      </c>
      <c r="DR9" t="n">
        <v>60.034</v>
      </c>
      <c r="DS9" t="n">
        <v>60.672</v>
      </c>
      <c r="DT9" t="n">
        <v>61.324</v>
      </c>
      <c r="DU9" t="n">
        <v>62.09</v>
      </c>
      <c r="DV9" t="n">
        <v>62.832</v>
      </c>
      <c r="DW9" t="n">
        <v>63.077</v>
      </c>
      <c r="DX9" t="n">
        <v>63.241</v>
      </c>
      <c r="DY9" t="n">
        <v>63.363</v>
      </c>
      <c r="DZ9" t="n">
        <v>63.736</v>
      </c>
      <c r="EA9" t="n">
        <v>64.311</v>
      </c>
      <c r="EB9" t="n">
        <v>64.778</v>
      </c>
      <c r="EC9" t="n">
        <v>65.325</v>
      </c>
      <c r="ED9" t="n">
        <v>66.256</v>
      </c>
      <c r="EE9" t="n">
        <v>66.307</v>
      </c>
      <c r="EF9" t="n">
        <v>66.747</v>
      </c>
      <c r="EG9" t="n">
        <v>67.273</v>
      </c>
      <c r="EH9" t="n">
        <v>68.131</v>
      </c>
      <c r="EI9" t="n">
        <v>69.108</v>
      </c>
      <c r="EJ9" t="n">
        <v>70.224</v>
      </c>
      <c r="EK9" t="n">
        <v>71.439</v>
      </c>
      <c r="EL9" t="n">
        <v>72.086</v>
      </c>
      <c r="EM9" t="n">
        <v>73.01</v>
      </c>
      <c r="EN9" t="n">
        <v>74.18</v>
      </c>
      <c r="EO9" t="n">
        <v>75.391</v>
      </c>
      <c r="EP9" t="n">
        <v>75.93</v>
      </c>
      <c r="EQ9" t="n">
        <v>77.103</v>
      </c>
      <c r="ER9" t="n">
        <v>77.886</v>
      </c>
      <c r="ES9" t="n">
        <v>78.708</v>
      </c>
      <c r="ET9" t="n">
        <v>80.214</v>
      </c>
      <c r="EU9" t="n">
        <v>81.083</v>
      </c>
      <c r="EV9" t="n">
        <v>81.971</v>
      </c>
      <c r="EW9" t="n">
        <v>83.146</v>
      </c>
      <c r="EX9" t="n">
        <v>84.486</v>
      </c>
      <c r="EY9" t="n">
        <v>85.669</v>
      </c>
      <c r="EZ9" t="n">
        <v>86.827</v>
      </c>
      <c r="FA9" t="n">
        <v>85.784</v>
      </c>
      <c r="FB9" t="n">
        <v>84.68</v>
      </c>
      <c r="FC9" t="n">
        <v>84.875</v>
      </c>
      <c r="FD9" t="n">
        <v>85.317</v>
      </c>
      <c r="FE9" t="n">
        <v>85.932</v>
      </c>
      <c r="FF9" t="n">
        <v>86.789</v>
      </c>
      <c r="FG9" t="n">
        <v>87.373</v>
      </c>
      <c r="FH9" t="n">
        <v>87.834</v>
      </c>
      <c r="FI9" t="n">
        <v>88.573</v>
      </c>
      <c r="FJ9" t="n">
        <v>89.474</v>
      </c>
      <c r="FK9" t="n">
        <v>90.562</v>
      </c>
      <c r="FL9" t="n">
        <v>91.025</v>
      </c>
      <c r="FM9" t="n">
        <v>90.913</v>
      </c>
      <c r="FN9" t="n">
        <v>92.015</v>
      </c>
      <c r="FO9" t="n">
        <v>92.024</v>
      </c>
      <c r="FP9" t="n">
        <v>92.572</v>
      </c>
      <c r="FQ9" t="n">
        <v>93.706</v>
      </c>
      <c r="FR9" t="n">
        <v>94.775</v>
      </c>
      <c r="FS9" t="n">
        <v>95.259</v>
      </c>
      <c r="FT9" t="n">
        <v>96.013</v>
      </c>
      <c r="FU9" t="n">
        <v>96.568</v>
      </c>
      <c r="FV9" t="n">
        <v>97.34</v>
      </c>
      <c r="FW9" t="n">
        <v>97.642</v>
      </c>
      <c r="FX9" t="n">
        <v>98.161</v>
      </c>
      <c r="FY9" t="n">
        <v>98.075</v>
      </c>
      <c r="FZ9" t="n">
        <v>97.174</v>
      </c>
      <c r="GA9" t="n">
        <v>97.783</v>
      </c>
      <c r="GB9" t="n">
        <v>97.845</v>
      </c>
      <c r="GC9" t="n">
        <v>97.467</v>
      </c>
      <c r="GD9" t="n">
        <v>96.685</v>
      </c>
      <c r="GE9" t="n">
        <v>97.416</v>
      </c>
      <c r="GF9" t="n">
        <v>97.722</v>
      </c>
      <c r="GG9" t="n">
        <v>98.198</v>
      </c>
      <c r="GH9" t="n">
        <v>99.104</v>
      </c>
      <c r="GI9" t="n">
        <v>99.283</v>
      </c>
      <c r="GJ9" t="n">
        <v>100.164</v>
      </c>
      <c r="GK9" t="n">
        <v>101.448</v>
      </c>
      <c r="GL9" t="n">
        <v>102.759</v>
      </c>
      <c r="GM9" t="n">
        <v>103.807</v>
      </c>
      <c r="GN9" t="n">
        <v>104.739</v>
      </c>
      <c r="GO9" t="n">
        <v>105.197</v>
      </c>
      <c r="GP9" t="n">
        <v>104.686</v>
      </c>
      <c r="GQ9" t="n">
        <v>105.473</v>
      </c>
      <c r="GR9" t="n">
        <v>105.887</v>
      </c>
      <c r="GS9" t="n">
        <v>106.506</v>
      </c>
      <c r="GT9" t="n">
        <v>107.881</v>
      </c>
      <c r="GU9" t="n">
        <v>107.74</v>
      </c>
      <c r="GV9" t="n">
        <v>109.033</v>
      </c>
      <c r="GW9" t="n">
        <v>110.37</v>
      </c>
      <c r="GX9" t="n">
        <v>112.819</v>
      </c>
      <c r="GY9" t="n">
        <v>115.044</v>
      </c>
      <c r="GZ9" t="n">
        <v>116.893</v>
      </c>
      <c r="HA9" t="n">
        <v>119.203</v>
      </c>
      <c r="HB9" t="n">
        <v>121.961</v>
      </c>
      <c r="HC9" t="n">
        <v>126.102</v>
      </c>
      <c r="HD9" t="n">
        <v>126.283</v>
      </c>
      <c r="HE9" t="n">
        <v>126.64</v>
      </c>
      <c r="HF9" t="n">
        <v>125.974</v>
      </c>
      <c r="HG9" t="n">
        <v>124.8</v>
      </c>
      <c r="HH9" t="n">
        <v>126.041</v>
      </c>
      <c r="HI9" t="n">
        <v>126.006</v>
      </c>
      <c r="HJ9" t="n">
        <v>127.205</v>
      </c>
      <c r="HK9" t="n">
        <v>127.72</v>
      </c>
      <c r="HL9" t="n">
        <v>128.476</v>
      </c>
      <c r="HM9" t="n">
        <v>129.044</v>
      </c>
      <c r="HN9" t="n">
        <v>130.293</v>
      </c>
      <c r="HO9" t="n">
        <v>130.63</v>
      </c>
    </row>
    <row r="10">
      <c r="A10" s="78" t="s">
        <v>2522</v>
      </c>
      <c r="B10" s="78" t="n">
        <v>12.117</v>
      </c>
      <c r="C10" s="78" t="n">
        <v>12.358</v>
      </c>
      <c r="D10" s="78" t="n">
        <v>12.576</v>
      </c>
      <c r="E10" s="78" t="n">
        <v>12.788</v>
      </c>
      <c r="F10" s="78" t="n">
        <v>13.102</v>
      </c>
      <c r="G10" s="78" t="n">
        <v>13.348</v>
      </c>
      <c r="H10" s="78" t="n">
        <v>13.549</v>
      </c>
      <c r="I10" s="78" t="n">
        <v>13.672</v>
      </c>
      <c r="J10" s="78" t="n">
        <v>14.017</v>
      </c>
      <c r="K10" s="78" t="n">
        <v>14.201</v>
      </c>
      <c r="L10" s="78" t="n">
        <v>14.422</v>
      </c>
      <c r="M10" s="78" t="n">
        <v>14.601</v>
      </c>
      <c r="N10" s="78" t="n">
        <v>14.889</v>
      </c>
      <c r="O10" s="78" t="n">
        <v>15.141</v>
      </c>
      <c r="P10" t="n">
        <v>15.316</v>
      </c>
      <c r="Q10" t="n">
        <v>15.573</v>
      </c>
      <c r="R10" t="n">
        <v>15.951</v>
      </c>
      <c r="S10" t="n">
        <v>16.38</v>
      </c>
      <c r="T10" t="n">
        <v>16.851</v>
      </c>
      <c r="U10" t="n">
        <v>17.292</v>
      </c>
      <c r="V10" t="n">
        <v>17.637</v>
      </c>
      <c r="W10" t="n">
        <v>18.062</v>
      </c>
      <c r="X10" t="n">
        <v>18.34</v>
      </c>
      <c r="Y10" t="n">
        <v>18.607</v>
      </c>
      <c r="Z10" t="n">
        <v>18.849</v>
      </c>
      <c r="AA10" t="n">
        <v>19.095</v>
      </c>
      <c r="AB10" t="n">
        <v>19.262</v>
      </c>
      <c r="AC10" t="n">
        <v>19.517</v>
      </c>
      <c r="AD10" t="n">
        <v>19.913</v>
      </c>
      <c r="AE10" t="n">
        <v>20.309</v>
      </c>
      <c r="AF10" t="n">
        <v>20.672</v>
      </c>
      <c r="AG10" t="n">
        <v>21.051</v>
      </c>
      <c r="AH10" t="n">
        <v>21.357</v>
      </c>
      <c r="AI10" t="n">
        <v>21.7</v>
      </c>
      <c r="AJ10" t="n">
        <v>22.01</v>
      </c>
      <c r="AK10" t="n">
        <v>22.305</v>
      </c>
      <c r="AL10" t="n">
        <v>22.853</v>
      </c>
      <c r="AM10" t="n">
        <v>23.352</v>
      </c>
      <c r="AN10" t="n">
        <v>24.173</v>
      </c>
      <c r="AO10" t="n">
        <v>24.588</v>
      </c>
      <c r="AP10" t="n">
        <v>25.22</v>
      </c>
      <c r="AQ10" t="n">
        <v>25.905</v>
      </c>
      <c r="AR10" t="n">
        <v>26.625</v>
      </c>
      <c r="AS10" t="n">
        <v>27.333</v>
      </c>
      <c r="AT10" t="n">
        <v>28.25</v>
      </c>
      <c r="AU10" t="n">
        <v>28.84</v>
      </c>
      <c r="AV10" t="n">
        <v>29.185</v>
      </c>
      <c r="AW10" t="n">
        <v>29.633</v>
      </c>
      <c r="AX10" t="n">
        <v>30.152</v>
      </c>
      <c r="AY10" t="n">
        <v>30.633</v>
      </c>
      <c r="AZ10" t="n">
        <v>31.142</v>
      </c>
      <c r="BA10" t="n">
        <v>31.609</v>
      </c>
      <c r="BB10" t="n">
        <v>31.881</v>
      </c>
      <c r="BC10" t="n">
        <v>32.316</v>
      </c>
      <c r="BD10" t="n">
        <v>32.694</v>
      </c>
      <c r="BE10" t="n">
        <v>33.001</v>
      </c>
      <c r="BF10" t="n">
        <v>33.579</v>
      </c>
      <c r="BG10" t="n">
        <v>33.945</v>
      </c>
      <c r="BH10" t="n">
        <v>34.31</v>
      </c>
      <c r="BI10" t="n">
        <v>34.715</v>
      </c>
      <c r="BJ10" t="n">
        <v>35.174</v>
      </c>
      <c r="BK10" t="n">
        <v>35.576</v>
      </c>
      <c r="BL10" t="n">
        <v>35.906</v>
      </c>
      <c r="BM10" t="n">
        <v>36.268</v>
      </c>
      <c r="BN10" t="n">
        <v>36.4</v>
      </c>
      <c r="BO10" t="n">
        <v>36.51</v>
      </c>
      <c r="BP10" t="n">
        <v>36.822</v>
      </c>
      <c r="BQ10" t="n">
        <v>37.307</v>
      </c>
      <c r="BR10" t="n">
        <v>37.912</v>
      </c>
      <c r="BS10" t="n">
        <v>38.41</v>
      </c>
      <c r="BT10" t="n">
        <v>38.898</v>
      </c>
      <c r="BU10" t="n">
        <v>39.136</v>
      </c>
      <c r="BV10" t="n">
        <v>39.309</v>
      </c>
      <c r="BW10" t="n">
        <v>39.733</v>
      </c>
      <c r="BX10" t="n">
        <v>40.087</v>
      </c>
      <c r="BY10" t="n">
        <v>40.606</v>
      </c>
      <c r="BZ10" t="n">
        <v>41.222</v>
      </c>
      <c r="CA10" t="n">
        <v>41.836</v>
      </c>
      <c r="CB10" t="n">
        <v>42.248</v>
      </c>
      <c r="CC10" t="n">
        <v>42.869</v>
      </c>
      <c r="CD10" t="n">
        <v>43.548</v>
      </c>
      <c r="CE10" t="n">
        <v>44.013</v>
      </c>
      <c r="CF10" t="n">
        <v>44.652</v>
      </c>
      <c r="CG10" t="n">
        <v>45.498</v>
      </c>
      <c r="CH10" t="n">
        <v>45.714</v>
      </c>
      <c r="CI10" t="n">
        <v>46.001</v>
      </c>
      <c r="CJ10" t="n">
        <v>46.44</v>
      </c>
      <c r="CK10" t="n">
        <v>46.969</v>
      </c>
      <c r="CL10" t="n">
        <v>47.411</v>
      </c>
      <c r="CM10" t="n">
        <v>48.056</v>
      </c>
      <c r="CN10" t="n">
        <v>48.467</v>
      </c>
      <c r="CO10" t="n">
        <v>48.822</v>
      </c>
      <c r="CP10" t="n">
        <v>49.089</v>
      </c>
      <c r="CQ10" t="n">
        <v>49.379</v>
      </c>
      <c r="CR10" t="n">
        <v>49.54</v>
      </c>
      <c r="CS10" t="n">
        <v>49.793</v>
      </c>
      <c r="CT10" t="n">
        <v>50.21</v>
      </c>
      <c r="CU10" t="n">
        <v>50.502</v>
      </c>
      <c r="CV10" t="n">
        <v>50.943</v>
      </c>
      <c r="CW10" t="n">
        <v>51.378</v>
      </c>
      <c r="CX10" t="n">
        <v>51.614</v>
      </c>
      <c r="CY10" t="n">
        <v>52.011</v>
      </c>
      <c r="CZ10" t="n">
        <v>52.208</v>
      </c>
      <c r="DA10" t="n">
        <v>52.385</v>
      </c>
      <c r="DB10" t="n">
        <v>52.962</v>
      </c>
      <c r="DC10" t="n">
        <v>53.037</v>
      </c>
      <c r="DD10" t="n">
        <v>53.388</v>
      </c>
      <c r="DE10" t="n">
        <v>53.821</v>
      </c>
      <c r="DF10" t="n">
        <v>54.19</v>
      </c>
      <c r="DG10" t="n">
        <v>54.32</v>
      </c>
      <c r="DH10" t="n">
        <v>54.579</v>
      </c>
      <c r="DI10" t="n">
        <v>55.025</v>
      </c>
      <c r="DJ10" t="n">
        <v>55.112</v>
      </c>
      <c r="DK10" t="n">
        <v>55.405</v>
      </c>
      <c r="DL10" t="n">
        <v>55.837</v>
      </c>
      <c r="DM10" t="n">
        <v>56.34</v>
      </c>
      <c r="DN10" t="n">
        <v>56.821</v>
      </c>
      <c r="DO10" t="n">
        <v>57.673</v>
      </c>
      <c r="DP10" t="n">
        <v>58.472</v>
      </c>
      <c r="DQ10" t="n">
        <v>59.185</v>
      </c>
      <c r="DR10" t="n">
        <v>60.011</v>
      </c>
      <c r="DS10" t="n">
        <v>60.638</v>
      </c>
      <c r="DT10" t="n">
        <v>61.35</v>
      </c>
      <c r="DU10" t="n">
        <v>62.214</v>
      </c>
      <c r="DV10" t="n">
        <v>63.045</v>
      </c>
      <c r="DW10" t="n">
        <v>63.311</v>
      </c>
      <c r="DX10" t="n">
        <v>63.468</v>
      </c>
      <c r="DY10" t="n">
        <v>63.538</v>
      </c>
      <c r="DZ10" t="n">
        <v>63.935</v>
      </c>
      <c r="EA10" t="n">
        <v>64.567</v>
      </c>
      <c r="EB10" t="n">
        <v>65.1</v>
      </c>
      <c r="EC10" t="n">
        <v>65.755</v>
      </c>
      <c r="ED10" t="n">
        <v>66.789</v>
      </c>
      <c r="EE10" t="n">
        <v>66.836</v>
      </c>
      <c r="EF10" t="n">
        <v>67.365</v>
      </c>
      <c r="EG10" t="n">
        <v>67.98</v>
      </c>
      <c r="EH10" t="n">
        <v>68.947</v>
      </c>
      <c r="EI10" t="n">
        <v>69.87</v>
      </c>
      <c r="EJ10" t="n">
        <v>70.819</v>
      </c>
      <c r="EK10" t="n">
        <v>71.933</v>
      </c>
      <c r="EL10" t="n">
        <v>72.595</v>
      </c>
      <c r="EM10" t="n">
        <v>73.424</v>
      </c>
      <c r="EN10" t="n">
        <v>74.492</v>
      </c>
      <c r="EO10" t="n">
        <v>75.751</v>
      </c>
      <c r="EP10" t="n">
        <v>76.31</v>
      </c>
      <c r="EQ10" t="n">
        <v>77.367</v>
      </c>
      <c r="ER10" t="n">
        <v>78.083</v>
      </c>
      <c r="ES10" t="n">
        <v>78.666</v>
      </c>
      <c r="ET10" t="n">
        <v>80.055</v>
      </c>
      <c r="EU10" t="n">
        <v>80.929</v>
      </c>
      <c r="EV10" t="n">
        <v>81.84</v>
      </c>
      <c r="EW10" t="n">
        <v>83.064</v>
      </c>
      <c r="EX10" t="n">
        <v>84.537</v>
      </c>
      <c r="EY10" t="n">
        <v>85.851</v>
      </c>
      <c r="EZ10" t="n">
        <v>87.024</v>
      </c>
      <c r="FA10" t="n">
        <v>85.35</v>
      </c>
      <c r="FB10" t="n">
        <v>83.859</v>
      </c>
      <c r="FC10" t="n">
        <v>84.284</v>
      </c>
      <c r="FD10" t="n">
        <v>85.016</v>
      </c>
      <c r="FE10" t="n">
        <v>85.792</v>
      </c>
      <c r="FF10" t="n">
        <v>86.788</v>
      </c>
      <c r="FG10" t="n">
        <v>87.419</v>
      </c>
      <c r="FH10" t="n">
        <v>87.922</v>
      </c>
      <c r="FI10" t="n">
        <v>88.741</v>
      </c>
      <c r="FJ10" t="n">
        <v>89.727</v>
      </c>
      <c r="FK10" t="n">
        <v>90.859</v>
      </c>
      <c r="FL10" t="n">
        <v>91.198</v>
      </c>
      <c r="FM10" t="n">
        <v>90.867</v>
      </c>
      <c r="FN10" t="n">
        <v>92.067</v>
      </c>
      <c r="FO10" t="n">
        <v>91.919</v>
      </c>
      <c r="FP10" t="n">
        <v>92.477</v>
      </c>
      <c r="FQ10" t="n">
        <v>93.82</v>
      </c>
      <c r="FR10" t="n">
        <v>95.039</v>
      </c>
      <c r="FS10" t="n">
        <v>95.528</v>
      </c>
      <c r="FT10" t="n">
        <v>96.336</v>
      </c>
      <c r="FU10" t="n">
        <v>96.86</v>
      </c>
      <c r="FV10" t="n">
        <v>97.683</v>
      </c>
      <c r="FW10" t="n">
        <v>97.96</v>
      </c>
      <c r="FX10" t="n">
        <v>98.494</v>
      </c>
      <c r="FY10" t="n">
        <v>98.355</v>
      </c>
      <c r="FZ10" t="n">
        <v>97.267</v>
      </c>
      <c r="GA10" t="n">
        <v>97.921</v>
      </c>
      <c r="GB10" t="n">
        <v>97.937</v>
      </c>
      <c r="GC10" t="n">
        <v>97.49</v>
      </c>
      <c r="GD10" t="n">
        <v>96.589</v>
      </c>
      <c r="GE10" t="n">
        <v>97.31</v>
      </c>
      <c r="GF10" t="n">
        <v>97.669</v>
      </c>
      <c r="GG10" t="n">
        <v>98.147</v>
      </c>
      <c r="GH10" t="n">
        <v>99.115</v>
      </c>
      <c r="GI10" t="n">
        <v>99.218</v>
      </c>
      <c r="GJ10" t="n">
        <v>100.108</v>
      </c>
      <c r="GK10" t="n">
        <v>101.559</v>
      </c>
      <c r="GL10" t="n">
        <v>102.955</v>
      </c>
      <c r="GM10" t="n">
        <v>103.943</v>
      </c>
      <c r="GN10" t="n">
        <v>104.932</v>
      </c>
      <c r="GO10" t="n">
        <v>105.254</v>
      </c>
      <c r="GP10" t="n">
        <v>104.536</v>
      </c>
      <c r="GQ10" t="n">
        <v>105.249</v>
      </c>
      <c r="GR10" t="n">
        <v>105.653</v>
      </c>
      <c r="GS10" t="n">
        <v>106.367</v>
      </c>
      <c r="GT10" t="n">
        <v>107.993</v>
      </c>
      <c r="GU10" t="n">
        <v>107.909</v>
      </c>
      <c r="GV10" t="n">
        <v>109.255</v>
      </c>
      <c r="GW10" t="n">
        <v>110.767</v>
      </c>
      <c r="GX10" t="n">
        <v>113.403</v>
      </c>
      <c r="GY10" t="n">
        <v>115.552</v>
      </c>
      <c r="GZ10" t="n">
        <v>117.274</v>
      </c>
      <c r="HA10" t="n">
        <v>119.352</v>
      </c>
      <c r="HB10" t="n">
        <v>121.953</v>
      </c>
      <c r="HC10" t="n">
        <v>126.116</v>
      </c>
      <c r="HD10" t="n">
        <v>125.744</v>
      </c>
      <c r="HE10" t="n">
        <v>125.813</v>
      </c>
      <c r="HF10" t="n">
        <v>124.678</v>
      </c>
      <c r="HG10" t="n">
        <v>123.242</v>
      </c>
      <c r="HH10" t="n">
        <v>124.699</v>
      </c>
      <c r="HI10" t="n">
        <v>124.566</v>
      </c>
      <c r="HJ10" t="n">
        <v>125.859</v>
      </c>
      <c r="HK10" t="n">
        <v>126.467</v>
      </c>
      <c r="HL10" t="n">
        <v>127.153</v>
      </c>
      <c r="HM10" t="n">
        <v>127.755</v>
      </c>
      <c r="HN10" t="n">
        <v>129.064</v>
      </c>
      <c r="HO10" t="n">
        <v>129.362</v>
      </c>
    </row>
    <row r="11">
      <c r="A11" s="78" t="s">
        <v>2523</v>
      </c>
      <c r="B11" s="78" t="n">
        <v>15.584</v>
      </c>
      <c r="C11" s="78" t="n">
        <v>15.976</v>
      </c>
      <c r="D11" s="78" t="n">
        <v>16.285</v>
      </c>
      <c r="E11" s="78" t="n">
        <v>16.699</v>
      </c>
      <c r="F11" s="78" t="n">
        <v>16.98</v>
      </c>
      <c r="G11" s="78" t="n">
        <v>17.251</v>
      </c>
      <c r="H11" s="78" t="n">
        <v>17.439</v>
      </c>
      <c r="I11" s="78" t="n">
        <v>17.741</v>
      </c>
      <c r="J11" s="78" t="n">
        <v>17.968</v>
      </c>
      <c r="K11" s="78" t="n">
        <v>18.094</v>
      </c>
      <c r="L11" s="78" t="n">
        <v>18.345</v>
      </c>
      <c r="M11" s="78" t="n">
        <v>18.688</v>
      </c>
      <c r="N11" s="78" t="n">
        <v>19.048</v>
      </c>
      <c r="O11" s="78" t="n">
        <v>19.449</v>
      </c>
      <c r="P11" t="n">
        <v>19.845</v>
      </c>
      <c r="Q11" t="n">
        <v>20.378</v>
      </c>
      <c r="R11" t="n">
        <v>21.323</v>
      </c>
      <c r="S11" t="n">
        <v>22.663</v>
      </c>
      <c r="T11" t="n">
        <v>24.111</v>
      </c>
      <c r="U11" t="n">
        <v>25.113</v>
      </c>
      <c r="V11" t="n">
        <v>25.648</v>
      </c>
      <c r="W11" t="n">
        <v>25.774</v>
      </c>
      <c r="X11" t="n">
        <v>25.856</v>
      </c>
      <c r="Y11" t="n">
        <v>26.013</v>
      </c>
      <c r="Z11" t="n">
        <v>26.141</v>
      </c>
      <c r="AA11" t="n">
        <v>26.365</v>
      </c>
      <c r="AB11" t="n">
        <v>26.423</v>
      </c>
      <c r="AC11" t="n">
        <v>26.602</v>
      </c>
      <c r="AD11" t="n">
        <v>26.946</v>
      </c>
      <c r="AE11" t="n">
        <v>27.212</v>
      </c>
      <c r="AF11" t="n">
        <v>27.578</v>
      </c>
      <c r="AG11" t="n">
        <v>27.873</v>
      </c>
      <c r="AH11" t="n">
        <v>28.219</v>
      </c>
      <c r="AI11" t="n">
        <v>28.773</v>
      </c>
      <c r="AJ11" t="n">
        <v>29.324</v>
      </c>
      <c r="AK11" t="n">
        <v>29.848</v>
      </c>
      <c r="AL11" t="n">
        <v>30.463</v>
      </c>
      <c r="AM11" t="n">
        <v>31.29</v>
      </c>
      <c r="AN11" t="n">
        <v>32.204</v>
      </c>
      <c r="AO11" t="n">
        <v>33.118</v>
      </c>
      <c r="AP11" t="n">
        <v>34.022</v>
      </c>
      <c r="AQ11" t="n">
        <v>34.999</v>
      </c>
      <c r="AR11" t="n">
        <v>36.149</v>
      </c>
      <c r="AS11" t="n">
        <v>37.219</v>
      </c>
      <c r="AT11" t="n">
        <v>38.273</v>
      </c>
      <c r="AU11" t="n">
        <v>39.188</v>
      </c>
      <c r="AV11" t="n">
        <v>39.991</v>
      </c>
      <c r="AW11" t="n">
        <v>40.703</v>
      </c>
      <c r="AX11" t="n">
        <v>41.274</v>
      </c>
      <c r="AY11" t="n">
        <v>41.965</v>
      </c>
      <c r="AZ11" t="n">
        <v>42.46</v>
      </c>
      <c r="BA11" t="n">
        <v>42.568</v>
      </c>
      <c r="BB11" t="n">
        <v>42.607</v>
      </c>
      <c r="BC11" t="n">
        <v>42.55</v>
      </c>
      <c r="BD11" t="n">
        <v>42.574</v>
      </c>
      <c r="BE11" t="n">
        <v>42.562</v>
      </c>
      <c r="BF11" t="n">
        <v>42.608</v>
      </c>
      <c r="BG11" t="n">
        <v>42.759</v>
      </c>
      <c r="BH11" t="n">
        <v>42.897</v>
      </c>
      <c r="BI11" t="n">
        <v>42.984</v>
      </c>
      <c r="BJ11" t="n">
        <v>43.223</v>
      </c>
      <c r="BK11" t="n">
        <v>43.357</v>
      </c>
      <c r="BL11" t="n">
        <v>43.534</v>
      </c>
      <c r="BM11" t="n">
        <v>43.794</v>
      </c>
      <c r="BN11" t="n">
        <v>44.066</v>
      </c>
      <c r="BO11" t="n">
        <v>44.52</v>
      </c>
      <c r="BP11" t="n">
        <v>44.925</v>
      </c>
      <c r="BQ11" t="n">
        <v>45.411</v>
      </c>
      <c r="BR11" t="n">
        <v>45.702</v>
      </c>
      <c r="BS11" t="n">
        <v>46.087</v>
      </c>
      <c r="BT11" t="n">
        <v>46.497</v>
      </c>
      <c r="BU11" t="n">
        <v>46.743</v>
      </c>
      <c r="BV11" t="n">
        <v>47.119</v>
      </c>
      <c r="BW11" t="n">
        <v>47.379</v>
      </c>
      <c r="BX11" t="n">
        <v>47.685</v>
      </c>
      <c r="BY11" t="n">
        <v>47.936</v>
      </c>
      <c r="BZ11" t="n">
        <v>48.168</v>
      </c>
      <c r="CA11" t="n">
        <v>48.559</v>
      </c>
      <c r="CB11" t="n">
        <v>48.919</v>
      </c>
      <c r="CC11" t="n">
        <v>49.19</v>
      </c>
      <c r="CD11" t="n">
        <v>49.544</v>
      </c>
      <c r="CE11" t="n">
        <v>49.981</v>
      </c>
      <c r="CF11" t="n">
        <v>50.466</v>
      </c>
      <c r="CG11" t="n">
        <v>50.601</v>
      </c>
      <c r="CH11" t="n">
        <v>50.7</v>
      </c>
      <c r="CI11" t="n">
        <v>50.961</v>
      </c>
      <c r="CJ11" t="n">
        <v>51.097</v>
      </c>
      <c r="CK11" t="n">
        <v>50.969</v>
      </c>
      <c r="CL11" t="n">
        <v>50.836</v>
      </c>
      <c r="CM11" t="n">
        <v>51.076</v>
      </c>
      <c r="CN11" t="n">
        <v>51.181</v>
      </c>
      <c r="CO11" t="n">
        <v>51.414</v>
      </c>
      <c r="CP11" t="n">
        <v>51.796</v>
      </c>
      <c r="CQ11" t="n">
        <v>52.098</v>
      </c>
      <c r="CR11" t="n">
        <v>52.151</v>
      </c>
      <c r="CS11" t="n">
        <v>52.395</v>
      </c>
      <c r="CT11" t="n">
        <v>52.777</v>
      </c>
      <c r="CU11" t="n">
        <v>53.006</v>
      </c>
      <c r="CV11" t="n">
        <v>53.47</v>
      </c>
      <c r="CW11" t="n">
        <v>53.915</v>
      </c>
      <c r="CX11" t="n">
        <v>54.453</v>
      </c>
      <c r="CY11" t="n">
        <v>54.843</v>
      </c>
      <c r="CZ11" t="n">
        <v>55.145</v>
      </c>
      <c r="DA11" t="n">
        <v>55.463</v>
      </c>
      <c r="DB11" t="n">
        <v>55.761</v>
      </c>
      <c r="DC11" t="n">
        <v>55.822</v>
      </c>
      <c r="DD11" t="n">
        <v>56.1</v>
      </c>
      <c r="DE11" t="n">
        <v>56.281</v>
      </c>
      <c r="DF11" t="n">
        <v>56.599</v>
      </c>
      <c r="DG11" t="n">
        <v>56.985</v>
      </c>
      <c r="DH11" t="n">
        <v>57.13</v>
      </c>
      <c r="DI11" t="n">
        <v>57.497</v>
      </c>
      <c r="DJ11" t="n">
        <v>57.517</v>
      </c>
      <c r="DK11" t="n">
        <v>57.552</v>
      </c>
      <c r="DL11" t="n">
        <v>57.908</v>
      </c>
      <c r="DM11" t="n">
        <v>58.234</v>
      </c>
      <c r="DN11" t="n">
        <v>58.468</v>
      </c>
      <c r="DO11" t="n">
        <v>58.901</v>
      </c>
      <c r="DP11" t="n">
        <v>59.15</v>
      </c>
      <c r="DQ11" t="n">
        <v>59.654</v>
      </c>
      <c r="DR11" t="n">
        <v>60.126</v>
      </c>
      <c r="DS11" t="n">
        <v>60.811</v>
      </c>
      <c r="DT11" t="n">
        <v>61.209</v>
      </c>
      <c r="DU11" t="n">
        <v>61.569</v>
      </c>
      <c r="DV11" t="n">
        <v>61.949</v>
      </c>
      <c r="DW11" t="n">
        <v>62.108</v>
      </c>
      <c r="DX11" t="n">
        <v>62.303</v>
      </c>
      <c r="DY11" t="n">
        <v>62.638</v>
      </c>
      <c r="DZ11" t="n">
        <v>62.913</v>
      </c>
      <c r="EA11" t="n">
        <v>63.255</v>
      </c>
      <c r="EB11" t="n">
        <v>63.449</v>
      </c>
      <c r="EC11" t="n">
        <v>63.559</v>
      </c>
      <c r="ED11" t="n">
        <v>64.086</v>
      </c>
      <c r="EE11" t="n">
        <v>64.153</v>
      </c>
      <c r="EF11" t="n">
        <v>64.234</v>
      </c>
      <c r="EG11" t="n">
        <v>64.412</v>
      </c>
      <c r="EH11" t="n">
        <v>64.831</v>
      </c>
      <c r="EI11" t="n">
        <v>66.022</v>
      </c>
      <c r="EJ11" t="n">
        <v>67.8</v>
      </c>
      <c r="EK11" t="n">
        <v>69.428</v>
      </c>
      <c r="EL11" t="n">
        <v>70.015</v>
      </c>
      <c r="EM11" t="n">
        <v>71.332</v>
      </c>
      <c r="EN11" t="n">
        <v>72.921</v>
      </c>
      <c r="EO11" t="n">
        <v>73.938</v>
      </c>
      <c r="EP11" t="n">
        <v>74.397</v>
      </c>
      <c r="EQ11" t="n">
        <v>76.037</v>
      </c>
      <c r="ER11" t="n">
        <v>77.095</v>
      </c>
      <c r="ES11" t="n">
        <v>78.903</v>
      </c>
      <c r="ET11" t="n">
        <v>80.894</v>
      </c>
      <c r="EU11" t="n">
        <v>81.74</v>
      </c>
      <c r="EV11" t="n">
        <v>82.527</v>
      </c>
      <c r="EW11" t="n">
        <v>83.498</v>
      </c>
      <c r="EX11" t="n">
        <v>84.29</v>
      </c>
      <c r="EY11" t="n">
        <v>84.938</v>
      </c>
      <c r="EZ11" t="n">
        <v>86.036</v>
      </c>
      <c r="FA11" t="n">
        <v>87.612</v>
      </c>
      <c r="FB11" t="n">
        <v>88.159</v>
      </c>
      <c r="FC11" t="n">
        <v>87.385</v>
      </c>
      <c r="FD11" t="n">
        <v>86.597</v>
      </c>
      <c r="FE11" t="n">
        <v>86.53</v>
      </c>
      <c r="FF11" t="n">
        <v>86.775</v>
      </c>
      <c r="FG11" t="n">
        <v>87.153</v>
      </c>
      <c r="FH11" t="n">
        <v>87.427</v>
      </c>
      <c r="FI11" t="n">
        <v>87.82</v>
      </c>
      <c r="FJ11" t="n">
        <v>88.35</v>
      </c>
      <c r="FK11" t="n">
        <v>89.243</v>
      </c>
      <c r="FL11" t="n">
        <v>90.252</v>
      </c>
      <c r="FM11" t="n">
        <v>91.1</v>
      </c>
      <c r="FN11" t="n">
        <v>91.778</v>
      </c>
      <c r="FO11" t="n">
        <v>92.497</v>
      </c>
      <c r="FP11" t="n">
        <v>93.002</v>
      </c>
      <c r="FQ11" t="n">
        <v>93.183</v>
      </c>
      <c r="FR11" t="n">
        <v>93.552</v>
      </c>
      <c r="FS11" t="n">
        <v>94.016</v>
      </c>
      <c r="FT11" t="n">
        <v>94.519</v>
      </c>
      <c r="FU11" t="n">
        <v>95.222</v>
      </c>
      <c r="FV11" t="n">
        <v>95.751</v>
      </c>
      <c r="FW11" t="n">
        <v>96.175</v>
      </c>
      <c r="FX11" t="n">
        <v>96.62</v>
      </c>
      <c r="FY11" t="n">
        <v>96.779</v>
      </c>
      <c r="FZ11" t="n">
        <v>96.742</v>
      </c>
      <c r="GA11" t="n">
        <v>97.148</v>
      </c>
      <c r="GB11" t="n">
        <v>97.418</v>
      </c>
      <c r="GC11" t="n">
        <v>97.353</v>
      </c>
      <c r="GD11" t="n">
        <v>97.113</v>
      </c>
      <c r="GE11" t="n">
        <v>97.894</v>
      </c>
      <c r="GF11" t="n">
        <v>97.953</v>
      </c>
      <c r="GG11" t="n">
        <v>98.42</v>
      </c>
      <c r="GH11" t="n">
        <v>99.05</v>
      </c>
      <c r="GI11" t="n">
        <v>99.57</v>
      </c>
      <c r="GJ11" t="n">
        <v>100.412</v>
      </c>
      <c r="GK11" t="n">
        <v>100.968</v>
      </c>
      <c r="GL11" t="n">
        <v>101.911</v>
      </c>
      <c r="GM11" t="n">
        <v>103.214</v>
      </c>
      <c r="GN11" t="n">
        <v>103.897</v>
      </c>
      <c r="GO11" t="n">
        <v>104.945</v>
      </c>
      <c r="GP11" t="n">
        <v>105.341</v>
      </c>
      <c r="GQ11" t="n">
        <v>106.448</v>
      </c>
      <c r="GR11" t="n">
        <v>106.912</v>
      </c>
      <c r="GS11" t="n">
        <v>107.115</v>
      </c>
      <c r="GT11" t="n">
        <v>107.385</v>
      </c>
      <c r="GU11" t="n">
        <v>106.998</v>
      </c>
      <c r="GV11" t="n">
        <v>108.047</v>
      </c>
      <c r="GW11" t="n">
        <v>108.592</v>
      </c>
      <c r="GX11" t="n">
        <v>110.177</v>
      </c>
      <c r="GY11" t="n">
        <v>112.726</v>
      </c>
      <c r="GZ11" t="n">
        <v>115.161</v>
      </c>
      <c r="HA11" t="n">
        <v>118.591</v>
      </c>
      <c r="HB11" t="n">
        <v>122.117</v>
      </c>
      <c r="HC11" t="n">
        <v>126.141</v>
      </c>
      <c r="HD11" t="n">
        <v>129.051</v>
      </c>
      <c r="HE11" t="n">
        <v>130.795</v>
      </c>
      <c r="HF11" t="n">
        <v>132.404</v>
      </c>
      <c r="HG11" t="n">
        <v>132.474</v>
      </c>
      <c r="HH11" t="n">
        <v>132.668</v>
      </c>
      <c r="HI11" t="n">
        <v>133.067</v>
      </c>
      <c r="HJ11" t="n">
        <v>133.852</v>
      </c>
      <c r="HK11" t="n">
        <v>133.963</v>
      </c>
      <c r="HL11" t="n">
        <v>135.027</v>
      </c>
      <c r="HM11" t="n">
        <v>135.456</v>
      </c>
      <c r="HN11" t="n">
        <v>136.451</v>
      </c>
      <c r="HO11" t="n">
        <v>136.957</v>
      </c>
    </row>
    <row r="12">
      <c r="A12" s="78" t="s">
        <v>2524</v>
      </c>
      <c r="B12" s="78" t="n">
        <v>7</v>
      </c>
      <c r="C12" s="78" t="n">
        <v>7.2</v>
      </c>
      <c r="D12" s="78" t="n">
        <v>7.3</v>
      </c>
      <c r="E12" s="78" t="n">
        <v>7.5</v>
      </c>
      <c r="F12" s="78" t="n">
        <v>7.8</v>
      </c>
      <c r="G12" s="78" t="n">
        <v>8</v>
      </c>
      <c r="H12" s="78" t="n">
        <v>8.1</v>
      </c>
      <c r="I12" s="78" t="n">
        <v>8.3</v>
      </c>
      <c r="J12" s="78" t="n">
        <v>8.5</v>
      </c>
      <c r="K12" s="78" t="n">
        <v>8.7</v>
      </c>
      <c r="L12" s="78" t="n">
        <v>8.9</v>
      </c>
      <c r="M12" s="78" t="n">
        <v>9.2</v>
      </c>
      <c r="N12" s="78" t="n">
        <v>9.5</v>
      </c>
      <c r="O12" s="78" t="n">
        <v>10</v>
      </c>
      <c r="P12" t="n">
        <v>10.5</v>
      </c>
      <c r="Q12" t="n">
        <v>11</v>
      </c>
      <c r="R12" t="n">
        <v>11.7</v>
      </c>
      <c r="S12" t="n">
        <v>12.4</v>
      </c>
      <c r="T12" t="n">
        <v>13.1</v>
      </c>
      <c r="U12" t="n">
        <v>13.8</v>
      </c>
      <c r="V12" t="n">
        <v>14.5</v>
      </c>
      <c r="W12" t="n">
        <v>15.2</v>
      </c>
      <c r="X12" t="n">
        <v>16</v>
      </c>
      <c r="Y12" t="n">
        <v>16.8</v>
      </c>
      <c r="Z12" t="n">
        <v>17.6</v>
      </c>
      <c r="AA12" t="n">
        <v>18.4</v>
      </c>
      <c r="AB12" t="n">
        <v>19.2</v>
      </c>
      <c r="AC12" t="n">
        <v>20</v>
      </c>
      <c r="AD12" t="n">
        <v>20.9</v>
      </c>
      <c r="AE12" t="n">
        <v>21.7</v>
      </c>
      <c r="AF12" t="n">
        <v>22.5</v>
      </c>
      <c r="AG12" t="n">
        <v>23.3</v>
      </c>
      <c r="AH12" t="n">
        <v>24.2</v>
      </c>
      <c r="AI12" t="n">
        <v>25</v>
      </c>
      <c r="AJ12" t="n">
        <v>26</v>
      </c>
      <c r="AK12" t="n">
        <v>27</v>
      </c>
      <c r="AL12" t="n">
        <v>28</v>
      </c>
      <c r="AM12" t="n">
        <v>29.2</v>
      </c>
      <c r="AN12" t="n">
        <v>30.5</v>
      </c>
      <c r="AO12" t="n">
        <v>32</v>
      </c>
      <c r="AP12" t="n">
        <v>33.6</v>
      </c>
      <c r="AQ12" t="n">
        <v>35.3</v>
      </c>
      <c r="AR12" t="n">
        <v>37</v>
      </c>
      <c r="AS12" t="n">
        <v>38.8</v>
      </c>
      <c r="AT12" t="n">
        <v>40.7</v>
      </c>
      <c r="AU12" t="n">
        <v>42.6</v>
      </c>
      <c r="AV12" t="n">
        <v>44.4</v>
      </c>
      <c r="AW12" t="n">
        <v>46.3</v>
      </c>
      <c r="AX12" t="n">
        <v>48.2</v>
      </c>
      <c r="AY12" t="n">
        <v>50.1</v>
      </c>
      <c r="AZ12" t="n">
        <v>51.8</v>
      </c>
      <c r="BA12" t="n">
        <v>53.6</v>
      </c>
      <c r="BB12" t="n">
        <v>55.2</v>
      </c>
      <c r="BC12" t="n">
        <v>56.9</v>
      </c>
      <c r="BD12" t="n">
        <v>58.7</v>
      </c>
      <c r="BE12" t="n">
        <v>60.4</v>
      </c>
      <c r="BF12" t="n">
        <v>62.5</v>
      </c>
      <c r="BG12" t="n">
        <v>64.1</v>
      </c>
      <c r="BH12" t="n">
        <v>65.6</v>
      </c>
      <c r="BI12" t="n">
        <v>66.9</v>
      </c>
      <c r="BJ12" t="n">
        <v>67.9</v>
      </c>
      <c r="BK12" t="n">
        <v>69.1</v>
      </c>
      <c r="BL12" t="n">
        <v>70.3</v>
      </c>
      <c r="BM12" t="n">
        <v>71.6</v>
      </c>
      <c r="BN12" t="n">
        <v>73</v>
      </c>
      <c r="BO12" t="n">
        <v>74.5</v>
      </c>
      <c r="BP12" t="n">
        <v>76</v>
      </c>
      <c r="BQ12" t="n">
        <v>77.6</v>
      </c>
      <c r="BR12" t="n">
        <v>79.6</v>
      </c>
      <c r="BS12" t="n">
        <v>81.1</v>
      </c>
      <c r="BT12" t="n">
        <v>82.3</v>
      </c>
      <c r="BU12" t="n">
        <v>83.3</v>
      </c>
      <c r="BV12" t="n">
        <v>83.4</v>
      </c>
      <c r="BW12" t="n">
        <v>85</v>
      </c>
      <c r="BX12" t="n">
        <v>87</v>
      </c>
      <c r="BY12" t="n">
        <v>89.7</v>
      </c>
      <c r="BZ12" t="n">
        <v>93.8</v>
      </c>
      <c r="CA12" t="n">
        <v>96.9</v>
      </c>
      <c r="CB12" t="n">
        <v>99.7</v>
      </c>
      <c r="CC12" t="n">
        <v>102.3</v>
      </c>
      <c r="CD12" t="n">
        <v>104.3</v>
      </c>
      <c r="CE12" t="n">
        <v>106.5</v>
      </c>
      <c r="CF12" t="n">
        <v>108.7</v>
      </c>
      <c r="CG12" t="n">
        <v>111</v>
      </c>
      <c r="CH12" t="n">
        <v>112.9</v>
      </c>
      <c r="CI12" t="n">
        <v>115.7</v>
      </c>
      <c r="CJ12" t="n">
        <v>118.9</v>
      </c>
      <c r="CK12" t="n">
        <v>122.5</v>
      </c>
      <c r="CL12" t="n">
        <v>127.2</v>
      </c>
      <c r="CM12" t="n">
        <v>131</v>
      </c>
      <c r="CN12" t="n">
        <v>134.5</v>
      </c>
      <c r="CO12" t="n">
        <v>137.7</v>
      </c>
      <c r="CP12" t="n">
        <v>143.4</v>
      </c>
      <c r="CQ12" t="n">
        <v>144.7</v>
      </c>
      <c r="CR12" t="n">
        <v>147.5</v>
      </c>
      <c r="CS12" t="n">
        <v>151.6</v>
      </c>
      <c r="CT12" t="n">
        <v>156.9</v>
      </c>
      <c r="CU12" t="n">
        <v>162.2</v>
      </c>
      <c r="CV12" t="n">
        <v>167.1</v>
      </c>
      <c r="CW12" t="n">
        <v>171.6</v>
      </c>
      <c r="CX12" t="n">
        <v>175.7</v>
      </c>
      <c r="CY12" t="n">
        <v>179.6</v>
      </c>
      <c r="CZ12" t="n">
        <v>183.2</v>
      </c>
      <c r="DA12" t="n">
        <v>186.5</v>
      </c>
      <c r="DB12" t="n">
        <v>189.6</v>
      </c>
      <c r="DC12" t="n">
        <v>192.9</v>
      </c>
      <c r="DD12" t="n">
        <v>196.5</v>
      </c>
      <c r="DE12" t="n">
        <v>200.4</v>
      </c>
      <c r="DF12" t="n">
        <v>204.4</v>
      </c>
      <c r="DG12" t="n">
        <v>207.1</v>
      </c>
      <c r="DH12" t="n">
        <v>208.3</v>
      </c>
      <c r="DI12" t="n">
        <v>207.9</v>
      </c>
      <c r="DJ12" t="n">
        <v>206.4</v>
      </c>
      <c r="DK12" t="n">
        <v>205.3</v>
      </c>
      <c r="DL12" t="n">
        <v>205</v>
      </c>
      <c r="DM12" t="n">
        <v>205.5</v>
      </c>
      <c r="DN12" t="n">
        <v>206.6</v>
      </c>
      <c r="DO12" t="n">
        <v>207.9</v>
      </c>
      <c r="DP12" t="n">
        <v>209.4</v>
      </c>
      <c r="DQ12" t="n">
        <v>211</v>
      </c>
      <c r="DR12" t="n">
        <v>213</v>
      </c>
      <c r="DS12" t="n">
        <v>216.1</v>
      </c>
      <c r="DT12" t="n">
        <v>220.7</v>
      </c>
      <c r="DU12" t="n">
        <v>226.7</v>
      </c>
      <c r="DV12" t="n">
        <v>233.8</v>
      </c>
      <c r="DW12" t="n">
        <v>240.4</v>
      </c>
      <c r="DX12" t="n">
        <v>245.8</v>
      </c>
      <c r="DY12" t="n">
        <v>250.3</v>
      </c>
      <c r="DZ12" t="n">
        <v>254.1</v>
      </c>
      <c r="EA12" t="n">
        <v>257.9</v>
      </c>
      <c r="EB12" t="n">
        <v>261.6</v>
      </c>
      <c r="EC12" t="n">
        <v>265.2</v>
      </c>
      <c r="ED12" t="n">
        <v>268.9</v>
      </c>
      <c r="EE12" t="n">
        <v>273.4</v>
      </c>
      <c r="EF12" t="n">
        <v>279</v>
      </c>
      <c r="EG12" t="n">
        <v>285.5</v>
      </c>
      <c r="EH12" t="n">
        <v>293</v>
      </c>
      <c r="EI12" t="n">
        <v>300.4</v>
      </c>
      <c r="EJ12" t="n">
        <v>308.6</v>
      </c>
      <c r="EK12" t="n">
        <v>315.4</v>
      </c>
      <c r="EL12" t="n">
        <v>323.2</v>
      </c>
      <c r="EM12" t="n">
        <v>329.2</v>
      </c>
      <c r="EN12" t="n">
        <v>335.1</v>
      </c>
      <c r="EO12" t="n">
        <v>341</v>
      </c>
      <c r="EP12" t="n">
        <v>389.6</v>
      </c>
      <c r="EQ12" t="n">
        <v>395.6</v>
      </c>
      <c r="ER12" t="n">
        <v>402.1</v>
      </c>
      <c r="ES12" t="n">
        <v>409.1</v>
      </c>
      <c r="ET12" t="n">
        <v>416.4</v>
      </c>
      <c r="EU12" t="n">
        <v>424.1</v>
      </c>
      <c r="EV12" t="n">
        <v>432</v>
      </c>
      <c r="EW12" t="n">
        <v>440.3</v>
      </c>
      <c r="EX12" t="n">
        <v>448.8</v>
      </c>
      <c r="EY12" t="n">
        <v>457.3</v>
      </c>
      <c r="EZ12" t="n">
        <v>465.9</v>
      </c>
      <c r="FA12" t="n">
        <v>474.5</v>
      </c>
      <c r="FB12" t="n">
        <v>482.9</v>
      </c>
      <c r="FC12" t="n">
        <v>490.4</v>
      </c>
      <c r="FD12" t="n">
        <v>496.7</v>
      </c>
      <c r="FE12" t="n">
        <v>501.8</v>
      </c>
      <c r="FF12" t="n">
        <v>506</v>
      </c>
      <c r="FG12" t="n">
        <v>510.5</v>
      </c>
      <c r="FH12" t="n">
        <v>515.7</v>
      </c>
      <c r="FI12" t="n">
        <v>521.4</v>
      </c>
      <c r="FJ12" t="n">
        <v>527.6</v>
      </c>
      <c r="FK12" t="n">
        <v>533.4</v>
      </c>
      <c r="FL12" t="n">
        <v>538.5</v>
      </c>
      <c r="FM12" t="n">
        <v>542.9</v>
      </c>
      <c r="FN12" t="n">
        <v>547</v>
      </c>
      <c r="FO12" t="n">
        <v>551.6</v>
      </c>
      <c r="FP12" t="n">
        <v>557.1</v>
      </c>
      <c r="FQ12" t="n">
        <v>563.4</v>
      </c>
      <c r="FR12" t="n">
        <v>570.3</v>
      </c>
      <c r="FS12" t="n">
        <v>567.1</v>
      </c>
      <c r="FT12" t="n">
        <v>573.7</v>
      </c>
      <c r="FU12" t="n">
        <v>580.2</v>
      </c>
      <c r="FV12" t="n">
        <v>587.5</v>
      </c>
      <c r="FW12" t="n">
        <v>595.6</v>
      </c>
      <c r="FX12" t="n">
        <v>604</v>
      </c>
      <c r="FY12" t="n">
        <v>612.8</v>
      </c>
      <c r="FZ12" t="n">
        <v>622.4</v>
      </c>
      <c r="GA12" t="n">
        <v>631.5</v>
      </c>
      <c r="GB12" t="n">
        <v>639.5</v>
      </c>
      <c r="GC12" t="n">
        <v>646.4</v>
      </c>
      <c r="GD12" t="n">
        <v>652.4</v>
      </c>
      <c r="GE12" t="n">
        <v>658.6</v>
      </c>
      <c r="GF12" t="n">
        <v>665.2</v>
      </c>
      <c r="GG12" t="n">
        <v>672.2</v>
      </c>
      <c r="GH12" t="n">
        <v>678.5</v>
      </c>
      <c r="GI12" t="n">
        <v>687.4</v>
      </c>
      <c r="GJ12" t="n">
        <v>696.3</v>
      </c>
      <c r="GK12" t="n">
        <v>705.1</v>
      </c>
      <c r="GL12" t="n">
        <v>714.4</v>
      </c>
      <c r="GM12" t="n">
        <v>725.7</v>
      </c>
      <c r="GN12" t="n">
        <v>739.2</v>
      </c>
      <c r="GO12" t="n">
        <v>755</v>
      </c>
      <c r="GP12" t="n">
        <v>773.5</v>
      </c>
      <c r="GQ12" t="n">
        <v>788.5</v>
      </c>
      <c r="GR12" t="n">
        <v>798</v>
      </c>
      <c r="GS12" t="n">
        <v>802</v>
      </c>
      <c r="GT12" t="n">
        <v>801.9</v>
      </c>
      <c r="GU12" t="n">
        <v>814.3</v>
      </c>
      <c r="GV12" t="n">
        <v>826.6</v>
      </c>
      <c r="GW12" t="n">
        <v>838.8</v>
      </c>
      <c r="GX12" t="n">
        <v>854.9</v>
      </c>
      <c r="GY12" t="n">
        <v>871.2</v>
      </c>
      <c r="GZ12" t="n">
        <v>887.1</v>
      </c>
      <c r="HA12" t="n">
        <v>902.4</v>
      </c>
      <c r="HB12" t="n">
        <v>917.6</v>
      </c>
      <c r="HC12" t="n">
        <v>926.6</v>
      </c>
      <c r="HD12" t="n">
        <v>937.4</v>
      </c>
      <c r="HE12" t="n">
        <v>958.5</v>
      </c>
      <c r="HF12" t="n">
        <v>981.1</v>
      </c>
      <c r="HG12" t="n">
        <v>1001.8</v>
      </c>
      <c r="HH12" t="n">
        <v>1019.9</v>
      </c>
      <c r="HI12" t="n">
        <v>1035.3</v>
      </c>
      <c r="HJ12" t="n">
        <v>1049.2</v>
      </c>
      <c r="HK12" t="n">
        <v>1067.1</v>
      </c>
      <c r="HL12" t="n">
        <v>1090.2</v>
      </c>
      <c r="HM12" t="n">
        <v>1118.5</v>
      </c>
      <c r="HN12" t="n">
        <v>1150.3</v>
      </c>
      <c r="HO12" t="n">
        <v>1182.1</v>
      </c>
    </row>
    <row r="13">
      <c r="A13" s="78" t="s">
        <v>2525</v>
      </c>
      <c r="B13" s="78" t="n">
        <v>5</v>
      </c>
      <c r="C13" s="78" t="n">
        <v>5.3</v>
      </c>
      <c r="D13" s="78" t="n">
        <v>5.6</v>
      </c>
      <c r="E13" s="78" t="n">
        <v>5.9</v>
      </c>
      <c r="F13" s="78" t="n">
        <v>6.2</v>
      </c>
      <c r="G13" s="78" t="n">
        <v>6.6</v>
      </c>
      <c r="H13" s="78" t="n">
        <v>6.9</v>
      </c>
      <c r="I13" s="78" t="n">
        <v>7.3</v>
      </c>
      <c r="J13" s="78" t="n">
        <v>7.8</v>
      </c>
      <c r="K13" s="78" t="n">
        <v>8</v>
      </c>
      <c r="L13" s="78" t="n">
        <v>8.6</v>
      </c>
      <c r="M13" s="78" t="n">
        <v>8.5</v>
      </c>
      <c r="N13" s="78" t="n">
        <v>9</v>
      </c>
      <c r="O13" s="78" t="n">
        <v>9.6</v>
      </c>
      <c r="P13" t="n">
        <v>9.7</v>
      </c>
      <c r="Q13" t="n">
        <v>10.1</v>
      </c>
      <c r="R13" t="n">
        <v>10.2</v>
      </c>
      <c r="S13" t="n">
        <v>11.1</v>
      </c>
      <c r="T13" t="n">
        <v>11.4</v>
      </c>
      <c r="U13" t="n">
        <v>12</v>
      </c>
      <c r="V13" t="n">
        <v>13.3</v>
      </c>
      <c r="W13" t="n">
        <v>13.8</v>
      </c>
      <c r="X13" t="n">
        <v>13.8</v>
      </c>
      <c r="Y13" t="n">
        <v>14.6</v>
      </c>
      <c r="Z13" t="n">
        <v>15.2</v>
      </c>
      <c r="AA13" t="n">
        <v>14.9</v>
      </c>
      <c r="AB13" t="n">
        <v>15.9</v>
      </c>
      <c r="AC13" t="n">
        <v>15.9</v>
      </c>
      <c r="AD13" t="n">
        <v>16.2</v>
      </c>
      <c r="AE13" t="n">
        <v>17.5</v>
      </c>
      <c r="AF13" t="n">
        <v>16.7</v>
      </c>
      <c r="AG13" t="n">
        <v>16.5</v>
      </c>
      <c r="AH13" t="n">
        <v>17.5</v>
      </c>
      <c r="AI13" t="n">
        <v>18.6</v>
      </c>
      <c r="AJ13" t="n">
        <v>18.9</v>
      </c>
      <c r="AK13" t="n">
        <v>19.5</v>
      </c>
      <c r="AL13" t="n">
        <v>20</v>
      </c>
      <c r="AM13" t="n">
        <v>20.8</v>
      </c>
      <c r="AN13" t="n">
        <v>21.1</v>
      </c>
      <c r="AO13" t="n">
        <v>22.4</v>
      </c>
      <c r="AP13" t="n">
        <v>23.4</v>
      </c>
      <c r="AQ13" t="n">
        <v>22.2</v>
      </c>
      <c r="AR13" t="n">
        <v>24.2</v>
      </c>
      <c r="AS13" t="n">
        <v>25.6</v>
      </c>
      <c r="AT13" t="n">
        <v>26.5</v>
      </c>
      <c r="AU13" t="n">
        <v>28.1</v>
      </c>
      <c r="AV13" t="n">
        <v>28.3</v>
      </c>
      <c r="AW13" t="n">
        <v>28</v>
      </c>
      <c r="AX13" t="n">
        <v>28.8</v>
      </c>
      <c r="AY13" t="n">
        <v>30.2</v>
      </c>
      <c r="AZ13" t="n">
        <v>30.8</v>
      </c>
      <c r="BA13" t="n">
        <v>30.8</v>
      </c>
      <c r="BB13" t="n">
        <v>33.2</v>
      </c>
      <c r="BC13" t="n">
        <v>33.4</v>
      </c>
      <c r="BD13" t="n">
        <v>34</v>
      </c>
      <c r="BE13" t="n">
        <v>34.9</v>
      </c>
      <c r="BF13" t="n">
        <v>35.7</v>
      </c>
      <c r="BG13" t="n">
        <v>36.2</v>
      </c>
      <c r="BH13" t="n">
        <v>36.8</v>
      </c>
      <c r="BI13" t="n">
        <v>37.6</v>
      </c>
      <c r="BJ13" t="n">
        <v>38.4</v>
      </c>
      <c r="BK13" t="n">
        <v>39.2</v>
      </c>
      <c r="BL13" t="n">
        <v>40.1</v>
      </c>
      <c r="BM13" t="n">
        <v>41.1</v>
      </c>
      <c r="BN13" t="n">
        <v>42.1</v>
      </c>
      <c r="BO13" t="n">
        <v>43.1</v>
      </c>
      <c r="BP13" t="n">
        <v>44.1</v>
      </c>
      <c r="BQ13" t="n">
        <v>45.2</v>
      </c>
      <c r="BR13" t="n">
        <v>46.2</v>
      </c>
      <c r="BS13" t="n">
        <v>47.3</v>
      </c>
      <c r="BT13" t="n">
        <v>48.4</v>
      </c>
      <c r="BU13" t="n">
        <v>49.4</v>
      </c>
      <c r="BV13" t="n">
        <v>50.9</v>
      </c>
      <c r="BW13" t="n">
        <v>52.2</v>
      </c>
      <c r="BX13" t="n">
        <v>53.7</v>
      </c>
      <c r="BY13" t="n">
        <v>55.4</v>
      </c>
      <c r="BZ13" t="n">
        <v>57.4</v>
      </c>
      <c r="CA13" t="n">
        <v>59.6</v>
      </c>
      <c r="CB13" t="n">
        <v>61.9</v>
      </c>
      <c r="CC13" t="n">
        <v>64.4</v>
      </c>
      <c r="CD13" t="n">
        <v>66.6</v>
      </c>
      <c r="CE13" t="n">
        <v>70.3</v>
      </c>
      <c r="CF13" t="n">
        <v>74.9</v>
      </c>
      <c r="CG13" t="n">
        <v>80.7</v>
      </c>
      <c r="CH13" t="n">
        <v>83.7</v>
      </c>
      <c r="CI13" t="n">
        <v>93.1</v>
      </c>
      <c r="CJ13" t="n">
        <v>98.4</v>
      </c>
      <c r="CK13" t="n">
        <v>112.5</v>
      </c>
      <c r="CL13" t="n">
        <v>108.3</v>
      </c>
      <c r="CM13" t="n">
        <v>115.4</v>
      </c>
      <c r="CN13" t="n">
        <v>120.6</v>
      </c>
      <c r="CO13" t="n">
        <v>120.8</v>
      </c>
      <c r="CP13" t="n">
        <v>124.4</v>
      </c>
      <c r="CQ13" t="n">
        <v>124.8</v>
      </c>
      <c r="CR13" t="n">
        <v>135.2</v>
      </c>
      <c r="CS13" t="n">
        <v>136</v>
      </c>
      <c r="CT13" t="n">
        <v>136.6</v>
      </c>
      <c r="CU13" t="n">
        <v>137.1</v>
      </c>
      <c r="CV13" t="n">
        <v>136.2</v>
      </c>
      <c r="CW13" t="n">
        <v>147.8</v>
      </c>
      <c r="CX13" t="n">
        <v>152.5</v>
      </c>
      <c r="CY13" t="n">
        <v>152.5</v>
      </c>
      <c r="CZ13" t="n">
        <v>152.7</v>
      </c>
      <c r="DA13" t="n">
        <v>140.7</v>
      </c>
      <c r="DB13" t="n">
        <v>151.3</v>
      </c>
      <c r="DC13" t="n">
        <v>165.8</v>
      </c>
      <c r="DD13" t="n">
        <v>158.8</v>
      </c>
      <c r="DE13" t="n">
        <v>156.9</v>
      </c>
      <c r="DF13" t="n">
        <v>161.4</v>
      </c>
      <c r="DG13" t="n">
        <v>159.4</v>
      </c>
      <c r="DH13" t="n">
        <v>163.7</v>
      </c>
      <c r="DI13" t="n">
        <v>168</v>
      </c>
      <c r="DJ13" t="n">
        <v>167.2</v>
      </c>
      <c r="DK13" t="n">
        <v>170</v>
      </c>
      <c r="DL13" t="n">
        <v>168.1</v>
      </c>
      <c r="DM13" t="n">
        <v>175.4</v>
      </c>
      <c r="DN13" t="n">
        <v>181.1</v>
      </c>
      <c r="DO13" t="n">
        <v>179.1</v>
      </c>
      <c r="DP13" t="n">
        <v>186.7</v>
      </c>
      <c r="DQ13" t="n">
        <v>191.3</v>
      </c>
      <c r="DR13" t="n">
        <v>190.2</v>
      </c>
      <c r="DS13" t="n">
        <v>198.3</v>
      </c>
      <c r="DT13" t="n">
        <v>204.8</v>
      </c>
      <c r="DU13" t="n">
        <v>204.8</v>
      </c>
      <c r="DV13" t="n">
        <v>215</v>
      </c>
      <c r="DW13" t="n">
        <v>230.1</v>
      </c>
      <c r="DX13" t="n">
        <v>217.4</v>
      </c>
      <c r="DY13" t="n">
        <v>246.5</v>
      </c>
      <c r="DZ13" t="n">
        <v>244.9</v>
      </c>
      <c r="EA13" t="n">
        <v>243.8</v>
      </c>
      <c r="EB13" t="n">
        <v>251.1</v>
      </c>
      <c r="EC13" t="n">
        <v>260.3</v>
      </c>
      <c r="ED13" t="n">
        <v>260.7</v>
      </c>
      <c r="EE13" t="n">
        <v>260.1</v>
      </c>
      <c r="EF13" t="n">
        <v>271.7</v>
      </c>
      <c r="EG13" t="n">
        <v>265.7</v>
      </c>
      <c r="EH13" t="n">
        <v>283.4</v>
      </c>
      <c r="EI13" t="n">
        <v>293</v>
      </c>
      <c r="EJ13" t="n">
        <v>288.3</v>
      </c>
      <c r="EK13" t="n">
        <v>294.5</v>
      </c>
      <c r="EL13" t="n">
        <v>301.3</v>
      </c>
      <c r="EM13" t="n">
        <v>310.8</v>
      </c>
      <c r="EN13" t="n">
        <v>300.1</v>
      </c>
      <c r="EO13" t="n">
        <v>305.4</v>
      </c>
      <c r="EP13" t="n">
        <v>291.3</v>
      </c>
      <c r="EQ13" t="n">
        <v>294.9</v>
      </c>
      <c r="ER13" t="n">
        <v>308.7</v>
      </c>
      <c r="ES13" t="n">
        <v>301.4</v>
      </c>
      <c r="ET13" t="n">
        <v>332.5</v>
      </c>
      <c r="EU13" t="n">
        <v>314.7</v>
      </c>
      <c r="EV13" t="n">
        <v>319.6</v>
      </c>
      <c r="EW13" t="n">
        <v>329.9</v>
      </c>
      <c r="EX13" t="n">
        <v>331.6</v>
      </c>
      <c r="EY13" t="n">
        <v>339.2</v>
      </c>
      <c r="EZ13" t="n">
        <v>340.8</v>
      </c>
      <c r="FA13" t="n">
        <v>341.8</v>
      </c>
      <c r="FB13" t="n">
        <v>358.4</v>
      </c>
      <c r="FC13" t="n">
        <v>368.9</v>
      </c>
      <c r="FD13" t="n">
        <v>378.2</v>
      </c>
      <c r="FE13" t="n">
        <v>372.8</v>
      </c>
      <c r="FF13" t="n">
        <v>382.1</v>
      </c>
      <c r="FG13" t="n">
        <v>385.7</v>
      </c>
      <c r="FH13" t="n">
        <v>405.6</v>
      </c>
      <c r="FI13" t="n">
        <v>414.1</v>
      </c>
      <c r="FJ13" t="n">
        <v>418.8</v>
      </c>
      <c r="FK13" t="n">
        <v>409.7</v>
      </c>
      <c r="FL13" t="n">
        <v>396.4</v>
      </c>
      <c r="FM13" t="n">
        <v>399.3</v>
      </c>
      <c r="FN13" t="n">
        <v>400.6</v>
      </c>
      <c r="FO13" t="n">
        <v>421.7</v>
      </c>
      <c r="FP13" t="n">
        <v>419</v>
      </c>
      <c r="FQ13" t="n">
        <v>428.9</v>
      </c>
      <c r="FR13" t="n">
        <v>424.8</v>
      </c>
      <c r="FS13" t="n">
        <v>438.4</v>
      </c>
      <c r="FT13" t="n">
        <v>448.2</v>
      </c>
      <c r="FU13" t="n">
        <v>448.6</v>
      </c>
      <c r="FV13" t="n">
        <v>459.5</v>
      </c>
      <c r="FW13" t="n">
        <v>481.5</v>
      </c>
      <c r="FX13" t="n">
        <v>507.2</v>
      </c>
      <c r="FY13" t="n">
        <v>515.3</v>
      </c>
      <c r="FZ13" t="n">
        <v>523.6</v>
      </c>
      <c r="GA13" t="n">
        <v>537.9</v>
      </c>
      <c r="GB13" t="n">
        <v>540.4</v>
      </c>
      <c r="GC13" t="n">
        <v>541.8</v>
      </c>
      <c r="GD13" t="n">
        <v>550.5</v>
      </c>
      <c r="GE13" t="n">
        <v>558.8</v>
      </c>
      <c r="GF13" t="n">
        <v>566.5</v>
      </c>
      <c r="GG13" t="n">
        <v>575.3</v>
      </c>
      <c r="GH13" t="n">
        <v>572.4</v>
      </c>
      <c r="GI13" t="n">
        <v>567.9</v>
      </c>
      <c r="GJ13" t="n">
        <v>578.8</v>
      </c>
      <c r="GK13" t="n">
        <v>575.8</v>
      </c>
      <c r="GL13" t="n">
        <v>581.9</v>
      </c>
      <c r="GM13" t="n">
        <v>592.6</v>
      </c>
      <c r="GN13" t="n">
        <v>595</v>
      </c>
      <c r="GO13" t="n">
        <v>589.5</v>
      </c>
      <c r="GP13" t="n">
        <v>598.7</v>
      </c>
      <c r="GQ13" t="n">
        <v>614.4</v>
      </c>
      <c r="GR13" t="n">
        <v>622.4</v>
      </c>
      <c r="GS13" t="n">
        <v>620.6</v>
      </c>
      <c r="GT13" t="n">
        <v>606.5</v>
      </c>
      <c r="GU13" t="n">
        <v>654.6</v>
      </c>
      <c r="GV13" t="n">
        <v>690.8</v>
      </c>
      <c r="GW13" t="n">
        <v>678.6</v>
      </c>
      <c r="GX13" t="n">
        <v>704.9</v>
      </c>
      <c r="GY13" t="n">
        <v>745.6</v>
      </c>
      <c r="GZ13" t="n">
        <v>749.2</v>
      </c>
      <c r="HA13" t="n">
        <v>746.3</v>
      </c>
      <c r="HB13" t="n">
        <v>791.9</v>
      </c>
      <c r="HC13" t="n">
        <v>819.2</v>
      </c>
      <c r="HD13" t="n">
        <v>819</v>
      </c>
      <c r="HE13" t="n">
        <v>827.5</v>
      </c>
      <c r="HF13" t="n">
        <v>877.6</v>
      </c>
      <c r="HG13" t="n">
        <v>911.6</v>
      </c>
      <c r="HH13" t="n">
        <v>867.2</v>
      </c>
      <c r="HI13" t="n">
        <v>856.2</v>
      </c>
      <c r="HJ13" t="n">
        <v>904.8</v>
      </c>
      <c r="HK13" t="n">
        <v>924.7</v>
      </c>
      <c r="HL13" t="n">
        <v>932.4</v>
      </c>
      <c r="HM13" t="n">
        <v>944.8</v>
      </c>
      <c r="HN13" t="n">
        <v>957.6</v>
      </c>
      <c r="HO13" t="n">
        <v>984.4</v>
      </c>
    </row>
    <row r="14">
      <c r="A14" s="78" t="s">
        <v>2526</v>
      </c>
      <c r="B14" s="78" t="n">
        <v>2.9</v>
      </c>
      <c r="C14" s="78" t="n">
        <v>3.9</v>
      </c>
      <c r="D14" s="78" t="n">
        <v>4.6</v>
      </c>
      <c r="E14" s="78" t="n">
        <v>5.4</v>
      </c>
      <c r="F14" s="78" t="n">
        <v>5.7</v>
      </c>
      <c r="G14" s="78" t="n">
        <v>6.3</v>
      </c>
      <c r="H14" s="78" t="n">
        <v>6.3</v>
      </c>
      <c r="I14" s="78" t="n">
        <v>6.3</v>
      </c>
      <c r="J14" s="78" t="n">
        <v>6.5</v>
      </c>
      <c r="K14" s="78" t="n">
        <v>6.9</v>
      </c>
      <c r="L14" s="78" t="n">
        <v>5.8</v>
      </c>
      <c r="M14" s="78" t="n">
        <v>5</v>
      </c>
      <c r="N14" s="78" t="n">
        <v>4.6</v>
      </c>
      <c r="O14" s="78" t="n">
        <v>4.5</v>
      </c>
      <c r="P14" t="n">
        <v>4.5</v>
      </c>
      <c r="Q14" t="n">
        <v>4.7</v>
      </c>
      <c r="R14" t="n">
        <v>5.8</v>
      </c>
      <c r="S14" t="n">
        <v>6.7</v>
      </c>
      <c r="T14" t="n">
        <v>6.9</v>
      </c>
      <c r="U14" t="n">
        <v>8.6</v>
      </c>
      <c r="V14" t="n">
        <v>14.2</v>
      </c>
      <c r="W14" t="n">
        <v>19.4</v>
      </c>
      <c r="X14" t="n">
        <v>20.2</v>
      </c>
      <c r="Y14" t="n">
        <v>18.8</v>
      </c>
      <c r="Z14" t="n">
        <v>17.7</v>
      </c>
      <c r="AA14" t="n">
        <v>16.3</v>
      </c>
      <c r="AB14" t="n">
        <v>16.1</v>
      </c>
      <c r="AC14" t="n">
        <v>15.5</v>
      </c>
      <c r="AD14" t="n">
        <v>15.5</v>
      </c>
      <c r="AE14" t="n">
        <v>13.3</v>
      </c>
      <c r="AF14" t="n">
        <v>11.9</v>
      </c>
      <c r="AG14" t="n">
        <v>11.8</v>
      </c>
      <c r="AH14" t="n">
        <v>10.8</v>
      </c>
      <c r="AI14" t="n">
        <v>9.4</v>
      </c>
      <c r="AJ14" t="n">
        <v>9</v>
      </c>
      <c r="AK14" t="n">
        <v>8.5</v>
      </c>
      <c r="AL14" t="n">
        <v>9.4</v>
      </c>
      <c r="AM14" t="n">
        <v>9.2</v>
      </c>
      <c r="AN14" t="n">
        <v>9.6</v>
      </c>
      <c r="AO14" t="n">
        <v>10.6</v>
      </c>
      <c r="AP14" t="n">
        <v>12</v>
      </c>
      <c r="AQ14" t="n">
        <v>15.7</v>
      </c>
      <c r="AR14" t="n">
        <v>19</v>
      </c>
      <c r="AS14" t="n">
        <v>17.8</v>
      </c>
      <c r="AT14" t="n">
        <v>16.4</v>
      </c>
      <c r="AU14" t="n">
        <v>15.5</v>
      </c>
      <c r="AV14" t="n">
        <v>15</v>
      </c>
      <c r="AW14" t="n">
        <v>16.6</v>
      </c>
      <c r="AX14" t="n">
        <v>19.1</v>
      </c>
      <c r="AY14" t="n">
        <v>23.9</v>
      </c>
      <c r="AZ14" t="n">
        <v>26.1</v>
      </c>
      <c r="BA14" t="n">
        <v>31.8</v>
      </c>
      <c r="BB14" t="n">
        <v>30.3</v>
      </c>
      <c r="BC14" t="n">
        <v>32.1</v>
      </c>
      <c r="BD14" t="n">
        <v>23.3</v>
      </c>
      <c r="BE14" t="n">
        <v>20</v>
      </c>
      <c r="BF14" t="n">
        <v>17.3</v>
      </c>
      <c r="BG14" t="n">
        <v>15.7</v>
      </c>
      <c r="BH14" t="n">
        <v>15.1</v>
      </c>
      <c r="BI14" t="n">
        <v>15.9</v>
      </c>
      <c r="BJ14" t="n">
        <v>16.9</v>
      </c>
      <c r="BK14" t="n">
        <v>16</v>
      </c>
      <c r="BL14" t="n">
        <v>15</v>
      </c>
      <c r="BM14" t="n">
        <v>15.6</v>
      </c>
      <c r="BN14" t="n">
        <v>15.6</v>
      </c>
      <c r="BO14" t="n">
        <v>16.4</v>
      </c>
      <c r="BP14" t="n">
        <v>17</v>
      </c>
      <c r="BQ14" t="n">
        <v>16.9</v>
      </c>
      <c r="BR14" t="n">
        <v>15.5</v>
      </c>
      <c r="BS14" t="n">
        <v>15.1</v>
      </c>
      <c r="BT14" t="n">
        <v>14.4</v>
      </c>
      <c r="BU14" t="n">
        <v>13.5</v>
      </c>
      <c r="BV14" t="n">
        <v>13.9</v>
      </c>
      <c r="BW14" t="n">
        <v>13.2</v>
      </c>
      <c r="BX14" t="n">
        <v>13.2</v>
      </c>
      <c r="BY14" t="n">
        <v>13</v>
      </c>
      <c r="BZ14" t="n">
        <v>13.6</v>
      </c>
      <c r="CA14" t="n">
        <v>13.7</v>
      </c>
      <c r="CB14" t="n">
        <v>14.6</v>
      </c>
      <c r="CC14" t="n">
        <v>15.8</v>
      </c>
      <c r="CD14" t="n">
        <v>16.4</v>
      </c>
      <c r="CE14" t="n">
        <v>17.1</v>
      </c>
      <c r="CF14" t="n">
        <v>18.2</v>
      </c>
      <c r="CG14" t="n">
        <v>21</v>
      </c>
      <c r="CH14" t="n">
        <v>24.3</v>
      </c>
      <c r="CI14" t="n">
        <v>27.5</v>
      </c>
      <c r="CJ14" t="n">
        <v>25.9</v>
      </c>
      <c r="CK14" t="n">
        <v>29.4</v>
      </c>
      <c r="CL14" t="n">
        <v>39.7</v>
      </c>
      <c r="CM14" t="n">
        <v>41.2</v>
      </c>
      <c r="CN14" t="n">
        <v>39.6</v>
      </c>
      <c r="CO14" t="n">
        <v>38</v>
      </c>
      <c r="CP14" t="n">
        <v>35.1</v>
      </c>
      <c r="CQ14" t="n">
        <v>35.5</v>
      </c>
      <c r="CR14" t="n">
        <v>35.5</v>
      </c>
      <c r="CS14" t="n">
        <v>33.2</v>
      </c>
      <c r="CT14" t="n">
        <v>28</v>
      </c>
      <c r="CU14" t="n">
        <v>24.4</v>
      </c>
      <c r="CV14" t="n">
        <v>22.1</v>
      </c>
      <c r="CW14" t="n">
        <v>21.3</v>
      </c>
      <c r="CX14" t="n">
        <v>20.9</v>
      </c>
      <c r="CY14" t="n">
        <v>21.6</v>
      </c>
      <c r="CZ14" t="n">
        <v>22</v>
      </c>
      <c r="DA14" t="n">
        <v>22.5</v>
      </c>
      <c r="DB14" t="n">
        <v>23</v>
      </c>
      <c r="DC14" t="n">
        <v>22.7</v>
      </c>
      <c r="DD14" t="n">
        <v>21.6</v>
      </c>
      <c r="DE14" t="n">
        <v>21.7</v>
      </c>
      <c r="DF14" t="n">
        <v>21</v>
      </c>
      <c r="DG14" t="n">
        <v>20.4</v>
      </c>
      <c r="DH14" t="n">
        <v>19.6</v>
      </c>
      <c r="DI14" t="n">
        <v>19.4</v>
      </c>
      <c r="DJ14" t="n">
        <v>19.4</v>
      </c>
      <c r="DK14" t="n">
        <v>19.3</v>
      </c>
      <c r="DL14" t="n">
        <v>20.3</v>
      </c>
      <c r="DM14" t="n">
        <v>19.8</v>
      </c>
      <c r="DN14" t="n">
        <v>20.8</v>
      </c>
      <c r="DO14" t="n">
        <v>20.9</v>
      </c>
      <c r="DP14" t="n">
        <v>20.3</v>
      </c>
      <c r="DQ14" t="n">
        <v>20</v>
      </c>
      <c r="DR14" t="n">
        <v>20.5</v>
      </c>
      <c r="DS14" t="n">
        <v>20</v>
      </c>
      <c r="DT14" t="n">
        <v>20.6</v>
      </c>
      <c r="DU14" t="n">
        <v>21.9</v>
      </c>
      <c r="DV14" t="n">
        <v>25.5</v>
      </c>
      <c r="DW14" t="n">
        <v>28.4</v>
      </c>
      <c r="DX14" t="n">
        <v>33.1</v>
      </c>
      <c r="DY14" t="n">
        <v>40.6</v>
      </c>
      <c r="DZ14" t="n">
        <v>42.8</v>
      </c>
      <c r="EA14" t="n">
        <v>60.5</v>
      </c>
      <c r="EB14" t="n">
        <v>56.9</v>
      </c>
      <c r="EC14" t="n">
        <v>53.7</v>
      </c>
      <c r="ED14" t="n">
        <v>51.8</v>
      </c>
      <c r="EE14" t="n">
        <v>55.2</v>
      </c>
      <c r="EF14" t="n">
        <v>54.2</v>
      </c>
      <c r="EG14" t="n">
        <v>51.5</v>
      </c>
      <c r="EH14" t="n">
        <v>42.3</v>
      </c>
      <c r="EI14" t="n">
        <v>35.9</v>
      </c>
      <c r="EJ14" t="n">
        <v>34.7</v>
      </c>
      <c r="EK14" t="n">
        <v>32.9</v>
      </c>
      <c r="EL14" t="n">
        <v>32.1</v>
      </c>
      <c r="EM14" t="n">
        <v>30.9</v>
      </c>
      <c r="EN14" t="n">
        <v>31.6</v>
      </c>
      <c r="EO14" t="n">
        <v>32.5</v>
      </c>
      <c r="EP14" t="n">
        <v>30.3</v>
      </c>
      <c r="EQ14" t="n">
        <v>29.5</v>
      </c>
      <c r="ER14" t="n">
        <v>30.6</v>
      </c>
      <c r="ES14" t="n">
        <v>31.1</v>
      </c>
      <c r="ET14" t="n">
        <v>32.3</v>
      </c>
      <c r="EU14" t="n">
        <v>31.8</v>
      </c>
      <c r="EV14" t="n">
        <v>32.8</v>
      </c>
      <c r="EW14" t="n">
        <v>34</v>
      </c>
      <c r="EX14" t="n">
        <v>36.3</v>
      </c>
      <c r="EY14" t="n">
        <v>38.2</v>
      </c>
      <c r="EZ14" t="n">
        <v>58.2</v>
      </c>
      <c r="FA14" t="n">
        <v>71.9</v>
      </c>
      <c r="FB14" t="n">
        <v>101.6</v>
      </c>
      <c r="FC14" t="n">
        <v>130.3</v>
      </c>
      <c r="FD14" t="n">
        <v>144.4</v>
      </c>
      <c r="FE14" t="n">
        <v>148.6</v>
      </c>
      <c r="FF14" t="n">
        <v>159.3</v>
      </c>
      <c r="FG14" t="n">
        <v>141.2</v>
      </c>
      <c r="FH14" t="n">
        <v>131</v>
      </c>
      <c r="FI14" t="n">
        <v>123.9</v>
      </c>
      <c r="FJ14" t="n">
        <v>116.7</v>
      </c>
      <c r="FK14" t="n">
        <v>109.3</v>
      </c>
      <c r="FL14" t="n">
        <v>102.9</v>
      </c>
      <c r="FM14" t="n">
        <v>99.8</v>
      </c>
      <c r="FN14" t="n">
        <v>94.6</v>
      </c>
      <c r="FO14" t="n">
        <v>86.3</v>
      </c>
      <c r="FP14" t="n">
        <v>78.4</v>
      </c>
      <c r="FQ14" t="n">
        <v>75.1</v>
      </c>
      <c r="FR14" t="n">
        <v>69</v>
      </c>
      <c r="FS14" t="n">
        <v>64.8</v>
      </c>
      <c r="FT14" t="n">
        <v>59.1</v>
      </c>
      <c r="FU14" t="n">
        <v>57.1</v>
      </c>
      <c r="FV14" t="n">
        <v>39</v>
      </c>
      <c r="FW14" t="n">
        <v>35.8</v>
      </c>
      <c r="FX14" t="n">
        <v>34</v>
      </c>
      <c r="FY14" t="n">
        <v>33</v>
      </c>
      <c r="FZ14" t="n">
        <v>32.9</v>
      </c>
      <c r="GA14" t="n">
        <v>32.4</v>
      </c>
      <c r="GB14" t="n">
        <v>32.5</v>
      </c>
      <c r="GC14" t="n">
        <v>32.4</v>
      </c>
      <c r="GD14" t="n">
        <v>32.4</v>
      </c>
      <c r="GE14" t="n">
        <v>32.3</v>
      </c>
      <c r="GF14" t="n">
        <v>32.1</v>
      </c>
      <c r="GG14" t="n">
        <v>31.3</v>
      </c>
      <c r="GH14" t="n">
        <v>31.3</v>
      </c>
      <c r="GI14" t="n">
        <v>29.6</v>
      </c>
      <c r="GJ14" t="n">
        <v>29.6</v>
      </c>
      <c r="GK14" t="n">
        <v>30.3</v>
      </c>
      <c r="GL14" t="n">
        <v>30.5</v>
      </c>
      <c r="GM14" t="n">
        <v>27.5</v>
      </c>
      <c r="GN14" t="n">
        <v>25.3</v>
      </c>
      <c r="GO14" t="n">
        <v>27.1</v>
      </c>
      <c r="GP14" t="n">
        <v>29.6</v>
      </c>
      <c r="GQ14" t="n">
        <v>27.3</v>
      </c>
      <c r="GR14" t="n">
        <v>26.4</v>
      </c>
      <c r="GS14" t="n">
        <v>26.7</v>
      </c>
      <c r="GT14" t="n">
        <v>40.1</v>
      </c>
      <c r="GU14" t="n">
        <v>951.5</v>
      </c>
      <c r="GV14" t="n">
        <v>800</v>
      </c>
      <c r="GW14" t="n">
        <v>322.7</v>
      </c>
      <c r="GX14" t="n">
        <v>583.8</v>
      </c>
      <c r="GY14" t="n">
        <v>440.8</v>
      </c>
      <c r="GZ14" t="n">
        <v>212.8</v>
      </c>
      <c r="HA14" t="n">
        <v>31.8</v>
      </c>
      <c r="HB14" t="n">
        <v>24.5</v>
      </c>
      <c r="HC14" t="n">
        <v>21.7</v>
      </c>
      <c r="HD14" t="n">
        <v>23.1</v>
      </c>
      <c r="HE14" t="n">
        <v>25.9</v>
      </c>
      <c r="HF14" t="n">
        <v>30.1</v>
      </c>
      <c r="HG14" t="n">
        <v>32.7</v>
      </c>
      <c r="HH14" t="n">
        <v>34.7</v>
      </c>
      <c r="HI14" t="n">
        <v>35.3</v>
      </c>
      <c r="HJ14" t="n">
        <v>34.9</v>
      </c>
      <c r="HK14" t="n">
        <v>34.9</v>
      </c>
      <c r="HL14" t="n">
        <v>35.7</v>
      </c>
      <c r="HM14" t="n">
        <v>36.1</v>
      </c>
      <c r="HN14" t="n">
        <v>35.8</v>
      </c>
      <c r="HO14" t="n">
        <v>36.7</v>
      </c>
    </row>
    <row r="15">
      <c r="A15" s="78" t="s">
        <v>2527</v>
      </c>
      <c r="B15" s="78" t="n">
        <v>63</v>
      </c>
      <c r="C15" s="78" t="n">
        <v>73.1</v>
      </c>
      <c r="D15" s="78" t="n">
        <v>73.5</v>
      </c>
      <c r="E15" s="78" t="n">
        <v>77.4</v>
      </c>
      <c r="F15" s="78" t="n">
        <v>79.3</v>
      </c>
      <c r="G15" s="78" t="n">
        <v>86.9</v>
      </c>
      <c r="H15" s="78" t="n">
        <v>86.9</v>
      </c>
      <c r="I15" s="78" t="n">
        <v>88.5</v>
      </c>
      <c r="J15" s="78" t="n">
        <v>91.4</v>
      </c>
      <c r="K15" s="78" t="n">
        <v>91.9</v>
      </c>
      <c r="L15" s="78" t="n">
        <v>92.9</v>
      </c>
      <c r="M15" s="78" t="n">
        <v>103.1</v>
      </c>
      <c r="N15" s="78" t="n">
        <v>105.4</v>
      </c>
      <c r="O15" s="78" t="n">
        <v>107.6</v>
      </c>
      <c r="P15" t="n">
        <v>109.2</v>
      </c>
      <c r="Q15" t="n">
        <v>112.3</v>
      </c>
      <c r="R15" t="n">
        <v>117.5</v>
      </c>
      <c r="S15" t="n">
        <v>125.4</v>
      </c>
      <c r="T15" t="n">
        <v>132.2</v>
      </c>
      <c r="U15" t="n">
        <v>139.1</v>
      </c>
      <c r="V15" t="n">
        <v>149.8</v>
      </c>
      <c r="W15" t="n">
        <v>164.6</v>
      </c>
      <c r="X15" t="n">
        <v>167.7</v>
      </c>
      <c r="Y15" t="n">
        <v>170.4</v>
      </c>
      <c r="Z15" t="n">
        <v>174.7</v>
      </c>
      <c r="AA15" t="n">
        <v>173.1</v>
      </c>
      <c r="AB15" t="n">
        <v>180.1</v>
      </c>
      <c r="AC15" t="n">
        <v>182.7</v>
      </c>
      <c r="AD15" t="n">
        <v>185.5</v>
      </c>
      <c r="AE15" t="n">
        <v>186.4</v>
      </c>
      <c r="AF15" t="n">
        <v>191.7</v>
      </c>
      <c r="AG15" t="n">
        <v>194.3</v>
      </c>
      <c r="AH15" t="n">
        <v>197.7</v>
      </c>
      <c r="AI15" t="n">
        <v>199</v>
      </c>
      <c r="AJ15" t="n">
        <v>207.1</v>
      </c>
      <c r="AK15" t="n">
        <v>209.9</v>
      </c>
      <c r="AL15" t="n">
        <v>214.9</v>
      </c>
      <c r="AM15" t="n">
        <v>219.2</v>
      </c>
      <c r="AN15" t="n">
        <v>234.6</v>
      </c>
      <c r="AO15" t="n">
        <v>240.7</v>
      </c>
      <c r="AP15" t="n">
        <v>251.2</v>
      </c>
      <c r="AQ15" t="n">
        <v>256.2</v>
      </c>
      <c r="AR15" t="n">
        <v>287.9</v>
      </c>
      <c r="AS15" t="n">
        <v>290.7</v>
      </c>
      <c r="AT15" t="n">
        <v>296.1</v>
      </c>
      <c r="AU15" t="n">
        <v>299</v>
      </c>
      <c r="AV15" t="n">
        <v>317</v>
      </c>
      <c r="AW15" t="n">
        <v>319.2</v>
      </c>
      <c r="AX15" t="n">
        <v>324.3</v>
      </c>
      <c r="AY15" t="n">
        <v>333.2</v>
      </c>
      <c r="AZ15" t="n">
        <v>349.7</v>
      </c>
      <c r="BA15" t="n">
        <v>365.2</v>
      </c>
      <c r="BB15" t="n">
        <v>368</v>
      </c>
      <c r="BC15" t="n">
        <v>373.7</v>
      </c>
      <c r="BD15" t="n">
        <v>368.5</v>
      </c>
      <c r="BE15" t="n">
        <v>371.8</v>
      </c>
      <c r="BF15" t="n">
        <v>376.3</v>
      </c>
      <c r="BG15" t="n">
        <v>379</v>
      </c>
      <c r="BH15" t="n">
        <v>380.4</v>
      </c>
      <c r="BI15" t="n">
        <v>387.9</v>
      </c>
      <c r="BJ15" t="n">
        <v>398.1</v>
      </c>
      <c r="BK15" t="n">
        <v>400.5</v>
      </c>
      <c r="BL15" t="n">
        <v>405.6</v>
      </c>
      <c r="BM15" t="n">
        <v>408.3</v>
      </c>
      <c r="BN15" t="n">
        <v>419.9</v>
      </c>
      <c r="BO15" t="n">
        <v>425.6</v>
      </c>
      <c r="BP15" t="n">
        <v>433.1</v>
      </c>
      <c r="BQ15" t="n">
        <v>435.8</v>
      </c>
      <c r="BR15" t="n">
        <v>441.9</v>
      </c>
      <c r="BS15" t="n">
        <v>447.5</v>
      </c>
      <c r="BT15" t="n">
        <v>449.4</v>
      </c>
      <c r="BU15" t="n">
        <v>452.8</v>
      </c>
      <c r="BV15" t="n">
        <v>470.3</v>
      </c>
      <c r="BW15" t="n">
        <v>473.4</v>
      </c>
      <c r="BX15" t="n">
        <v>478.8</v>
      </c>
      <c r="BY15" t="n">
        <v>484.9</v>
      </c>
      <c r="BZ15" t="n">
        <v>508.2</v>
      </c>
      <c r="CA15" t="n">
        <v>515.7</v>
      </c>
      <c r="CB15" t="n">
        <v>524.7</v>
      </c>
      <c r="CC15" t="n">
        <v>535.8</v>
      </c>
      <c r="CD15" t="n">
        <v>556.2</v>
      </c>
      <c r="CE15" t="n">
        <v>567.5</v>
      </c>
      <c r="CF15" t="n">
        <v>578.1</v>
      </c>
      <c r="CG15" t="n">
        <v>596.8</v>
      </c>
      <c r="CH15" t="n">
        <v>622.5</v>
      </c>
      <c r="CI15" t="n">
        <v>643.5</v>
      </c>
      <c r="CJ15" t="n">
        <v>653.8</v>
      </c>
      <c r="CK15" t="n">
        <v>682.3</v>
      </c>
      <c r="CL15" t="n">
        <v>710.5</v>
      </c>
      <c r="CM15" t="n">
        <v>729.1</v>
      </c>
      <c r="CN15" t="n">
        <v>741.3</v>
      </c>
      <c r="CO15" t="n">
        <v>746</v>
      </c>
      <c r="CP15" t="n">
        <v>766.5</v>
      </c>
      <c r="CQ15" t="n">
        <v>771.7</v>
      </c>
      <c r="CR15" t="n">
        <v>786.3</v>
      </c>
      <c r="CS15" t="n">
        <v>791.3</v>
      </c>
      <c r="CT15" t="n">
        <v>805.3</v>
      </c>
      <c r="CU15" t="n">
        <v>810.1</v>
      </c>
      <c r="CV15" t="n">
        <v>813.6</v>
      </c>
      <c r="CW15" t="n">
        <v>833.8</v>
      </c>
      <c r="CX15" t="n">
        <v>857.9</v>
      </c>
      <c r="CY15" t="n">
        <v>865.6</v>
      </c>
      <c r="CZ15" t="n">
        <v>870.7</v>
      </c>
      <c r="DA15" t="n">
        <v>864.6</v>
      </c>
      <c r="DB15" t="n">
        <v>893.2</v>
      </c>
      <c r="DC15" t="n">
        <v>912.9</v>
      </c>
      <c r="DD15" t="n">
        <v>908.5</v>
      </c>
      <c r="DE15" t="n">
        <v>910.7</v>
      </c>
      <c r="DF15" t="n">
        <v>930.5</v>
      </c>
      <c r="DG15" t="n">
        <v>931.3</v>
      </c>
      <c r="DH15" t="n">
        <v>937.2</v>
      </c>
      <c r="DI15" t="n">
        <v>942.7</v>
      </c>
      <c r="DJ15" t="n">
        <v>951.8</v>
      </c>
      <c r="DK15" t="n">
        <v>956</v>
      </c>
      <c r="DL15" t="n">
        <v>957.4</v>
      </c>
      <c r="DM15" t="n">
        <v>966.4</v>
      </c>
      <c r="DN15" t="n">
        <v>983.4</v>
      </c>
      <c r="DO15" t="n">
        <v>985</v>
      </c>
      <c r="DP15" t="n">
        <v>996.1</v>
      </c>
      <c r="DQ15" t="n">
        <v>1004.3</v>
      </c>
      <c r="DR15" t="n">
        <v>1016.9</v>
      </c>
      <c r="DS15" t="n">
        <v>1042.3</v>
      </c>
      <c r="DT15" t="n">
        <v>1054.7</v>
      </c>
      <c r="DU15" t="n">
        <v>1065.6</v>
      </c>
      <c r="DV15" t="n">
        <v>1107.8</v>
      </c>
      <c r="DW15" t="n">
        <v>1139.1</v>
      </c>
      <c r="DX15" t="n">
        <v>1145.2</v>
      </c>
      <c r="DY15" t="n">
        <v>1191.2</v>
      </c>
      <c r="DZ15" t="n">
        <v>1221</v>
      </c>
      <c r="EA15" t="n">
        <v>1247.1</v>
      </c>
      <c r="EB15" t="n">
        <v>1259.9</v>
      </c>
      <c r="EC15" t="n">
        <v>1276.2</v>
      </c>
      <c r="ED15" t="n">
        <v>1294.6</v>
      </c>
      <c r="EE15" t="n">
        <v>1312.6</v>
      </c>
      <c r="EF15" t="n">
        <v>1335.5</v>
      </c>
      <c r="EG15" t="n">
        <v>1341.2</v>
      </c>
      <c r="EH15" t="n">
        <v>1379.6</v>
      </c>
      <c r="EI15" t="n">
        <v>1400.6</v>
      </c>
      <c r="EJ15" t="n">
        <v>1409.8</v>
      </c>
      <c r="EK15" t="n">
        <v>1427.9</v>
      </c>
      <c r="EL15" t="n">
        <v>1464.4</v>
      </c>
      <c r="EM15" t="n">
        <v>1486</v>
      </c>
      <c r="EN15" t="n">
        <v>1501</v>
      </c>
      <c r="EO15" t="n">
        <v>1512.3</v>
      </c>
      <c r="EP15" t="n">
        <v>1566.7</v>
      </c>
      <c r="EQ15" t="n">
        <v>1583.2</v>
      </c>
      <c r="ER15" t="n">
        <v>1608.5</v>
      </c>
      <c r="ES15" t="n">
        <v>1613.8</v>
      </c>
      <c r="ET15" t="n">
        <v>1680.2</v>
      </c>
      <c r="EU15" t="n">
        <v>1680.4</v>
      </c>
      <c r="EV15" t="n">
        <v>1700.2</v>
      </c>
      <c r="EW15" t="n">
        <v>1728.6</v>
      </c>
      <c r="EX15" t="n">
        <v>1768.2</v>
      </c>
      <c r="EY15" t="n">
        <v>2113</v>
      </c>
      <c r="EZ15" t="n">
        <v>1905.3</v>
      </c>
      <c r="FA15" t="n">
        <v>1890.8</v>
      </c>
      <c r="FB15" t="n">
        <v>2001.9</v>
      </c>
      <c r="FC15" t="n">
        <v>2140</v>
      </c>
      <c r="FD15" t="n">
        <v>2136.9</v>
      </c>
      <c r="FE15" t="n">
        <v>2152.1</v>
      </c>
      <c r="FF15" t="n">
        <v>2262.2</v>
      </c>
      <c r="FG15" t="n">
        <v>2268.7</v>
      </c>
      <c r="FH15" t="n">
        <v>2292</v>
      </c>
      <c r="FI15" t="n">
        <v>2302.7</v>
      </c>
      <c r="FJ15" t="n">
        <v>2313</v>
      </c>
      <c r="FK15" t="n">
        <v>2312.1</v>
      </c>
      <c r="FL15" t="n">
        <v>2303.2</v>
      </c>
      <c r="FM15" t="n">
        <v>2312.2</v>
      </c>
      <c r="FN15" t="n">
        <v>2296.8</v>
      </c>
      <c r="FO15" t="n">
        <v>2321.8</v>
      </c>
      <c r="FP15" t="n">
        <v>2325.6</v>
      </c>
      <c r="FQ15" t="n">
        <v>2346.1</v>
      </c>
      <c r="FR15" t="n">
        <v>2365.7</v>
      </c>
      <c r="FS15" t="n">
        <v>2378.3</v>
      </c>
      <c r="FT15" t="n">
        <v>2396</v>
      </c>
      <c r="FU15" t="n">
        <v>2403.7</v>
      </c>
      <c r="FV15" t="n">
        <v>2433.2</v>
      </c>
      <c r="FW15" t="n">
        <v>2484.5</v>
      </c>
      <c r="FX15" t="n">
        <v>2524.6</v>
      </c>
      <c r="FY15" t="n">
        <v>2552.1</v>
      </c>
      <c r="FZ15" t="n">
        <v>2597.7</v>
      </c>
      <c r="GA15" t="n">
        <v>2633.9</v>
      </c>
      <c r="GB15" t="n">
        <v>2647.8</v>
      </c>
      <c r="GC15" t="n">
        <v>2661.2</v>
      </c>
      <c r="GD15" t="n">
        <v>2686.2</v>
      </c>
      <c r="GE15" t="n">
        <v>2706.5</v>
      </c>
      <c r="GF15" t="n">
        <v>2726.3</v>
      </c>
      <c r="GG15" t="n">
        <v>2750.1</v>
      </c>
      <c r="GH15" t="n">
        <v>2779.1</v>
      </c>
      <c r="GI15" t="n">
        <v>2789.7</v>
      </c>
      <c r="GJ15" t="n">
        <v>2823.4</v>
      </c>
      <c r="GK15" t="n">
        <v>2837.6</v>
      </c>
      <c r="GL15" t="n">
        <v>2892.2</v>
      </c>
      <c r="GM15" t="n">
        <v>2917.2</v>
      </c>
      <c r="GN15" t="n">
        <v>2937.9</v>
      </c>
      <c r="GO15" t="n">
        <v>2956.5</v>
      </c>
      <c r="GP15" t="n">
        <v>3048.2</v>
      </c>
      <c r="GQ15" t="n">
        <v>3084</v>
      </c>
      <c r="GR15" t="n">
        <v>3109.3</v>
      </c>
      <c r="GS15" t="n">
        <v>3121.6</v>
      </c>
      <c r="GT15" t="n">
        <v>3175.2</v>
      </c>
      <c r="GU15" t="n">
        <v>5465.4</v>
      </c>
      <c r="GV15" t="n">
        <v>4355</v>
      </c>
      <c r="GW15" t="n">
        <v>3728.7</v>
      </c>
      <c r="GX15" t="n">
        <v>6007.8</v>
      </c>
      <c r="GY15" t="n">
        <v>4311.6</v>
      </c>
      <c r="GZ15" t="n">
        <v>4048.7</v>
      </c>
      <c r="HA15" t="n">
        <v>3876</v>
      </c>
      <c r="HB15" t="n">
        <v>3944.5</v>
      </c>
      <c r="HC15" t="n">
        <v>3986.8</v>
      </c>
      <c r="HD15" t="n">
        <v>4002.9</v>
      </c>
      <c r="HE15" t="n">
        <v>4120.9</v>
      </c>
      <c r="HF15" t="n">
        <v>4121.6</v>
      </c>
      <c r="HG15" t="n">
        <v>4160.2</v>
      </c>
      <c r="HH15" t="n">
        <v>4147.5</v>
      </c>
      <c r="HI15" t="n">
        <v>4156.5</v>
      </c>
      <c r="HJ15" t="n">
        <v>4314.6</v>
      </c>
      <c r="HK15" t="n">
        <v>4380.1</v>
      </c>
      <c r="HL15" t="n">
        <v>4437.8</v>
      </c>
      <c r="HM15" t="n">
        <v>4491.1</v>
      </c>
      <c r="HN15" t="n">
        <v>4628.6</v>
      </c>
      <c r="HO15" t="n">
        <v>4780.6</v>
      </c>
    </row>
    <row r="16">
      <c r="A16" s="78" t="s">
        <v>2528</v>
      </c>
      <c r="B16" s="78" t="n">
        <v>1.2</v>
      </c>
      <c r="C16" s="78" t="n">
        <v>1.3</v>
      </c>
      <c r="D16" s="78" t="n">
        <v>1.3</v>
      </c>
      <c r="E16" s="78" t="n">
        <v>1.3</v>
      </c>
      <c r="F16" s="78" t="n">
        <v>1.4</v>
      </c>
      <c r="G16" s="78" t="n">
        <v>1.4</v>
      </c>
      <c r="H16" s="78" t="n">
        <v>1.5</v>
      </c>
      <c r="I16" s="78" t="n">
        <v>1.5</v>
      </c>
      <c r="J16" s="78" t="n">
        <v>1.7</v>
      </c>
      <c r="K16" s="78" t="n">
        <v>1.8</v>
      </c>
      <c r="L16" s="78" t="n">
        <v>1.8</v>
      </c>
      <c r="M16" s="78" t="n">
        <v>1.9</v>
      </c>
      <c r="N16" s="78" t="n">
        <v>1.8</v>
      </c>
      <c r="O16" s="78" t="n">
        <v>1.8</v>
      </c>
      <c r="P16" t="n">
        <v>1.8</v>
      </c>
      <c r="Q16" t="n">
        <v>1.9</v>
      </c>
      <c r="R16" t="n">
        <v>1.9</v>
      </c>
      <c r="S16" t="n">
        <v>2</v>
      </c>
      <c r="T16" t="n">
        <v>2.1</v>
      </c>
      <c r="U16" t="n">
        <v>2.2</v>
      </c>
      <c r="V16" t="n">
        <v>2.3</v>
      </c>
      <c r="W16" t="n">
        <v>2.4</v>
      </c>
      <c r="X16" t="n">
        <v>2.6</v>
      </c>
      <c r="Y16" t="n">
        <v>2.7</v>
      </c>
      <c r="Z16" t="n">
        <v>2.8</v>
      </c>
      <c r="AA16" t="n">
        <v>3</v>
      </c>
      <c r="AB16" t="n">
        <v>3.1</v>
      </c>
      <c r="AC16" t="n">
        <v>3.2</v>
      </c>
      <c r="AD16" t="n">
        <v>3.3</v>
      </c>
      <c r="AE16" t="n">
        <v>3.4</v>
      </c>
      <c r="AF16" t="n">
        <v>3.5</v>
      </c>
      <c r="AG16" t="n">
        <v>3.6</v>
      </c>
      <c r="AH16" t="n">
        <v>3.7</v>
      </c>
      <c r="AI16" t="n">
        <v>3.8</v>
      </c>
      <c r="AJ16" t="n">
        <v>3.9</v>
      </c>
      <c r="AK16" t="n">
        <v>4</v>
      </c>
      <c r="AL16" t="n">
        <v>4.1</v>
      </c>
      <c r="AM16" t="n">
        <v>4.3</v>
      </c>
      <c r="AN16" t="n">
        <v>4.4</v>
      </c>
      <c r="AO16" t="n">
        <v>4.5</v>
      </c>
      <c r="AP16" t="n">
        <v>4.6</v>
      </c>
      <c r="AQ16" t="n">
        <v>4.8</v>
      </c>
      <c r="AR16" t="n">
        <v>5</v>
      </c>
      <c r="AS16" t="n">
        <v>5.3</v>
      </c>
      <c r="AT16" t="n">
        <v>5.6</v>
      </c>
      <c r="AU16" t="n">
        <v>5.9</v>
      </c>
      <c r="AV16" t="n">
        <v>6.1</v>
      </c>
      <c r="AW16" t="n">
        <v>6.3</v>
      </c>
      <c r="AX16" t="n">
        <v>6.7</v>
      </c>
      <c r="AY16" t="n">
        <v>6.9</v>
      </c>
      <c r="AZ16" t="n">
        <v>7.2</v>
      </c>
      <c r="BA16" t="n">
        <v>7.5</v>
      </c>
      <c r="BB16" t="n">
        <v>7.7</v>
      </c>
      <c r="BC16" t="n">
        <v>8</v>
      </c>
      <c r="BD16" t="n">
        <v>8.3</v>
      </c>
      <c r="BE16" t="n">
        <v>8.5</v>
      </c>
      <c r="BF16" t="n">
        <v>8.8</v>
      </c>
      <c r="BG16" t="n">
        <v>9.1</v>
      </c>
      <c r="BH16" t="n">
        <v>9.3</v>
      </c>
      <c r="BI16" t="n">
        <v>9.5</v>
      </c>
      <c r="BJ16" t="n">
        <v>9.9</v>
      </c>
      <c r="BK16" t="n">
        <v>10.2</v>
      </c>
      <c r="BL16" t="n">
        <v>10.6</v>
      </c>
      <c r="BM16" t="n">
        <v>11</v>
      </c>
      <c r="BN16" t="n">
        <v>11.3</v>
      </c>
      <c r="BO16" t="n">
        <v>11.7</v>
      </c>
      <c r="BP16" t="n">
        <v>12.1</v>
      </c>
      <c r="BQ16" t="n">
        <v>12.7</v>
      </c>
      <c r="BR16" t="n">
        <v>12.7</v>
      </c>
      <c r="BS16" t="n">
        <v>12.9</v>
      </c>
      <c r="BT16" t="n">
        <v>13.5</v>
      </c>
      <c r="BU16" t="n">
        <v>13.7</v>
      </c>
      <c r="BV16" t="n">
        <v>14.2</v>
      </c>
      <c r="BW16" t="n">
        <v>14.8</v>
      </c>
      <c r="BX16" t="n">
        <v>15.1</v>
      </c>
      <c r="BY16" t="n">
        <v>15.4</v>
      </c>
      <c r="BZ16" t="n">
        <v>15.9</v>
      </c>
      <c r="CA16" t="n">
        <v>16.3</v>
      </c>
      <c r="CB16" t="n">
        <v>16.7</v>
      </c>
      <c r="CC16" t="n">
        <v>17.1</v>
      </c>
      <c r="CD16" t="n">
        <v>17.3</v>
      </c>
      <c r="CE16" t="n">
        <v>17.9</v>
      </c>
      <c r="CF16" t="n">
        <v>18.7</v>
      </c>
      <c r="CG16" t="n">
        <v>19.6</v>
      </c>
      <c r="CH16" t="n">
        <v>20.9</v>
      </c>
      <c r="CI16" t="n">
        <v>22.1</v>
      </c>
      <c r="CJ16" t="n">
        <v>23.1</v>
      </c>
      <c r="CK16" t="n">
        <v>24.2</v>
      </c>
      <c r="CL16" t="n">
        <v>25</v>
      </c>
      <c r="CM16" t="n">
        <v>25.8</v>
      </c>
      <c r="CN16" t="n">
        <v>26.4</v>
      </c>
      <c r="CO16" t="n">
        <v>26.8</v>
      </c>
      <c r="CP16" t="n">
        <v>28</v>
      </c>
      <c r="CQ16" t="n">
        <v>28.3</v>
      </c>
      <c r="CR16" t="n">
        <v>28.7</v>
      </c>
      <c r="CS16" t="n">
        <v>29.2</v>
      </c>
      <c r="CT16" t="n">
        <v>30.1</v>
      </c>
      <c r="CU16" t="n">
        <v>30.7</v>
      </c>
      <c r="CV16" t="n">
        <v>31.2</v>
      </c>
      <c r="CW16" t="n">
        <v>31.6</v>
      </c>
      <c r="CX16" t="n">
        <v>31.9</v>
      </c>
      <c r="CY16" t="n">
        <v>32.3</v>
      </c>
      <c r="CZ16" t="n">
        <v>32.9</v>
      </c>
      <c r="DA16" t="n">
        <v>33.5</v>
      </c>
      <c r="DB16" t="n">
        <v>34</v>
      </c>
      <c r="DC16" t="n">
        <v>34.6</v>
      </c>
      <c r="DD16" t="n">
        <v>35.2</v>
      </c>
      <c r="DE16" t="n">
        <v>35.8</v>
      </c>
      <c r="DF16" t="n">
        <v>37.2</v>
      </c>
      <c r="DG16" t="n">
        <v>38</v>
      </c>
      <c r="DH16" t="n">
        <v>38.6</v>
      </c>
      <c r="DI16" t="n">
        <v>39</v>
      </c>
      <c r="DJ16" t="n">
        <v>39.1</v>
      </c>
      <c r="DK16" t="n">
        <v>39.3</v>
      </c>
      <c r="DL16" t="n">
        <v>40</v>
      </c>
      <c r="DM16" t="n">
        <v>41.1</v>
      </c>
      <c r="DN16" t="n">
        <v>42.3</v>
      </c>
      <c r="DO16" t="n">
        <v>43.5</v>
      </c>
      <c r="DP16" t="n">
        <v>44.7</v>
      </c>
      <c r="DQ16" t="n">
        <v>45.8</v>
      </c>
      <c r="DR16" t="n">
        <v>46.9</v>
      </c>
      <c r="DS16" t="n">
        <v>48.1</v>
      </c>
      <c r="DT16" t="n">
        <v>49.3</v>
      </c>
      <c r="DU16" t="n">
        <v>50.6</v>
      </c>
      <c r="DV16" t="n">
        <v>51.5</v>
      </c>
      <c r="DW16" t="n">
        <v>52.5</v>
      </c>
      <c r="DX16" t="n">
        <v>53.4</v>
      </c>
      <c r="DY16" t="n">
        <v>54.3</v>
      </c>
      <c r="DZ16" t="n">
        <v>55.2</v>
      </c>
      <c r="EA16" t="n">
        <v>56</v>
      </c>
      <c r="EB16" t="n">
        <v>56.8</v>
      </c>
      <c r="EC16" t="n">
        <v>57.6</v>
      </c>
      <c r="ED16" t="n">
        <v>58.5</v>
      </c>
      <c r="EE16" t="n">
        <v>59.7</v>
      </c>
      <c r="EF16" t="n">
        <v>61.1</v>
      </c>
      <c r="EG16" t="n">
        <v>62.7</v>
      </c>
      <c r="EH16" t="n">
        <v>64.8</v>
      </c>
      <c r="EI16" t="n">
        <v>66.4</v>
      </c>
      <c r="EJ16" t="n">
        <v>67.7</v>
      </c>
      <c r="EK16" t="n">
        <v>68.7</v>
      </c>
      <c r="EL16" t="n">
        <v>70.3</v>
      </c>
      <c r="EM16" t="n">
        <v>71.2</v>
      </c>
      <c r="EN16" t="n">
        <v>72.1</v>
      </c>
      <c r="EO16" t="n">
        <v>73</v>
      </c>
      <c r="EP16" t="n">
        <v>74.4</v>
      </c>
      <c r="EQ16" t="n">
        <v>74.9</v>
      </c>
      <c r="ER16" t="n">
        <v>75.5</v>
      </c>
      <c r="ES16" t="n">
        <v>76.3</v>
      </c>
      <c r="ET16" t="n">
        <v>78</v>
      </c>
      <c r="EU16" t="n">
        <v>78.8</v>
      </c>
      <c r="EV16" t="n">
        <v>79.6</v>
      </c>
      <c r="EW16" t="n">
        <v>80.3</v>
      </c>
      <c r="EX16" t="n">
        <v>80.5</v>
      </c>
      <c r="EY16" t="n">
        <v>81</v>
      </c>
      <c r="EZ16" t="n">
        <v>81.2</v>
      </c>
      <c r="FA16" t="n">
        <v>81.2</v>
      </c>
      <c r="FB16" t="n">
        <v>80.6</v>
      </c>
      <c r="FC16" t="n">
        <v>80.3</v>
      </c>
      <c r="FD16" t="n">
        <v>79.9</v>
      </c>
      <c r="FE16" t="n">
        <v>79.5</v>
      </c>
      <c r="FF16" t="n">
        <v>79.5</v>
      </c>
      <c r="FG16" t="n">
        <v>79.3</v>
      </c>
      <c r="FH16" t="n">
        <v>79.3</v>
      </c>
      <c r="FI16" t="n">
        <v>79.5</v>
      </c>
      <c r="FJ16" t="n">
        <v>80.4</v>
      </c>
      <c r="FK16" t="n">
        <v>81.5</v>
      </c>
      <c r="FL16" t="n">
        <v>82.7</v>
      </c>
      <c r="FM16" t="n">
        <v>84.1</v>
      </c>
      <c r="FN16" t="n">
        <v>85.2</v>
      </c>
      <c r="FO16" t="n">
        <v>86.3</v>
      </c>
      <c r="FP16" t="n">
        <v>86.9</v>
      </c>
      <c r="FQ16" t="n">
        <v>86.8</v>
      </c>
      <c r="FR16" t="n">
        <v>86.7</v>
      </c>
      <c r="FS16" t="n">
        <v>86.5</v>
      </c>
      <c r="FT16" t="n">
        <v>86.9</v>
      </c>
      <c r="FU16" t="n">
        <v>87.9</v>
      </c>
      <c r="FV16" t="n">
        <v>89.7</v>
      </c>
      <c r="FW16" t="n">
        <v>91.2</v>
      </c>
      <c r="FX16" t="n">
        <v>92.7</v>
      </c>
      <c r="FY16" t="n">
        <v>94.2</v>
      </c>
      <c r="FZ16" t="n">
        <v>97.5</v>
      </c>
      <c r="GA16" t="n">
        <v>98.6</v>
      </c>
      <c r="GB16" t="n">
        <v>99.4</v>
      </c>
      <c r="GC16" t="n">
        <v>99.9</v>
      </c>
      <c r="GD16" t="n">
        <v>101.3</v>
      </c>
      <c r="GE16" t="n">
        <v>101.5</v>
      </c>
      <c r="GF16" t="n">
        <v>101.8</v>
      </c>
      <c r="GG16" t="n">
        <v>102.1</v>
      </c>
      <c r="GH16" t="n">
        <v>103.2</v>
      </c>
      <c r="GI16" t="n">
        <v>103.9</v>
      </c>
      <c r="GJ16" t="n">
        <v>104.9</v>
      </c>
      <c r="GK16" t="n">
        <v>106.3</v>
      </c>
      <c r="GL16" t="n">
        <v>109.1</v>
      </c>
      <c r="GM16" t="n">
        <v>110.6</v>
      </c>
      <c r="GN16" t="n">
        <v>112</v>
      </c>
      <c r="GO16" t="n">
        <v>113.3</v>
      </c>
      <c r="GP16" t="n">
        <v>114.1</v>
      </c>
      <c r="GQ16" t="n">
        <v>114.7</v>
      </c>
      <c r="GR16" t="n">
        <v>114.9</v>
      </c>
      <c r="GS16" t="n">
        <v>114.6</v>
      </c>
      <c r="GT16" t="n">
        <v>107.5</v>
      </c>
      <c r="GU16" t="n">
        <v>108</v>
      </c>
      <c r="GV16" t="n">
        <v>109.5</v>
      </c>
      <c r="GW16" t="n">
        <v>112.3</v>
      </c>
      <c r="GX16" t="n">
        <v>118.1</v>
      </c>
      <c r="GY16" t="n">
        <v>121.5</v>
      </c>
      <c r="GZ16" t="n">
        <v>124.5</v>
      </c>
      <c r="HA16" t="n">
        <v>127</v>
      </c>
      <c r="HB16" t="n">
        <v>129.2</v>
      </c>
      <c r="HC16" t="n">
        <v>131</v>
      </c>
      <c r="HD16" t="n">
        <v>132.4</v>
      </c>
      <c r="HE16" t="n">
        <v>133.5</v>
      </c>
      <c r="HF16" t="n">
        <v>134.3</v>
      </c>
      <c r="HG16" t="n">
        <v>135.1</v>
      </c>
      <c r="HH16" t="n">
        <v>136</v>
      </c>
      <c r="HI16" t="n">
        <v>136.9</v>
      </c>
      <c r="HJ16" t="n">
        <v>137.9</v>
      </c>
      <c r="HK16" t="n">
        <v>139</v>
      </c>
      <c r="HL16" t="n">
        <v>140.3</v>
      </c>
      <c r="HM16" t="n">
        <v>141.7</v>
      </c>
      <c r="HN16" t="n">
        <v>143.2</v>
      </c>
      <c r="HO16" t="n">
        <v>144.7</v>
      </c>
    </row>
    <row r="17">
      <c r="A17" s="78" t="s">
        <v>2529</v>
      </c>
      <c r="B17" s="78" t="n">
        <v>104.6</v>
      </c>
      <c r="C17" s="78" t="n">
        <v>105.5</v>
      </c>
      <c r="D17" s="78" t="n">
        <v>100.7</v>
      </c>
      <c r="E17" s="78" t="n">
        <v>101.5</v>
      </c>
      <c r="F17" s="78" t="n">
        <v>98.3</v>
      </c>
      <c r="G17" s="78" t="n">
        <v>100.7</v>
      </c>
      <c r="H17" s="78" t="n">
        <v>102.3</v>
      </c>
      <c r="I17" s="78" t="n">
        <v>105.5</v>
      </c>
      <c r="J17" s="78" t="n">
        <v>119.8</v>
      </c>
      <c r="K17" s="78" t="n">
        <v>123.4</v>
      </c>
      <c r="L17" s="78" t="n">
        <v>124.3</v>
      </c>
      <c r="M17" s="78" t="n">
        <v>127.1</v>
      </c>
      <c r="N17" s="78" t="n">
        <v>126.4</v>
      </c>
      <c r="O17" s="78" t="n">
        <v>129.2</v>
      </c>
      <c r="P17" t="n">
        <v>134.1</v>
      </c>
      <c r="Q17" t="n">
        <v>140</v>
      </c>
      <c r="R17" t="n">
        <v>142.8</v>
      </c>
      <c r="S17" t="n">
        <v>148.9</v>
      </c>
      <c r="T17" t="n">
        <v>154.9</v>
      </c>
      <c r="U17" t="n">
        <v>157.6</v>
      </c>
      <c r="V17" t="n">
        <v>158</v>
      </c>
      <c r="W17" t="n">
        <v>121.1</v>
      </c>
      <c r="X17" t="n">
        <v>152.8</v>
      </c>
      <c r="Y17" t="n">
        <v>158.5</v>
      </c>
      <c r="Z17" t="n">
        <v>162.5</v>
      </c>
      <c r="AA17" t="n">
        <v>169.3</v>
      </c>
      <c r="AB17" t="n">
        <v>176.1</v>
      </c>
      <c r="AC17" t="n">
        <v>182.7</v>
      </c>
      <c r="AD17" t="n">
        <v>188.8</v>
      </c>
      <c r="AE17" t="n">
        <v>195.7</v>
      </c>
      <c r="AF17" t="n">
        <v>198.6</v>
      </c>
      <c r="AG17" t="n">
        <v>208.5</v>
      </c>
      <c r="AH17" t="n">
        <v>212</v>
      </c>
      <c r="AI17" t="n">
        <v>223.1</v>
      </c>
      <c r="AJ17" t="n">
        <v>236.3</v>
      </c>
      <c r="AK17" t="n">
        <v>247.2</v>
      </c>
      <c r="AL17" t="n">
        <v>253.6</v>
      </c>
      <c r="AM17" t="n">
        <v>262</v>
      </c>
      <c r="AN17" t="n">
        <v>274.8</v>
      </c>
      <c r="AO17" t="n">
        <v>285.2</v>
      </c>
      <c r="AP17" t="n">
        <v>284.8</v>
      </c>
      <c r="AQ17" t="n">
        <v>292.2</v>
      </c>
      <c r="AR17" t="n">
        <v>302.2</v>
      </c>
      <c r="AS17" t="n">
        <v>318.9</v>
      </c>
      <c r="AT17" t="n">
        <v>330.9</v>
      </c>
      <c r="AU17" t="n">
        <v>342.7</v>
      </c>
      <c r="AV17" t="n">
        <v>356.9</v>
      </c>
      <c r="AW17" t="n">
        <v>352.7</v>
      </c>
      <c r="AX17" t="n">
        <v>352.5</v>
      </c>
      <c r="AY17" t="n">
        <v>359.7</v>
      </c>
      <c r="AZ17" t="n">
        <v>350.1</v>
      </c>
      <c r="BA17" t="n">
        <v>356.6</v>
      </c>
      <c r="BB17" t="n">
        <v>350.9</v>
      </c>
      <c r="BC17" t="n">
        <v>359.6</v>
      </c>
      <c r="BD17" t="n">
        <v>345.4</v>
      </c>
      <c r="BE17" t="n">
        <v>355.7</v>
      </c>
      <c r="BF17" t="n">
        <v>361.2</v>
      </c>
      <c r="BG17" t="n">
        <v>370.4</v>
      </c>
      <c r="BH17" t="n">
        <v>384.1</v>
      </c>
      <c r="BI17" t="n">
        <v>395.9</v>
      </c>
      <c r="BJ17" t="n">
        <v>432.3</v>
      </c>
      <c r="BK17" t="n">
        <v>388.5</v>
      </c>
      <c r="BL17" t="n">
        <v>421.5</v>
      </c>
      <c r="BM17" t="n">
        <v>428.9</v>
      </c>
      <c r="BN17" t="n">
        <v>426.3</v>
      </c>
      <c r="BO17" t="n">
        <v>429.4</v>
      </c>
      <c r="BP17" t="n">
        <v>439.5</v>
      </c>
      <c r="BQ17" t="n">
        <v>456</v>
      </c>
      <c r="BR17" t="n">
        <v>450.7</v>
      </c>
      <c r="BS17" t="n">
        <v>511.7</v>
      </c>
      <c r="BT17" t="n">
        <v>489</v>
      </c>
      <c r="BU17" t="n">
        <v>507</v>
      </c>
      <c r="BV17" t="n">
        <v>502.1</v>
      </c>
      <c r="BW17" t="n">
        <v>497.8</v>
      </c>
      <c r="BX17" t="n">
        <v>506.7</v>
      </c>
      <c r="BY17" t="n">
        <v>517.2</v>
      </c>
      <c r="BZ17" t="n">
        <v>552.9</v>
      </c>
      <c r="CA17" t="n">
        <v>566.7</v>
      </c>
      <c r="CB17" t="n">
        <v>571.6</v>
      </c>
      <c r="CC17" t="n">
        <v>579.8</v>
      </c>
      <c r="CD17" t="n">
        <v>582.5</v>
      </c>
      <c r="CE17" t="n">
        <v>594.6</v>
      </c>
      <c r="CF17" t="n">
        <v>600.7</v>
      </c>
      <c r="CG17" t="n">
        <v>600.8</v>
      </c>
      <c r="CH17" t="n">
        <v>580.8</v>
      </c>
      <c r="CI17" t="n">
        <v>585.9</v>
      </c>
      <c r="CJ17" t="n">
        <v>590.2</v>
      </c>
      <c r="CK17" t="n">
        <v>598.7</v>
      </c>
      <c r="CL17" t="n">
        <v>588.9</v>
      </c>
      <c r="CM17" t="n">
        <v>607.2</v>
      </c>
      <c r="CN17" t="n">
        <v>616.2</v>
      </c>
      <c r="CO17" t="n">
        <v>638.9</v>
      </c>
      <c r="CP17" t="n">
        <v>617</v>
      </c>
      <c r="CQ17" t="n">
        <v>643.5</v>
      </c>
      <c r="CR17" t="n">
        <v>659.2</v>
      </c>
      <c r="CS17" t="n">
        <v>675.3</v>
      </c>
      <c r="CT17" t="n">
        <v>673.7</v>
      </c>
      <c r="CU17" t="n">
        <v>697.8</v>
      </c>
      <c r="CV17" t="n">
        <v>695.4</v>
      </c>
      <c r="CW17" t="n">
        <v>705.4</v>
      </c>
      <c r="CX17" t="n">
        <v>724.6</v>
      </c>
      <c r="CY17" t="n">
        <v>746.8</v>
      </c>
      <c r="CZ17" t="n">
        <v>752.2</v>
      </c>
      <c r="DA17" t="n">
        <v>770</v>
      </c>
      <c r="DB17" t="n">
        <v>801.7</v>
      </c>
      <c r="DC17" t="n">
        <v>839.6</v>
      </c>
      <c r="DD17" t="n">
        <v>843.5</v>
      </c>
      <c r="DE17" t="n">
        <v>863.5</v>
      </c>
      <c r="DF17" t="n">
        <v>902.1</v>
      </c>
      <c r="DG17" t="n">
        <v>916.2</v>
      </c>
      <c r="DH17" t="n">
        <v>941.1</v>
      </c>
      <c r="DI17" t="n">
        <v>967.8</v>
      </c>
      <c r="DJ17" t="n">
        <v>996.1</v>
      </c>
      <c r="DK17" t="n">
        <v>1022.4</v>
      </c>
      <c r="DL17" t="n">
        <v>1043.2</v>
      </c>
      <c r="DM17" t="n">
        <v>1068</v>
      </c>
      <c r="DN17" t="n">
        <v>1077.9</v>
      </c>
      <c r="DO17" t="n">
        <v>1095.2</v>
      </c>
      <c r="DP17" t="n">
        <v>1120.6</v>
      </c>
      <c r="DQ17" t="n">
        <v>1154</v>
      </c>
      <c r="DR17" t="n">
        <v>1208.8</v>
      </c>
      <c r="DS17" t="n">
        <v>1230.2</v>
      </c>
      <c r="DT17" t="n">
        <v>1247.7</v>
      </c>
      <c r="DU17" t="n">
        <v>1258.7</v>
      </c>
      <c r="DV17" t="n">
        <v>1301.9</v>
      </c>
      <c r="DW17" t="n">
        <v>1308.9</v>
      </c>
      <c r="DX17" t="n">
        <v>1113.6</v>
      </c>
      <c r="DY17" t="n">
        <v>1231.8</v>
      </c>
      <c r="DZ17" t="n">
        <v>1075.2</v>
      </c>
      <c r="EA17" t="n">
        <v>1051</v>
      </c>
      <c r="EB17" t="n">
        <v>1044.1</v>
      </c>
      <c r="EC17" t="n">
        <v>1038.4</v>
      </c>
      <c r="ED17" t="n">
        <v>1021.3</v>
      </c>
      <c r="EE17" t="n">
        <v>1020.8</v>
      </c>
      <c r="EF17" t="n">
        <v>950.7</v>
      </c>
      <c r="EG17" t="n">
        <v>1021.3</v>
      </c>
      <c r="EH17" t="n">
        <v>1012.3</v>
      </c>
      <c r="EI17" t="n">
        <v>1026.8</v>
      </c>
      <c r="EJ17" t="n">
        <v>1064.4</v>
      </c>
      <c r="EK17" t="n">
        <v>1091.6</v>
      </c>
      <c r="EL17" t="n">
        <v>1172.3</v>
      </c>
      <c r="EM17" t="n">
        <v>1196.3</v>
      </c>
      <c r="EN17" t="n">
        <v>1225.5</v>
      </c>
      <c r="EO17" t="n">
        <v>1255.8</v>
      </c>
      <c r="EP17" t="n">
        <v>1320.5</v>
      </c>
      <c r="EQ17" t="n">
        <v>1351.3</v>
      </c>
      <c r="ER17" t="n">
        <v>1358.6</v>
      </c>
      <c r="ES17" t="n">
        <v>1397.5</v>
      </c>
      <c r="ET17" t="n">
        <v>1466.5</v>
      </c>
      <c r="EU17" t="n">
        <v>1495.9</v>
      </c>
      <c r="EV17" t="n">
        <v>1498.9</v>
      </c>
      <c r="EW17" t="n">
        <v>1508.6</v>
      </c>
      <c r="EX17" t="n">
        <v>1535.1</v>
      </c>
      <c r="EY17" t="n">
        <v>1552.5</v>
      </c>
      <c r="EZ17" t="n">
        <v>1497.5</v>
      </c>
      <c r="FA17" t="n">
        <v>1444.9</v>
      </c>
      <c r="FB17" t="n">
        <v>1202.4</v>
      </c>
      <c r="FC17" t="n">
        <v>1131.1</v>
      </c>
      <c r="FD17" t="n">
        <v>1135.3</v>
      </c>
      <c r="FE17" t="n">
        <v>1140.7</v>
      </c>
      <c r="FF17" t="n">
        <v>1191.8</v>
      </c>
      <c r="FG17" t="n">
        <v>1213.2</v>
      </c>
      <c r="FH17" t="n">
        <v>1256.3</v>
      </c>
      <c r="FI17" t="n">
        <v>1289.1</v>
      </c>
      <c r="FJ17" t="n">
        <v>1426.6</v>
      </c>
      <c r="FK17" t="n">
        <v>1445.9</v>
      </c>
      <c r="FL17" t="n">
        <v>1471.4</v>
      </c>
      <c r="FM17" t="n">
        <v>1470.9</v>
      </c>
      <c r="FN17" t="n">
        <v>1468.3</v>
      </c>
      <c r="FO17" t="n">
        <v>1487.7</v>
      </c>
      <c r="FP17" t="n">
        <v>1510</v>
      </c>
      <c r="FQ17" t="n">
        <v>1572</v>
      </c>
      <c r="FR17" t="n">
        <v>1650.8</v>
      </c>
      <c r="FS17" t="n">
        <v>1683.9</v>
      </c>
      <c r="FT17" t="n">
        <v>1676.3</v>
      </c>
      <c r="FU17" t="n">
        <v>1699.1</v>
      </c>
      <c r="FV17" t="n">
        <v>1745.8</v>
      </c>
      <c r="FW17" t="n">
        <v>1759.5</v>
      </c>
      <c r="FX17" t="n">
        <v>1799.8</v>
      </c>
      <c r="FY17" t="n">
        <v>1837.7</v>
      </c>
      <c r="FZ17" t="n">
        <v>1905.6</v>
      </c>
      <c r="GA17" t="n">
        <v>1943.9</v>
      </c>
      <c r="GB17" t="n">
        <v>1948.3</v>
      </c>
      <c r="GC17" t="n">
        <v>1965.8</v>
      </c>
      <c r="GD17" t="n">
        <v>1925.3</v>
      </c>
      <c r="GE17" t="n">
        <v>1944</v>
      </c>
      <c r="GF17" t="n">
        <v>1972.5</v>
      </c>
      <c r="GG17" t="n">
        <v>1993.2</v>
      </c>
      <c r="GH17" t="n">
        <v>2004.2</v>
      </c>
      <c r="GI17" t="n">
        <v>2012.3</v>
      </c>
      <c r="GJ17" t="n">
        <v>2055.1</v>
      </c>
      <c r="GK17" t="n">
        <v>2123.7</v>
      </c>
      <c r="GL17" t="n">
        <v>2071.6</v>
      </c>
      <c r="GM17" t="n">
        <v>2058.1</v>
      </c>
      <c r="GN17" t="n">
        <v>2085.3</v>
      </c>
      <c r="GO17" t="n">
        <v>2081.6</v>
      </c>
      <c r="GP17" t="n">
        <v>2155.4</v>
      </c>
      <c r="GQ17" t="n">
        <v>2217.7</v>
      </c>
      <c r="GR17" t="n">
        <v>2195.3</v>
      </c>
      <c r="GS17" t="n">
        <v>2226.2</v>
      </c>
      <c r="GT17" t="n">
        <v>2247.7</v>
      </c>
      <c r="GU17" t="n">
        <v>2107.4</v>
      </c>
      <c r="GV17" t="n">
        <v>2248.2</v>
      </c>
      <c r="GW17" t="n">
        <v>2377.8</v>
      </c>
      <c r="GX17" t="n">
        <v>2547.7</v>
      </c>
      <c r="GY17" t="n">
        <v>2675.6</v>
      </c>
      <c r="GZ17" t="n">
        <v>2750</v>
      </c>
      <c r="HA17" t="n">
        <v>2847</v>
      </c>
      <c r="HB17" t="n">
        <v>3254.1</v>
      </c>
      <c r="HC17" t="n">
        <v>3297.4</v>
      </c>
      <c r="HD17" t="n">
        <v>3224.9</v>
      </c>
      <c r="HE17" t="n">
        <v>3203.3</v>
      </c>
      <c r="HF17" t="n">
        <v>2834.2</v>
      </c>
      <c r="HG17" t="n">
        <v>2828.4</v>
      </c>
      <c r="HH17" t="n">
        <v>2866</v>
      </c>
      <c r="HI17" t="n">
        <v>2894.3</v>
      </c>
      <c r="HJ17" t="n">
        <v>2965.6</v>
      </c>
      <c r="HK17" t="n">
        <v>3005.4</v>
      </c>
      <c r="HL17" t="n">
        <v>3054.2</v>
      </c>
      <c r="HM17" t="n">
        <v>3117.6</v>
      </c>
      <c r="HN17" t="n">
        <v>3192.3</v>
      </c>
      <c r="HO17" t="n">
        <v>3244.3</v>
      </c>
    </row>
    <row r="18">
      <c r="A18" s="78" t="s">
        <v>2530</v>
      </c>
      <c r="B18" s="78" t="n">
        <v>88.5</v>
      </c>
      <c r="C18" s="78" t="n">
        <v>90.5</v>
      </c>
      <c r="D18" s="78" t="n">
        <v>92.5</v>
      </c>
      <c r="E18" s="78" t="n">
        <v>94.1</v>
      </c>
      <c r="F18" s="78" t="n">
        <v>97.7</v>
      </c>
      <c r="G18" s="78" t="n">
        <v>98.9</v>
      </c>
      <c r="H18" s="78" t="n">
        <v>101.7</v>
      </c>
      <c r="I18" s="78" t="n">
        <v>103.7</v>
      </c>
      <c r="J18" s="78" t="n">
        <v>104.6</v>
      </c>
      <c r="K18" s="78" t="n">
        <v>106.8</v>
      </c>
      <c r="L18" s="78" t="n">
        <v>108.9</v>
      </c>
      <c r="M18" s="78" t="n">
        <v>111.5</v>
      </c>
      <c r="N18" s="78" t="n">
        <v>114.6</v>
      </c>
      <c r="O18" s="78" t="n">
        <v>116.2</v>
      </c>
      <c r="P18" t="n">
        <v>118.4</v>
      </c>
      <c r="Q18" t="n">
        <v>119.7</v>
      </c>
      <c r="R18" t="n">
        <v>120.8</v>
      </c>
      <c r="S18" t="n">
        <v>124.1</v>
      </c>
      <c r="T18" t="n">
        <v>127.1</v>
      </c>
      <c r="U18" t="n">
        <v>127.7</v>
      </c>
      <c r="V18" t="n">
        <v>128.8</v>
      </c>
      <c r="W18" t="n">
        <v>133</v>
      </c>
      <c r="X18" t="n">
        <v>138.2</v>
      </c>
      <c r="Y18" t="n">
        <v>141.1</v>
      </c>
      <c r="Z18" t="n">
        <v>141.7</v>
      </c>
      <c r="AA18" t="n">
        <v>144.9</v>
      </c>
      <c r="AB18" t="n">
        <v>147.7</v>
      </c>
      <c r="AC18" t="n">
        <v>151.3</v>
      </c>
      <c r="AD18" t="n">
        <v>154.8</v>
      </c>
      <c r="AE18" t="n">
        <v>158</v>
      </c>
      <c r="AF18" t="n">
        <v>161.5</v>
      </c>
      <c r="AG18" t="n">
        <v>164.3</v>
      </c>
      <c r="AH18" t="n">
        <v>166.9</v>
      </c>
      <c r="AI18" t="n">
        <v>173.1</v>
      </c>
      <c r="AJ18" t="n">
        <v>169.7</v>
      </c>
      <c r="AK18" t="n">
        <v>173.9</v>
      </c>
      <c r="AL18" t="n">
        <v>176.4</v>
      </c>
      <c r="AM18" t="n">
        <v>178.5</v>
      </c>
      <c r="AN18" t="n">
        <v>180.9</v>
      </c>
      <c r="AO18" t="n">
        <v>184.6</v>
      </c>
      <c r="AP18" t="n">
        <v>189.5</v>
      </c>
      <c r="AQ18" t="n">
        <v>196.9</v>
      </c>
      <c r="AR18" t="n">
        <v>204.3</v>
      </c>
      <c r="AS18" t="n">
        <v>210.6</v>
      </c>
      <c r="AT18" t="n">
        <v>230.8</v>
      </c>
      <c r="AU18" t="n">
        <v>235.5</v>
      </c>
      <c r="AV18" t="n">
        <v>237.5</v>
      </c>
      <c r="AW18" t="n">
        <v>238.8</v>
      </c>
      <c r="AX18" t="n">
        <v>237.4</v>
      </c>
      <c r="AY18" t="n">
        <v>238.3</v>
      </c>
      <c r="AZ18" t="n">
        <v>241.8</v>
      </c>
      <c r="BA18" t="n">
        <v>246.3</v>
      </c>
      <c r="BB18" t="n">
        <v>250.7</v>
      </c>
      <c r="BC18" t="n">
        <v>261.2</v>
      </c>
      <c r="BD18" t="n">
        <v>267.5</v>
      </c>
      <c r="BE18" t="n">
        <v>273.7</v>
      </c>
      <c r="BF18" t="n">
        <v>281.6</v>
      </c>
      <c r="BG18" t="n">
        <v>287.7</v>
      </c>
      <c r="BH18" t="n">
        <v>292.2</v>
      </c>
      <c r="BI18" t="n">
        <v>297.5</v>
      </c>
      <c r="BJ18" t="n">
        <v>301</v>
      </c>
      <c r="BK18" t="n">
        <v>305.7</v>
      </c>
      <c r="BL18" t="n">
        <v>311.9</v>
      </c>
      <c r="BM18" t="n">
        <v>313.9</v>
      </c>
      <c r="BN18" t="n">
        <v>317.5</v>
      </c>
      <c r="BO18" t="n">
        <v>319.5</v>
      </c>
      <c r="BP18" t="n">
        <v>326.2</v>
      </c>
      <c r="BQ18" t="n">
        <v>330.4</v>
      </c>
      <c r="BR18" t="n">
        <v>336</v>
      </c>
      <c r="BS18" t="n">
        <v>344.4</v>
      </c>
      <c r="BT18" t="n">
        <v>352.4</v>
      </c>
      <c r="BU18" t="n">
        <v>357.4</v>
      </c>
      <c r="BV18" t="n">
        <v>365.2</v>
      </c>
      <c r="BW18" t="n">
        <v>372.5</v>
      </c>
      <c r="BX18" t="n">
        <v>377.5</v>
      </c>
      <c r="BY18" t="n">
        <v>382.6</v>
      </c>
      <c r="BZ18" t="n">
        <v>391</v>
      </c>
      <c r="CA18" t="n">
        <v>397.5</v>
      </c>
      <c r="CB18" t="n">
        <v>403.9</v>
      </c>
      <c r="CC18" t="n">
        <v>403</v>
      </c>
      <c r="CD18" t="n">
        <v>419.5</v>
      </c>
      <c r="CE18" t="n">
        <v>419.5</v>
      </c>
      <c r="CF18" t="n">
        <v>426.8</v>
      </c>
      <c r="CG18" t="n">
        <v>434.2</v>
      </c>
      <c r="CH18" t="n">
        <v>444</v>
      </c>
      <c r="CI18" t="n">
        <v>451.6</v>
      </c>
      <c r="CJ18" t="n">
        <v>461.3</v>
      </c>
      <c r="CK18" t="n">
        <v>471.5</v>
      </c>
      <c r="CL18" t="n">
        <v>476.4</v>
      </c>
      <c r="CM18" t="n">
        <v>481.2</v>
      </c>
      <c r="CN18" t="n">
        <v>486</v>
      </c>
      <c r="CO18" t="n">
        <v>489.9</v>
      </c>
      <c r="CP18" t="n">
        <v>489.7</v>
      </c>
      <c r="CQ18" t="n">
        <v>497.6</v>
      </c>
      <c r="CR18" t="n">
        <v>504.9</v>
      </c>
      <c r="CS18" t="n">
        <v>520.3</v>
      </c>
      <c r="CT18" t="n">
        <v>531.5</v>
      </c>
      <c r="CU18" t="n">
        <v>544.4</v>
      </c>
      <c r="CV18" t="n">
        <v>550.5</v>
      </c>
      <c r="CW18" t="n">
        <v>554.6</v>
      </c>
      <c r="CX18" t="n">
        <v>555.3</v>
      </c>
      <c r="CY18" t="n">
        <v>553.6</v>
      </c>
      <c r="CZ18" t="n">
        <v>558.9</v>
      </c>
      <c r="DA18" t="n">
        <v>563.8</v>
      </c>
      <c r="DB18" t="n">
        <v>570.4</v>
      </c>
      <c r="DC18" t="n">
        <v>577.7</v>
      </c>
      <c r="DD18" t="n">
        <v>581.8</v>
      </c>
      <c r="DE18" t="n">
        <v>593.2</v>
      </c>
      <c r="DF18" t="n">
        <v>595.7</v>
      </c>
      <c r="DG18" t="n">
        <v>610.4</v>
      </c>
      <c r="DH18" t="n">
        <v>616.6</v>
      </c>
      <c r="DI18" t="n">
        <v>623.8</v>
      </c>
      <c r="DJ18" t="n">
        <v>629.1</v>
      </c>
      <c r="DK18" t="n">
        <v>635.5</v>
      </c>
      <c r="DL18" t="n">
        <v>643</v>
      </c>
      <c r="DM18" t="n">
        <v>650.3</v>
      </c>
      <c r="DN18" t="n">
        <v>657.5</v>
      </c>
      <c r="DO18" t="n">
        <v>667.1</v>
      </c>
      <c r="DP18" t="n">
        <v>679</v>
      </c>
      <c r="DQ18" t="n">
        <v>690.7</v>
      </c>
      <c r="DR18" t="n">
        <v>698.6</v>
      </c>
      <c r="DS18" t="n">
        <v>707.3</v>
      </c>
      <c r="DT18" t="n">
        <v>711.3</v>
      </c>
      <c r="DU18" t="n">
        <v>717.1</v>
      </c>
      <c r="DV18" t="n">
        <v>724.2</v>
      </c>
      <c r="DW18" t="n">
        <v>724.1</v>
      </c>
      <c r="DX18" t="n">
        <v>725.3</v>
      </c>
      <c r="DY18" t="n">
        <v>737.1</v>
      </c>
      <c r="DZ18" t="n">
        <v>744</v>
      </c>
      <c r="EA18" t="n">
        <v>751.3</v>
      </c>
      <c r="EB18" t="n">
        <v>768.5</v>
      </c>
      <c r="EC18" t="n">
        <v>776.3</v>
      </c>
      <c r="ED18" t="n">
        <v>788.6</v>
      </c>
      <c r="EE18" t="n">
        <v>800</v>
      </c>
      <c r="EF18" t="n">
        <v>813</v>
      </c>
      <c r="EG18" t="n">
        <v>820.9</v>
      </c>
      <c r="EH18" t="n">
        <v>847.3</v>
      </c>
      <c r="EI18" t="n">
        <v>859.9</v>
      </c>
      <c r="EJ18" t="n">
        <v>871.3</v>
      </c>
      <c r="EK18" t="n">
        <v>893.8</v>
      </c>
      <c r="EL18" t="n">
        <v>915.1</v>
      </c>
      <c r="EM18" t="n">
        <v>937.3</v>
      </c>
      <c r="EN18" t="n">
        <v>952.1</v>
      </c>
      <c r="EO18" t="n">
        <v>965.3</v>
      </c>
      <c r="EP18" t="n">
        <v>981.8</v>
      </c>
      <c r="EQ18" t="n">
        <v>991.7</v>
      </c>
      <c r="ER18" t="n">
        <v>1004.1</v>
      </c>
      <c r="ES18" t="n">
        <v>1010.5</v>
      </c>
      <c r="ET18" t="n">
        <v>1025.9</v>
      </c>
      <c r="EU18" t="n">
        <v>1033.1</v>
      </c>
      <c r="EV18" t="n">
        <v>1035.8</v>
      </c>
      <c r="EW18" t="n">
        <v>1052.6</v>
      </c>
      <c r="EX18" t="n">
        <v>1045.7</v>
      </c>
      <c r="EY18" t="n">
        <v>1054.7</v>
      </c>
      <c r="EZ18" t="n">
        <v>1058.5</v>
      </c>
      <c r="FA18" t="n">
        <v>1040</v>
      </c>
      <c r="FB18" t="n">
        <v>1015.9</v>
      </c>
      <c r="FC18" t="n">
        <v>1017.3</v>
      </c>
      <c r="FD18" t="n">
        <v>1028.8</v>
      </c>
      <c r="FE18" t="n">
        <v>1045.3</v>
      </c>
      <c r="FF18" t="n">
        <v>1044.6</v>
      </c>
      <c r="FG18" t="n">
        <v>1062.1</v>
      </c>
      <c r="FH18" t="n">
        <v>1069.1</v>
      </c>
      <c r="FI18" t="n">
        <v>1076.4</v>
      </c>
      <c r="FJ18" t="n">
        <v>1091.5</v>
      </c>
      <c r="FK18" t="n">
        <v>1105.5</v>
      </c>
      <c r="FL18" t="n">
        <v>1103.9</v>
      </c>
      <c r="FM18" t="n">
        <v>1114</v>
      </c>
      <c r="FN18" t="n">
        <v>1130.9</v>
      </c>
      <c r="FO18" t="n">
        <v>1133.9</v>
      </c>
      <c r="FP18" t="n">
        <v>1131.3</v>
      </c>
      <c r="FQ18" t="n">
        <v>1148.4</v>
      </c>
      <c r="FR18" t="n">
        <v>1175.4</v>
      </c>
      <c r="FS18" t="n">
        <v>1179.4</v>
      </c>
      <c r="FT18" t="n">
        <v>1190.2</v>
      </c>
      <c r="FU18" t="n">
        <v>1198.3</v>
      </c>
      <c r="FV18" t="n">
        <v>1215.9</v>
      </c>
      <c r="FW18" t="n">
        <v>1234.8</v>
      </c>
      <c r="FX18" t="n">
        <v>1245.6</v>
      </c>
      <c r="FY18" t="n">
        <v>1254.4</v>
      </c>
      <c r="FZ18" t="n">
        <v>1259.1</v>
      </c>
      <c r="GA18" t="n">
        <v>1270.9</v>
      </c>
      <c r="GB18" t="n">
        <v>1275.8</v>
      </c>
      <c r="GC18" t="n">
        <v>1288</v>
      </c>
      <c r="GD18" t="n">
        <v>1292.5</v>
      </c>
      <c r="GE18" t="n">
        <v>1297.5</v>
      </c>
      <c r="GF18" t="n">
        <v>1320.1</v>
      </c>
      <c r="GG18" t="n">
        <v>1326.4</v>
      </c>
      <c r="GH18" t="n">
        <v>1336.9</v>
      </c>
      <c r="GI18" t="n">
        <v>1353.5</v>
      </c>
      <c r="GJ18" t="n">
        <v>1372</v>
      </c>
      <c r="GK18" t="n">
        <v>1393.5</v>
      </c>
      <c r="GL18" t="n">
        <v>1423.3</v>
      </c>
      <c r="GM18" t="n">
        <v>1440.9</v>
      </c>
      <c r="GN18" t="n">
        <v>1463.6</v>
      </c>
      <c r="GO18" t="n">
        <v>1500.6</v>
      </c>
      <c r="GP18" t="n">
        <v>1508.3</v>
      </c>
      <c r="GQ18" t="n">
        <v>1520.2</v>
      </c>
      <c r="GR18" t="n">
        <v>1553.6</v>
      </c>
      <c r="GS18" t="n">
        <v>1552.4</v>
      </c>
      <c r="GT18" t="n">
        <v>1557.2</v>
      </c>
      <c r="GU18" t="n">
        <v>1418</v>
      </c>
      <c r="GV18" t="n">
        <v>1539.4</v>
      </c>
      <c r="GW18" t="n">
        <v>1570.4</v>
      </c>
      <c r="GX18" t="n">
        <v>1598.3</v>
      </c>
      <c r="GY18" t="n">
        <v>1704.8</v>
      </c>
      <c r="GZ18" t="n">
        <v>1722.1</v>
      </c>
      <c r="HA18" t="n">
        <v>1775.1</v>
      </c>
      <c r="HB18" t="n">
        <v>1812.4</v>
      </c>
      <c r="HC18" t="n">
        <v>1853.2</v>
      </c>
      <c r="HD18" t="n">
        <v>1868.5</v>
      </c>
      <c r="HE18" t="n">
        <v>1866.9</v>
      </c>
      <c r="HF18" t="n">
        <v>1877.4</v>
      </c>
      <c r="HG18" t="n">
        <v>1885.2</v>
      </c>
      <c r="HH18" t="n">
        <v>1896.2</v>
      </c>
      <c r="HI18" t="n">
        <v>1913.6</v>
      </c>
      <c r="HJ18" t="n">
        <v>1938</v>
      </c>
      <c r="HK18" t="n">
        <v>1954.7</v>
      </c>
      <c r="HL18" t="n">
        <v>1975.9</v>
      </c>
      <c r="HM18" t="n">
        <v>2004.2</v>
      </c>
      <c r="HN18" t="n">
        <v>2037.2</v>
      </c>
      <c r="HO18" t="n">
        <v>2234.7</v>
      </c>
    </row>
    <row r="19">
      <c r="A19" s="78" t="s">
        <v>2531</v>
      </c>
      <c r="B19" s="78" t="n">
        <v>30.7</v>
      </c>
      <c r="C19" s="78" t="n">
        <v>30.8</v>
      </c>
      <c r="D19" s="78" t="n">
        <v>31.7</v>
      </c>
      <c r="E19" s="78" t="n">
        <v>30.2</v>
      </c>
      <c r="F19" s="78" t="n">
        <v>34</v>
      </c>
      <c r="G19" s="78" t="n">
        <v>34.9</v>
      </c>
      <c r="H19" s="78" t="n">
        <v>34.1</v>
      </c>
      <c r="I19" s="78" t="n">
        <v>34.6</v>
      </c>
      <c r="J19" s="78" t="n">
        <v>36.8</v>
      </c>
      <c r="K19" s="78" t="n">
        <v>37.1</v>
      </c>
      <c r="L19" s="78" t="n">
        <v>38.3</v>
      </c>
      <c r="M19" s="78" t="n">
        <v>42.4</v>
      </c>
      <c r="N19" s="78" t="n">
        <v>45.3</v>
      </c>
      <c r="O19" t="n">
        <v>45.4</v>
      </c>
      <c r="P19" t="n">
        <v>43.4</v>
      </c>
      <c r="Q19" t="n">
        <v>45.6</v>
      </c>
      <c r="R19" t="n">
        <v>43.7</v>
      </c>
      <c r="S19" t="n">
        <v>45.9</v>
      </c>
      <c r="T19" t="n">
        <v>50.8</v>
      </c>
      <c r="U19" t="n">
        <v>44.6</v>
      </c>
      <c r="V19" t="n">
        <v>37.6</v>
      </c>
      <c r="W19" t="n">
        <v>40.8</v>
      </c>
      <c r="X19" t="n">
        <v>51.4</v>
      </c>
      <c r="Y19" t="n">
        <v>52.3</v>
      </c>
      <c r="Z19" t="n">
        <v>59.6</v>
      </c>
      <c r="AA19" t="n">
        <v>58.6</v>
      </c>
      <c r="AB19" t="n">
        <v>58.1</v>
      </c>
      <c r="AC19" t="n">
        <v>57.1</v>
      </c>
      <c r="AD19" t="n">
        <v>61.5</v>
      </c>
      <c r="AE19" t="n">
        <v>67.1</v>
      </c>
      <c r="AF19" t="n">
        <v>69.7</v>
      </c>
      <c r="AG19" t="n">
        <v>70.1</v>
      </c>
      <c r="AH19" t="n">
        <v>65</v>
      </c>
      <c r="AI19" t="n">
        <v>78.6</v>
      </c>
      <c r="AJ19" t="n">
        <v>79.1</v>
      </c>
      <c r="AK19" t="n">
        <v>83.3</v>
      </c>
      <c r="AL19" t="n">
        <v>80.3</v>
      </c>
      <c r="AM19" t="n">
        <v>80.3</v>
      </c>
      <c r="AN19" t="n">
        <v>78.9</v>
      </c>
      <c r="AO19" t="n">
        <v>75.3</v>
      </c>
      <c r="AP19" t="n">
        <v>83.1</v>
      </c>
      <c r="AQ19" t="n">
        <v>62.6</v>
      </c>
      <c r="AR19" t="n">
        <v>69.9</v>
      </c>
      <c r="AS19" t="n">
        <v>76.8</v>
      </c>
      <c r="AT19" t="n">
        <v>75.4</v>
      </c>
      <c r="AU19" t="n">
        <v>65.9</v>
      </c>
      <c r="AV19" t="n">
        <v>68.4</v>
      </c>
      <c r="AW19" t="n">
        <v>58.9</v>
      </c>
      <c r="AX19" t="n">
        <v>47.6</v>
      </c>
      <c r="AY19" t="n">
        <v>49</v>
      </c>
      <c r="AZ19" t="n">
        <v>49.8</v>
      </c>
      <c r="BA19" t="n">
        <v>45.1</v>
      </c>
      <c r="BB19" t="n">
        <v>47.1</v>
      </c>
      <c r="BC19" t="n">
        <v>61.9</v>
      </c>
      <c r="BD19" t="n">
        <v>70.7</v>
      </c>
      <c r="BE19" t="n">
        <v>72.4</v>
      </c>
      <c r="BF19" t="n">
        <v>84.9</v>
      </c>
      <c r="BG19" t="n">
        <v>83.7</v>
      </c>
      <c r="BH19" t="n">
        <v>71.3</v>
      </c>
      <c r="BI19" t="n">
        <v>72.1</v>
      </c>
      <c r="BJ19" t="n">
        <v>77.7</v>
      </c>
      <c r="BK19" t="n">
        <v>76</v>
      </c>
      <c r="BL19" t="n">
        <v>81.7</v>
      </c>
      <c r="BM19" t="n">
        <v>79.5</v>
      </c>
      <c r="BN19" t="n">
        <v>84.4</v>
      </c>
      <c r="BO19" t="n">
        <v>85.5</v>
      </c>
      <c r="BP19" t="n">
        <v>86.9</v>
      </c>
      <c r="BQ19" t="n">
        <v>97.9</v>
      </c>
      <c r="BR19" t="n">
        <v>98.7</v>
      </c>
      <c r="BS19" t="n">
        <v>111.8</v>
      </c>
      <c r="BT19" t="n">
        <v>116.2</v>
      </c>
      <c r="BU19" t="n">
        <v>110.7</v>
      </c>
      <c r="BV19" t="n">
        <v>108</v>
      </c>
      <c r="BW19" t="n">
        <v>115.3</v>
      </c>
      <c r="BX19" t="n">
        <v>125.1</v>
      </c>
      <c r="BY19" t="n">
        <v>130.9</v>
      </c>
      <c r="BZ19" t="n">
        <v>132.7</v>
      </c>
      <c r="CA19" t="n">
        <v>118.7</v>
      </c>
      <c r="CB19" t="n">
        <v>114.4</v>
      </c>
      <c r="CC19" t="n">
        <v>113.5</v>
      </c>
      <c r="CD19" t="n">
        <v>112.5</v>
      </c>
      <c r="CE19" t="n">
        <v>116.8</v>
      </c>
      <c r="CF19" t="n">
        <v>119.9</v>
      </c>
      <c r="CG19" t="n">
        <v>118.8</v>
      </c>
      <c r="CH19" t="n">
        <v>115.3</v>
      </c>
      <c r="CI19" t="n">
        <v>110.9</v>
      </c>
      <c r="CJ19" t="n">
        <v>111.9</v>
      </c>
      <c r="CK19" t="n">
        <v>113.1</v>
      </c>
      <c r="CL19" t="n">
        <v>125</v>
      </c>
      <c r="CM19" t="n">
        <v>126.8</v>
      </c>
      <c r="CN19" t="n">
        <v>122.1</v>
      </c>
      <c r="CO19" t="n">
        <v>131.6</v>
      </c>
      <c r="CP19" t="n">
        <v>136.4</v>
      </c>
      <c r="CQ19" t="n">
        <v>148.7</v>
      </c>
      <c r="CR19" t="n">
        <v>140.7</v>
      </c>
      <c r="CS19" t="n">
        <v>171.9</v>
      </c>
      <c r="CT19" t="n">
        <v>149.5</v>
      </c>
      <c r="CU19" t="n">
        <v>158</v>
      </c>
      <c r="CV19" t="n">
        <v>173.8</v>
      </c>
      <c r="CW19" t="n">
        <v>183.6</v>
      </c>
      <c r="CX19" t="n">
        <v>187.8</v>
      </c>
      <c r="CY19" t="n">
        <v>184.4</v>
      </c>
      <c r="CZ19" t="n">
        <v>191</v>
      </c>
      <c r="DA19" t="n">
        <v>187.1</v>
      </c>
      <c r="DB19" t="n">
        <v>194.3</v>
      </c>
      <c r="DC19" t="n">
        <v>205.5</v>
      </c>
      <c r="DD19" t="n">
        <v>205.9</v>
      </c>
      <c r="DE19" t="n">
        <v>208.6</v>
      </c>
      <c r="DF19" t="n">
        <v>210</v>
      </c>
      <c r="DG19" t="n">
        <v>214</v>
      </c>
      <c r="DH19" t="n">
        <v>226</v>
      </c>
      <c r="DI19" t="n">
        <v>215.9</v>
      </c>
      <c r="DJ19" t="n">
        <v>213.5</v>
      </c>
      <c r="DK19" t="n">
        <v>209.9</v>
      </c>
      <c r="DL19" t="n">
        <v>215.8</v>
      </c>
      <c r="DM19" t="n">
        <v>211.3</v>
      </c>
      <c r="DN19" t="n">
        <v>222.3</v>
      </c>
      <c r="DO19" t="n">
        <v>219.9</v>
      </c>
      <c r="DP19" t="n">
        <v>223.3</v>
      </c>
      <c r="DQ19" t="n">
        <v>228</v>
      </c>
      <c r="DR19" t="n">
        <v>239.4</v>
      </c>
      <c r="DS19" t="n">
        <v>237.6</v>
      </c>
      <c r="DT19" t="n">
        <v>219</v>
      </c>
      <c r="DU19" t="n">
        <v>221.3</v>
      </c>
      <c r="DV19" t="n">
        <v>185.1</v>
      </c>
      <c r="DW19" t="n">
        <v>179</v>
      </c>
      <c r="DX19" t="n">
        <v>159.3</v>
      </c>
      <c r="DY19" t="n">
        <v>142.4</v>
      </c>
      <c r="DZ19" t="n">
        <v>143.8</v>
      </c>
      <c r="EA19" t="n">
        <v>150</v>
      </c>
      <c r="EB19" t="n">
        <v>158</v>
      </c>
      <c r="EC19" t="n">
        <v>175.5</v>
      </c>
      <c r="ED19" t="n">
        <v>196.1</v>
      </c>
      <c r="EE19" t="n">
        <v>192.6</v>
      </c>
      <c r="EF19" t="n">
        <v>213.9</v>
      </c>
      <c r="EG19" t="n">
        <v>236.6</v>
      </c>
      <c r="EH19" t="n">
        <v>247</v>
      </c>
      <c r="EI19" t="n">
        <v>266.8</v>
      </c>
      <c r="EJ19" t="n">
        <v>288.3</v>
      </c>
      <c r="EK19" t="n">
        <v>293.6</v>
      </c>
      <c r="EL19" t="n">
        <v>370.6</v>
      </c>
      <c r="EM19" t="n">
        <v>359</v>
      </c>
      <c r="EN19" t="n">
        <v>365.2</v>
      </c>
      <c r="EO19" t="n">
        <v>402.9</v>
      </c>
      <c r="EP19" t="n">
        <v>416.9</v>
      </c>
      <c r="EQ19" t="n">
        <v>427.6</v>
      </c>
      <c r="ER19" t="n">
        <v>446.6</v>
      </c>
      <c r="ES19" t="n">
        <v>409.8</v>
      </c>
      <c r="ET19" t="n">
        <v>413.6</v>
      </c>
      <c r="EU19" t="n">
        <v>407.2</v>
      </c>
      <c r="EV19" t="n">
        <v>370.9</v>
      </c>
      <c r="EW19" t="n">
        <v>352.7</v>
      </c>
      <c r="EX19" t="n">
        <v>291.9</v>
      </c>
      <c r="EY19" t="n">
        <v>278.7</v>
      </c>
      <c r="EZ19" t="n">
        <v>264.4</v>
      </c>
      <c r="FA19" t="n">
        <v>162.6</v>
      </c>
      <c r="FB19" t="n">
        <v>166.5</v>
      </c>
      <c r="FC19" t="n">
        <v>188.6</v>
      </c>
      <c r="FD19" t="n">
        <v>200.7</v>
      </c>
      <c r="FE19" t="n">
        <v>234.2</v>
      </c>
      <c r="FF19" t="n">
        <v>249.8</v>
      </c>
      <c r="FG19" t="n">
        <v>255.6</v>
      </c>
      <c r="FH19" t="n">
        <v>272.6</v>
      </c>
      <c r="FI19" t="n">
        <v>284</v>
      </c>
      <c r="FJ19" t="n">
        <v>277.3</v>
      </c>
      <c r="FK19" t="n">
        <v>276.9</v>
      </c>
      <c r="FL19" t="n">
        <v>248.2</v>
      </c>
      <c r="FM19" t="n">
        <v>287</v>
      </c>
      <c r="FN19" t="n">
        <v>310.7</v>
      </c>
      <c r="FO19" t="n">
        <v>325</v>
      </c>
      <c r="FP19" t="n">
        <v>332.9</v>
      </c>
      <c r="FQ19" t="n">
        <v>332.8</v>
      </c>
      <c r="FR19" t="n">
        <v>350.6</v>
      </c>
      <c r="FS19" t="n">
        <v>347.2</v>
      </c>
      <c r="FT19" t="n">
        <v>353.9</v>
      </c>
      <c r="FU19" t="n">
        <v>356.6</v>
      </c>
      <c r="FV19" t="n">
        <v>392.6</v>
      </c>
      <c r="FW19" t="n">
        <v>414.3</v>
      </c>
      <c r="FX19" t="n">
        <v>386.7</v>
      </c>
      <c r="FY19" t="n">
        <v>390.4</v>
      </c>
      <c r="FZ19" t="n">
        <v>402.7</v>
      </c>
      <c r="GA19" t="n">
        <v>408.3</v>
      </c>
      <c r="GB19" t="n">
        <v>380.2</v>
      </c>
      <c r="GC19" t="n">
        <v>349.3</v>
      </c>
      <c r="GD19" t="n">
        <v>364.1</v>
      </c>
      <c r="GE19" t="n">
        <v>367.1</v>
      </c>
      <c r="GF19" t="n">
        <v>375.5</v>
      </c>
      <c r="GG19" t="n">
        <v>353.4</v>
      </c>
      <c r="GH19" t="n">
        <v>266.9</v>
      </c>
      <c r="GI19" t="n">
        <v>279.6</v>
      </c>
      <c r="GJ19" t="n">
        <v>295.7</v>
      </c>
      <c r="GK19" t="n">
        <v>296.9</v>
      </c>
      <c r="GL19" t="n">
        <v>270.4</v>
      </c>
      <c r="GM19" t="n">
        <v>289.5</v>
      </c>
      <c r="GN19" t="n">
        <v>287.1</v>
      </c>
      <c r="GO19" t="n">
        <v>293.3</v>
      </c>
      <c r="GP19" t="n">
        <v>269.2</v>
      </c>
      <c r="GQ19" t="n">
        <v>282.4</v>
      </c>
      <c r="GR19" t="n">
        <v>281</v>
      </c>
      <c r="GS19" t="n">
        <v>302.2</v>
      </c>
      <c r="GT19" t="n">
        <v>255.9</v>
      </c>
      <c r="GU19" t="n">
        <v>266</v>
      </c>
      <c r="GV19" t="n">
        <v>340.1</v>
      </c>
      <c r="GW19" t="n">
        <v>333.6</v>
      </c>
      <c r="GX19" t="n">
        <v>373.1</v>
      </c>
      <c r="GY19" t="n">
        <v>437.6</v>
      </c>
      <c r="GZ19" t="n">
        <v>463.9</v>
      </c>
      <c r="HA19" t="n">
        <v>526</v>
      </c>
      <c r="HB19" t="n">
        <v>550.4</v>
      </c>
      <c r="HC19" t="n">
        <v>574.7</v>
      </c>
      <c r="HD19" t="n">
        <v>561.2</v>
      </c>
      <c r="HE19" t="n">
        <v>569.1</v>
      </c>
      <c r="HF19" t="n">
        <v>592.9</v>
      </c>
      <c r="HG19" t="n">
        <v>591.9</v>
      </c>
      <c r="HH19" t="n">
        <v>617.8</v>
      </c>
      <c r="HI19" t="n">
        <v>631.7</v>
      </c>
      <c r="HJ19" t="n">
        <v>630.3</v>
      </c>
      <c r="HK19" t="n">
        <v>657.4</v>
      </c>
      <c r="HL19" t="n">
        <v>655.7</v>
      </c>
      <c r="HM19" t="n">
        <v>676.2</v>
      </c>
      <c r="HN19" t="n">
        <v>694.5</v>
      </c>
      <c r="HO19" t="n">
        <v>696.6</v>
      </c>
    </row>
    <row r="20">
      <c r="A20" s="78" t="s">
        <v>2532</v>
      </c>
      <c r="B20" s="78" t="n">
        <v>247.9</v>
      </c>
      <c r="C20" s="78" t="n">
        <v>249.1</v>
      </c>
      <c r="D20" s="78" t="n">
        <v>254.6</v>
      </c>
      <c r="E20" s="78" t="n">
        <v>258.7</v>
      </c>
      <c r="F20" s="78" t="n">
        <v>261.9</v>
      </c>
      <c r="G20" s="78" t="n">
        <v>266.1</v>
      </c>
      <c r="H20" s="78" t="n">
        <v>269.8</v>
      </c>
      <c r="I20" s="78" t="n">
        <v>272.1</v>
      </c>
      <c r="J20" s="78" t="n">
        <v>282.2</v>
      </c>
      <c r="K20" s="78" t="n">
        <v>286.5</v>
      </c>
      <c r="L20" s="78" t="n">
        <v>284.3</v>
      </c>
      <c r="M20" s="78" t="n">
        <v>291.7</v>
      </c>
      <c r="N20" s="78" t="n">
        <v>299.6</v>
      </c>
      <c r="O20" s="78" t="n">
        <v>302.7</v>
      </c>
      <c r="P20" t="n">
        <v>304.2</v>
      </c>
      <c r="Q20" t="n">
        <v>312.6</v>
      </c>
      <c r="R20" t="n">
        <v>324.6</v>
      </c>
      <c r="S20" t="n">
        <v>335</v>
      </c>
      <c r="T20" t="n">
        <v>346.7</v>
      </c>
      <c r="U20" t="n">
        <v>359.2</v>
      </c>
      <c r="V20" t="n">
        <v>370.1</v>
      </c>
      <c r="W20" t="n">
        <v>373.4</v>
      </c>
      <c r="X20" t="n">
        <v>385.4</v>
      </c>
      <c r="Y20" t="n">
        <v>395.6</v>
      </c>
      <c r="Z20" t="n">
        <v>401.3</v>
      </c>
      <c r="AA20" t="n">
        <v>401</v>
      </c>
      <c r="AB20" t="n">
        <v>403.5</v>
      </c>
      <c r="AC20" t="n">
        <v>410.8</v>
      </c>
      <c r="AD20" t="n">
        <v>421.2</v>
      </c>
      <c r="AE20" t="n">
        <v>431.4</v>
      </c>
      <c r="AF20" t="n">
        <v>438</v>
      </c>
      <c r="AG20" t="n">
        <v>446.7</v>
      </c>
      <c r="AH20" t="n">
        <v>452.6</v>
      </c>
      <c r="AI20" t="n">
        <v>472.3</v>
      </c>
      <c r="AJ20" t="n">
        <v>484.2</v>
      </c>
      <c r="AK20" t="n">
        <v>496.2</v>
      </c>
      <c r="AL20" t="n">
        <v>501.8</v>
      </c>
      <c r="AM20" t="n">
        <v>516.5</v>
      </c>
      <c r="AN20" t="n">
        <v>533.1</v>
      </c>
      <c r="AO20" t="n">
        <v>547.8</v>
      </c>
      <c r="AP20" t="n">
        <v>568.8</v>
      </c>
      <c r="AQ20" t="n">
        <v>588.5</v>
      </c>
      <c r="AR20" t="n">
        <v>592.2</v>
      </c>
      <c r="AS20" t="n">
        <v>608.9</v>
      </c>
      <c r="AT20" t="n">
        <v>633.4</v>
      </c>
      <c r="AU20" t="n">
        <v>648.7</v>
      </c>
      <c r="AV20" t="n">
        <v>657.8</v>
      </c>
      <c r="AW20" t="n">
        <v>677.7</v>
      </c>
      <c r="AX20" t="n">
        <v>688.1</v>
      </c>
      <c r="AY20" t="n">
        <v>703.1</v>
      </c>
      <c r="AZ20" t="n">
        <v>717.3</v>
      </c>
      <c r="BA20" t="n">
        <v>737.4</v>
      </c>
      <c r="BB20" t="n">
        <v>747.9</v>
      </c>
      <c r="BC20" t="n">
        <v>761.1</v>
      </c>
      <c r="BD20" t="n">
        <v>782.2</v>
      </c>
      <c r="BE20" t="n">
        <v>775.1</v>
      </c>
      <c r="BF20" t="n">
        <v>794</v>
      </c>
      <c r="BG20" t="n">
        <v>819.1</v>
      </c>
      <c r="BH20" t="n">
        <v>835.7</v>
      </c>
      <c r="BI20" t="n">
        <v>862.8</v>
      </c>
      <c r="BJ20" t="n">
        <v>875.6</v>
      </c>
      <c r="BK20" t="n">
        <v>900.5</v>
      </c>
      <c r="BL20" t="n">
        <v>927.4</v>
      </c>
      <c r="BM20" t="n">
        <v>938.6</v>
      </c>
      <c r="BN20" t="n">
        <v>946.8</v>
      </c>
      <c r="BO20" t="n">
        <v>967.5</v>
      </c>
      <c r="BP20" t="n">
        <v>993.6</v>
      </c>
      <c r="BQ20" t="n">
        <v>996.4</v>
      </c>
      <c r="BR20" t="n">
        <v>1008.7</v>
      </c>
      <c r="BS20" t="n">
        <v>1025.2</v>
      </c>
      <c r="BT20" t="n">
        <v>1036.2</v>
      </c>
      <c r="BU20" t="n">
        <v>1056</v>
      </c>
      <c r="BV20" t="n">
        <v>1056.9</v>
      </c>
      <c r="BW20" t="n">
        <v>1070.4</v>
      </c>
      <c r="BX20" t="n">
        <v>1078.2</v>
      </c>
      <c r="BY20" t="n">
        <v>1109.9</v>
      </c>
      <c r="BZ20" t="n">
        <v>1116.6</v>
      </c>
      <c r="CA20" t="n">
        <v>1145.8</v>
      </c>
      <c r="CB20" t="n">
        <v>1164.6</v>
      </c>
      <c r="CC20" t="n">
        <v>1180.5</v>
      </c>
      <c r="CD20" t="n">
        <v>1212.5</v>
      </c>
      <c r="CE20" t="n">
        <v>1230.7</v>
      </c>
      <c r="CF20" t="n">
        <v>1242.6</v>
      </c>
      <c r="CG20" t="n">
        <v>1268.5</v>
      </c>
      <c r="CH20" t="n">
        <v>1284.2</v>
      </c>
      <c r="CI20" t="n">
        <v>1296.6</v>
      </c>
      <c r="CJ20" t="n">
        <v>1306.3</v>
      </c>
      <c r="CK20" t="n">
        <v>1308.8</v>
      </c>
      <c r="CL20" t="n">
        <v>1326.4</v>
      </c>
      <c r="CM20" t="n">
        <v>1334.8</v>
      </c>
      <c r="CN20" t="n">
        <v>1354</v>
      </c>
      <c r="CO20" t="n">
        <v>1362.8</v>
      </c>
      <c r="CP20" t="n">
        <v>1351.8</v>
      </c>
      <c r="CQ20" t="n">
        <v>1359.1</v>
      </c>
      <c r="CR20" t="n">
        <v>1367.4</v>
      </c>
      <c r="CS20" t="n">
        <v>1381.4</v>
      </c>
      <c r="CT20" t="n">
        <v>1373.4</v>
      </c>
      <c r="CU20" t="n">
        <v>1389.4</v>
      </c>
      <c r="CV20" t="n">
        <v>1423.4</v>
      </c>
      <c r="CW20" t="n">
        <v>1422.9</v>
      </c>
      <c r="CX20" t="n">
        <v>1437.6</v>
      </c>
      <c r="CY20" t="n">
        <v>1452.9</v>
      </c>
      <c r="CZ20" t="n">
        <v>1455.7</v>
      </c>
      <c r="DA20" t="n">
        <v>1451.6</v>
      </c>
      <c r="DB20" t="n">
        <v>1471.3</v>
      </c>
      <c r="DC20" t="n">
        <v>1487.7</v>
      </c>
      <c r="DD20" t="n">
        <v>1496.7</v>
      </c>
      <c r="DE20" t="n">
        <v>1515.7</v>
      </c>
      <c r="DF20" t="n">
        <v>1516</v>
      </c>
      <c r="DG20" t="n">
        <v>1542.5</v>
      </c>
      <c r="DH20" t="n">
        <v>1555.2</v>
      </c>
      <c r="DI20" t="n">
        <v>1574.8</v>
      </c>
      <c r="DJ20" t="n">
        <v>1568</v>
      </c>
      <c r="DK20" t="n">
        <v>1603.7</v>
      </c>
      <c r="DL20" t="n">
        <v>1627.3</v>
      </c>
      <c r="DM20" t="n">
        <v>1647.5</v>
      </c>
      <c r="DN20" t="n">
        <v>1669.1</v>
      </c>
      <c r="DO20" t="n">
        <v>1694.8</v>
      </c>
      <c r="DP20" t="n">
        <v>1734</v>
      </c>
      <c r="DQ20" t="n">
        <v>1781.7</v>
      </c>
      <c r="DR20" t="n">
        <v>1789.9</v>
      </c>
      <c r="DS20" t="n">
        <v>1822.5</v>
      </c>
      <c r="DT20" t="n">
        <v>1832.1</v>
      </c>
      <c r="DU20" t="n">
        <v>1861.3</v>
      </c>
      <c r="DV20" t="n">
        <v>1906.3</v>
      </c>
      <c r="DW20" t="n">
        <v>1947.7</v>
      </c>
      <c r="DX20" t="n">
        <v>1953.4</v>
      </c>
      <c r="DY20" t="n">
        <v>1992.7</v>
      </c>
      <c r="DZ20" t="n">
        <v>2040</v>
      </c>
      <c r="EA20" t="n">
        <v>2074.5</v>
      </c>
      <c r="EB20" t="n">
        <v>2101.3</v>
      </c>
      <c r="EC20" t="n">
        <v>2142.2</v>
      </c>
      <c r="ED20" t="n">
        <v>2172</v>
      </c>
      <c r="EE20" t="n">
        <v>2198.8</v>
      </c>
      <c r="EF20" t="n">
        <v>2220.4</v>
      </c>
      <c r="EG20" t="n">
        <v>2251.2</v>
      </c>
      <c r="EH20" t="n">
        <v>2286.6</v>
      </c>
      <c r="EI20" t="n">
        <v>2320.7</v>
      </c>
      <c r="EJ20" t="n">
        <v>2356.4</v>
      </c>
      <c r="EK20" t="n">
        <v>2388.8</v>
      </c>
      <c r="EL20" t="n">
        <v>2426.1</v>
      </c>
      <c r="EM20" t="n">
        <v>2452.2</v>
      </c>
      <c r="EN20" t="n">
        <v>2494.4</v>
      </c>
      <c r="EO20" t="n">
        <v>2528.4</v>
      </c>
      <c r="EP20" t="n">
        <v>2580.1</v>
      </c>
      <c r="EQ20" t="n">
        <v>2610.6</v>
      </c>
      <c r="ER20" t="n">
        <v>2630.3</v>
      </c>
      <c r="ES20" t="n">
        <v>2674.5</v>
      </c>
      <c r="ET20" t="n">
        <v>2718.5</v>
      </c>
      <c r="EU20" t="n">
        <v>2770</v>
      </c>
      <c r="EV20" t="n">
        <v>2808.7</v>
      </c>
      <c r="EW20" t="n">
        <v>2865.1</v>
      </c>
      <c r="EX20" t="n">
        <v>2909.6</v>
      </c>
      <c r="EY20" t="n">
        <v>2971.6</v>
      </c>
      <c r="EZ20" t="n">
        <v>3029</v>
      </c>
      <c r="FA20" t="n">
        <v>3021.8</v>
      </c>
      <c r="FB20" t="n">
        <v>3022</v>
      </c>
      <c r="FC20" t="n">
        <v>3070.5</v>
      </c>
      <c r="FD20" t="n">
        <v>3092.1</v>
      </c>
      <c r="FE20" t="n">
        <v>3120.8</v>
      </c>
      <c r="FF20" t="n">
        <v>3133.8</v>
      </c>
      <c r="FG20" t="n">
        <v>3165.8</v>
      </c>
      <c r="FH20" t="n">
        <v>3158.3</v>
      </c>
      <c r="FI20" t="n">
        <v>3164.3</v>
      </c>
      <c r="FJ20" t="n">
        <v>3155.8</v>
      </c>
      <c r="FK20" t="n">
        <v>3168.3</v>
      </c>
      <c r="FL20" t="n">
        <v>3136.9</v>
      </c>
      <c r="FM20" t="n">
        <v>3130.8</v>
      </c>
      <c r="FN20" t="n">
        <v>3144</v>
      </c>
      <c r="FO20" t="n">
        <v>3130.4</v>
      </c>
      <c r="FP20" t="n">
        <v>3139.1</v>
      </c>
      <c r="FQ20" t="n">
        <v>3132.3</v>
      </c>
      <c r="FR20" t="n">
        <v>3123.5</v>
      </c>
      <c r="FS20" t="n">
        <v>3131.1</v>
      </c>
      <c r="FT20" t="n">
        <v>3135.2</v>
      </c>
      <c r="FU20" t="n">
        <v>3140.5</v>
      </c>
      <c r="FV20" t="n">
        <v>3139.1</v>
      </c>
      <c r="FW20" t="n">
        <v>3154.4</v>
      </c>
      <c r="FX20" t="n">
        <v>3191.7</v>
      </c>
      <c r="FY20" t="n">
        <v>3189.3</v>
      </c>
      <c r="FZ20" t="n">
        <v>3187.9</v>
      </c>
      <c r="GA20" t="n">
        <v>3234.1</v>
      </c>
      <c r="GB20" t="n">
        <v>3253.6</v>
      </c>
      <c r="GC20" t="n">
        <v>3258.1</v>
      </c>
      <c r="GD20" t="n">
        <v>3270.1</v>
      </c>
      <c r="GE20" t="n">
        <v>3289.6</v>
      </c>
      <c r="GF20" t="n">
        <v>3315.2</v>
      </c>
      <c r="GG20" t="n">
        <v>3337.2</v>
      </c>
      <c r="GH20" t="n">
        <v>3353.1</v>
      </c>
      <c r="GI20" t="n">
        <v>3370.4</v>
      </c>
      <c r="GJ20" t="n">
        <v>3398.9</v>
      </c>
      <c r="GK20" t="n">
        <v>3466.1</v>
      </c>
      <c r="GL20" t="n">
        <v>3513.9</v>
      </c>
      <c r="GM20" t="n">
        <v>3570.7</v>
      </c>
      <c r="GN20" t="n">
        <v>3626.1</v>
      </c>
      <c r="GO20" t="n">
        <v>3650.8</v>
      </c>
      <c r="GP20" t="n">
        <v>3702.9</v>
      </c>
      <c r="GQ20" t="n">
        <v>3761.2</v>
      </c>
      <c r="GR20" t="n">
        <v>3814.8</v>
      </c>
      <c r="GS20" t="n">
        <v>3865</v>
      </c>
      <c r="GT20" t="n">
        <v>3943</v>
      </c>
      <c r="GU20" t="n">
        <v>4026</v>
      </c>
      <c r="GV20" t="n">
        <v>4001.6</v>
      </c>
      <c r="GW20" t="n">
        <v>4028</v>
      </c>
      <c r="GX20" t="n">
        <v>4147.6</v>
      </c>
      <c r="GY20" t="n">
        <v>4170</v>
      </c>
      <c r="GZ20" t="n">
        <v>4214</v>
      </c>
      <c r="HA20" t="n">
        <v>4282.3</v>
      </c>
      <c r="HB20" t="n">
        <v>4332.6</v>
      </c>
      <c r="HC20" t="n">
        <v>4437.6</v>
      </c>
      <c r="HD20" t="n">
        <v>4480.1</v>
      </c>
      <c r="HE20" t="n">
        <v>4564.8</v>
      </c>
      <c r="HF20" t="n">
        <v>4624.6</v>
      </c>
      <c r="HG20" t="n">
        <v>4645.9</v>
      </c>
      <c r="HH20" t="n">
        <v>4756.4</v>
      </c>
      <c r="HI20" t="n">
        <v>4815.2</v>
      </c>
      <c r="HJ20" t="n">
        <v>4881</v>
      </c>
      <c r="HK20" t="n">
        <v>4943</v>
      </c>
      <c r="HL20" t="n">
        <v>5035</v>
      </c>
      <c r="HM20" t="n">
        <v>5099.7</v>
      </c>
      <c r="HN20" t="n">
        <v>5149.9</v>
      </c>
      <c r="HO20" t="n">
        <v>5189</v>
      </c>
    </row>
    <row r="21">
      <c r="A21" s="78" t="s">
        <v>2533</v>
      </c>
      <c r="B21" s="78" t="n">
        <v>46.2</v>
      </c>
      <c r="C21" s="78" t="n">
        <v>46.5</v>
      </c>
      <c r="D21" s="78" t="n">
        <v>46.9</v>
      </c>
      <c r="E21" s="78" t="n">
        <v>46.7</v>
      </c>
      <c r="F21" s="78" t="n">
        <v>50.8</v>
      </c>
      <c r="G21" s="78" t="n">
        <v>51.4</v>
      </c>
      <c r="H21" s="78" t="n">
        <v>51.6</v>
      </c>
      <c r="I21" s="78" t="n">
        <v>52.2</v>
      </c>
      <c r="J21" s="78" t="n">
        <v>58.5</v>
      </c>
      <c r="K21" s="78" t="n">
        <v>59.2</v>
      </c>
      <c r="L21" s="78" t="n">
        <v>59.9</v>
      </c>
      <c r="M21" s="78" t="n">
        <v>60.8</v>
      </c>
      <c r="N21" s="78" t="n">
        <v>74.1</v>
      </c>
      <c r="O21" s="78" t="n">
        <v>75.3</v>
      </c>
      <c r="P21" t="n">
        <v>76.6</v>
      </c>
      <c r="Q21" t="n">
        <v>78.1</v>
      </c>
      <c r="R21" t="n">
        <v>83.7</v>
      </c>
      <c r="S21" t="n">
        <v>85.3</v>
      </c>
      <c r="T21" t="n">
        <v>86.9</v>
      </c>
      <c r="U21" t="n">
        <v>87.1</v>
      </c>
      <c r="V21" t="n">
        <v>88.2</v>
      </c>
      <c r="W21" t="n">
        <v>88.6</v>
      </c>
      <c r="X21" t="n">
        <v>90.3</v>
      </c>
      <c r="Y21" t="n">
        <v>92.4</v>
      </c>
      <c r="Z21" t="n">
        <v>99.6</v>
      </c>
      <c r="AA21" t="n">
        <v>101.1</v>
      </c>
      <c r="AB21" t="n">
        <v>102.8</v>
      </c>
      <c r="AC21" t="n">
        <v>104.4</v>
      </c>
      <c r="AD21" t="n">
        <v>110</v>
      </c>
      <c r="AE21" t="n">
        <v>112.8</v>
      </c>
      <c r="AF21" t="n">
        <v>115.1</v>
      </c>
      <c r="AG21" t="n">
        <v>117.5</v>
      </c>
      <c r="AH21" t="n">
        <v>124.7</v>
      </c>
      <c r="AI21" t="n">
        <v>129.9</v>
      </c>
      <c r="AJ21" t="n">
        <v>134.2</v>
      </c>
      <c r="AK21" t="n">
        <v>139.6</v>
      </c>
      <c r="AL21" t="n">
        <v>146.9</v>
      </c>
      <c r="AM21" t="n">
        <v>151.2</v>
      </c>
      <c r="AN21" t="n">
        <v>156.3</v>
      </c>
      <c r="AO21" t="n">
        <v>160.3</v>
      </c>
      <c r="AP21" t="n">
        <v>162.9</v>
      </c>
      <c r="AQ21" t="n">
        <v>163.9</v>
      </c>
      <c r="AR21" t="n">
        <v>168</v>
      </c>
      <c r="AS21" t="n">
        <v>174</v>
      </c>
      <c r="AT21" t="n">
        <v>191</v>
      </c>
      <c r="AU21" t="n">
        <v>194.8</v>
      </c>
      <c r="AV21" t="n">
        <v>199.5</v>
      </c>
      <c r="AW21" t="n">
        <v>202.2</v>
      </c>
      <c r="AX21" t="n">
        <v>207.2</v>
      </c>
      <c r="AY21" t="n">
        <v>209.2</v>
      </c>
      <c r="AZ21" t="n">
        <v>211.5</v>
      </c>
      <c r="BA21" t="n">
        <v>212.4</v>
      </c>
      <c r="BB21" t="n">
        <v>220.2</v>
      </c>
      <c r="BC21" t="n">
        <v>224.2</v>
      </c>
      <c r="BD21" t="n">
        <v>228.9</v>
      </c>
      <c r="BE21" t="n">
        <v>235.5</v>
      </c>
      <c r="BF21" t="n">
        <v>250.8</v>
      </c>
      <c r="BG21" t="n">
        <v>256.8</v>
      </c>
      <c r="BH21" t="n">
        <v>261.8</v>
      </c>
      <c r="BI21" t="n">
        <v>265.8</v>
      </c>
      <c r="BJ21" t="n">
        <v>275.7</v>
      </c>
      <c r="BK21" t="n">
        <v>279.8</v>
      </c>
      <c r="BL21" t="n">
        <v>284.6</v>
      </c>
      <c r="BM21" t="n">
        <v>291.1</v>
      </c>
      <c r="BN21" t="n">
        <v>298.2</v>
      </c>
      <c r="BO21" t="n">
        <v>301.9</v>
      </c>
      <c r="BP21" t="n">
        <v>306.9</v>
      </c>
      <c r="BQ21" t="n">
        <v>312.6</v>
      </c>
      <c r="BR21" t="n">
        <v>317.4</v>
      </c>
      <c r="BS21" t="n">
        <v>321.5</v>
      </c>
      <c r="BT21" t="n">
        <v>326.3</v>
      </c>
      <c r="BU21" t="n">
        <v>333.3</v>
      </c>
      <c r="BV21" t="n">
        <v>352.7</v>
      </c>
      <c r="BW21" t="n">
        <v>360</v>
      </c>
      <c r="BX21" t="n">
        <v>366.2</v>
      </c>
      <c r="BY21" t="n">
        <v>373.7</v>
      </c>
      <c r="BZ21" t="n">
        <v>379.7</v>
      </c>
      <c r="CA21" t="n">
        <v>384.3</v>
      </c>
      <c r="CB21" t="n">
        <v>388.9</v>
      </c>
      <c r="CC21" t="n">
        <v>394.9</v>
      </c>
      <c r="CD21" t="n">
        <v>403.5</v>
      </c>
      <c r="CE21" t="n">
        <v>408.8</v>
      </c>
      <c r="CF21" t="n">
        <v>416.6</v>
      </c>
      <c r="CG21" t="n">
        <v>419.4</v>
      </c>
      <c r="CH21" t="n">
        <v>423</v>
      </c>
      <c r="CI21" t="n">
        <v>429.7</v>
      </c>
      <c r="CJ21" t="n">
        <v>435.6</v>
      </c>
      <c r="CK21" t="n">
        <v>440.6</v>
      </c>
      <c r="CL21" t="n">
        <v>452.5</v>
      </c>
      <c r="CM21" t="n">
        <v>458.1</v>
      </c>
      <c r="CN21" t="n">
        <v>461.2</v>
      </c>
      <c r="CO21" t="n">
        <v>456.5</v>
      </c>
      <c r="CP21" t="n">
        <v>475.9</v>
      </c>
      <c r="CQ21" t="n">
        <v>476.4</v>
      </c>
      <c r="CR21" t="n">
        <v>481</v>
      </c>
      <c r="CS21" t="n">
        <v>485.2</v>
      </c>
      <c r="CT21" t="n">
        <v>500.4</v>
      </c>
      <c r="CU21" t="n">
        <v>507.6</v>
      </c>
      <c r="CV21" t="n">
        <v>513.6</v>
      </c>
      <c r="CW21" t="n">
        <v>521.1</v>
      </c>
      <c r="CX21" t="n">
        <v>528.2</v>
      </c>
      <c r="CY21" t="n">
        <v>532.7</v>
      </c>
      <c r="CZ21" t="n">
        <v>538.1</v>
      </c>
      <c r="DA21" t="n">
        <v>543.1</v>
      </c>
      <c r="DB21" t="n">
        <v>545.9</v>
      </c>
      <c r="DC21" t="n">
        <v>554.4</v>
      </c>
      <c r="DD21" t="n">
        <v>561.8</v>
      </c>
      <c r="DE21" t="n">
        <v>569.4</v>
      </c>
      <c r="DF21" t="n">
        <v>577.3</v>
      </c>
      <c r="DG21" t="n">
        <v>584.9</v>
      </c>
      <c r="DH21" t="n">
        <v>593.6</v>
      </c>
      <c r="DI21" t="n">
        <v>605.3</v>
      </c>
      <c r="DJ21" t="n">
        <v>613.3</v>
      </c>
      <c r="DK21" t="n">
        <v>622.8</v>
      </c>
      <c r="DL21" t="n">
        <v>632.6</v>
      </c>
      <c r="DM21" t="n">
        <v>642.4</v>
      </c>
      <c r="DN21" t="n">
        <v>653.3</v>
      </c>
      <c r="DO21" t="n">
        <v>659</v>
      </c>
      <c r="DP21" t="n">
        <v>666.4</v>
      </c>
      <c r="DQ21" t="n">
        <v>679.6</v>
      </c>
      <c r="DR21" t="n">
        <v>699.5</v>
      </c>
      <c r="DS21" t="n">
        <v>701.9</v>
      </c>
      <c r="DT21" t="n">
        <v>715.2</v>
      </c>
      <c r="DU21" t="n">
        <v>721</v>
      </c>
      <c r="DV21" t="n">
        <v>736.1</v>
      </c>
      <c r="DW21" t="n">
        <v>736.9</v>
      </c>
      <c r="DX21" t="n">
        <v>736.1</v>
      </c>
      <c r="DY21" t="n">
        <v>738.7</v>
      </c>
      <c r="DZ21" t="n">
        <v>746.9</v>
      </c>
      <c r="EA21" t="n">
        <v>755.3</v>
      </c>
      <c r="EB21" t="n">
        <v>758.1</v>
      </c>
      <c r="EC21" t="n">
        <v>760.8</v>
      </c>
      <c r="ED21" t="n">
        <v>767.1</v>
      </c>
      <c r="EE21" t="n">
        <v>777.8</v>
      </c>
      <c r="EF21" t="n">
        <v>787.7</v>
      </c>
      <c r="EG21" t="n">
        <v>800.1</v>
      </c>
      <c r="EH21" t="n">
        <v>813.4</v>
      </c>
      <c r="EI21" t="n">
        <v>828</v>
      </c>
      <c r="EJ21" t="n">
        <v>843.7</v>
      </c>
      <c r="EK21" t="n">
        <v>849.5</v>
      </c>
      <c r="EL21" t="n">
        <v>862.7</v>
      </c>
      <c r="EM21" t="n">
        <v>871</v>
      </c>
      <c r="EN21" t="n">
        <v>884.2</v>
      </c>
      <c r="EO21" t="n">
        <v>894.1</v>
      </c>
      <c r="EP21" t="n">
        <v>917.9</v>
      </c>
      <c r="EQ21" t="n">
        <v>922.7</v>
      </c>
      <c r="ER21" t="n">
        <v>927.2</v>
      </c>
      <c r="ES21" t="n">
        <v>940.8</v>
      </c>
      <c r="ET21" t="n">
        <v>960.4</v>
      </c>
      <c r="EU21" t="n">
        <v>962</v>
      </c>
      <c r="EV21" t="n">
        <v>965.3</v>
      </c>
      <c r="EW21" t="n">
        <v>976.9</v>
      </c>
      <c r="EX21" t="n">
        <v>988.8</v>
      </c>
      <c r="EY21" t="n">
        <v>991</v>
      </c>
      <c r="EZ21" t="n">
        <v>996.4</v>
      </c>
      <c r="FA21" t="n">
        <v>996.6</v>
      </c>
      <c r="FB21" t="n">
        <v>964.7</v>
      </c>
      <c r="FC21" t="n">
        <v>971.2</v>
      </c>
      <c r="FD21" t="n">
        <v>968.8</v>
      </c>
      <c r="FE21" t="n">
        <v>972.2</v>
      </c>
      <c r="FF21" t="n">
        <v>978.6</v>
      </c>
      <c r="FG21" t="n">
        <v>989.5</v>
      </c>
      <c r="FH21" t="n">
        <v>992.3</v>
      </c>
      <c r="FI21" t="n">
        <v>994.3</v>
      </c>
      <c r="FJ21" t="n">
        <v>916.2</v>
      </c>
      <c r="FK21" t="n">
        <v>918.9</v>
      </c>
      <c r="FL21" t="n">
        <v>927.3</v>
      </c>
      <c r="FM21" t="n">
        <v>921.9</v>
      </c>
      <c r="FN21" t="n">
        <v>944.9</v>
      </c>
      <c r="FO21" t="n">
        <v>949.4</v>
      </c>
      <c r="FP21" t="n">
        <v>952.3</v>
      </c>
      <c r="FQ21" t="n">
        <v>974.1</v>
      </c>
      <c r="FR21" t="n">
        <v>1095.9</v>
      </c>
      <c r="FS21" t="n">
        <v>1108.2</v>
      </c>
      <c r="FT21" t="n">
        <v>1111.4</v>
      </c>
      <c r="FU21" t="n">
        <v>1122.3</v>
      </c>
      <c r="FV21" t="n">
        <v>1145</v>
      </c>
      <c r="FW21" t="n">
        <v>1149.7</v>
      </c>
      <c r="FX21" t="n">
        <v>1161.4</v>
      </c>
      <c r="FY21" t="n">
        <v>1179.1</v>
      </c>
      <c r="FZ21" t="n">
        <v>1194.2</v>
      </c>
      <c r="GA21" t="n">
        <v>1206.1</v>
      </c>
      <c r="GB21" t="n">
        <v>1216.1</v>
      </c>
      <c r="GC21" t="n">
        <v>1223.6</v>
      </c>
      <c r="GD21" t="n">
        <v>1230.8</v>
      </c>
      <c r="GE21" t="n">
        <v>1237</v>
      </c>
      <c r="GF21" t="n">
        <v>1248.1</v>
      </c>
      <c r="GG21" t="n">
        <v>1261.5</v>
      </c>
      <c r="GH21" t="n">
        <v>1282.6</v>
      </c>
      <c r="GI21" t="n">
        <v>1294.9</v>
      </c>
      <c r="GJ21" t="n">
        <v>1310.1</v>
      </c>
      <c r="GK21" t="n">
        <v>1329.1</v>
      </c>
      <c r="GL21" t="n">
        <v>1349.1</v>
      </c>
      <c r="GM21" t="n">
        <v>1359</v>
      </c>
      <c r="GN21" t="n">
        <v>1375.7</v>
      </c>
      <c r="GO21" t="n">
        <v>1384.3</v>
      </c>
      <c r="GP21" t="n">
        <v>1416.9</v>
      </c>
      <c r="GQ21" t="n">
        <v>1424.3</v>
      </c>
      <c r="GR21" t="n">
        <v>1430.9</v>
      </c>
      <c r="GS21" t="n">
        <v>1448.6</v>
      </c>
      <c r="GT21" t="n">
        <v>1473.5</v>
      </c>
      <c r="GU21" t="n">
        <v>1403</v>
      </c>
      <c r="GV21" t="n">
        <v>1452.9</v>
      </c>
      <c r="GW21" t="n">
        <v>1490.8</v>
      </c>
      <c r="GX21" t="n">
        <v>1508.4</v>
      </c>
      <c r="GY21" t="n">
        <v>1544.5</v>
      </c>
      <c r="GZ21" t="n">
        <v>1581.6</v>
      </c>
      <c r="HA21" t="n">
        <v>1626.7</v>
      </c>
      <c r="HB21" t="n">
        <v>1666.3</v>
      </c>
      <c r="HC21" t="n">
        <v>1689</v>
      </c>
      <c r="HD21" t="n">
        <v>1735.8</v>
      </c>
      <c r="HE21" t="n">
        <v>1751.8</v>
      </c>
      <c r="HF21" t="n">
        <v>1781.9</v>
      </c>
      <c r="HG21" t="n">
        <v>1810.5</v>
      </c>
      <c r="HH21" t="n">
        <v>1839.3</v>
      </c>
      <c r="HI21" t="n">
        <v>1858.9</v>
      </c>
      <c r="HJ21" t="n">
        <v>1889</v>
      </c>
      <c r="HK21" t="n">
        <v>1896.1</v>
      </c>
      <c r="HL21" t="n">
        <v>1903.9</v>
      </c>
      <c r="HM21" t="n">
        <v>1930.8</v>
      </c>
      <c r="HN21" t="n">
        <v>1961.7</v>
      </c>
      <c r="HO21" t="n">
        <v>1981.9</v>
      </c>
    </row>
    <row r="22">
      <c r="A22" s="78" t="s">
        <v>2534</v>
      </c>
      <c r="B22" s="78" t="n">
        <v>19.443</v>
      </c>
      <c r="C22" s="78" t="n">
        <v>19.659</v>
      </c>
      <c r="D22" s="78" t="n">
        <v>19.85</v>
      </c>
      <c r="E22" s="78" t="n">
        <v>20.107</v>
      </c>
      <c r="F22" s="78" t="n">
        <v>20.297</v>
      </c>
      <c r="G22" s="78" t="n">
        <v>20.528</v>
      </c>
      <c r="H22" s="78" t="n">
        <v>20.729</v>
      </c>
      <c r="I22" s="78" t="n">
        <v>20.857</v>
      </c>
      <c r="J22" s="78" t="n">
        <v>21.076</v>
      </c>
      <c r="K22" s="78" t="n">
        <v>21.198</v>
      </c>
      <c r="L22" s="78" t="n">
        <v>21.384</v>
      </c>
      <c r="M22" s="78" t="n">
        <v>21.559</v>
      </c>
      <c r="N22" s="78" t="n">
        <v>21.821</v>
      </c>
      <c r="O22" s="78" t="n">
        <v>22.241</v>
      </c>
      <c r="P22" t="n">
        <v>22.647</v>
      </c>
      <c r="Q22" t="n">
        <v>23.112</v>
      </c>
      <c r="R22" t="n">
        <v>23.8</v>
      </c>
      <c r="S22" t="n">
        <v>24.474</v>
      </c>
      <c r="T22" t="n">
        <v>25.134</v>
      </c>
      <c r="U22" t="n">
        <v>25.77</v>
      </c>
      <c r="V22" t="n">
        <v>26.251</v>
      </c>
      <c r="W22" t="n">
        <v>26.571</v>
      </c>
      <c r="X22" t="n">
        <v>27.067</v>
      </c>
      <c r="Y22" t="n">
        <v>27.521</v>
      </c>
      <c r="Z22" t="n">
        <v>27.826</v>
      </c>
      <c r="AA22" t="n">
        <v>28.06</v>
      </c>
      <c r="AB22" t="n">
        <v>28.488</v>
      </c>
      <c r="AC22" t="n">
        <v>28.938</v>
      </c>
      <c r="AD22" t="n">
        <v>29.46</v>
      </c>
      <c r="AE22" t="n">
        <v>29.963</v>
      </c>
      <c r="AF22" t="n">
        <v>30.414</v>
      </c>
      <c r="AG22" t="n">
        <v>30.846</v>
      </c>
      <c r="AH22" t="n">
        <v>31.35</v>
      </c>
      <c r="AI22" t="n">
        <v>31.994</v>
      </c>
      <c r="AJ22" t="n">
        <v>32.556</v>
      </c>
      <c r="AK22" t="n">
        <v>33.172</v>
      </c>
      <c r="AL22" t="n">
        <v>33.798</v>
      </c>
      <c r="AM22" t="n">
        <v>34.723</v>
      </c>
      <c r="AN22" t="n">
        <v>35.585</v>
      </c>
      <c r="AO22" t="n">
        <v>36.448</v>
      </c>
      <c r="AP22" t="n">
        <v>37.542</v>
      </c>
      <c r="AQ22" t="n">
        <v>38.462</v>
      </c>
      <c r="AR22" t="n">
        <v>39.362</v>
      </c>
      <c r="AS22" t="n">
        <v>40.337</v>
      </c>
      <c r="AT22" t="n">
        <v>41.385</v>
      </c>
      <c r="AU22" t="n">
        <v>42.079</v>
      </c>
      <c r="AV22" t="n">
        <v>42.772</v>
      </c>
      <c r="AW22" t="n">
        <v>43.426</v>
      </c>
      <c r="AX22" t="n">
        <v>43.975</v>
      </c>
      <c r="AY22" t="n">
        <v>44.397</v>
      </c>
      <c r="AZ22" t="n">
        <v>45.096</v>
      </c>
      <c r="BA22" t="n">
        <v>45.592</v>
      </c>
      <c r="BB22" t="n">
        <v>45.967</v>
      </c>
      <c r="BC22" t="n">
        <v>46.387</v>
      </c>
      <c r="BD22" t="n">
        <v>46.997</v>
      </c>
      <c r="BE22" t="n">
        <v>47.309</v>
      </c>
      <c r="BF22" t="n">
        <v>47.823</v>
      </c>
      <c r="BG22" t="n">
        <v>48.288</v>
      </c>
      <c r="BH22" t="n">
        <v>48.661</v>
      </c>
      <c r="BI22" t="n">
        <v>48.962</v>
      </c>
      <c r="BJ22" t="n">
        <v>49.538</v>
      </c>
      <c r="BK22" t="n">
        <v>49.94</v>
      </c>
      <c r="BL22" t="n">
        <v>50.332</v>
      </c>
      <c r="BM22" t="n">
        <v>50.683</v>
      </c>
      <c r="BN22" t="n">
        <v>51.044</v>
      </c>
      <c r="BO22" t="n">
        <v>50.991</v>
      </c>
      <c r="BP22" t="n">
        <v>51.26</v>
      </c>
      <c r="BQ22" t="n">
        <v>51.57</v>
      </c>
      <c r="BR22" t="n">
        <v>52.057</v>
      </c>
      <c r="BS22" t="n">
        <v>52.559</v>
      </c>
      <c r="BT22" t="n">
        <v>53.056</v>
      </c>
      <c r="BU22" t="n">
        <v>53.514</v>
      </c>
      <c r="BV22" t="n">
        <v>53.936</v>
      </c>
      <c r="BW22" t="n">
        <v>54.532</v>
      </c>
      <c r="BX22" t="n">
        <v>55.204</v>
      </c>
      <c r="BY22" t="n">
        <v>55.762</v>
      </c>
      <c r="BZ22" t="n">
        <v>56.404</v>
      </c>
      <c r="CA22" t="n">
        <v>57.165</v>
      </c>
      <c r="CB22" t="n">
        <v>57.503</v>
      </c>
      <c r="CC22" t="n">
        <v>57.957</v>
      </c>
      <c r="CD22" t="n">
        <v>58.799</v>
      </c>
      <c r="CE22" t="n">
        <v>59.333</v>
      </c>
      <c r="CF22" t="n">
        <v>60.087</v>
      </c>
      <c r="CG22" t="n">
        <v>60.882</v>
      </c>
      <c r="CH22" t="n">
        <v>61.201</v>
      </c>
      <c r="CI22" t="n">
        <v>61.534</v>
      </c>
      <c r="CJ22" t="n">
        <v>61.951</v>
      </c>
      <c r="CK22" t="n">
        <v>62.4</v>
      </c>
      <c r="CL22" t="n">
        <v>62.79</v>
      </c>
      <c r="CM22" t="n">
        <v>63.207</v>
      </c>
      <c r="CN22" t="n">
        <v>63.61</v>
      </c>
      <c r="CO22" t="n">
        <v>64.054</v>
      </c>
      <c r="CP22" t="n">
        <v>64.436</v>
      </c>
      <c r="CQ22" t="n">
        <v>64.869</v>
      </c>
      <c r="CR22" t="n">
        <v>65.151</v>
      </c>
      <c r="CS22" t="n">
        <v>65.527</v>
      </c>
      <c r="CT22" t="n">
        <v>65.761</v>
      </c>
      <c r="CU22" t="n">
        <v>66.128</v>
      </c>
      <c r="CV22" t="n">
        <v>66.603</v>
      </c>
      <c r="CW22" t="n">
        <v>66.916</v>
      </c>
      <c r="CX22" t="n">
        <v>67.244</v>
      </c>
      <c r="CY22" t="n">
        <v>67.635</v>
      </c>
      <c r="CZ22" t="n">
        <v>67.912</v>
      </c>
      <c r="DA22" t="n">
        <v>68.21</v>
      </c>
      <c r="DB22" t="n">
        <v>68.589</v>
      </c>
      <c r="DC22" t="n">
        <v>69.048</v>
      </c>
      <c r="DD22" t="n">
        <v>69.342</v>
      </c>
      <c r="DE22" t="n">
        <v>69.815</v>
      </c>
      <c r="DF22" t="n">
        <v>70.124</v>
      </c>
      <c r="DG22" t="n">
        <v>70.3</v>
      </c>
      <c r="DH22" t="n">
        <v>70.485</v>
      </c>
      <c r="DI22" t="n">
        <v>70.707</v>
      </c>
      <c r="DJ22" t="n">
        <v>70.713</v>
      </c>
      <c r="DK22" t="n">
        <v>70.84</v>
      </c>
      <c r="DL22" t="n">
        <v>71.058</v>
      </c>
      <c r="DM22" t="n">
        <v>71.245</v>
      </c>
      <c r="DN22" t="n">
        <v>71.384</v>
      </c>
      <c r="DO22" t="n">
        <v>71.789</v>
      </c>
      <c r="DP22" t="n">
        <v>72.183</v>
      </c>
      <c r="DQ22" t="n">
        <v>72.622</v>
      </c>
      <c r="DR22" t="n">
        <v>73.212</v>
      </c>
      <c r="DS22" t="n">
        <v>73.562</v>
      </c>
      <c r="DT22" t="n">
        <v>74.037</v>
      </c>
      <c r="DU22" t="n">
        <v>74.457</v>
      </c>
      <c r="DV22" t="n">
        <v>75.011</v>
      </c>
      <c r="DW22" t="n">
        <v>75.363</v>
      </c>
      <c r="DX22" t="n">
        <v>75.401</v>
      </c>
      <c r="DY22" t="n">
        <v>75.431</v>
      </c>
      <c r="DZ22" t="n">
        <v>75.582</v>
      </c>
      <c r="EA22" t="n">
        <v>76.142</v>
      </c>
      <c r="EB22" t="n">
        <v>76.535</v>
      </c>
      <c r="EC22" t="n">
        <v>76.892</v>
      </c>
      <c r="ED22" t="n">
        <v>77.48</v>
      </c>
      <c r="EE22" t="n">
        <v>77.557</v>
      </c>
      <c r="EF22" t="n">
        <v>78.068</v>
      </c>
      <c r="EG22" t="n">
        <v>78.451</v>
      </c>
      <c r="EH22" t="n">
        <v>79.056</v>
      </c>
      <c r="EI22" t="n">
        <v>79.587</v>
      </c>
      <c r="EJ22" t="n">
        <v>79.979</v>
      </c>
      <c r="EK22" t="n">
        <v>80.662</v>
      </c>
      <c r="EL22" t="n">
        <v>81.131</v>
      </c>
      <c r="EM22" t="n">
        <v>81.644</v>
      </c>
      <c r="EN22" t="n">
        <v>82.526</v>
      </c>
      <c r="EO22" t="n">
        <v>83.184</v>
      </c>
      <c r="EP22" t="n">
        <v>83.617</v>
      </c>
      <c r="EQ22" t="n">
        <v>84.352</v>
      </c>
      <c r="ER22" t="n">
        <v>84.959</v>
      </c>
      <c r="ES22" t="n">
        <v>84.818</v>
      </c>
      <c r="ET22" t="n">
        <v>85.593</v>
      </c>
      <c r="EU22" t="n">
        <v>86.319</v>
      </c>
      <c r="EV22" t="n">
        <v>86.808</v>
      </c>
      <c r="EW22" t="n">
        <v>87.691</v>
      </c>
      <c r="EX22" t="n">
        <v>88.407</v>
      </c>
      <c r="EY22" t="n">
        <v>89.269</v>
      </c>
      <c r="EZ22" t="n">
        <v>90.222</v>
      </c>
      <c r="FA22" t="n">
        <v>88.781</v>
      </c>
      <c r="FB22" t="n">
        <v>88.181</v>
      </c>
      <c r="FC22" t="n">
        <v>88.531</v>
      </c>
      <c r="FD22" t="n">
        <v>89.141</v>
      </c>
      <c r="FE22" t="n">
        <v>89.828</v>
      </c>
      <c r="FF22" t="n">
        <v>90.175</v>
      </c>
      <c r="FG22" t="n">
        <v>90.314</v>
      </c>
      <c r="FH22" t="n">
        <v>90.488</v>
      </c>
      <c r="FI22" t="n">
        <v>91.068</v>
      </c>
      <c r="FJ22" t="n">
        <v>91.833</v>
      </c>
      <c r="FK22" t="n">
        <v>92.737</v>
      </c>
      <c r="FL22" t="n">
        <v>93.166</v>
      </c>
      <c r="FM22" t="n">
        <v>93.474</v>
      </c>
      <c r="FN22" t="n">
        <v>94.093</v>
      </c>
      <c r="FO22" t="n">
        <v>94.32</v>
      </c>
      <c r="FP22" t="n">
        <v>94.594</v>
      </c>
      <c r="FQ22" t="n">
        <v>95.124</v>
      </c>
      <c r="FR22" t="n">
        <v>95.458</v>
      </c>
      <c r="FS22" t="n">
        <v>95.506</v>
      </c>
      <c r="FT22" t="n">
        <v>95.899</v>
      </c>
      <c r="FU22" t="n">
        <v>96.252</v>
      </c>
      <c r="FV22" t="n">
        <v>96.694</v>
      </c>
      <c r="FW22" t="n">
        <v>97.126</v>
      </c>
      <c r="FX22" t="n">
        <v>97.392</v>
      </c>
      <c r="FY22" t="n">
        <v>97.263</v>
      </c>
      <c r="FZ22" t="n">
        <v>96.827</v>
      </c>
      <c r="GA22" t="n">
        <v>97.311</v>
      </c>
      <c r="GB22" t="n">
        <v>97.563</v>
      </c>
      <c r="GC22" t="n">
        <v>97.488</v>
      </c>
      <c r="GD22" t="n">
        <v>97.535</v>
      </c>
      <c r="GE22" t="n">
        <v>98.154</v>
      </c>
      <c r="GF22" t="n">
        <v>98.492</v>
      </c>
      <c r="GG22" t="n">
        <v>98.943</v>
      </c>
      <c r="GH22" t="n">
        <v>99.52</v>
      </c>
      <c r="GI22" t="n">
        <v>99.72</v>
      </c>
      <c r="GJ22" t="n">
        <v>100.073</v>
      </c>
      <c r="GK22" t="n">
        <v>100.672</v>
      </c>
      <c r="GL22" t="n">
        <v>101.377</v>
      </c>
      <c r="GM22" t="n">
        <v>101.91</v>
      </c>
      <c r="GN22" t="n">
        <v>102.252</v>
      </c>
      <c r="GO22" t="n">
        <v>102.64</v>
      </c>
      <c r="GP22" t="n">
        <v>102.848</v>
      </c>
      <c r="GQ22" t="n">
        <v>103.423</v>
      </c>
      <c r="GR22" t="n">
        <v>103.67</v>
      </c>
      <c r="GS22" t="n">
        <v>104.076</v>
      </c>
      <c r="GT22" t="n">
        <v>104.395</v>
      </c>
      <c r="GU22" t="n">
        <v>103.975</v>
      </c>
      <c r="GV22" t="n">
        <v>104.814</v>
      </c>
      <c r="GW22" t="n">
        <v>105.316</v>
      </c>
      <c r="GX22" t="n">
        <v>106.496</v>
      </c>
      <c r="GY22" t="n">
        <v>108.152</v>
      </c>
      <c r="GZ22" t="n">
        <v>109.646</v>
      </c>
      <c r="HA22" t="n">
        <v>111.461</v>
      </c>
      <c r="HB22" t="n">
        <v>113.567</v>
      </c>
      <c r="HC22" t="n">
        <v>115.663</v>
      </c>
      <c r="HD22" t="n">
        <v>117.01</v>
      </c>
      <c r="HE22" t="n">
        <v>118.169</v>
      </c>
      <c r="HF22" t="n">
        <v>119.316</v>
      </c>
      <c r="HG22" t="n">
        <v>120.177</v>
      </c>
      <c r="HH22" t="n">
        <v>120.978</v>
      </c>
      <c r="HI22" t="n">
        <v>121.473</v>
      </c>
      <c r="HJ22" t="n">
        <v>122.501</v>
      </c>
      <c r="HK22" t="n">
        <v>123.269</v>
      </c>
      <c r="HL22" t="n">
        <v>123.741</v>
      </c>
      <c r="HM22" t="n">
        <v>124.471</v>
      </c>
      <c r="HN22" t="n">
        <v>125.594</v>
      </c>
      <c r="HO22" t="n">
        <v>126.221</v>
      </c>
    </row>
    <row r="23">
      <c r="A23" s="78" t="s">
        <v>2535</v>
      </c>
      <c r="B23" s="78" t="n">
        <v>133.6</v>
      </c>
      <c r="C23" s="78" t="n">
        <v>131.8</v>
      </c>
      <c r="D23" s="78" t="n">
        <v>132.4</v>
      </c>
      <c r="E23" s="78" t="n">
        <v>133.5</v>
      </c>
      <c r="F23" s="78" t="n">
        <v>133.3</v>
      </c>
      <c r="G23" s="78" t="n">
        <v>134.3</v>
      </c>
      <c r="H23" s="78" t="n">
        <v>135.6</v>
      </c>
      <c r="I23" s="78" t="n">
        <v>134.7</v>
      </c>
      <c r="J23" s="78" t="n">
        <v>141.4</v>
      </c>
      <c r="K23" s="78" t="n">
        <v>144.2</v>
      </c>
      <c r="L23" s="78" t="n">
        <v>138.8</v>
      </c>
      <c r="M23" s="78" t="n">
        <v>142.2</v>
      </c>
      <c r="N23" s="78" t="n">
        <v>146.4</v>
      </c>
      <c r="O23" s="78" t="n">
        <v>146.5</v>
      </c>
      <c r="P23" t="n">
        <v>144.2</v>
      </c>
      <c r="Q23" t="n">
        <v>147.6</v>
      </c>
      <c r="R23" t="n">
        <v>152.7</v>
      </c>
      <c r="S23" t="n">
        <v>154.9</v>
      </c>
      <c r="T23" t="n">
        <v>160.4</v>
      </c>
      <c r="U23" t="n">
        <v>167.4</v>
      </c>
      <c r="V23" t="n">
        <v>168.6</v>
      </c>
      <c r="W23" t="n">
        <v>169.4</v>
      </c>
      <c r="X23" t="n">
        <v>176.1</v>
      </c>
      <c r="Y23" t="n">
        <v>180.8</v>
      </c>
      <c r="Z23" t="n">
        <v>181.6</v>
      </c>
      <c r="AA23" t="n">
        <v>182.5</v>
      </c>
      <c r="AB23" t="n">
        <v>184.9</v>
      </c>
      <c r="AC23" t="n">
        <v>190.2</v>
      </c>
      <c r="AD23" t="n">
        <v>194.2</v>
      </c>
      <c r="AE23" t="n">
        <v>198.9</v>
      </c>
      <c r="AF23" t="n">
        <v>201.9</v>
      </c>
      <c r="AG23" t="n">
        <v>206.3</v>
      </c>
      <c r="AH23" t="n">
        <v>208.8</v>
      </c>
      <c r="AI23" t="n">
        <v>217</v>
      </c>
      <c r="AJ23" t="n">
        <v>222.1</v>
      </c>
      <c r="AK23" t="n">
        <v>227.8</v>
      </c>
      <c r="AL23" t="n">
        <v>231.7</v>
      </c>
      <c r="AM23" t="n">
        <v>237.6</v>
      </c>
      <c r="AN23" t="n">
        <v>243.7</v>
      </c>
      <c r="AO23" t="n">
        <v>249.3</v>
      </c>
      <c r="AP23" t="n">
        <v>261.1</v>
      </c>
      <c r="AQ23" t="n">
        <v>276.5</v>
      </c>
      <c r="AR23" t="n">
        <v>276.1</v>
      </c>
      <c r="AS23" t="n">
        <v>285.8</v>
      </c>
      <c r="AT23" t="n">
        <v>297.2</v>
      </c>
      <c r="AU23" t="n">
        <v>311.9</v>
      </c>
      <c r="AV23" t="n">
        <v>317.4</v>
      </c>
      <c r="AW23" t="n">
        <v>329.3</v>
      </c>
      <c r="AX23" t="n">
        <v>334.9</v>
      </c>
      <c r="AY23" t="n">
        <v>342.9</v>
      </c>
      <c r="AZ23" t="n">
        <v>351.5</v>
      </c>
      <c r="BA23" t="n">
        <v>364.1</v>
      </c>
      <c r="BB23" t="n">
        <v>370.5</v>
      </c>
      <c r="BC23" t="n">
        <v>380.3</v>
      </c>
      <c r="BD23" t="n">
        <v>394.4</v>
      </c>
      <c r="BE23" t="n">
        <v>384.2</v>
      </c>
      <c r="BF23" t="n">
        <v>392.4</v>
      </c>
      <c r="BG23" t="n">
        <v>408.3</v>
      </c>
      <c r="BH23" t="n">
        <v>414</v>
      </c>
      <c r="BI23" t="n">
        <v>432.5</v>
      </c>
      <c r="BJ23" t="n">
        <v>434.8</v>
      </c>
      <c r="BK23" t="n">
        <v>447.3</v>
      </c>
      <c r="BL23" t="n">
        <v>463.1</v>
      </c>
      <c r="BM23" t="n">
        <v>466.4</v>
      </c>
      <c r="BN23" t="n">
        <v>464</v>
      </c>
      <c r="BO23" t="n">
        <v>477.8</v>
      </c>
      <c r="BP23" t="n">
        <v>495.1</v>
      </c>
      <c r="BQ23" t="n">
        <v>489.8</v>
      </c>
      <c r="BR23" t="n">
        <v>492.1</v>
      </c>
      <c r="BS23" t="n">
        <v>501.2</v>
      </c>
      <c r="BT23" t="n">
        <v>504.1</v>
      </c>
      <c r="BU23" t="n">
        <v>513.7</v>
      </c>
      <c r="BV23" t="n">
        <v>505.8</v>
      </c>
      <c r="BW23" t="n">
        <v>506.9</v>
      </c>
      <c r="BX23" t="n">
        <v>507.4</v>
      </c>
      <c r="BY23" t="n">
        <v>525.6</v>
      </c>
      <c r="BZ23" t="n">
        <v>519.9</v>
      </c>
      <c r="CA23" t="n">
        <v>534.3</v>
      </c>
      <c r="CB23" t="n">
        <v>541.4</v>
      </c>
      <c r="CC23" t="n">
        <v>540.8</v>
      </c>
      <c r="CD23" t="n">
        <v>553.7</v>
      </c>
      <c r="CE23" t="n">
        <v>563.9</v>
      </c>
      <c r="CF23" t="n">
        <v>562.2</v>
      </c>
      <c r="CG23" t="n">
        <v>569.7</v>
      </c>
      <c r="CH23" t="n">
        <v>581.4</v>
      </c>
      <c r="CI23" t="n">
        <v>586.6</v>
      </c>
      <c r="CJ23" t="n">
        <v>586.3</v>
      </c>
      <c r="CK23" t="n">
        <v>577.4</v>
      </c>
      <c r="CL23" t="n">
        <v>580.3</v>
      </c>
      <c r="CM23" t="n">
        <v>580.9</v>
      </c>
      <c r="CN23" t="n">
        <v>594.2</v>
      </c>
      <c r="CO23" t="n">
        <v>598.4</v>
      </c>
      <c r="CP23" t="n">
        <v>580.3</v>
      </c>
      <c r="CQ23" t="n">
        <v>576.7</v>
      </c>
      <c r="CR23" t="n">
        <v>578.7</v>
      </c>
      <c r="CS23" t="n">
        <v>584.9</v>
      </c>
      <c r="CT23" t="n">
        <v>567</v>
      </c>
      <c r="CU23" t="n">
        <v>569.4</v>
      </c>
      <c r="CV23" t="n">
        <v>586.5</v>
      </c>
      <c r="CW23" t="n">
        <v>575.8</v>
      </c>
      <c r="CX23" t="n">
        <v>579.1</v>
      </c>
      <c r="CY23" t="n">
        <v>581</v>
      </c>
      <c r="CZ23" t="n">
        <v>579.3</v>
      </c>
      <c r="DA23" t="n">
        <v>567.3</v>
      </c>
      <c r="DB23" t="n">
        <v>579.8</v>
      </c>
      <c r="DC23" t="n">
        <v>582.1</v>
      </c>
      <c r="DD23" t="n">
        <v>577.8</v>
      </c>
      <c r="DE23" t="n">
        <v>576.9</v>
      </c>
      <c r="DF23" t="n">
        <v>570.7</v>
      </c>
      <c r="DG23" t="n">
        <v>587.2</v>
      </c>
      <c r="DH23" t="n">
        <v>586</v>
      </c>
      <c r="DI23" t="n">
        <v>589.2</v>
      </c>
      <c r="DJ23" t="n">
        <v>572.2</v>
      </c>
      <c r="DK23" t="n">
        <v>587.1</v>
      </c>
      <c r="DL23" t="n">
        <v>588.6</v>
      </c>
      <c r="DM23" t="n">
        <v>594.2</v>
      </c>
      <c r="DN23" t="n">
        <v>595.1</v>
      </c>
      <c r="DO23" t="n">
        <v>599.2</v>
      </c>
      <c r="DP23" t="n">
        <v>614.2</v>
      </c>
      <c r="DQ23" t="n">
        <v>634.3</v>
      </c>
      <c r="DR23" t="n">
        <v>619.4</v>
      </c>
      <c r="DS23" t="n">
        <v>641.2</v>
      </c>
      <c r="DT23" t="n">
        <v>633.6</v>
      </c>
      <c r="DU23" t="n">
        <v>638.2</v>
      </c>
      <c r="DV23" t="n">
        <v>653.3</v>
      </c>
      <c r="DW23" t="n">
        <v>666.2</v>
      </c>
      <c r="DX23" t="n">
        <v>674.4</v>
      </c>
      <c r="DY23" t="n">
        <v>686.9</v>
      </c>
      <c r="DZ23" t="n">
        <v>714</v>
      </c>
      <c r="EA23" t="n">
        <v>734.8</v>
      </c>
      <c r="EB23" t="n">
        <v>748.4</v>
      </c>
      <c r="EC23" t="n">
        <v>775.2</v>
      </c>
      <c r="ED23" t="n">
        <v>792.7</v>
      </c>
      <c r="EE23" t="n">
        <v>826</v>
      </c>
      <c r="EF23" t="n">
        <v>833.3</v>
      </c>
      <c r="EG23" t="n">
        <v>855.1</v>
      </c>
      <c r="EH23" t="n">
        <v>871.8</v>
      </c>
      <c r="EI23" t="n">
        <v>884.6</v>
      </c>
      <c r="EJ23" t="n">
        <v>902.5</v>
      </c>
      <c r="EK23" t="n">
        <v>909.6</v>
      </c>
      <c r="EL23" t="n">
        <v>931.8</v>
      </c>
      <c r="EM23" t="n">
        <v>939.3</v>
      </c>
      <c r="EN23" t="n">
        <v>956.4</v>
      </c>
      <c r="EO23" t="n">
        <v>963.7</v>
      </c>
      <c r="EP23" t="n">
        <v>997.1</v>
      </c>
      <c r="EQ23" t="n">
        <v>997.2</v>
      </c>
      <c r="ER23" t="n">
        <v>995.4</v>
      </c>
      <c r="ES23" t="n">
        <v>1015.1</v>
      </c>
      <c r="ET23" t="n">
        <v>1017.5</v>
      </c>
      <c r="EU23" t="n">
        <v>1042.5</v>
      </c>
      <c r="EV23" t="n">
        <v>1058.8</v>
      </c>
      <c r="EW23" t="n">
        <v>1085.3</v>
      </c>
      <c r="EX23" t="n">
        <v>1111.2</v>
      </c>
      <c r="EY23" t="n">
        <v>1146.6</v>
      </c>
      <c r="EZ23" t="n">
        <v>1170.2</v>
      </c>
      <c r="FA23" t="n">
        <v>1179.8</v>
      </c>
      <c r="FB23" t="n">
        <v>1185.2</v>
      </c>
      <c r="FC23" t="n">
        <v>1213.5</v>
      </c>
      <c r="FD23" t="n">
        <v>1228.3</v>
      </c>
      <c r="FE23" t="n">
        <v>1256.2</v>
      </c>
      <c r="FF23" t="n">
        <v>1278.4</v>
      </c>
      <c r="FG23" t="n">
        <v>1305</v>
      </c>
      <c r="FH23" t="n">
        <v>1304.3</v>
      </c>
      <c r="FI23" t="n">
        <v>1312.9</v>
      </c>
      <c r="FJ23" t="n">
        <v>1306</v>
      </c>
      <c r="FK23" t="n">
        <v>1312.7</v>
      </c>
      <c r="FL23" t="n">
        <v>1288.7</v>
      </c>
      <c r="FM23" t="n">
        <v>1291.7</v>
      </c>
      <c r="FN23" t="n">
        <v>1296.1</v>
      </c>
      <c r="FO23" t="n">
        <v>1288.6</v>
      </c>
      <c r="FP23" t="n">
        <v>1293.8</v>
      </c>
      <c r="FQ23" t="n">
        <v>1269.6</v>
      </c>
      <c r="FR23" t="n">
        <v>1240.1</v>
      </c>
      <c r="FS23" t="n">
        <v>1232.6</v>
      </c>
      <c r="FT23" t="n">
        <v>1219.6</v>
      </c>
      <c r="FU23" t="n">
        <v>1217.3</v>
      </c>
      <c r="FV23" t="n">
        <v>1212.9</v>
      </c>
      <c r="FW23" t="n">
        <v>1211</v>
      </c>
      <c r="FX23" t="n">
        <v>1230.6</v>
      </c>
      <c r="FY23" t="n">
        <v>1213.7</v>
      </c>
      <c r="FZ23" t="n">
        <v>1216.2</v>
      </c>
      <c r="GA23" t="n">
        <v>1222.4</v>
      </c>
      <c r="GB23" t="n">
        <v>1222.4</v>
      </c>
      <c r="GC23" t="n">
        <v>1230.1</v>
      </c>
      <c r="GD23" t="n">
        <v>1229.6</v>
      </c>
      <c r="GE23" t="n">
        <v>1230</v>
      </c>
      <c r="GF23" t="n">
        <v>1241.3</v>
      </c>
      <c r="GG23" t="n">
        <v>1248.5</v>
      </c>
      <c r="GH23" t="n">
        <v>1249.1</v>
      </c>
      <c r="GI23" t="n">
        <v>1259.9</v>
      </c>
      <c r="GJ23" t="n">
        <v>1264.6</v>
      </c>
      <c r="GK23" t="n">
        <v>1290.7</v>
      </c>
      <c r="GL23" t="n">
        <v>1316.2</v>
      </c>
      <c r="GM23" t="n">
        <v>1334.7</v>
      </c>
      <c r="GN23" t="n">
        <v>1358.9</v>
      </c>
      <c r="GO23" t="n">
        <v>1375.4</v>
      </c>
      <c r="GP23" t="n">
        <v>1403.2</v>
      </c>
      <c r="GQ23" t="n">
        <v>1408</v>
      </c>
      <c r="GR23" t="n">
        <v>1426.9</v>
      </c>
      <c r="GS23" t="n">
        <v>1439.9</v>
      </c>
      <c r="GT23" t="n">
        <v>1459.3</v>
      </c>
      <c r="GU23" t="n">
        <v>1567.7</v>
      </c>
      <c r="GV23" t="n">
        <v>1526.5</v>
      </c>
      <c r="GW23" t="n">
        <v>1538.6</v>
      </c>
      <c r="GX23" t="n">
        <v>1613.4</v>
      </c>
      <c r="GY23" t="n">
        <v>1597.4</v>
      </c>
      <c r="GZ23" t="n">
        <v>1585</v>
      </c>
      <c r="HA23" t="n">
        <v>1616.9</v>
      </c>
      <c r="HB23" t="n">
        <v>1606.5</v>
      </c>
      <c r="HC23" t="n">
        <v>1622.1</v>
      </c>
      <c r="HD23" t="n">
        <v>1641.4</v>
      </c>
      <c r="HE23" t="n">
        <v>1694.2</v>
      </c>
      <c r="HF23" t="n">
        <v>1731.6</v>
      </c>
      <c r="HG23" t="n">
        <v>1741.8</v>
      </c>
      <c r="HH23" t="n">
        <v>1780.9</v>
      </c>
      <c r="HI23" t="n">
        <v>1796.2</v>
      </c>
      <c r="HJ23" t="n">
        <v>1810.3</v>
      </c>
      <c r="HK23" t="n">
        <v>1842.2</v>
      </c>
      <c r="HL23" t="n">
        <v>1893.4</v>
      </c>
      <c r="HM23" t="n">
        <v>1924.7</v>
      </c>
      <c r="HN23" t="n">
        <v>1928.4</v>
      </c>
      <c r="HO23" t="n">
        <v>1938.3</v>
      </c>
    </row>
    <row r="24">
      <c r="A24" s="78" t="s">
        <v>2536</v>
      </c>
      <c r="B24" s="78" t="n">
        <v>114.3</v>
      </c>
      <c r="C24" s="78" t="n">
        <v>117.4</v>
      </c>
      <c r="D24" s="78" t="n">
        <v>122.2</v>
      </c>
      <c r="E24" s="78" t="n">
        <v>125.2</v>
      </c>
      <c r="F24" s="78" t="n">
        <v>128.6</v>
      </c>
      <c r="G24" s="78" t="n">
        <v>131.9</v>
      </c>
      <c r="H24" s="78" t="n">
        <v>134.2</v>
      </c>
      <c r="I24" s="78" t="n">
        <v>137.4</v>
      </c>
      <c r="J24" s="78" t="n">
        <v>140.8</v>
      </c>
      <c r="K24" s="78" t="n">
        <v>142.2</v>
      </c>
      <c r="L24" s="78" t="n">
        <v>145.6</v>
      </c>
      <c r="M24" s="78" t="n">
        <v>149.6</v>
      </c>
      <c r="N24" s="78" t="n">
        <v>153.2</v>
      </c>
      <c r="O24" s="78" t="n">
        <v>156.2</v>
      </c>
      <c r="P24" t="n">
        <v>159.9</v>
      </c>
      <c r="Q24" t="n">
        <v>165</v>
      </c>
      <c r="R24" t="n">
        <v>171.9</v>
      </c>
      <c r="S24" t="n">
        <v>180.1</v>
      </c>
      <c r="T24" t="n">
        <v>186.3</v>
      </c>
      <c r="U24" t="n">
        <v>191.9</v>
      </c>
      <c r="V24" t="n">
        <v>201.5</v>
      </c>
      <c r="W24" t="n">
        <v>204</v>
      </c>
      <c r="X24" t="n">
        <v>209.3</v>
      </c>
      <c r="Y24" t="n">
        <v>214.8</v>
      </c>
      <c r="Z24" t="n">
        <v>219.7</v>
      </c>
      <c r="AA24" t="n">
        <v>218.5</v>
      </c>
      <c r="AB24" t="n">
        <v>218.6</v>
      </c>
      <c r="AC24" t="n">
        <v>220.6</v>
      </c>
      <c r="AD24" t="n">
        <v>227</v>
      </c>
      <c r="AE24" t="n">
        <v>232.4</v>
      </c>
      <c r="AF24" t="n">
        <v>236.1</v>
      </c>
      <c r="AG24" t="n">
        <v>240.5</v>
      </c>
      <c r="AH24" t="n">
        <v>243.8</v>
      </c>
      <c r="AI24" t="n">
        <v>255.3</v>
      </c>
      <c r="AJ24" t="n">
        <v>262.2</v>
      </c>
      <c r="AK24" t="n">
        <v>268.4</v>
      </c>
      <c r="AL24" t="n">
        <v>270.1</v>
      </c>
      <c r="AM24" t="n">
        <v>278.9</v>
      </c>
      <c r="AN24" t="n">
        <v>289.4</v>
      </c>
      <c r="AO24" t="n">
        <v>298.4</v>
      </c>
      <c r="AP24" t="n">
        <v>307.7</v>
      </c>
      <c r="AQ24" t="n">
        <v>312</v>
      </c>
      <c r="AR24" t="n">
        <v>316.1</v>
      </c>
      <c r="AS24" t="n">
        <v>323.1</v>
      </c>
      <c r="AT24" t="n">
        <v>336.1</v>
      </c>
      <c r="AU24" t="n">
        <v>336.8</v>
      </c>
      <c r="AV24" t="n">
        <v>340.3</v>
      </c>
      <c r="AW24" t="n">
        <v>348.4</v>
      </c>
      <c r="AX24" t="n">
        <v>353.2</v>
      </c>
      <c r="AY24" t="n">
        <v>360.2</v>
      </c>
      <c r="AZ24" t="n">
        <v>365.8</v>
      </c>
      <c r="BA24" t="n">
        <v>373.3</v>
      </c>
      <c r="BB24" t="n">
        <v>377.4</v>
      </c>
      <c r="BC24" t="n">
        <v>380.7</v>
      </c>
      <c r="BD24" t="n">
        <v>387.8</v>
      </c>
      <c r="BE24" t="n">
        <v>390.9</v>
      </c>
      <c r="BF24" t="n">
        <v>401.6</v>
      </c>
      <c r="BG24" t="n">
        <v>410.8</v>
      </c>
      <c r="BH24" t="n">
        <v>421.7</v>
      </c>
      <c r="BI24" t="n">
        <v>430.2</v>
      </c>
      <c r="BJ24" t="n">
        <v>440.8</v>
      </c>
      <c r="BK24" t="n">
        <v>453.2</v>
      </c>
      <c r="BL24" t="n">
        <v>464.3</v>
      </c>
      <c r="BM24" t="n">
        <v>472.1</v>
      </c>
      <c r="BN24" t="n">
        <v>482.8</v>
      </c>
      <c r="BO24" t="n">
        <v>489.7</v>
      </c>
      <c r="BP24" t="n">
        <v>498.5</v>
      </c>
      <c r="BQ24" t="n">
        <v>506.6</v>
      </c>
      <c r="BR24" t="n">
        <v>516.5</v>
      </c>
      <c r="BS24" t="n">
        <v>524</v>
      </c>
      <c r="BT24" t="n">
        <v>532.1</v>
      </c>
      <c r="BU24" t="n">
        <v>542.3</v>
      </c>
      <c r="BV24" t="n">
        <v>551.1</v>
      </c>
      <c r="BW24" t="n">
        <v>563.5</v>
      </c>
      <c r="BX24" t="n">
        <v>570.8</v>
      </c>
      <c r="BY24" t="n">
        <v>584.3</v>
      </c>
      <c r="BZ24" t="n">
        <v>596.7</v>
      </c>
      <c r="CA24" t="n">
        <v>611.5</v>
      </c>
      <c r="CB24" t="n">
        <v>623.2</v>
      </c>
      <c r="CC24" t="n">
        <v>639.7</v>
      </c>
      <c r="CD24" t="n">
        <v>658.8</v>
      </c>
      <c r="CE24" t="n">
        <v>666.8</v>
      </c>
      <c r="CF24" t="n">
        <v>680.3</v>
      </c>
      <c r="CG24" t="n">
        <v>698.8</v>
      </c>
      <c r="CH24" t="n">
        <v>702.8</v>
      </c>
      <c r="CI24" t="n">
        <v>709.9</v>
      </c>
      <c r="CJ24" t="n">
        <v>719.9</v>
      </c>
      <c r="CK24" t="n">
        <v>731.4</v>
      </c>
      <c r="CL24" t="n">
        <v>746.1</v>
      </c>
      <c r="CM24" t="n">
        <v>753.9</v>
      </c>
      <c r="CN24" t="n">
        <v>759.8</v>
      </c>
      <c r="CO24" t="n">
        <v>764.4</v>
      </c>
      <c r="CP24" t="n">
        <v>771.5</v>
      </c>
      <c r="CQ24" t="n">
        <v>782.3</v>
      </c>
      <c r="CR24" t="n">
        <v>788.7</v>
      </c>
      <c r="CS24" t="n">
        <v>796.5</v>
      </c>
      <c r="CT24" t="n">
        <v>806.3</v>
      </c>
      <c r="CU24" t="n">
        <v>820</v>
      </c>
      <c r="CV24" t="n">
        <v>836.9</v>
      </c>
      <c r="CW24" t="n">
        <v>847.1</v>
      </c>
      <c r="CX24" t="n">
        <v>858.5</v>
      </c>
      <c r="CY24" t="n">
        <v>871.9</v>
      </c>
      <c r="CZ24" t="n">
        <v>876.3</v>
      </c>
      <c r="DA24" t="n">
        <v>884.3</v>
      </c>
      <c r="DB24" t="n">
        <v>891.5</v>
      </c>
      <c r="DC24" t="n">
        <v>905.5</v>
      </c>
      <c r="DD24" t="n">
        <v>919</v>
      </c>
      <c r="DE24" t="n">
        <v>938.8</v>
      </c>
      <c r="DF24" t="n">
        <v>945.3</v>
      </c>
      <c r="DG24" t="n">
        <v>955.4</v>
      </c>
      <c r="DH24" t="n">
        <v>969.2</v>
      </c>
      <c r="DI24" t="n">
        <v>985.6</v>
      </c>
      <c r="DJ24" t="n">
        <v>995.9</v>
      </c>
      <c r="DK24" t="n">
        <v>1016.6</v>
      </c>
      <c r="DL24" t="n">
        <v>1038.6</v>
      </c>
      <c r="DM24" t="n">
        <v>1053.2</v>
      </c>
      <c r="DN24" t="n">
        <v>1074</v>
      </c>
      <c r="DO24" t="n">
        <v>1095.5</v>
      </c>
      <c r="DP24" t="n">
        <v>1119.8</v>
      </c>
      <c r="DQ24" t="n">
        <v>1147.4</v>
      </c>
      <c r="DR24" t="n">
        <v>1170.5</v>
      </c>
      <c r="DS24" t="n">
        <v>1181.3</v>
      </c>
      <c r="DT24" t="n">
        <v>1198.5</v>
      </c>
      <c r="DU24" t="n">
        <v>1223.1</v>
      </c>
      <c r="DV24" t="n">
        <v>1253</v>
      </c>
      <c r="DW24" t="n">
        <v>1281.5</v>
      </c>
      <c r="DX24" t="n">
        <v>1279</v>
      </c>
      <c r="DY24" t="n">
        <v>1305.9</v>
      </c>
      <c r="DZ24" t="n">
        <v>1326</v>
      </c>
      <c r="EA24" t="n">
        <v>1339.7</v>
      </c>
      <c r="EB24" t="n">
        <v>1352.9</v>
      </c>
      <c r="EC24" t="n">
        <v>1367</v>
      </c>
      <c r="ED24" t="n">
        <v>1379.3</v>
      </c>
      <c r="EE24" t="n">
        <v>1372.8</v>
      </c>
      <c r="EF24" t="n">
        <v>1387.2</v>
      </c>
      <c r="EG24" t="n">
        <v>1396</v>
      </c>
      <c r="EH24" t="n">
        <v>1414.8</v>
      </c>
      <c r="EI24" t="n">
        <v>1436.1</v>
      </c>
      <c r="EJ24" t="n">
        <v>1453.9</v>
      </c>
      <c r="EK24" t="n">
        <v>1479.2</v>
      </c>
      <c r="EL24" t="n">
        <v>1494.3</v>
      </c>
      <c r="EM24" t="n">
        <v>1513</v>
      </c>
      <c r="EN24" t="n">
        <v>1538</v>
      </c>
      <c r="EO24" t="n">
        <v>1564.8</v>
      </c>
      <c r="EP24" t="n">
        <v>1583</v>
      </c>
      <c r="EQ24" t="n">
        <v>1613.4</v>
      </c>
      <c r="ER24" t="n">
        <v>1634.8</v>
      </c>
      <c r="ES24" t="n">
        <v>1659.4</v>
      </c>
      <c r="ET24" t="n">
        <v>1700.9</v>
      </c>
      <c r="EU24" t="n">
        <v>1727.5</v>
      </c>
      <c r="EV24" t="n">
        <v>1749.9</v>
      </c>
      <c r="EW24" t="n">
        <v>1779.8</v>
      </c>
      <c r="EX24" t="n">
        <v>1798.5</v>
      </c>
      <c r="EY24" t="n">
        <v>1825</v>
      </c>
      <c r="EZ24" t="n">
        <v>1858.8</v>
      </c>
      <c r="FA24" t="n">
        <v>1842</v>
      </c>
      <c r="FB24" t="n">
        <v>1836.8</v>
      </c>
      <c r="FC24" t="n">
        <v>1857</v>
      </c>
      <c r="FD24" t="n">
        <v>1863.8</v>
      </c>
      <c r="FE24" t="n">
        <v>1864.6</v>
      </c>
      <c r="FF24" t="n">
        <v>1855.5</v>
      </c>
      <c r="FG24" t="n">
        <v>1860.7</v>
      </c>
      <c r="FH24" t="n">
        <v>1854</v>
      </c>
      <c r="FI24" t="n">
        <v>1851.4</v>
      </c>
      <c r="FJ24" t="n">
        <v>1849.8</v>
      </c>
      <c r="FK24" t="n">
        <v>1855.5</v>
      </c>
      <c r="FL24" t="n">
        <v>1848.3</v>
      </c>
      <c r="FM24" t="n">
        <v>1839.1</v>
      </c>
      <c r="FN24" t="n">
        <v>1847.9</v>
      </c>
      <c r="FO24" t="n">
        <v>1841.8</v>
      </c>
      <c r="FP24" t="n">
        <v>1845.3</v>
      </c>
      <c r="FQ24" t="n">
        <v>1862.7</v>
      </c>
      <c r="FR24" t="n">
        <v>1883.4</v>
      </c>
      <c r="FS24" t="n">
        <v>1898.6</v>
      </c>
      <c r="FT24" t="n">
        <v>1915.6</v>
      </c>
      <c r="FU24" t="n">
        <v>1923.3</v>
      </c>
      <c r="FV24" t="n">
        <v>1926.1</v>
      </c>
      <c r="FW24" t="n">
        <v>1943.4</v>
      </c>
      <c r="FX24" t="n">
        <v>1961.1</v>
      </c>
      <c r="FY24" t="n">
        <v>1975.5</v>
      </c>
      <c r="FZ24" t="n">
        <v>1971.7</v>
      </c>
      <c r="GA24" t="n">
        <v>2011.7</v>
      </c>
      <c r="GB24" t="n">
        <v>2031.2</v>
      </c>
      <c r="GC24" t="n">
        <v>2028.1</v>
      </c>
      <c r="GD24" t="n">
        <v>2040.5</v>
      </c>
      <c r="GE24" t="n">
        <v>2059.6</v>
      </c>
      <c r="GF24" t="n">
        <v>2073.9</v>
      </c>
      <c r="GG24" t="n">
        <v>2088.8</v>
      </c>
      <c r="GH24" t="n">
        <v>2104</v>
      </c>
      <c r="GI24" t="n">
        <v>2110.6</v>
      </c>
      <c r="GJ24" t="n">
        <v>2134.3</v>
      </c>
      <c r="GK24" t="n">
        <v>2175.4</v>
      </c>
      <c r="GL24" t="n">
        <v>2197.7</v>
      </c>
      <c r="GM24" t="n">
        <v>2236</v>
      </c>
      <c r="GN24" t="n">
        <v>2267.2</v>
      </c>
      <c r="GO24" t="n">
        <v>2275.5</v>
      </c>
      <c r="GP24" t="n">
        <v>2299.8</v>
      </c>
      <c r="GQ24" t="n">
        <v>2353.2</v>
      </c>
      <c r="GR24" t="n">
        <v>2388</v>
      </c>
      <c r="GS24" t="n">
        <v>2425.1</v>
      </c>
      <c r="GT24" t="n">
        <v>2483.7</v>
      </c>
      <c r="GU24" t="n">
        <v>2458.2</v>
      </c>
      <c r="GV24" t="n">
        <v>2475.1</v>
      </c>
      <c r="GW24" t="n">
        <v>2489.4</v>
      </c>
      <c r="GX24" t="n">
        <v>2534.2</v>
      </c>
      <c r="GY24" t="n">
        <v>2572.6</v>
      </c>
      <c r="GZ24" t="n">
        <v>2629</v>
      </c>
      <c r="HA24" t="n">
        <v>2665.4</v>
      </c>
      <c r="HB24" t="n">
        <v>2726.1</v>
      </c>
      <c r="HC24" t="n">
        <v>2815.5</v>
      </c>
      <c r="HD24" t="n">
        <v>2838.7</v>
      </c>
      <c r="HE24" t="n">
        <v>2870.6</v>
      </c>
      <c r="HF24" t="n">
        <v>2893</v>
      </c>
      <c r="HG24" t="n">
        <v>2904.1</v>
      </c>
      <c r="HH24" t="n">
        <v>2975.5</v>
      </c>
      <c r="HI24" t="n">
        <v>3019</v>
      </c>
      <c r="HJ24" t="n">
        <v>3070.7</v>
      </c>
      <c r="HK24" t="n">
        <v>3100.9</v>
      </c>
      <c r="HL24" t="n">
        <v>3141.6</v>
      </c>
      <c r="HM24" t="n">
        <v>3175</v>
      </c>
      <c r="HN24" t="n">
        <v>3221.5</v>
      </c>
      <c r="HO24" t="n">
        <v>3250.7</v>
      </c>
    </row>
    <row r="25">
      <c r="A25" s="78" t="s">
        <v>2537</v>
      </c>
      <c r="B25" s="78" t="n">
        <v>753.5</v>
      </c>
      <c r="C25" s="78" t="n">
        <v>733.7</v>
      </c>
      <c r="D25" s="78" t="n">
        <v>724.6</v>
      </c>
      <c r="E25" s="78" t="n">
        <v>721.9</v>
      </c>
      <c r="F25" s="78" t="n">
        <v>698.7</v>
      </c>
      <c r="G25" s="78" t="n">
        <v>690.5</v>
      </c>
      <c r="H25" s="78" t="n">
        <v>687.5</v>
      </c>
      <c r="I25" s="78" t="n">
        <v>669.4</v>
      </c>
      <c r="J25" s="78" t="n">
        <v>674.9</v>
      </c>
      <c r="K25" s="78" t="n">
        <v>681.4</v>
      </c>
      <c r="L25" s="78" t="n">
        <v>650.2</v>
      </c>
      <c r="M25" s="78" t="n">
        <v>651.9</v>
      </c>
      <c r="N25" s="78" t="n">
        <v>660.3</v>
      </c>
      <c r="O25" s="78" t="n">
        <v>649.7</v>
      </c>
      <c r="P25" t="n">
        <v>626.7</v>
      </c>
      <c r="Q25" t="n">
        <v>628.1</v>
      </c>
      <c r="R25" t="n">
        <v>643.2</v>
      </c>
      <c r="S25" t="n">
        <v>641</v>
      </c>
      <c r="T25" t="n">
        <v>645.1</v>
      </c>
      <c r="U25" t="n">
        <v>651.5</v>
      </c>
      <c r="V25" t="n">
        <v>644.7</v>
      </c>
      <c r="W25" t="n">
        <v>638.3</v>
      </c>
      <c r="X25" t="n">
        <v>654.7</v>
      </c>
      <c r="Y25" t="n">
        <v>656.9</v>
      </c>
      <c r="Z25" t="n">
        <v>650.4</v>
      </c>
      <c r="AA25" t="n">
        <v>648.2</v>
      </c>
      <c r="AB25" t="n">
        <v>649.1</v>
      </c>
      <c r="AC25" t="n">
        <v>650.5</v>
      </c>
      <c r="AD25" t="n">
        <v>655</v>
      </c>
      <c r="AE25" t="n">
        <v>663.3</v>
      </c>
      <c r="AF25" t="n">
        <v>669.9</v>
      </c>
      <c r="AG25" t="n">
        <v>665.3</v>
      </c>
      <c r="AH25" t="n">
        <v>665.8</v>
      </c>
      <c r="AI25" t="n">
        <v>678.7</v>
      </c>
      <c r="AJ25" t="n">
        <v>683.1</v>
      </c>
      <c r="AK25" t="n">
        <v>688.9</v>
      </c>
      <c r="AL25" t="n">
        <v>687.8</v>
      </c>
      <c r="AM25" t="n">
        <v>694.8</v>
      </c>
      <c r="AN25" t="n">
        <v>696.4</v>
      </c>
      <c r="AO25" t="n">
        <v>697.2</v>
      </c>
      <c r="AP25" t="n">
        <v>715.8</v>
      </c>
      <c r="AQ25" t="n">
        <v>729.9</v>
      </c>
      <c r="AR25" t="n">
        <v>721.5</v>
      </c>
      <c r="AS25" t="n">
        <v>725.2</v>
      </c>
      <c r="AT25" t="n">
        <v>739.4</v>
      </c>
      <c r="AU25" t="n">
        <v>758.4</v>
      </c>
      <c r="AV25" t="n">
        <v>755.3</v>
      </c>
      <c r="AW25" t="n">
        <v>768.8</v>
      </c>
      <c r="AX25" t="n">
        <v>769.3</v>
      </c>
      <c r="AY25" t="n">
        <v>772.5</v>
      </c>
      <c r="AZ25" t="n">
        <v>785.2</v>
      </c>
      <c r="BA25" t="n">
        <v>803.7</v>
      </c>
      <c r="BB25" t="n">
        <v>816.4</v>
      </c>
      <c r="BC25" t="n">
        <v>831.6</v>
      </c>
      <c r="BD25" t="n">
        <v>853.1</v>
      </c>
      <c r="BE25" t="n">
        <v>825.5</v>
      </c>
      <c r="BF25" t="n">
        <v>832.5</v>
      </c>
      <c r="BG25" t="n">
        <v>857.7</v>
      </c>
      <c r="BH25" t="n">
        <v>857</v>
      </c>
      <c r="BI25" t="n">
        <v>884.4</v>
      </c>
      <c r="BJ25" t="n">
        <v>892.5</v>
      </c>
      <c r="BK25" t="n">
        <v>916</v>
      </c>
      <c r="BL25" t="n">
        <v>943.3</v>
      </c>
      <c r="BM25" t="n">
        <v>943.8</v>
      </c>
      <c r="BN25" t="n">
        <v>941.2</v>
      </c>
      <c r="BO25" t="n">
        <v>971.7</v>
      </c>
      <c r="BP25" t="n">
        <v>1005.3</v>
      </c>
      <c r="BQ25" t="n">
        <v>993.6</v>
      </c>
      <c r="BR25" t="n">
        <v>1000</v>
      </c>
      <c r="BS25" t="n">
        <v>1013.6</v>
      </c>
      <c r="BT25" t="n">
        <v>1012.2</v>
      </c>
      <c r="BU25" t="n">
        <v>1029.3</v>
      </c>
      <c r="BV25" t="n">
        <v>999.8</v>
      </c>
      <c r="BW25" t="n">
        <v>992.3</v>
      </c>
      <c r="BX25" t="n">
        <v>987.6</v>
      </c>
      <c r="BY25" t="n">
        <v>1014.9</v>
      </c>
      <c r="BZ25" t="n">
        <v>996.4</v>
      </c>
      <c r="CA25" t="n">
        <v>1016.6</v>
      </c>
      <c r="CB25" t="n">
        <v>1025</v>
      </c>
      <c r="CC25" t="n">
        <v>1020.2</v>
      </c>
      <c r="CD25" t="n">
        <v>1037.2</v>
      </c>
      <c r="CE25" t="n">
        <v>1038.6</v>
      </c>
      <c r="CF25" t="n">
        <v>1034</v>
      </c>
      <c r="CG25" t="n">
        <v>1035.3</v>
      </c>
      <c r="CH25" t="n">
        <v>1047.1</v>
      </c>
      <c r="CI25" t="n">
        <v>1051.4</v>
      </c>
      <c r="CJ25" t="n">
        <v>1037.5</v>
      </c>
      <c r="CK25" t="n">
        <v>1011.5</v>
      </c>
      <c r="CL25" t="n">
        <v>1015.3</v>
      </c>
      <c r="CM25" t="n">
        <v>1012.6</v>
      </c>
      <c r="CN25" t="n">
        <v>1026.9</v>
      </c>
      <c r="CO25" t="n">
        <v>1027.6</v>
      </c>
      <c r="CP25" t="n">
        <v>994</v>
      </c>
      <c r="CQ25" t="n">
        <v>983.6</v>
      </c>
      <c r="CR25" t="n">
        <v>979.9</v>
      </c>
      <c r="CS25" t="n">
        <v>981.5</v>
      </c>
      <c r="CT25" t="n">
        <v>947.3</v>
      </c>
      <c r="CU25" t="n">
        <v>943.2</v>
      </c>
      <c r="CV25" t="n">
        <v>966.1</v>
      </c>
      <c r="CW25" t="n">
        <v>940.6</v>
      </c>
      <c r="CX25" t="n">
        <v>938</v>
      </c>
      <c r="CY25" t="n">
        <v>934.9</v>
      </c>
      <c r="CZ25" t="n">
        <v>927.4</v>
      </c>
      <c r="DA25" t="n">
        <v>895.8</v>
      </c>
      <c r="DB25" t="n">
        <v>913.5</v>
      </c>
      <c r="DC25" t="n">
        <v>922.1</v>
      </c>
      <c r="DD25" t="n">
        <v>909.9</v>
      </c>
      <c r="DE25" t="n">
        <v>905.5</v>
      </c>
      <c r="DF25" t="n">
        <v>892.7</v>
      </c>
      <c r="DG25" t="n">
        <v>912.5</v>
      </c>
      <c r="DH25" t="n">
        <v>908.6</v>
      </c>
      <c r="DI25" t="n">
        <v>907.2</v>
      </c>
      <c r="DJ25" t="n">
        <v>884.6</v>
      </c>
      <c r="DK25" t="n">
        <v>901.9</v>
      </c>
      <c r="DL25" t="n">
        <v>898.4</v>
      </c>
      <c r="DM25" t="n">
        <v>904</v>
      </c>
      <c r="DN25" t="n">
        <v>902.6</v>
      </c>
      <c r="DO25" t="n">
        <v>901.3</v>
      </c>
      <c r="DP25" t="n">
        <v>915.4</v>
      </c>
      <c r="DQ25" t="n">
        <v>934</v>
      </c>
      <c r="DR25" t="n">
        <v>903</v>
      </c>
      <c r="DS25" t="n">
        <v>931.2</v>
      </c>
      <c r="DT25" t="n">
        <v>913.6</v>
      </c>
      <c r="DU25" t="n">
        <v>916.1</v>
      </c>
      <c r="DV25" t="n">
        <v>936.2</v>
      </c>
      <c r="DW25" t="n">
        <v>949.8</v>
      </c>
      <c r="DX25" t="n">
        <v>955.5</v>
      </c>
      <c r="DY25" t="n">
        <v>966.9</v>
      </c>
      <c r="DZ25" t="n">
        <v>998.7</v>
      </c>
      <c r="EA25" t="n">
        <v>1018.1</v>
      </c>
      <c r="EB25" t="n">
        <v>1028.1</v>
      </c>
      <c r="EC25" t="n">
        <v>1045.6</v>
      </c>
      <c r="ED25" t="n">
        <v>1057.7</v>
      </c>
      <c r="EE25" t="n">
        <v>1094.2</v>
      </c>
      <c r="EF25" t="n">
        <v>1094</v>
      </c>
      <c r="EG25" t="n">
        <v>1114.3</v>
      </c>
      <c r="EH25" t="n">
        <v>1126.4</v>
      </c>
      <c r="EI25" t="n">
        <v>1133</v>
      </c>
      <c r="EJ25" t="n">
        <v>1145.5</v>
      </c>
      <c r="EK25" t="n">
        <v>1143.4</v>
      </c>
      <c r="EL25" t="n">
        <v>1156.1</v>
      </c>
      <c r="EM25" t="n">
        <v>1154.9</v>
      </c>
      <c r="EN25" t="n">
        <v>1163.8</v>
      </c>
      <c r="EO25" t="n">
        <v>1164.3</v>
      </c>
      <c r="EP25" t="n">
        <v>1194.5</v>
      </c>
      <c r="EQ25" t="n">
        <v>1186.4</v>
      </c>
      <c r="ER25" t="n">
        <v>1175.6</v>
      </c>
      <c r="ES25" t="n">
        <v>1192.7</v>
      </c>
      <c r="ET25" t="n">
        <v>1185.5</v>
      </c>
      <c r="EU25" t="n">
        <v>1205</v>
      </c>
      <c r="EV25" t="n">
        <v>1215.5</v>
      </c>
      <c r="EW25" t="n">
        <v>1235.8</v>
      </c>
      <c r="EX25" t="n">
        <v>1254.6</v>
      </c>
      <c r="EY25" t="n">
        <v>1281.4</v>
      </c>
      <c r="EZ25" t="n">
        <v>1298</v>
      </c>
      <c r="FA25" t="n">
        <v>1314.9</v>
      </c>
      <c r="FB25" t="n">
        <v>1332.3</v>
      </c>
      <c r="FC25" t="n">
        <v>1363.9</v>
      </c>
      <c r="FD25" t="n">
        <v>1376.4</v>
      </c>
      <c r="FE25" t="n">
        <v>1396.9</v>
      </c>
      <c r="FF25" t="n">
        <v>1412.5</v>
      </c>
      <c r="FG25" t="n">
        <v>1431</v>
      </c>
      <c r="FH25" t="n">
        <v>1424.5</v>
      </c>
      <c r="FI25" t="n">
        <v>1422.3</v>
      </c>
      <c r="FJ25" t="n">
        <v>1402.2</v>
      </c>
      <c r="FK25" t="n">
        <v>1396.8</v>
      </c>
      <c r="FL25" t="n">
        <v>1366.4</v>
      </c>
      <c r="FM25" t="n">
        <v>1371.5</v>
      </c>
      <c r="FN25" t="n">
        <v>1371.4</v>
      </c>
      <c r="FO25" t="n">
        <v>1360.5</v>
      </c>
      <c r="FP25" t="n">
        <v>1363.3</v>
      </c>
      <c r="FQ25" t="n">
        <v>1336.2</v>
      </c>
      <c r="FR25" t="n">
        <v>1306</v>
      </c>
      <c r="FS25" t="n">
        <v>1295.9</v>
      </c>
      <c r="FT25" t="n">
        <v>1277.8</v>
      </c>
      <c r="FU25" t="n">
        <v>1256</v>
      </c>
      <c r="FV25" t="n">
        <v>1254.9</v>
      </c>
      <c r="FW25" t="n">
        <v>1247.7</v>
      </c>
      <c r="FX25" t="n">
        <v>1262.1</v>
      </c>
      <c r="FY25" t="n">
        <v>1243.1</v>
      </c>
      <c r="FZ25" t="n">
        <v>1248</v>
      </c>
      <c r="GA25" t="n">
        <v>1251.9</v>
      </c>
      <c r="GB25" t="n">
        <v>1250.8</v>
      </c>
      <c r="GC25" t="n">
        <v>1260.2</v>
      </c>
      <c r="GD25" t="n">
        <v>1261.1</v>
      </c>
      <c r="GE25" t="n">
        <v>1254.8</v>
      </c>
      <c r="GF25" t="n">
        <v>1261.4</v>
      </c>
      <c r="GG25" t="n">
        <v>1262.5</v>
      </c>
      <c r="GH25" t="n">
        <v>1257.2</v>
      </c>
      <c r="GI25" t="n">
        <v>1263.9</v>
      </c>
      <c r="GJ25" t="n">
        <v>1263.1</v>
      </c>
      <c r="GK25" t="n">
        <v>1280</v>
      </c>
      <c r="GL25" t="n">
        <v>1293</v>
      </c>
      <c r="GM25" t="n">
        <v>1302.3</v>
      </c>
      <c r="GN25" t="n">
        <v>1319.1</v>
      </c>
      <c r="GO25" t="n">
        <v>1325.3</v>
      </c>
      <c r="GP25" t="n">
        <v>1339.8</v>
      </c>
      <c r="GQ25" t="n">
        <v>1353.4</v>
      </c>
      <c r="GR25" t="n">
        <v>1370.3</v>
      </c>
      <c r="GS25" t="n">
        <v>1377.8</v>
      </c>
      <c r="GT25" t="n">
        <v>1392.2</v>
      </c>
      <c r="GU25" t="n">
        <v>1494.7</v>
      </c>
      <c r="GV25" t="n">
        <v>1447.4</v>
      </c>
      <c r="GW25" t="n">
        <v>1447.9</v>
      </c>
      <c r="GX25" t="n">
        <v>1506.7</v>
      </c>
      <c r="GY25" t="n">
        <v>1475.7</v>
      </c>
      <c r="GZ25" t="n">
        <v>1447.2</v>
      </c>
      <c r="HA25" t="n">
        <v>1458.4</v>
      </c>
      <c r="HB25" t="n">
        <v>1426.3</v>
      </c>
      <c r="HC25" t="n">
        <v>1414.4</v>
      </c>
      <c r="HD25" t="n">
        <v>1412.9</v>
      </c>
      <c r="HE25" t="n">
        <v>1443.6</v>
      </c>
      <c r="HF25" t="n">
        <v>1460</v>
      </c>
      <c r="HG25" t="n">
        <v>1456</v>
      </c>
      <c r="HH25" t="n">
        <v>1474.8</v>
      </c>
      <c r="HI25" t="n">
        <v>1473.5</v>
      </c>
      <c r="HJ25" t="n">
        <v>1472.2</v>
      </c>
      <c r="HK25" t="n">
        <v>1487.8</v>
      </c>
      <c r="HL25" t="n">
        <v>1520</v>
      </c>
      <c r="HM25" t="n">
        <v>1534.9</v>
      </c>
      <c r="HN25" t="n">
        <v>1516.8</v>
      </c>
      <c r="HO25" t="n">
        <v>1498.6</v>
      </c>
    </row>
    <row r="26">
      <c r="A26" s="78" t="s">
        <v>2538</v>
      </c>
      <c r="B26" s="78" t="n">
        <v>902.2</v>
      </c>
      <c r="C26" s="78" t="n">
        <v>907.1</v>
      </c>
      <c r="D26" s="78" t="n">
        <v>927.8</v>
      </c>
      <c r="E26" s="78" t="n">
        <v>932.5</v>
      </c>
      <c r="F26" s="78" t="n">
        <v>936.4</v>
      </c>
      <c r="G26" s="78" t="n">
        <v>943.3</v>
      </c>
      <c r="H26" s="78" t="n">
        <v>946.5</v>
      </c>
      <c r="I26" s="78" t="n">
        <v>958.4</v>
      </c>
      <c r="J26" s="78" t="n">
        <v>961</v>
      </c>
      <c r="K26" s="78" t="n">
        <v>959.4</v>
      </c>
      <c r="L26" s="78" t="n">
        <v>967.1</v>
      </c>
      <c r="M26" s="78" t="n">
        <v>980.4</v>
      </c>
      <c r="N26" s="78" t="n">
        <v>984.9</v>
      </c>
      <c r="O26" s="78" t="n">
        <v>986.5</v>
      </c>
      <c r="P26" t="n">
        <v>996.8</v>
      </c>
      <c r="Q26" t="n">
        <v>1008.9</v>
      </c>
      <c r="R26" t="n">
        <v>1021.7</v>
      </c>
      <c r="S26" t="n">
        <v>1034.3</v>
      </c>
      <c r="T26" t="n">
        <v>1032.4</v>
      </c>
      <c r="U26" t="n">
        <v>1032.8</v>
      </c>
      <c r="V26" t="n">
        <v>1063.3</v>
      </c>
      <c r="W26" t="n">
        <v>1055.7</v>
      </c>
      <c r="X26" t="n">
        <v>1069.2</v>
      </c>
      <c r="Y26" t="n">
        <v>1083.5</v>
      </c>
      <c r="Z26" t="n">
        <v>1095.7</v>
      </c>
      <c r="AA26" t="n">
        <v>1076.5</v>
      </c>
      <c r="AB26" t="n">
        <v>1069.3</v>
      </c>
      <c r="AC26" t="n">
        <v>1066.1</v>
      </c>
      <c r="AD26" t="n">
        <v>1076.7</v>
      </c>
      <c r="AE26" t="n">
        <v>1083.3</v>
      </c>
      <c r="AF26" t="n">
        <v>1082.2</v>
      </c>
      <c r="AG26" t="n">
        <v>1083.8</v>
      </c>
      <c r="AH26" t="n">
        <v>1083.6</v>
      </c>
      <c r="AI26" t="n">
        <v>1116.2</v>
      </c>
      <c r="AJ26" t="n">
        <v>1129</v>
      </c>
      <c r="AK26" t="n">
        <v>1139.7</v>
      </c>
      <c r="AL26" t="n">
        <v>1120.4</v>
      </c>
      <c r="AM26" t="n">
        <v>1130.9</v>
      </c>
      <c r="AN26" t="n">
        <v>1134.8</v>
      </c>
      <c r="AO26" t="n">
        <v>1147.5</v>
      </c>
      <c r="AP26" t="n">
        <v>1152.9</v>
      </c>
      <c r="AQ26" t="n">
        <v>1137.6</v>
      </c>
      <c r="AR26" t="n">
        <v>1120</v>
      </c>
      <c r="AS26" t="n">
        <v>1114.5</v>
      </c>
      <c r="AT26" t="n">
        <v>1123.2</v>
      </c>
      <c r="AU26" t="n">
        <v>1101.8</v>
      </c>
      <c r="AV26" t="n">
        <v>1098.6</v>
      </c>
      <c r="AW26" t="n">
        <v>1107.2</v>
      </c>
      <c r="AX26" t="n">
        <v>1104.1</v>
      </c>
      <c r="AY26" t="n">
        <v>1107.9</v>
      </c>
      <c r="AZ26" t="n">
        <v>1108</v>
      </c>
      <c r="BA26" t="n">
        <v>1116.4</v>
      </c>
      <c r="BB26" t="n">
        <v>1120.4</v>
      </c>
      <c r="BC26" t="n">
        <v>1118.2</v>
      </c>
      <c r="BD26" t="n">
        <v>1127.9</v>
      </c>
      <c r="BE26" t="n">
        <v>1128.6</v>
      </c>
      <c r="BF26" t="n">
        <v>1142.9</v>
      </c>
      <c r="BG26" t="n">
        <v>1158.1</v>
      </c>
      <c r="BH26" t="n">
        <v>1177.9</v>
      </c>
      <c r="BI26" t="n">
        <v>1189.9</v>
      </c>
      <c r="BJ26" t="n">
        <v>1204.9</v>
      </c>
      <c r="BK26" t="n">
        <v>1226.7</v>
      </c>
      <c r="BL26" t="n">
        <v>1246.2</v>
      </c>
      <c r="BM26" t="n">
        <v>1255.7</v>
      </c>
      <c r="BN26" t="n">
        <v>1278.8</v>
      </c>
      <c r="BO26" t="n">
        <v>1291.3</v>
      </c>
      <c r="BP26" t="n">
        <v>1303.3</v>
      </c>
      <c r="BQ26" t="n">
        <v>1307.7</v>
      </c>
      <c r="BR26" t="n">
        <v>1314.6</v>
      </c>
      <c r="BS26" t="n">
        <v>1317.5</v>
      </c>
      <c r="BT26" t="n">
        <v>1322</v>
      </c>
      <c r="BU26" t="n">
        <v>1339.5</v>
      </c>
      <c r="BV26" t="n">
        <v>1354.2</v>
      </c>
      <c r="BW26" t="n">
        <v>1371.3</v>
      </c>
      <c r="BX26" t="n">
        <v>1377.5</v>
      </c>
      <c r="BY26" t="n">
        <v>1394.1</v>
      </c>
      <c r="BZ26" t="n">
        <v>1405.3</v>
      </c>
      <c r="CA26" t="n">
        <v>1420.8</v>
      </c>
      <c r="CB26" t="n">
        <v>1434.5</v>
      </c>
      <c r="CC26" t="n">
        <v>1453.7</v>
      </c>
      <c r="CD26" t="n">
        <v>1476.1</v>
      </c>
      <c r="CE26" t="n">
        <v>1478.9</v>
      </c>
      <c r="CF26" t="n">
        <v>1488.7</v>
      </c>
      <c r="CG26" t="n">
        <v>1505.3</v>
      </c>
      <c r="CH26" t="n">
        <v>1507.6</v>
      </c>
      <c r="CI26" t="n">
        <v>1513.7</v>
      </c>
      <c r="CJ26" t="n">
        <v>1522.5</v>
      </c>
      <c r="CK26" t="n">
        <v>1533.2</v>
      </c>
      <c r="CL26" t="n">
        <v>1553</v>
      </c>
      <c r="CM26" t="n">
        <v>1550.7</v>
      </c>
      <c r="CN26" t="n">
        <v>1551.4</v>
      </c>
      <c r="CO26" t="n">
        <v>1550.2</v>
      </c>
      <c r="CP26" t="n">
        <v>1555.6</v>
      </c>
      <c r="CQ26" t="n">
        <v>1568.2</v>
      </c>
      <c r="CR26" t="n">
        <v>1576.4</v>
      </c>
      <c r="CS26" t="n">
        <v>1584.1</v>
      </c>
      <c r="CT26" t="n">
        <v>1590.7</v>
      </c>
      <c r="CU26" t="n">
        <v>1608.8</v>
      </c>
      <c r="CV26" t="n">
        <v>1627.8</v>
      </c>
      <c r="CW26" t="n">
        <v>1633.7</v>
      </c>
      <c r="CX26" t="n">
        <v>1646.5</v>
      </c>
      <c r="CY26" t="n">
        <v>1659.4</v>
      </c>
      <c r="CZ26" t="n">
        <v>1661.1</v>
      </c>
      <c r="DA26" t="n">
        <v>1669.7</v>
      </c>
      <c r="DB26" t="n">
        <v>1666.8</v>
      </c>
      <c r="DC26" t="n">
        <v>1690.8</v>
      </c>
      <c r="DD26" t="n">
        <v>1705.1</v>
      </c>
      <c r="DE26" t="n">
        <v>1729.5</v>
      </c>
      <c r="DF26" t="n">
        <v>1729.9</v>
      </c>
      <c r="DG26" t="n">
        <v>1742.7</v>
      </c>
      <c r="DH26" t="n">
        <v>1760.3</v>
      </c>
      <c r="DI26" t="n">
        <v>1776.1</v>
      </c>
      <c r="DJ26" t="n">
        <v>1792.3</v>
      </c>
      <c r="DK26" t="n">
        <v>1821.7</v>
      </c>
      <c r="DL26" t="n">
        <v>1847.3</v>
      </c>
      <c r="DM26" t="n">
        <v>1857.8</v>
      </c>
      <c r="DN26" t="n">
        <v>1880</v>
      </c>
      <c r="DO26" t="n">
        <v>1892.1</v>
      </c>
      <c r="DP26" t="n">
        <v>1911.1</v>
      </c>
      <c r="DQ26" t="n">
        <v>1935.9</v>
      </c>
      <c r="DR26" t="n">
        <v>1949.9</v>
      </c>
      <c r="DS26" t="n">
        <v>1947.2</v>
      </c>
      <c r="DT26" t="n">
        <v>1954.5</v>
      </c>
      <c r="DU26" t="n">
        <v>1969.9</v>
      </c>
      <c r="DV26" t="n">
        <v>1994.2</v>
      </c>
      <c r="DW26" t="n">
        <v>2031.7</v>
      </c>
      <c r="DX26" t="n">
        <v>2022.5</v>
      </c>
      <c r="DY26" t="n">
        <v>2061</v>
      </c>
      <c r="DZ26" t="n">
        <v>2080.5</v>
      </c>
      <c r="EA26" t="n">
        <v>2083.2</v>
      </c>
      <c r="EB26" t="n">
        <v>2088.6</v>
      </c>
      <c r="EC26" t="n">
        <v>2092.7</v>
      </c>
      <c r="ED26" t="n">
        <v>2081.8</v>
      </c>
      <c r="EE26" t="n">
        <v>2070.4</v>
      </c>
      <c r="EF26" t="n">
        <v>2078.3</v>
      </c>
      <c r="EG26" t="n">
        <v>2075.2</v>
      </c>
      <c r="EH26" t="n">
        <v>2076.5</v>
      </c>
      <c r="EI26" t="n">
        <v>2078</v>
      </c>
      <c r="EJ26" t="n">
        <v>2070.3</v>
      </c>
      <c r="EK26" t="n">
        <v>2070.6</v>
      </c>
      <c r="EL26" t="n">
        <v>2072.9</v>
      </c>
      <c r="EM26" t="n">
        <v>2072.3</v>
      </c>
      <c r="EN26" t="n">
        <v>2073.5</v>
      </c>
      <c r="EO26" t="n">
        <v>2075.6</v>
      </c>
      <c r="EP26" t="n">
        <v>2084.9</v>
      </c>
      <c r="EQ26" t="n">
        <v>2092.7</v>
      </c>
      <c r="ER26" t="n">
        <v>2099.2</v>
      </c>
      <c r="ES26" t="n">
        <v>2108.4</v>
      </c>
      <c r="ET26" t="n">
        <v>2120.6</v>
      </c>
      <c r="EU26" t="n">
        <v>2130.6</v>
      </c>
      <c r="EV26" t="n">
        <v>2134.9</v>
      </c>
      <c r="EW26" t="n">
        <v>2140.6</v>
      </c>
      <c r="EX26" t="n">
        <v>2128.8</v>
      </c>
      <c r="EY26" t="n">
        <v>2130.3</v>
      </c>
      <c r="EZ26" t="n">
        <v>2140.8</v>
      </c>
      <c r="FA26" t="n">
        <v>2147.4</v>
      </c>
      <c r="FB26" t="n">
        <v>2169.1</v>
      </c>
      <c r="FC26" t="n">
        <v>2187.9</v>
      </c>
      <c r="FD26" t="n">
        <v>2184.6</v>
      </c>
      <c r="FE26" t="n">
        <v>2169.8</v>
      </c>
      <c r="FF26" t="n">
        <v>2137.8</v>
      </c>
      <c r="FG26" t="n">
        <v>2129.5</v>
      </c>
      <c r="FH26" t="n">
        <v>2110.6</v>
      </c>
      <c r="FI26" t="n">
        <v>2090.2</v>
      </c>
      <c r="FJ26" t="n">
        <v>2067.3</v>
      </c>
      <c r="FK26" t="n">
        <v>2048.8</v>
      </c>
      <c r="FL26" t="n">
        <v>2030.4</v>
      </c>
      <c r="FM26" t="n">
        <v>2022.8</v>
      </c>
      <c r="FN26" t="n">
        <v>2008.2</v>
      </c>
      <c r="FO26" t="n">
        <v>2001.4</v>
      </c>
      <c r="FP26" t="n">
        <v>1993.4</v>
      </c>
      <c r="FQ26" t="n">
        <v>1987.8</v>
      </c>
      <c r="FR26" t="n">
        <v>1987.2</v>
      </c>
      <c r="FS26" t="n">
        <v>1993.1</v>
      </c>
      <c r="FT26" t="n">
        <v>1995.1</v>
      </c>
      <c r="FU26" t="n">
        <v>1991.6</v>
      </c>
      <c r="FV26" t="n">
        <v>1978.8</v>
      </c>
      <c r="FW26" t="n">
        <v>1990.3</v>
      </c>
      <c r="FX26" t="n">
        <v>1997.9</v>
      </c>
      <c r="FY26" t="n">
        <v>2014.4</v>
      </c>
      <c r="FZ26" t="n">
        <v>2029.1</v>
      </c>
      <c r="GA26" t="n">
        <v>2057.3</v>
      </c>
      <c r="GB26" t="n">
        <v>2075.9</v>
      </c>
      <c r="GC26" t="n">
        <v>2080.8</v>
      </c>
      <c r="GD26" t="n">
        <v>2110.5</v>
      </c>
      <c r="GE26" t="n">
        <v>2114.2</v>
      </c>
      <c r="GF26" t="n">
        <v>2122.3</v>
      </c>
      <c r="GG26" t="n">
        <v>2127.2</v>
      </c>
      <c r="GH26" t="n">
        <v>2123.1</v>
      </c>
      <c r="GI26" t="n">
        <v>2125.9</v>
      </c>
      <c r="GJ26" t="n">
        <v>2130.9</v>
      </c>
      <c r="GK26" t="n">
        <v>2144.5</v>
      </c>
      <c r="GL26" t="n">
        <v>2138.7</v>
      </c>
      <c r="GM26" t="n">
        <v>2154</v>
      </c>
      <c r="GN26" t="n">
        <v>2164.7</v>
      </c>
      <c r="GO26" t="n">
        <v>2163.2</v>
      </c>
      <c r="GP26" t="n">
        <v>2197</v>
      </c>
      <c r="GQ26" t="n">
        <v>2231.3</v>
      </c>
      <c r="GR26" t="n">
        <v>2255.4</v>
      </c>
      <c r="GS26" t="n">
        <v>2277</v>
      </c>
      <c r="GT26" t="n">
        <v>2302.2</v>
      </c>
      <c r="GU26" t="n">
        <v>2281.5</v>
      </c>
      <c r="GV26" t="n">
        <v>2269.8</v>
      </c>
      <c r="GW26" t="n">
        <v>2255.3</v>
      </c>
      <c r="GX26" t="n">
        <v>2246.1</v>
      </c>
      <c r="GY26" t="n">
        <v>2236.1</v>
      </c>
      <c r="GZ26" t="n">
        <v>2249</v>
      </c>
      <c r="HA26" t="n">
        <v>2236</v>
      </c>
      <c r="HB26" t="n">
        <v>2235.3</v>
      </c>
      <c r="HC26" t="n">
        <v>2232.9</v>
      </c>
      <c r="HD26" t="n">
        <v>2248</v>
      </c>
      <c r="HE26" t="n">
        <v>2266.9</v>
      </c>
      <c r="HF26" t="n">
        <v>2296.6</v>
      </c>
      <c r="HG26" t="n">
        <v>2327.1</v>
      </c>
      <c r="HH26" t="n">
        <v>2360.8</v>
      </c>
      <c r="HI26" t="n">
        <v>2395.9</v>
      </c>
      <c r="HJ26" t="n">
        <v>2414</v>
      </c>
      <c r="HK26" t="n">
        <v>2427.9</v>
      </c>
      <c r="HL26" t="n">
        <v>2445.3</v>
      </c>
      <c r="HM26" t="n">
        <v>2460.4</v>
      </c>
      <c r="HN26" t="n">
        <v>2472.5</v>
      </c>
      <c r="HO26" t="n">
        <v>2488.5</v>
      </c>
    </row>
    <row r="27">
      <c r="A27" s="78" t="s">
        <v>2539</v>
      </c>
      <c r="B27" s="78" t="n">
        <v>90.6</v>
      </c>
      <c r="C27" s="78" t="n">
        <v>91.4</v>
      </c>
      <c r="D27" s="78" t="n">
        <v>86.3</v>
      </c>
      <c r="E27" s="78" t="n">
        <v>87.2</v>
      </c>
      <c r="F27" s="78" t="n">
        <v>83.6</v>
      </c>
      <c r="G27" s="78" t="n">
        <v>85.1</v>
      </c>
      <c r="H27" s="78" t="n">
        <v>86.3</v>
      </c>
      <c r="I27" s="78" t="n">
        <v>88.2</v>
      </c>
      <c r="J27" s="78" t="n">
        <v>100.3</v>
      </c>
      <c r="K27" s="78" t="n">
        <v>102.4</v>
      </c>
      <c r="L27" s="78" t="n">
        <v>103.1</v>
      </c>
      <c r="M27" s="78" t="n">
        <v>105.3</v>
      </c>
      <c r="N27" s="78" t="n">
        <v>104.5</v>
      </c>
      <c r="O27" s="78" t="n">
        <v>106.9</v>
      </c>
      <c r="P27" t="n">
        <v>111</v>
      </c>
      <c r="Q27" t="n">
        <v>116</v>
      </c>
      <c r="R27" t="n">
        <v>119.5</v>
      </c>
      <c r="S27" t="n">
        <v>124.8</v>
      </c>
      <c r="T27" t="n">
        <v>129.7</v>
      </c>
      <c r="U27" t="n">
        <v>132</v>
      </c>
      <c r="V27" t="n">
        <v>132.3</v>
      </c>
      <c r="W27" t="n">
        <v>94.6</v>
      </c>
      <c r="X27" t="n">
        <v>125.7</v>
      </c>
      <c r="Y27" t="n">
        <v>130.4</v>
      </c>
      <c r="Z27" t="n">
        <v>133</v>
      </c>
      <c r="AA27" t="n">
        <v>138.7</v>
      </c>
      <c r="AB27" t="n">
        <v>144.5</v>
      </c>
      <c r="AC27" t="n">
        <v>150.1</v>
      </c>
      <c r="AD27" t="n">
        <v>155.3</v>
      </c>
      <c r="AE27" t="n">
        <v>161</v>
      </c>
      <c r="AF27" t="n">
        <v>162.6</v>
      </c>
      <c r="AG27" t="n">
        <v>171.2</v>
      </c>
      <c r="AH27" t="n">
        <v>173.4</v>
      </c>
      <c r="AI27" t="n">
        <v>182.9</v>
      </c>
      <c r="AJ27" t="n">
        <v>195.4</v>
      </c>
      <c r="AK27" t="n">
        <v>205.1</v>
      </c>
      <c r="AL27" t="n">
        <v>211.6</v>
      </c>
      <c r="AM27" t="n">
        <v>219.9</v>
      </c>
      <c r="AN27" t="n">
        <v>229.4</v>
      </c>
      <c r="AO27" t="n">
        <v>238.6</v>
      </c>
      <c r="AP27" t="n">
        <v>238.3</v>
      </c>
      <c r="AQ27" t="n">
        <v>244.2</v>
      </c>
      <c r="AR27" t="n">
        <v>252.8</v>
      </c>
      <c r="AS27" t="n">
        <v>267.2</v>
      </c>
      <c r="AT27" t="n">
        <v>278.4</v>
      </c>
      <c r="AU27" t="n">
        <v>289</v>
      </c>
      <c r="AV27" t="n">
        <v>301.4</v>
      </c>
      <c r="AW27" t="n">
        <v>295.9</v>
      </c>
      <c r="AX27" t="n">
        <v>295.2</v>
      </c>
      <c r="AY27" t="n">
        <v>301.7</v>
      </c>
      <c r="AZ27" t="n">
        <v>289.7</v>
      </c>
      <c r="BA27" t="n">
        <v>295.8</v>
      </c>
      <c r="BB27" t="n">
        <v>289.5</v>
      </c>
      <c r="BC27" t="n">
        <v>295.3</v>
      </c>
      <c r="BD27" t="n">
        <v>277.3</v>
      </c>
      <c r="BE27" t="n">
        <v>284.9</v>
      </c>
      <c r="BF27" t="n">
        <v>287.9</v>
      </c>
      <c r="BG27" t="n">
        <v>294.6</v>
      </c>
      <c r="BH27" t="n">
        <v>307.3</v>
      </c>
      <c r="BI27" t="n">
        <v>317.7</v>
      </c>
      <c r="BJ27" t="n">
        <v>353</v>
      </c>
      <c r="BK27" t="n">
        <v>307.6</v>
      </c>
      <c r="BL27" t="n">
        <v>340</v>
      </c>
      <c r="BM27" t="n">
        <v>345.2</v>
      </c>
      <c r="BN27" t="n">
        <v>341.8</v>
      </c>
      <c r="BO27" t="n">
        <v>344.4</v>
      </c>
      <c r="BP27" t="n">
        <v>352</v>
      </c>
      <c r="BQ27" t="n">
        <v>364.2</v>
      </c>
      <c r="BR27" t="n">
        <v>358.3</v>
      </c>
      <c r="BS27" t="n">
        <v>410.2</v>
      </c>
      <c r="BT27" t="n">
        <v>394.9</v>
      </c>
      <c r="BU27" t="n">
        <v>408.5</v>
      </c>
      <c r="BV27" t="n">
        <v>402.6</v>
      </c>
      <c r="BW27" t="n">
        <v>400.6</v>
      </c>
      <c r="BX27" t="n">
        <v>402.5</v>
      </c>
      <c r="BY27" t="n">
        <v>409.6</v>
      </c>
      <c r="BZ27" t="n">
        <v>439.5</v>
      </c>
      <c r="CA27" t="n">
        <v>448.4</v>
      </c>
      <c r="CB27" t="n">
        <v>457.1</v>
      </c>
      <c r="CC27" t="n">
        <v>467.4</v>
      </c>
      <c r="CD27" t="n">
        <v>463.2</v>
      </c>
      <c r="CE27" t="n">
        <v>472</v>
      </c>
      <c r="CF27" t="n">
        <v>477</v>
      </c>
      <c r="CG27" t="n">
        <v>476.2</v>
      </c>
      <c r="CH27" t="n">
        <v>459.6</v>
      </c>
      <c r="CI27" t="n">
        <v>461.4</v>
      </c>
      <c r="CJ27" t="n">
        <v>464.1</v>
      </c>
      <c r="CK27" t="n">
        <v>469.2</v>
      </c>
      <c r="CL27" t="n">
        <v>461.3</v>
      </c>
      <c r="CM27" t="n">
        <v>470.2</v>
      </c>
      <c r="CN27" t="n">
        <v>479.4</v>
      </c>
      <c r="CO27" t="n">
        <v>499</v>
      </c>
      <c r="CP27" t="n">
        <v>480.3</v>
      </c>
      <c r="CQ27" t="n">
        <v>505.3</v>
      </c>
      <c r="CR27" t="n">
        <v>515.6</v>
      </c>
      <c r="CS27" t="n">
        <v>529.5</v>
      </c>
      <c r="CT27" t="n">
        <v>526.7</v>
      </c>
      <c r="CU27" t="n">
        <v>555.9</v>
      </c>
      <c r="CV27" t="n">
        <v>544.2</v>
      </c>
      <c r="CW27" t="n">
        <v>553.4</v>
      </c>
      <c r="CX27" t="n">
        <v>567.7</v>
      </c>
      <c r="CY27" t="n">
        <v>594.4</v>
      </c>
      <c r="CZ27" t="n">
        <v>591.5</v>
      </c>
      <c r="DA27" t="n">
        <v>607.6</v>
      </c>
      <c r="DB27" t="n">
        <v>636.4</v>
      </c>
      <c r="DC27" t="n">
        <v>673.6</v>
      </c>
      <c r="DD27" t="n">
        <v>674.2</v>
      </c>
      <c r="DE27" t="n">
        <v>689.4</v>
      </c>
      <c r="DF27" t="n">
        <v>724.3</v>
      </c>
      <c r="DG27" t="n">
        <v>739.3</v>
      </c>
      <c r="DH27" t="n">
        <v>757</v>
      </c>
      <c r="DI27" t="n">
        <v>778.6</v>
      </c>
      <c r="DJ27" t="n">
        <v>800.6</v>
      </c>
      <c r="DK27" t="n">
        <v>820.9</v>
      </c>
      <c r="DL27" t="n">
        <v>841.6</v>
      </c>
      <c r="DM27" t="n">
        <v>861.7</v>
      </c>
      <c r="DN27" t="n">
        <v>869.8</v>
      </c>
      <c r="DO27" t="n">
        <v>885.8</v>
      </c>
      <c r="DP27" t="n">
        <v>904.2</v>
      </c>
      <c r="DQ27" t="n">
        <v>930</v>
      </c>
      <c r="DR27" t="n">
        <v>976.6</v>
      </c>
      <c r="DS27" t="n">
        <v>986.9</v>
      </c>
      <c r="DT27" t="n">
        <v>1011.1</v>
      </c>
      <c r="DU27" t="n">
        <v>1023.9</v>
      </c>
      <c r="DV27" t="n">
        <v>1051</v>
      </c>
      <c r="DW27" t="n">
        <v>1049</v>
      </c>
      <c r="DX27" t="n">
        <v>881.7</v>
      </c>
      <c r="DY27" t="n">
        <v>1002.4</v>
      </c>
      <c r="DZ27" t="n">
        <v>847.8</v>
      </c>
      <c r="EA27" t="n">
        <v>836.7</v>
      </c>
      <c r="EB27" t="n">
        <v>825.3</v>
      </c>
      <c r="EC27" t="n">
        <v>819.6</v>
      </c>
      <c r="ED27" t="n">
        <v>803.5</v>
      </c>
      <c r="EE27" t="n">
        <v>812.9</v>
      </c>
      <c r="EF27" t="n">
        <v>716.5</v>
      </c>
      <c r="EG27" t="n">
        <v>781.6</v>
      </c>
      <c r="EH27" t="n">
        <v>773.2</v>
      </c>
      <c r="EI27" t="n">
        <v>792.4</v>
      </c>
      <c r="EJ27" t="n">
        <v>816.7</v>
      </c>
      <c r="EK27" t="n">
        <v>829.8</v>
      </c>
      <c r="EL27" t="n">
        <v>902.9</v>
      </c>
      <c r="EM27" t="n">
        <v>925.8</v>
      </c>
      <c r="EN27" t="n">
        <v>949.5</v>
      </c>
      <c r="EO27" t="n">
        <v>970.6</v>
      </c>
      <c r="EP27" t="n">
        <v>1025.5</v>
      </c>
      <c r="EQ27" t="n">
        <v>1041.2</v>
      </c>
      <c r="ER27" t="n">
        <v>1060.9</v>
      </c>
      <c r="ES27" t="n">
        <v>1095.8</v>
      </c>
      <c r="ET27" t="n">
        <v>1146</v>
      </c>
      <c r="EU27" t="n">
        <v>1163.9</v>
      </c>
      <c r="EV27" t="n">
        <v>1179.3</v>
      </c>
      <c r="EW27" t="n">
        <v>1194.4</v>
      </c>
      <c r="EX27" t="n">
        <v>1201.7</v>
      </c>
      <c r="EY27" t="n">
        <v>1191.3</v>
      </c>
      <c r="EZ27" t="n">
        <v>1173.7</v>
      </c>
      <c r="FA27" t="n">
        <v>1139.8</v>
      </c>
      <c r="FB27" t="n">
        <v>921.2</v>
      </c>
      <c r="FC27" t="n">
        <v>855.5</v>
      </c>
      <c r="FD27" t="n">
        <v>842</v>
      </c>
      <c r="FE27" t="n">
        <v>847.5</v>
      </c>
      <c r="FF27" t="n">
        <v>903.4</v>
      </c>
      <c r="FG27" t="n">
        <v>935.2</v>
      </c>
      <c r="FH27" t="n">
        <v>958.5</v>
      </c>
      <c r="FI27" t="n">
        <v>977.2</v>
      </c>
      <c r="FJ27" t="n">
        <v>1111.4</v>
      </c>
      <c r="FK27" t="n">
        <v>1126.5</v>
      </c>
      <c r="FL27" t="n">
        <v>1144.2</v>
      </c>
      <c r="FM27" t="n">
        <v>1141</v>
      </c>
      <c r="FN27" t="n">
        <v>1138.3</v>
      </c>
      <c r="FO27" t="n">
        <v>1150.6</v>
      </c>
      <c r="FP27" t="n">
        <v>1163.8</v>
      </c>
      <c r="FQ27" t="n">
        <v>1212.9</v>
      </c>
      <c r="FR27" t="n">
        <v>1273.5</v>
      </c>
      <c r="FS27" t="n">
        <v>1296.4</v>
      </c>
      <c r="FT27" t="n">
        <v>1308.3</v>
      </c>
      <c r="FU27" t="n">
        <v>1333.2</v>
      </c>
      <c r="FV27" t="n">
        <v>1369.1</v>
      </c>
      <c r="FW27" t="n">
        <v>1389</v>
      </c>
      <c r="FX27" t="n">
        <v>1413.3</v>
      </c>
      <c r="FY27" t="n">
        <v>1443.5</v>
      </c>
      <c r="FZ27" t="n">
        <v>1509.1</v>
      </c>
      <c r="GA27" t="n">
        <v>1527.7</v>
      </c>
      <c r="GB27" t="n">
        <v>1540.9</v>
      </c>
      <c r="GC27" t="n">
        <v>1552.6</v>
      </c>
      <c r="GD27" t="n">
        <v>1526.8</v>
      </c>
      <c r="GE27" t="n">
        <v>1536.7</v>
      </c>
      <c r="GF27" t="n">
        <v>1553.8</v>
      </c>
      <c r="GG27" t="n">
        <v>1574.5</v>
      </c>
      <c r="GH27" t="n">
        <v>1580</v>
      </c>
      <c r="GI27" t="n">
        <v>1600.1</v>
      </c>
      <c r="GJ27" t="n">
        <v>1623.2</v>
      </c>
      <c r="GK27" t="n">
        <v>1649.1</v>
      </c>
      <c r="GL27" t="n">
        <v>1597.3</v>
      </c>
      <c r="GM27" t="n">
        <v>1607.2</v>
      </c>
      <c r="GN27" t="n">
        <v>1624.8</v>
      </c>
      <c r="GO27" t="n">
        <v>1627.8</v>
      </c>
      <c r="GP27" t="n">
        <v>1681.9</v>
      </c>
      <c r="GQ27" t="n">
        <v>1686.7</v>
      </c>
      <c r="GR27" t="n">
        <v>1699.8</v>
      </c>
      <c r="GS27" t="n">
        <v>1736.2</v>
      </c>
      <c r="GT27" t="n">
        <v>1755.2</v>
      </c>
      <c r="GU27" t="n">
        <v>1622.1</v>
      </c>
      <c r="GV27" t="n">
        <v>1736.6</v>
      </c>
      <c r="GW27" t="n">
        <v>1849.4</v>
      </c>
      <c r="GX27" t="n">
        <v>1988.7</v>
      </c>
      <c r="GY27" t="n">
        <v>2089.5</v>
      </c>
      <c r="GZ27" t="n">
        <v>2173.6</v>
      </c>
      <c r="HA27" t="n">
        <v>2248</v>
      </c>
      <c r="HB27" t="n">
        <v>2597.4</v>
      </c>
      <c r="HC27" t="n">
        <v>2604.3</v>
      </c>
      <c r="HD27" t="n">
        <v>2628.3</v>
      </c>
      <c r="HE27" t="n">
        <v>2595.7</v>
      </c>
      <c r="HF27" t="n">
        <v>2256.3</v>
      </c>
      <c r="HG27" t="n">
        <v>2246.8</v>
      </c>
      <c r="HH27" t="n">
        <v>2260.5</v>
      </c>
      <c r="HI27" t="n">
        <v>2282.2</v>
      </c>
      <c r="HJ27" t="n">
        <v>2356.1</v>
      </c>
      <c r="HK27" t="n">
        <v>2375.4</v>
      </c>
      <c r="HL27" t="n">
        <v>2398.7</v>
      </c>
      <c r="HM27" t="n">
        <v>2447.2</v>
      </c>
      <c r="HN27" t="n">
        <v>2514.8</v>
      </c>
      <c r="HO27" t="n">
        <v>2553.2</v>
      </c>
    </row>
    <row r="28">
      <c r="A28" s="78" t="s">
        <v>2540</v>
      </c>
      <c r="B28" s="78" t="n">
        <v>17.9</v>
      </c>
      <c r="C28" s="78" t="n">
        <v>18.1</v>
      </c>
      <c r="D28" s="78" t="n">
        <v>18.2</v>
      </c>
      <c r="E28" s="78" t="n">
        <v>18.2</v>
      </c>
      <c r="F28" s="78" t="n">
        <v>19.4</v>
      </c>
      <c r="G28" s="78" t="n">
        <v>18.7</v>
      </c>
      <c r="H28" s="78" t="n">
        <v>18.9</v>
      </c>
      <c r="I28" s="78" t="n">
        <v>19</v>
      </c>
      <c r="J28" s="78" t="n">
        <v>18.2</v>
      </c>
      <c r="K28" s="78" t="n">
        <v>18.3</v>
      </c>
      <c r="L28" s="78" t="n">
        <v>18.5</v>
      </c>
      <c r="M28" s="78" t="n">
        <v>19</v>
      </c>
      <c r="N28" s="78" t="n">
        <v>19.5</v>
      </c>
      <c r="O28" s="78" t="n">
        <v>19.9</v>
      </c>
      <c r="P28" t="n">
        <v>19.7</v>
      </c>
      <c r="Q28" t="n">
        <v>20.1</v>
      </c>
      <c r="R28" t="n">
        <v>19.8</v>
      </c>
      <c r="S28" t="n">
        <v>20.1</v>
      </c>
      <c r="T28" t="n">
        <v>20.2</v>
      </c>
      <c r="U28" t="n">
        <v>20.2</v>
      </c>
      <c r="V28" t="n">
        <v>19.8</v>
      </c>
      <c r="W28" t="n">
        <v>21.3</v>
      </c>
      <c r="X28" t="n">
        <v>23.3</v>
      </c>
      <c r="Y28" t="n">
        <v>23.9</v>
      </c>
      <c r="Z28" t="n">
        <v>20.8</v>
      </c>
      <c r="AA28" t="n">
        <v>21.3</v>
      </c>
      <c r="AB28" t="n">
        <v>21.7</v>
      </c>
      <c r="AC28" t="n">
        <v>21.7</v>
      </c>
      <c r="AD28" t="n">
        <v>22</v>
      </c>
      <c r="AE28" t="n">
        <v>22.5</v>
      </c>
      <c r="AF28" t="n">
        <v>23.2</v>
      </c>
      <c r="AG28" t="n">
        <v>23.2</v>
      </c>
      <c r="AH28" t="n">
        <v>24</v>
      </c>
      <c r="AI28" t="n">
        <v>25.4</v>
      </c>
      <c r="AJ28" t="n">
        <v>25.5</v>
      </c>
      <c r="AK28" t="n">
        <v>26.3</v>
      </c>
      <c r="AL28" t="n">
        <v>25.9</v>
      </c>
      <c r="AM28" t="n">
        <v>25.9</v>
      </c>
      <c r="AN28" t="n">
        <v>25.3</v>
      </c>
      <c r="AO28" t="n">
        <v>25.6</v>
      </c>
      <c r="AP28" t="n">
        <v>27.6</v>
      </c>
      <c r="AQ28" t="n">
        <v>33.6</v>
      </c>
      <c r="AR28" t="n">
        <v>36.1</v>
      </c>
      <c r="AS28" t="n">
        <v>37.3</v>
      </c>
      <c r="AT28" t="n">
        <v>50.7</v>
      </c>
      <c r="AU28" t="n">
        <v>51.8</v>
      </c>
      <c r="AV28" t="n">
        <v>49.1</v>
      </c>
      <c r="AW28" t="n">
        <v>48.1</v>
      </c>
      <c r="AX28" t="n">
        <v>43.5</v>
      </c>
      <c r="AY28" t="n">
        <v>40</v>
      </c>
      <c r="AZ28" t="n">
        <v>40.1</v>
      </c>
      <c r="BA28" t="n">
        <v>40.3</v>
      </c>
      <c r="BB28" t="n">
        <v>41.1</v>
      </c>
      <c r="BC28" t="n">
        <v>45.3</v>
      </c>
      <c r="BD28" t="n">
        <v>45.5</v>
      </c>
      <c r="BE28" t="n">
        <v>45.8</v>
      </c>
      <c r="BF28" t="n">
        <v>47</v>
      </c>
      <c r="BG28" t="n">
        <v>47.5</v>
      </c>
      <c r="BH28" t="n">
        <v>47.4</v>
      </c>
      <c r="BI28" t="n">
        <v>47.3</v>
      </c>
      <c r="BJ28" t="n">
        <v>46.4</v>
      </c>
      <c r="BK28" t="n">
        <v>45.7</v>
      </c>
      <c r="BL28" t="n">
        <v>46.8</v>
      </c>
      <c r="BM28" t="n">
        <v>45.4</v>
      </c>
      <c r="BN28" t="n">
        <v>44.5</v>
      </c>
      <c r="BO28" t="n">
        <v>42.9</v>
      </c>
      <c r="BP28" t="n">
        <v>43.8</v>
      </c>
      <c r="BQ28" t="n">
        <v>43.6</v>
      </c>
      <c r="BR28" t="n">
        <v>44.1</v>
      </c>
      <c r="BS28" t="n">
        <v>45.8</v>
      </c>
      <c r="BT28" t="n">
        <v>46.4</v>
      </c>
      <c r="BU28" t="n">
        <v>47.4</v>
      </c>
      <c r="BV28" t="n">
        <v>49.6</v>
      </c>
      <c r="BW28" t="n">
        <v>49.3</v>
      </c>
      <c r="BX28" t="n">
        <v>50.2</v>
      </c>
      <c r="BY28" t="n">
        <v>50.2</v>
      </c>
      <c r="BZ28" t="n">
        <v>50.8</v>
      </c>
      <c r="CA28" t="n">
        <v>49.2</v>
      </c>
      <c r="CB28" t="n">
        <v>50</v>
      </c>
      <c r="CC28" t="n">
        <v>48.9</v>
      </c>
      <c r="CD28" t="n">
        <v>50.3</v>
      </c>
      <c r="CE28" t="n">
        <v>50.8</v>
      </c>
      <c r="CF28" t="n">
        <v>51.1</v>
      </c>
      <c r="CG28" t="n">
        <v>51.5</v>
      </c>
      <c r="CH28" t="n">
        <v>59.7</v>
      </c>
      <c r="CI28" t="n">
        <v>61.3</v>
      </c>
      <c r="CJ28" t="n">
        <v>61.8</v>
      </c>
      <c r="CK28" t="n">
        <v>64.2</v>
      </c>
      <c r="CL28" t="n">
        <v>63.6</v>
      </c>
      <c r="CM28" t="n">
        <v>63.1</v>
      </c>
      <c r="CN28" t="n">
        <v>61.9</v>
      </c>
      <c r="CO28" t="n">
        <v>64.6</v>
      </c>
      <c r="CP28" t="n">
        <v>62.2</v>
      </c>
      <c r="CQ28" t="n">
        <v>64.8</v>
      </c>
      <c r="CR28" t="n">
        <v>65.4</v>
      </c>
      <c r="CS28" t="n">
        <v>73.1</v>
      </c>
      <c r="CT28" t="n">
        <v>75.5</v>
      </c>
      <c r="CU28" t="n">
        <v>78.6</v>
      </c>
      <c r="CV28" t="n">
        <v>80.5</v>
      </c>
      <c r="CW28" t="n">
        <v>81.4</v>
      </c>
      <c r="CX28" t="n">
        <v>76.6</v>
      </c>
      <c r="CY28" t="n">
        <v>75.7</v>
      </c>
      <c r="CZ28" t="n">
        <v>75.4</v>
      </c>
      <c r="DA28" t="n">
        <v>74.5</v>
      </c>
      <c r="DB28" t="n">
        <v>72.6</v>
      </c>
      <c r="DC28" t="n">
        <v>71.2</v>
      </c>
      <c r="DD28" t="n">
        <v>71.7</v>
      </c>
      <c r="DE28" t="n">
        <v>75.9</v>
      </c>
      <c r="DF28" t="n">
        <v>72</v>
      </c>
      <c r="DG28" t="n">
        <v>79.7</v>
      </c>
      <c r="DH28" t="n">
        <v>79.9</v>
      </c>
      <c r="DI28" t="n">
        <v>79.7</v>
      </c>
      <c r="DJ28" t="n">
        <v>79.5</v>
      </c>
      <c r="DK28" t="n">
        <v>80.1</v>
      </c>
      <c r="DL28" t="n">
        <v>81.5</v>
      </c>
      <c r="DM28" t="n">
        <v>81.7</v>
      </c>
      <c r="DN28" t="n">
        <v>81.3</v>
      </c>
      <c r="DO28" t="n">
        <v>81.6</v>
      </c>
      <c r="DP28" t="n">
        <v>83.8</v>
      </c>
      <c r="DQ28" t="n">
        <v>87</v>
      </c>
      <c r="DR28" t="n">
        <v>86.1</v>
      </c>
      <c r="DS28" t="n">
        <v>88.4</v>
      </c>
      <c r="DT28" t="n">
        <v>87.5</v>
      </c>
      <c r="DU28" t="n">
        <v>87</v>
      </c>
      <c r="DV28" t="n">
        <v>87.1</v>
      </c>
      <c r="DW28" t="n">
        <v>86.3</v>
      </c>
      <c r="DX28" t="n">
        <v>83.6</v>
      </c>
      <c r="DY28" t="n">
        <v>84.1</v>
      </c>
      <c r="DZ28" t="n">
        <v>84.7</v>
      </c>
      <c r="EA28" t="n">
        <v>87.3</v>
      </c>
      <c r="EB28" t="n">
        <v>88</v>
      </c>
      <c r="EC28" t="n">
        <v>87.3</v>
      </c>
      <c r="ED28" t="n">
        <v>90.1</v>
      </c>
      <c r="EE28" t="n">
        <v>90</v>
      </c>
      <c r="EF28" t="n">
        <v>89.6</v>
      </c>
      <c r="EG28" t="n">
        <v>91.1</v>
      </c>
      <c r="EH28" t="n">
        <v>94.1</v>
      </c>
      <c r="EI28" t="n">
        <v>94.8</v>
      </c>
      <c r="EJ28" t="n">
        <v>95.9</v>
      </c>
      <c r="EK28" t="n">
        <v>96.2</v>
      </c>
      <c r="EL28" t="n">
        <v>97.2</v>
      </c>
      <c r="EM28" t="n">
        <v>101.4</v>
      </c>
      <c r="EN28" t="n">
        <v>100.3</v>
      </c>
      <c r="EO28" t="n">
        <v>98.7</v>
      </c>
      <c r="EP28" t="n">
        <v>99.1</v>
      </c>
      <c r="EQ28" t="n">
        <v>99.5</v>
      </c>
      <c r="ER28" t="n">
        <v>100.2</v>
      </c>
      <c r="ES28" t="n">
        <v>98.1</v>
      </c>
      <c r="ET28" t="n">
        <v>93.9</v>
      </c>
      <c r="EU28" t="n">
        <v>93.7</v>
      </c>
      <c r="EV28" t="n">
        <v>95.4</v>
      </c>
      <c r="EW28" t="n">
        <v>95.5</v>
      </c>
      <c r="EX28" t="n">
        <v>93.2</v>
      </c>
      <c r="EY28" t="n">
        <v>95.3</v>
      </c>
      <c r="EZ28" t="n">
        <v>93.7</v>
      </c>
      <c r="FA28" t="n">
        <v>93.7</v>
      </c>
      <c r="FB28" t="n">
        <v>86.7</v>
      </c>
      <c r="FC28" t="n">
        <v>94.3</v>
      </c>
      <c r="FD28" t="n">
        <v>91.4</v>
      </c>
      <c r="FE28" t="n">
        <v>93.2</v>
      </c>
      <c r="FF28" t="n">
        <v>93.1</v>
      </c>
      <c r="FG28" t="n">
        <v>96.4</v>
      </c>
      <c r="FH28" t="n">
        <v>98.9</v>
      </c>
      <c r="FI28" t="n">
        <v>98.7</v>
      </c>
      <c r="FJ28" t="n">
        <v>104.7</v>
      </c>
      <c r="FK28" t="n">
        <v>109.1</v>
      </c>
      <c r="FL28" t="n">
        <v>109.4</v>
      </c>
      <c r="FM28" t="n">
        <v>111.4</v>
      </c>
      <c r="FN28" t="n">
        <v>113.9</v>
      </c>
      <c r="FO28" t="n">
        <v>114.4</v>
      </c>
      <c r="FP28" t="n">
        <v>114.7</v>
      </c>
      <c r="FQ28" t="n">
        <v>117.6</v>
      </c>
      <c r="FR28" t="n">
        <v>122.3</v>
      </c>
      <c r="FS28" t="n">
        <v>124.4</v>
      </c>
      <c r="FT28" t="n">
        <v>126.4</v>
      </c>
      <c r="FU28" t="n">
        <v>128.8</v>
      </c>
      <c r="FV28" t="n">
        <v>136.7</v>
      </c>
      <c r="FW28" t="n">
        <v>135.5</v>
      </c>
      <c r="FX28" t="n">
        <v>137.4</v>
      </c>
      <c r="FY28" t="n">
        <v>137.2</v>
      </c>
      <c r="FZ28" t="n">
        <v>141.2</v>
      </c>
      <c r="GA28" t="n">
        <v>145.1</v>
      </c>
      <c r="GB28" t="n">
        <v>137.8</v>
      </c>
      <c r="GC28" t="n">
        <v>143.3</v>
      </c>
      <c r="GD28" t="n">
        <v>139.5</v>
      </c>
      <c r="GE28" t="n">
        <v>136.6</v>
      </c>
      <c r="GF28" t="n">
        <v>136.6</v>
      </c>
      <c r="GG28" t="n">
        <v>136.4</v>
      </c>
      <c r="GH28" t="n">
        <v>127.6</v>
      </c>
      <c r="GI28" t="n">
        <v>131.7</v>
      </c>
      <c r="GJ28" t="n">
        <v>131.8</v>
      </c>
      <c r="GK28" t="n">
        <v>134.7</v>
      </c>
      <c r="GL28" t="n">
        <v>150.1</v>
      </c>
      <c r="GM28" t="n">
        <v>155.7</v>
      </c>
      <c r="GN28" t="n">
        <v>163.4</v>
      </c>
      <c r="GO28" t="n">
        <v>184.6</v>
      </c>
      <c r="GP28" t="n">
        <v>174.8</v>
      </c>
      <c r="GQ28" t="n">
        <v>169.2</v>
      </c>
      <c r="GR28" t="n">
        <v>176.8</v>
      </c>
      <c r="GS28" t="n">
        <v>178.8</v>
      </c>
      <c r="GT28" t="n">
        <v>184.1</v>
      </c>
      <c r="GU28" t="n">
        <v>129.3</v>
      </c>
      <c r="GV28" t="n">
        <v>149.3</v>
      </c>
      <c r="GW28" t="n">
        <v>158.7</v>
      </c>
      <c r="GX28" t="n">
        <v>162.2</v>
      </c>
      <c r="GY28" t="n">
        <v>180.5</v>
      </c>
      <c r="GZ28" t="n">
        <v>183.8</v>
      </c>
      <c r="HA28" t="n">
        <v>195.8</v>
      </c>
      <c r="HB28" t="n">
        <v>207.1</v>
      </c>
      <c r="HC28" t="n">
        <v>209</v>
      </c>
      <c r="HD28" t="n">
        <v>200.3</v>
      </c>
      <c r="HE28" t="n">
        <v>190</v>
      </c>
      <c r="HF28" t="n">
        <v>179.7</v>
      </c>
      <c r="HG28" t="n">
        <v>175.8</v>
      </c>
      <c r="HH28" t="n">
        <v>172.2</v>
      </c>
      <c r="HI28" t="n">
        <v>169.3</v>
      </c>
      <c r="HJ28" t="n">
        <v>177.2</v>
      </c>
      <c r="HK28" t="n">
        <v>172.4</v>
      </c>
      <c r="HL28" t="n">
        <v>181.4</v>
      </c>
      <c r="HM28" t="n">
        <v>182.5</v>
      </c>
      <c r="HN28" t="n">
        <v>191.3</v>
      </c>
      <c r="HO28" t="n">
        <v>363.4</v>
      </c>
    </row>
    <row r="29">
      <c r="A29" s="78" t="s">
        <v>2541</v>
      </c>
      <c r="B29" s="78" t="n">
        <v>27</v>
      </c>
      <c r="C29" s="78" t="n">
        <v>27</v>
      </c>
      <c r="D29" s="78" t="n">
        <v>27.9</v>
      </c>
      <c r="E29" s="78" t="n">
        <v>26.6</v>
      </c>
      <c r="F29" s="78" t="n">
        <v>29.9</v>
      </c>
      <c r="G29" s="78" t="n">
        <v>30.7</v>
      </c>
      <c r="H29" s="78" t="n">
        <v>29.8</v>
      </c>
      <c r="I29" s="78" t="n">
        <v>30.1</v>
      </c>
      <c r="J29" s="78" t="n">
        <v>31.8</v>
      </c>
      <c r="K29" s="78" t="n">
        <v>32</v>
      </c>
      <c r="L29" s="78" t="n">
        <v>33.1</v>
      </c>
      <c r="M29" s="78" t="n">
        <v>36.6</v>
      </c>
      <c r="N29" s="78" t="n">
        <v>39.3</v>
      </c>
      <c r="O29" t="n">
        <v>39.4</v>
      </c>
      <c r="P29" t="n">
        <v>37.6</v>
      </c>
      <c r="Q29" t="n">
        <v>39.4</v>
      </c>
      <c r="R29" t="n">
        <v>37.4</v>
      </c>
      <c r="S29" t="n">
        <v>39.3</v>
      </c>
      <c r="T29" t="n">
        <v>43.5</v>
      </c>
      <c r="U29" t="n">
        <v>38.1</v>
      </c>
      <c r="V29" t="n">
        <v>31.5</v>
      </c>
      <c r="W29" t="n">
        <v>34.2</v>
      </c>
      <c r="X29" t="n">
        <v>43.2</v>
      </c>
      <c r="Y29" t="n">
        <v>43.9</v>
      </c>
      <c r="Z29" t="n">
        <v>49.9</v>
      </c>
      <c r="AA29" t="n">
        <v>49</v>
      </c>
      <c r="AB29" t="n">
        <v>48.5</v>
      </c>
      <c r="AC29" t="n">
        <v>47.5</v>
      </c>
      <c r="AD29" t="n">
        <v>51</v>
      </c>
      <c r="AE29" t="n">
        <v>55.7</v>
      </c>
      <c r="AF29" t="n">
        <v>57.9</v>
      </c>
      <c r="AG29" t="n">
        <v>58.1</v>
      </c>
      <c r="AH29" t="n">
        <v>54.4</v>
      </c>
      <c r="AI29" t="n">
        <v>66.2</v>
      </c>
      <c r="AJ29" t="n">
        <v>66.7</v>
      </c>
      <c r="AK29" t="n">
        <v>70.3</v>
      </c>
      <c r="AL29" t="n">
        <v>66.6</v>
      </c>
      <c r="AM29" t="n">
        <v>66.5</v>
      </c>
      <c r="AN29" t="n">
        <v>65.3</v>
      </c>
      <c r="AO29" t="n">
        <v>62.1</v>
      </c>
      <c r="AP29" t="n">
        <v>67</v>
      </c>
      <c r="AQ29" t="n">
        <v>49.8</v>
      </c>
      <c r="AR29" t="n">
        <v>56</v>
      </c>
      <c r="AS29" t="n">
        <v>61.7</v>
      </c>
      <c r="AT29" t="n">
        <v>58.5</v>
      </c>
      <c r="AU29" t="n">
        <v>50.7</v>
      </c>
      <c r="AV29" t="n">
        <v>52.7</v>
      </c>
      <c r="AW29" t="n">
        <v>44.8</v>
      </c>
      <c r="AX29" t="n">
        <v>33.5</v>
      </c>
      <c r="AY29" t="n">
        <v>34.7</v>
      </c>
      <c r="AZ29" t="n">
        <v>35.4</v>
      </c>
      <c r="BA29" t="n">
        <v>31.7</v>
      </c>
      <c r="BB29" t="n">
        <v>34.3</v>
      </c>
      <c r="BC29" t="n">
        <v>46.3</v>
      </c>
      <c r="BD29" t="n">
        <v>53.3</v>
      </c>
      <c r="BE29" t="n">
        <v>54.6</v>
      </c>
      <c r="BF29" t="n">
        <v>64.8</v>
      </c>
      <c r="BG29" t="n">
        <v>63.8</v>
      </c>
      <c r="BH29" t="n">
        <v>53.8</v>
      </c>
      <c r="BI29" t="n">
        <v>54.3</v>
      </c>
      <c r="BJ29" t="n">
        <v>57.7</v>
      </c>
      <c r="BK29" t="n">
        <v>56.3</v>
      </c>
      <c r="BL29" t="n">
        <v>60.8</v>
      </c>
      <c r="BM29" t="n">
        <v>59</v>
      </c>
      <c r="BN29" t="n">
        <v>63</v>
      </c>
      <c r="BO29" t="n">
        <v>63.4</v>
      </c>
      <c r="BP29" t="n">
        <v>64.6</v>
      </c>
      <c r="BQ29" t="n">
        <v>73.1</v>
      </c>
      <c r="BR29" t="n">
        <v>76</v>
      </c>
      <c r="BS29" t="n">
        <v>87.3</v>
      </c>
      <c r="BT29" t="n">
        <v>91.3</v>
      </c>
      <c r="BU29" t="n">
        <v>87.1</v>
      </c>
      <c r="BV29" t="n">
        <v>84.5</v>
      </c>
      <c r="BW29" t="n">
        <v>90</v>
      </c>
      <c r="BX29" t="n">
        <v>97.8</v>
      </c>
      <c r="BY29" t="n">
        <v>102.7</v>
      </c>
      <c r="BZ29" t="n">
        <v>104.9</v>
      </c>
      <c r="CA29" t="n">
        <v>94.4</v>
      </c>
      <c r="CB29" t="n">
        <v>91.6</v>
      </c>
      <c r="CC29" t="n">
        <v>91.4</v>
      </c>
      <c r="CD29" t="n">
        <v>91.1</v>
      </c>
      <c r="CE29" t="n">
        <v>94.7</v>
      </c>
      <c r="CF29" t="n">
        <v>97</v>
      </c>
      <c r="CG29" t="n">
        <v>95.4</v>
      </c>
      <c r="CH29" t="n">
        <v>91.5</v>
      </c>
      <c r="CI29" t="n">
        <v>87.5</v>
      </c>
      <c r="CJ29" t="n">
        <v>88.2</v>
      </c>
      <c r="CK29" t="n">
        <v>89.5</v>
      </c>
      <c r="CL29" t="n">
        <v>99.8</v>
      </c>
      <c r="CM29" t="n">
        <v>102</v>
      </c>
      <c r="CN29" t="n">
        <v>98.9</v>
      </c>
      <c r="CO29" t="n">
        <v>107.2</v>
      </c>
      <c r="CP29" t="n">
        <v>111.5</v>
      </c>
      <c r="CQ29" t="n">
        <v>121.9</v>
      </c>
      <c r="CR29" t="n">
        <v>115.5</v>
      </c>
      <c r="CS29" t="n">
        <v>141</v>
      </c>
      <c r="CT29" t="n">
        <v>122.4</v>
      </c>
      <c r="CU29" t="n">
        <v>129.3</v>
      </c>
      <c r="CV29" t="n">
        <v>142.4</v>
      </c>
      <c r="CW29" t="n">
        <v>150.9</v>
      </c>
      <c r="CX29" t="n">
        <v>155.3</v>
      </c>
      <c r="CY29" t="n">
        <v>153.1</v>
      </c>
      <c r="CZ29" t="n">
        <v>159.1</v>
      </c>
      <c r="DA29" t="n">
        <v>156.2</v>
      </c>
      <c r="DB29" t="n">
        <v>162.4</v>
      </c>
      <c r="DC29" t="n">
        <v>171.9</v>
      </c>
      <c r="DD29" t="n">
        <v>172.6</v>
      </c>
      <c r="DE29" t="n">
        <v>175.3</v>
      </c>
      <c r="DF29" t="n">
        <v>176.9</v>
      </c>
      <c r="DG29" t="n">
        <v>180.5</v>
      </c>
      <c r="DH29" t="n">
        <v>190.5</v>
      </c>
      <c r="DI29" t="n">
        <v>181.5</v>
      </c>
      <c r="DJ29" t="n">
        <v>178.8</v>
      </c>
      <c r="DK29" t="n">
        <v>175.4</v>
      </c>
      <c r="DL29" t="n">
        <v>180.1</v>
      </c>
      <c r="DM29" t="n">
        <v>176.4</v>
      </c>
      <c r="DN29" t="n">
        <v>186</v>
      </c>
      <c r="DO29" t="n">
        <v>184.4</v>
      </c>
      <c r="DP29" t="n">
        <v>187.7</v>
      </c>
      <c r="DQ29" t="n">
        <v>192.1</v>
      </c>
      <c r="DR29" t="n">
        <v>202.2</v>
      </c>
      <c r="DS29" t="n">
        <v>201.1</v>
      </c>
      <c r="DT29" t="n">
        <v>185.6</v>
      </c>
      <c r="DU29" t="n">
        <v>187.6</v>
      </c>
      <c r="DV29" t="n">
        <v>154.9</v>
      </c>
      <c r="DW29" t="n">
        <v>148.7</v>
      </c>
      <c r="DX29" t="n">
        <v>130.9</v>
      </c>
      <c r="DY29" t="n">
        <v>115.8</v>
      </c>
      <c r="DZ29" t="n">
        <v>115.5</v>
      </c>
      <c r="EA29" t="n">
        <v>119.9</v>
      </c>
      <c r="EB29" t="n">
        <v>126.5</v>
      </c>
      <c r="EC29" t="n">
        <v>142</v>
      </c>
      <c r="ED29" t="n">
        <v>161.5</v>
      </c>
      <c r="EE29" t="n">
        <v>160.9</v>
      </c>
      <c r="EF29" t="n">
        <v>180.3</v>
      </c>
      <c r="EG29" t="n">
        <v>200.4</v>
      </c>
      <c r="EH29" t="n">
        <v>209.2</v>
      </c>
      <c r="EI29" t="n">
        <v>226</v>
      </c>
      <c r="EJ29" t="n">
        <v>244.5</v>
      </c>
      <c r="EK29" t="n">
        <v>249.2</v>
      </c>
      <c r="EL29" t="n">
        <v>315.3</v>
      </c>
      <c r="EM29" t="n">
        <v>306.1</v>
      </c>
      <c r="EN29" t="n">
        <v>311.9</v>
      </c>
      <c r="EO29" t="n">
        <v>344.7</v>
      </c>
      <c r="EP29" t="n">
        <v>357.2</v>
      </c>
      <c r="EQ29" t="n">
        <v>367.3</v>
      </c>
      <c r="ER29" t="n">
        <v>384.8</v>
      </c>
      <c r="ES29" t="n">
        <v>354.6</v>
      </c>
      <c r="ET29" t="n">
        <v>354.5</v>
      </c>
      <c r="EU29" t="n">
        <v>347.7</v>
      </c>
      <c r="EV29" t="n">
        <v>314.6</v>
      </c>
      <c r="EW29" t="n">
        <v>296.2</v>
      </c>
      <c r="EX29" t="n">
        <v>241.7</v>
      </c>
      <c r="EY29" t="n">
        <v>227.1</v>
      </c>
      <c r="EZ29" t="n">
        <v>211.5</v>
      </c>
      <c r="FA29" t="n">
        <v>127.5</v>
      </c>
      <c r="FB29" t="n">
        <v>122.7</v>
      </c>
      <c r="FC29" t="n">
        <v>138.9</v>
      </c>
      <c r="FD29" t="n">
        <v>159.4</v>
      </c>
      <c r="FE29" t="n">
        <v>190.8</v>
      </c>
      <c r="FF29" t="n">
        <v>204.7</v>
      </c>
      <c r="FG29" t="n">
        <v>212.2</v>
      </c>
      <c r="FH29" t="n">
        <v>227.1</v>
      </c>
      <c r="FI29" t="n">
        <v>233.6</v>
      </c>
      <c r="FJ29" t="n">
        <v>228.9</v>
      </c>
      <c r="FK29" t="n">
        <v>227.2</v>
      </c>
      <c r="FL29" t="n">
        <v>201.7</v>
      </c>
      <c r="FM29" t="n">
        <v>238</v>
      </c>
      <c r="FN29" t="n">
        <v>261.5</v>
      </c>
      <c r="FO29" t="n">
        <v>275.5</v>
      </c>
      <c r="FP29" t="n">
        <v>280.8</v>
      </c>
      <c r="FQ29" t="n">
        <v>280.9</v>
      </c>
      <c r="FR29" t="n">
        <v>298</v>
      </c>
      <c r="FS29" t="n">
        <v>292.9</v>
      </c>
      <c r="FT29" t="n">
        <v>300.6</v>
      </c>
      <c r="FU29" t="n">
        <v>302.2</v>
      </c>
      <c r="FV29" t="n">
        <v>337.4</v>
      </c>
      <c r="FW29" t="n">
        <v>359</v>
      </c>
      <c r="FX29" t="n">
        <v>329.6</v>
      </c>
      <c r="FY29" t="n">
        <v>332.6</v>
      </c>
      <c r="FZ29" t="n">
        <v>345.4</v>
      </c>
      <c r="GA29" t="n">
        <v>350.7</v>
      </c>
      <c r="GB29" t="n">
        <v>324.7</v>
      </c>
      <c r="GC29" t="n">
        <v>295.6</v>
      </c>
      <c r="GD29" t="n">
        <v>310.8</v>
      </c>
      <c r="GE29" t="n">
        <v>314.7</v>
      </c>
      <c r="GF29" t="n">
        <v>322.6</v>
      </c>
      <c r="GG29" t="n">
        <v>299.2</v>
      </c>
      <c r="GH29" t="n">
        <v>211.8</v>
      </c>
      <c r="GI29" t="n">
        <v>225.7</v>
      </c>
      <c r="GJ29" t="n">
        <v>241.5</v>
      </c>
      <c r="GK29" t="n">
        <v>242.4</v>
      </c>
      <c r="GL29" t="n">
        <v>215.5</v>
      </c>
      <c r="GM29" t="n">
        <v>229.1</v>
      </c>
      <c r="GN29" t="n">
        <v>225.5</v>
      </c>
      <c r="GO29" t="n">
        <v>229.7</v>
      </c>
      <c r="GP29" t="n">
        <v>197.4</v>
      </c>
      <c r="GQ29" t="n">
        <v>205.6</v>
      </c>
      <c r="GR29" t="n">
        <v>206.9</v>
      </c>
      <c r="GS29" t="n">
        <v>231.9</v>
      </c>
      <c r="GT29" t="n">
        <v>191.5</v>
      </c>
      <c r="GU29" t="n">
        <v>199.6</v>
      </c>
      <c r="GV29" t="n">
        <v>258.6</v>
      </c>
      <c r="GW29" t="n">
        <v>251.2</v>
      </c>
      <c r="GX29" t="n">
        <v>289.9</v>
      </c>
      <c r="GY29" t="n">
        <v>343.9</v>
      </c>
      <c r="GZ29" t="n">
        <v>344.5</v>
      </c>
      <c r="HA29" t="n">
        <v>357.9</v>
      </c>
      <c r="HB29" t="n">
        <v>379.6</v>
      </c>
      <c r="HC29" t="n">
        <v>417.1</v>
      </c>
      <c r="HD29" t="n">
        <v>402.2</v>
      </c>
      <c r="HE29" t="n">
        <v>406.9</v>
      </c>
      <c r="HF29" t="n">
        <v>434.3</v>
      </c>
      <c r="HG29" t="n">
        <v>429.4</v>
      </c>
      <c r="HH29" t="n">
        <v>451.9</v>
      </c>
      <c r="HI29" t="n">
        <v>464.8</v>
      </c>
      <c r="HJ29" t="n">
        <v>459.9</v>
      </c>
      <c r="HK29" t="n">
        <v>493.4</v>
      </c>
      <c r="HL29" t="n">
        <v>493.1</v>
      </c>
      <c r="HM29" t="n">
        <v>512.1</v>
      </c>
      <c r="HN29" t="n">
        <v>519.8</v>
      </c>
      <c r="HO29" t="n">
        <v>532.1</v>
      </c>
    </row>
    <row r="30">
      <c r="A30" s="78" t="s">
        <v>2542</v>
      </c>
      <c r="B30" s="78" t="n">
        <v>45.1</v>
      </c>
      <c r="C30" s="78" t="n">
        <v>45.4</v>
      </c>
      <c r="D30" s="78" t="n">
        <v>45.9</v>
      </c>
      <c r="E30" s="78" t="n">
        <v>45.6</v>
      </c>
      <c r="F30" s="78" t="n">
        <v>49.6</v>
      </c>
      <c r="G30" s="78" t="n">
        <v>50.2</v>
      </c>
      <c r="H30" s="78" t="n">
        <v>50.5</v>
      </c>
      <c r="I30" s="78" t="n">
        <v>51</v>
      </c>
      <c r="J30" s="78" t="n">
        <v>57.3</v>
      </c>
      <c r="K30" s="78" t="n">
        <v>57.9</v>
      </c>
      <c r="L30" s="78" t="n">
        <v>58.5</v>
      </c>
      <c r="M30" s="78" t="n">
        <v>59.4</v>
      </c>
      <c r="N30" s="78" t="n">
        <v>72.7</v>
      </c>
      <c r="O30" s="78" t="n">
        <v>73.8</v>
      </c>
      <c r="P30" t="n">
        <v>75.1</v>
      </c>
      <c r="Q30" t="n">
        <v>76.6</v>
      </c>
      <c r="R30" t="n">
        <v>82.1</v>
      </c>
      <c r="S30" t="n">
        <v>83.6</v>
      </c>
      <c r="T30" t="n">
        <v>85.2</v>
      </c>
      <c r="U30" t="n">
        <v>85.4</v>
      </c>
      <c r="V30" t="n">
        <v>86.5</v>
      </c>
      <c r="W30" t="n">
        <v>86.8</v>
      </c>
      <c r="X30" t="n">
        <v>88.5</v>
      </c>
      <c r="Y30" t="n">
        <v>90.5</v>
      </c>
      <c r="Z30" t="n">
        <v>97.5</v>
      </c>
      <c r="AA30" t="n">
        <v>98.9</v>
      </c>
      <c r="AB30" t="n">
        <v>100.6</v>
      </c>
      <c r="AC30" t="n">
        <v>102.1</v>
      </c>
      <c r="AD30" t="n">
        <v>107.5</v>
      </c>
      <c r="AE30" t="n">
        <v>110.1</v>
      </c>
      <c r="AF30" t="n">
        <v>112.2</v>
      </c>
      <c r="AG30" t="n">
        <v>114.4</v>
      </c>
      <c r="AH30" t="n">
        <v>121.6</v>
      </c>
      <c r="AI30" t="n">
        <v>126.5</v>
      </c>
      <c r="AJ30" t="n">
        <v>130.8</v>
      </c>
      <c r="AK30" t="n">
        <v>136</v>
      </c>
      <c r="AL30" t="n">
        <v>143.1</v>
      </c>
      <c r="AM30" t="n">
        <v>147.4</v>
      </c>
      <c r="AN30" t="n">
        <v>152.4</v>
      </c>
      <c r="AO30" t="n">
        <v>156.3</v>
      </c>
      <c r="AP30" t="n">
        <v>159.3</v>
      </c>
      <c r="AQ30" t="n">
        <v>161</v>
      </c>
      <c r="AR30" t="n">
        <v>164.2</v>
      </c>
      <c r="AS30" t="n">
        <v>170.1</v>
      </c>
      <c r="AT30" t="n">
        <v>187.3</v>
      </c>
      <c r="AU30" t="n">
        <v>190.9</v>
      </c>
      <c r="AV30" t="n">
        <v>195.6</v>
      </c>
      <c r="AW30" t="n">
        <v>198.2</v>
      </c>
      <c r="AX30" t="n">
        <v>203.2</v>
      </c>
      <c r="AY30" t="n">
        <v>205.2</v>
      </c>
      <c r="AZ30" t="n">
        <v>207.5</v>
      </c>
      <c r="BA30" t="n">
        <v>208.3</v>
      </c>
      <c r="BB30" t="n">
        <v>216.1</v>
      </c>
      <c r="BC30" t="n">
        <v>220.2</v>
      </c>
      <c r="BD30" t="n">
        <v>224.8</v>
      </c>
      <c r="BE30" t="n">
        <v>231.2</v>
      </c>
      <c r="BF30" t="n">
        <v>246.3</v>
      </c>
      <c r="BG30" t="n">
        <v>252.1</v>
      </c>
      <c r="BH30" t="n">
        <v>257.1</v>
      </c>
      <c r="BI30" t="n">
        <v>261.1</v>
      </c>
      <c r="BJ30" t="n">
        <v>271</v>
      </c>
      <c r="BK30" t="n">
        <v>275</v>
      </c>
      <c r="BL30" t="n">
        <v>279.7</v>
      </c>
      <c r="BM30" t="n">
        <v>285.9</v>
      </c>
      <c r="BN30" t="n">
        <v>292.7</v>
      </c>
      <c r="BO30" t="n">
        <v>296.1</v>
      </c>
      <c r="BP30" t="n">
        <v>300.8</v>
      </c>
      <c r="BQ30" t="n">
        <v>306.2</v>
      </c>
      <c r="BR30" t="n">
        <v>310.7</v>
      </c>
      <c r="BS30" t="n">
        <v>314.5</v>
      </c>
      <c r="BT30" t="n">
        <v>319</v>
      </c>
      <c r="BU30" t="n">
        <v>325.6</v>
      </c>
      <c r="BV30" t="n">
        <v>344.7</v>
      </c>
      <c r="BW30" t="n">
        <v>351.7</v>
      </c>
      <c r="BX30" t="n">
        <v>357.7</v>
      </c>
      <c r="BY30" t="n">
        <v>365</v>
      </c>
      <c r="BZ30" t="n">
        <v>370.9</v>
      </c>
      <c r="CA30" t="n">
        <v>375.4</v>
      </c>
      <c r="CB30" t="n">
        <v>379.8</v>
      </c>
      <c r="CC30" t="n">
        <v>385.6</v>
      </c>
      <c r="CD30" t="n">
        <v>394</v>
      </c>
      <c r="CE30" t="n">
        <v>399</v>
      </c>
      <c r="CF30" t="n">
        <v>406.4</v>
      </c>
      <c r="CG30" t="n">
        <v>408.9</v>
      </c>
      <c r="CH30" t="n">
        <v>412</v>
      </c>
      <c r="CI30" t="n">
        <v>418.3</v>
      </c>
      <c r="CJ30" t="n">
        <v>423.7</v>
      </c>
      <c r="CK30" t="n">
        <v>428.4</v>
      </c>
      <c r="CL30" t="n">
        <v>439.9</v>
      </c>
      <c r="CM30" t="n">
        <v>445.1</v>
      </c>
      <c r="CN30" t="n">
        <v>447.9</v>
      </c>
      <c r="CO30" t="n">
        <v>442.9</v>
      </c>
      <c r="CP30" t="n">
        <v>462.1</v>
      </c>
      <c r="CQ30" t="n">
        <v>462.4</v>
      </c>
      <c r="CR30" t="n">
        <v>466.8</v>
      </c>
      <c r="CS30" t="n">
        <v>470.8</v>
      </c>
      <c r="CT30" t="n">
        <v>485.8</v>
      </c>
      <c r="CU30" t="n">
        <v>493</v>
      </c>
      <c r="CV30" t="n">
        <v>499</v>
      </c>
      <c r="CW30" t="n">
        <v>506.8</v>
      </c>
      <c r="CX30" t="n">
        <v>514.2</v>
      </c>
      <c r="CY30" t="n">
        <v>519</v>
      </c>
      <c r="CZ30" t="n">
        <v>524.6</v>
      </c>
      <c r="DA30" t="n">
        <v>529.9</v>
      </c>
      <c r="DB30" t="n">
        <v>532.9</v>
      </c>
      <c r="DC30" t="n">
        <v>541.7</v>
      </c>
      <c r="DD30" t="n">
        <v>549.5</v>
      </c>
      <c r="DE30" t="n">
        <v>557.5</v>
      </c>
      <c r="DF30" t="n">
        <v>566</v>
      </c>
      <c r="DG30" t="n">
        <v>574</v>
      </c>
      <c r="DH30" t="n">
        <v>582.9</v>
      </c>
      <c r="DI30" t="n">
        <v>594.8</v>
      </c>
      <c r="DJ30" t="n">
        <v>602.8</v>
      </c>
      <c r="DK30" t="n">
        <v>612.3</v>
      </c>
      <c r="DL30" t="n">
        <v>622.2</v>
      </c>
      <c r="DM30" t="n">
        <v>632.2</v>
      </c>
      <c r="DN30" t="n">
        <v>643.5</v>
      </c>
      <c r="DO30" t="n">
        <v>649.3</v>
      </c>
      <c r="DP30" t="n">
        <v>656.7</v>
      </c>
      <c r="DQ30" t="n">
        <v>669.8</v>
      </c>
      <c r="DR30" t="n">
        <v>689.4</v>
      </c>
      <c r="DS30" t="n">
        <v>691.5</v>
      </c>
      <c r="DT30" t="n">
        <v>704.2</v>
      </c>
      <c r="DU30" t="n">
        <v>709.2</v>
      </c>
      <c r="DV30" t="n">
        <v>723.4</v>
      </c>
      <c r="DW30" t="n">
        <v>723.4</v>
      </c>
      <c r="DX30" t="n">
        <v>722</v>
      </c>
      <c r="DY30" t="n">
        <v>724.2</v>
      </c>
      <c r="DZ30" t="n">
        <v>732</v>
      </c>
      <c r="EA30" t="n">
        <v>739.9</v>
      </c>
      <c r="EB30" t="n">
        <v>742</v>
      </c>
      <c r="EC30" t="n">
        <v>743.8</v>
      </c>
      <c r="ED30" t="n">
        <v>749.1</v>
      </c>
      <c r="EE30" t="n">
        <v>758.6</v>
      </c>
      <c r="EF30" t="n">
        <v>767.2</v>
      </c>
      <c r="EG30" t="n">
        <v>778.2</v>
      </c>
      <c r="EH30" t="n">
        <v>790</v>
      </c>
      <c r="EI30" t="n">
        <v>803.5</v>
      </c>
      <c r="EJ30" t="n">
        <v>818.4</v>
      </c>
      <c r="EK30" t="n">
        <v>824</v>
      </c>
      <c r="EL30" t="n">
        <v>837.4</v>
      </c>
      <c r="EM30" t="n">
        <v>846</v>
      </c>
      <c r="EN30" t="n">
        <v>859.8</v>
      </c>
      <c r="EO30" t="n">
        <v>870.4</v>
      </c>
      <c r="EP30" t="n">
        <v>895.1</v>
      </c>
      <c r="EQ30" t="n">
        <v>900.8</v>
      </c>
      <c r="ER30" t="n">
        <v>906.2</v>
      </c>
      <c r="ES30" t="n">
        <v>920.6</v>
      </c>
      <c r="ET30" t="n">
        <v>940.9</v>
      </c>
      <c r="EU30" t="n">
        <v>943.1</v>
      </c>
      <c r="EV30" t="n">
        <v>946.7</v>
      </c>
      <c r="EW30" t="n">
        <v>958.4</v>
      </c>
      <c r="EX30" t="n">
        <v>970.2</v>
      </c>
      <c r="EY30" t="n">
        <v>972.3</v>
      </c>
      <c r="EZ30" t="n">
        <v>977.6</v>
      </c>
      <c r="FA30" t="n">
        <v>977.8</v>
      </c>
      <c r="FB30" t="n">
        <v>946</v>
      </c>
      <c r="FC30" t="n">
        <v>952.6</v>
      </c>
      <c r="FD30" t="n">
        <v>950.3</v>
      </c>
      <c r="FE30" t="n">
        <v>953.9</v>
      </c>
      <c r="FF30" t="n">
        <v>960.6</v>
      </c>
      <c r="FG30" t="n">
        <v>971.7</v>
      </c>
      <c r="FH30" t="n">
        <v>974.6</v>
      </c>
      <c r="FI30" t="n">
        <v>976.6</v>
      </c>
      <c r="FJ30" t="n">
        <v>898.3</v>
      </c>
      <c r="FK30" t="n">
        <v>900.9</v>
      </c>
      <c r="FL30" t="n">
        <v>909.4</v>
      </c>
      <c r="FM30" t="n">
        <v>904.2</v>
      </c>
      <c r="FN30" t="n">
        <v>927.5</v>
      </c>
      <c r="FO30" t="n">
        <v>932.2</v>
      </c>
      <c r="FP30" t="n">
        <v>935.2</v>
      </c>
      <c r="FQ30" t="n">
        <v>957</v>
      </c>
      <c r="FR30" t="n">
        <v>1078.6</v>
      </c>
      <c r="FS30" t="n">
        <v>1090.7</v>
      </c>
      <c r="FT30" t="n">
        <v>1093.6</v>
      </c>
      <c r="FU30" t="n">
        <v>1104.2</v>
      </c>
      <c r="FV30" t="n">
        <v>1126.6</v>
      </c>
      <c r="FW30" t="n">
        <v>1131</v>
      </c>
      <c r="FX30" t="n">
        <v>1142.5</v>
      </c>
      <c r="FY30" t="n">
        <v>1160.1</v>
      </c>
      <c r="FZ30" t="n">
        <v>1175.2</v>
      </c>
      <c r="GA30" t="n">
        <v>1187</v>
      </c>
      <c r="GB30" t="n">
        <v>1196.8</v>
      </c>
      <c r="GC30" t="n">
        <v>1204.1</v>
      </c>
      <c r="GD30" t="n">
        <v>1211</v>
      </c>
      <c r="GE30" t="n">
        <v>1217</v>
      </c>
      <c r="GF30" t="n">
        <v>1228</v>
      </c>
      <c r="GG30" t="n">
        <v>1241.5</v>
      </c>
      <c r="GH30" t="n">
        <v>1262.7</v>
      </c>
      <c r="GI30" t="n">
        <v>1275.1</v>
      </c>
      <c r="GJ30" t="n">
        <v>1290.3</v>
      </c>
      <c r="GK30" t="n">
        <v>1309.1</v>
      </c>
      <c r="GL30" t="n">
        <v>1328.9</v>
      </c>
      <c r="GM30" t="n">
        <v>1338.7</v>
      </c>
      <c r="GN30" t="n">
        <v>1355.2</v>
      </c>
      <c r="GO30" t="n">
        <v>1363.7</v>
      </c>
      <c r="GP30" t="n">
        <v>1396</v>
      </c>
      <c r="GQ30" t="n">
        <v>1403.5</v>
      </c>
      <c r="GR30" t="n">
        <v>1410.3</v>
      </c>
      <c r="GS30" t="n">
        <v>1428.2</v>
      </c>
      <c r="GT30" t="n">
        <v>1453.2</v>
      </c>
      <c r="GU30" t="n">
        <v>1383.7</v>
      </c>
      <c r="GV30" t="n">
        <v>1433</v>
      </c>
      <c r="GW30" t="n">
        <v>1470.2</v>
      </c>
      <c r="GX30" t="n">
        <v>1487.2</v>
      </c>
      <c r="GY30" t="n">
        <v>1522.5</v>
      </c>
      <c r="GZ30" t="n">
        <v>1559</v>
      </c>
      <c r="HA30" t="n">
        <v>1603.5</v>
      </c>
      <c r="HB30" t="n">
        <v>1642.9</v>
      </c>
      <c r="HC30" t="n">
        <v>1665.9</v>
      </c>
      <c r="HD30" t="n">
        <v>1713.2</v>
      </c>
      <c r="HE30" t="n">
        <v>1729.9</v>
      </c>
      <c r="HF30" t="n">
        <v>1761.2</v>
      </c>
      <c r="HG30" t="n">
        <v>1789.9</v>
      </c>
      <c r="HH30" t="n">
        <v>1818</v>
      </c>
      <c r="HI30" t="n">
        <v>1836.2</v>
      </c>
      <c r="HJ30" t="n">
        <v>1864.1</v>
      </c>
      <c r="HK30" t="n">
        <v>1869.4</v>
      </c>
      <c r="HL30" t="n">
        <v>1876.4</v>
      </c>
      <c r="HM30" t="n">
        <v>1903.2</v>
      </c>
      <c r="HN30" t="n">
        <v>1934.6</v>
      </c>
      <c r="HO30" t="n">
        <v>1954.8</v>
      </c>
    </row>
    <row r="31">
      <c r="A31" s="78" t="s">
        <v>2543</v>
      </c>
      <c r="B31" s="78" t="n">
        <v>48.3</v>
      </c>
      <c r="C31" s="78" t="n">
        <v>57.5</v>
      </c>
      <c r="D31" s="78" t="n">
        <v>56.9</v>
      </c>
      <c r="E31" s="78" t="n">
        <v>59.8</v>
      </c>
      <c r="F31" s="78" t="n">
        <v>61</v>
      </c>
      <c r="G31" s="78" t="n">
        <v>67.9</v>
      </c>
      <c r="H31" s="78" t="n">
        <v>67.2</v>
      </c>
      <c r="I31" s="78" t="n">
        <v>68.2</v>
      </c>
      <c r="J31" s="78" t="n">
        <v>70.2</v>
      </c>
      <c r="K31" s="78" t="n">
        <v>70.2</v>
      </c>
      <c r="L31" s="78" t="n">
        <v>70.3</v>
      </c>
      <c r="M31" s="78" t="n">
        <v>80.6</v>
      </c>
      <c r="N31" s="78" t="n">
        <v>82.2</v>
      </c>
      <c r="O31" s="78" t="n">
        <v>83.6</v>
      </c>
      <c r="P31" t="n">
        <v>85.1</v>
      </c>
      <c r="Q31" t="n">
        <v>87.3</v>
      </c>
      <c r="R31" t="n">
        <v>94.1</v>
      </c>
      <c r="S31" t="n">
        <v>100.7</v>
      </c>
      <c r="T31" t="n">
        <v>106.4</v>
      </c>
      <c r="U31" t="n">
        <v>112</v>
      </c>
      <c r="V31" t="n">
        <v>120.5</v>
      </c>
      <c r="W31" t="n">
        <v>134.2</v>
      </c>
      <c r="X31" t="n">
        <v>136.8</v>
      </c>
      <c r="Y31" t="n">
        <v>137.8</v>
      </c>
      <c r="Z31" t="n">
        <v>141.3</v>
      </c>
      <c r="AA31" t="n">
        <v>139.6</v>
      </c>
      <c r="AB31" t="n">
        <v>145.4</v>
      </c>
      <c r="AC31" t="n">
        <v>147.7</v>
      </c>
      <c r="AD31" t="n">
        <v>149.8</v>
      </c>
      <c r="AE31" t="n">
        <v>148.9</v>
      </c>
      <c r="AF31" t="n">
        <v>154.4</v>
      </c>
      <c r="AG31" t="n">
        <v>156.6</v>
      </c>
      <c r="AH31" t="n">
        <v>158.5</v>
      </c>
      <c r="AI31" t="n">
        <v>158</v>
      </c>
      <c r="AJ31" t="n">
        <v>165.9</v>
      </c>
      <c r="AK31" t="n">
        <v>168.3</v>
      </c>
      <c r="AL31" t="n">
        <v>172.5</v>
      </c>
      <c r="AM31" t="n">
        <v>175.7</v>
      </c>
      <c r="AN31" t="n">
        <v>190.1</v>
      </c>
      <c r="AO31" t="n">
        <v>193.8</v>
      </c>
      <c r="AP31" t="n">
        <v>202.1</v>
      </c>
      <c r="AQ31" t="n">
        <v>207.3</v>
      </c>
      <c r="AR31" t="n">
        <v>235.4</v>
      </c>
      <c r="AS31" t="n">
        <v>236.4</v>
      </c>
      <c r="AT31" t="n">
        <v>240.5</v>
      </c>
      <c r="AU31" t="n">
        <v>241.6</v>
      </c>
      <c r="AV31" t="n">
        <v>259.3</v>
      </c>
      <c r="AW31" t="n">
        <v>261.5</v>
      </c>
      <c r="AX31" t="n">
        <v>265.2</v>
      </c>
      <c r="AY31" t="n">
        <v>272.2</v>
      </c>
      <c r="AZ31" t="n">
        <v>287.5</v>
      </c>
      <c r="BA31" t="n">
        <v>302.6</v>
      </c>
      <c r="BB31" t="n">
        <v>302.2</v>
      </c>
      <c r="BC31" t="n">
        <v>307.4</v>
      </c>
      <c r="BD31" t="n">
        <v>301.3</v>
      </c>
      <c r="BE31" t="n">
        <v>303.5</v>
      </c>
      <c r="BF31" t="n">
        <v>306.4</v>
      </c>
      <c r="BG31" t="n">
        <v>308.4</v>
      </c>
      <c r="BH31" t="n">
        <v>309.1</v>
      </c>
      <c r="BI31" t="n">
        <v>315.1</v>
      </c>
      <c r="BJ31" t="n">
        <v>323.2</v>
      </c>
      <c r="BK31" t="n">
        <v>324.2</v>
      </c>
      <c r="BL31" t="n">
        <v>327.5</v>
      </c>
      <c r="BM31" t="n">
        <v>328.5</v>
      </c>
      <c r="BN31" t="n">
        <v>338.3</v>
      </c>
      <c r="BO31" t="n">
        <v>342</v>
      </c>
      <c r="BP31" t="n">
        <v>347.8</v>
      </c>
      <c r="BQ31" t="n">
        <v>348.9</v>
      </c>
      <c r="BR31" t="n">
        <v>353.6</v>
      </c>
      <c r="BS31" t="n">
        <v>357.6</v>
      </c>
      <c r="BT31" t="n">
        <v>357.9</v>
      </c>
      <c r="BU31" t="n">
        <v>359.7</v>
      </c>
      <c r="BV31" t="n">
        <v>375</v>
      </c>
      <c r="BW31" t="n">
        <v>376.1</v>
      </c>
      <c r="BX31" t="n">
        <v>379.3</v>
      </c>
      <c r="BY31" t="n">
        <v>383</v>
      </c>
      <c r="BZ31" t="n">
        <v>403.9</v>
      </c>
      <c r="CA31" t="n">
        <v>408.3</v>
      </c>
      <c r="CB31" t="n">
        <v>413.7</v>
      </c>
      <c r="CC31" t="n">
        <v>420.9</v>
      </c>
      <c r="CD31" t="n">
        <v>437.5</v>
      </c>
      <c r="CE31" t="n">
        <v>443.4</v>
      </c>
      <c r="CF31" t="n">
        <v>447.9</v>
      </c>
      <c r="CG31" t="n">
        <v>459.4</v>
      </c>
      <c r="CH31" t="n">
        <v>481</v>
      </c>
      <c r="CI31" t="n">
        <v>491.3</v>
      </c>
      <c r="CJ31" t="n">
        <v>495.1</v>
      </c>
      <c r="CK31" t="n">
        <v>508.5</v>
      </c>
      <c r="CL31" t="n">
        <v>540</v>
      </c>
      <c r="CM31" t="n">
        <v>550.5</v>
      </c>
      <c r="CN31" t="n">
        <v>555.5</v>
      </c>
      <c r="CO31" t="n">
        <v>561.1</v>
      </c>
      <c r="CP31" t="n">
        <v>577.6</v>
      </c>
      <c r="CQ31" t="n">
        <v>582</v>
      </c>
      <c r="CR31" t="n">
        <v>585.7</v>
      </c>
      <c r="CS31" t="n">
        <v>589.6</v>
      </c>
      <c r="CT31" t="n">
        <v>601.8</v>
      </c>
      <c r="CU31" t="n">
        <v>606.2</v>
      </c>
      <c r="CV31" t="n">
        <v>610</v>
      </c>
      <c r="CW31" t="n">
        <v>618.1</v>
      </c>
      <c r="CX31" t="n">
        <v>637.6</v>
      </c>
      <c r="CY31" t="n">
        <v>644.9</v>
      </c>
      <c r="CZ31" t="n">
        <v>650</v>
      </c>
      <c r="DA31" t="n">
        <v>655.8</v>
      </c>
      <c r="DB31" t="n">
        <v>675</v>
      </c>
      <c r="DC31" t="n">
        <v>680.7</v>
      </c>
      <c r="DD31" t="n">
        <v>683.7</v>
      </c>
      <c r="DE31" t="n">
        <v>688.9</v>
      </c>
      <c r="DF31" t="n">
        <v>704.5</v>
      </c>
      <c r="DG31" t="n">
        <v>707.5</v>
      </c>
      <c r="DH31" t="n">
        <v>709.2</v>
      </c>
      <c r="DI31" t="n">
        <v>710.2</v>
      </c>
      <c r="DJ31" t="n">
        <v>719.7</v>
      </c>
      <c r="DK31" t="n">
        <v>720.7</v>
      </c>
      <c r="DL31" t="n">
        <v>723.5</v>
      </c>
      <c r="DM31" t="n">
        <v>724.7</v>
      </c>
      <c r="DN31" t="n">
        <v>735.5</v>
      </c>
      <c r="DO31" t="n">
        <v>738.6</v>
      </c>
      <c r="DP31" t="n">
        <v>741.1</v>
      </c>
      <c r="DQ31" t="n">
        <v>744.2</v>
      </c>
      <c r="DR31" t="n">
        <v>756.8</v>
      </c>
      <c r="DS31" t="n">
        <v>772.9</v>
      </c>
      <c r="DT31" t="n">
        <v>777.5</v>
      </c>
      <c r="DU31" t="n">
        <v>786.5</v>
      </c>
      <c r="DV31" t="n">
        <v>817.3</v>
      </c>
      <c r="DW31" t="n">
        <v>831</v>
      </c>
      <c r="DX31" t="n">
        <v>849.4</v>
      </c>
      <c r="DY31" t="n">
        <v>865.2</v>
      </c>
      <c r="DZ31" t="n">
        <v>895</v>
      </c>
      <c r="EA31" t="n">
        <v>921</v>
      </c>
      <c r="EB31" t="n">
        <v>925.2</v>
      </c>
      <c r="EC31" t="n">
        <v>930.8</v>
      </c>
      <c r="ED31" t="n">
        <v>947.7</v>
      </c>
      <c r="EE31" t="n">
        <v>964.3</v>
      </c>
      <c r="EF31" t="n">
        <v>973.7</v>
      </c>
      <c r="EG31" t="n">
        <v>984.3</v>
      </c>
      <c r="EH31" t="n">
        <v>1003.6</v>
      </c>
      <c r="EI31" t="n">
        <v>1013.5</v>
      </c>
      <c r="EJ31" t="n">
        <v>1024.1</v>
      </c>
      <c r="EK31" t="n">
        <v>1036.9</v>
      </c>
      <c r="EL31" t="n">
        <v>1065.3</v>
      </c>
      <c r="EM31" t="n">
        <v>1076</v>
      </c>
      <c r="EN31" t="n">
        <v>1091.8</v>
      </c>
      <c r="EO31" t="n">
        <v>1104.4</v>
      </c>
      <c r="EP31" t="n">
        <v>1172.7</v>
      </c>
      <c r="EQ31" t="n">
        <v>1184</v>
      </c>
      <c r="ER31" t="n">
        <v>1194.1</v>
      </c>
      <c r="ES31" t="n">
        <v>1205.6</v>
      </c>
      <c r="ET31" t="n">
        <v>1240.1</v>
      </c>
      <c r="EU31" t="n">
        <v>1256.7</v>
      </c>
      <c r="EV31" t="n">
        <v>1270.2</v>
      </c>
      <c r="EW31" t="n">
        <v>1286.3</v>
      </c>
      <c r="EX31" t="n">
        <v>1321.9</v>
      </c>
      <c r="EY31" t="n">
        <v>1657</v>
      </c>
      <c r="EZ31" t="n">
        <v>1445.3</v>
      </c>
      <c r="FA31" t="n">
        <v>1428.7</v>
      </c>
      <c r="FB31" t="n">
        <v>1521.8</v>
      </c>
      <c r="FC31" t="n">
        <v>1648</v>
      </c>
      <c r="FD31" t="n">
        <v>1634.5</v>
      </c>
      <c r="FE31" t="n">
        <v>1653.9</v>
      </c>
      <c r="FF31" t="n">
        <v>1753.5</v>
      </c>
      <c r="FG31" t="n">
        <v>1755.7</v>
      </c>
      <c r="FH31" t="n">
        <v>1758.8</v>
      </c>
      <c r="FI31" t="n">
        <v>1761.9</v>
      </c>
      <c r="FJ31" t="n">
        <v>1768.6</v>
      </c>
      <c r="FK31" t="n">
        <v>1777.4</v>
      </c>
      <c r="FL31" t="n">
        <v>1782.4</v>
      </c>
      <c r="FM31" t="n">
        <v>1789.3</v>
      </c>
      <c r="FN31" t="n">
        <v>1772.9</v>
      </c>
      <c r="FO31" t="n">
        <v>1777.5</v>
      </c>
      <c r="FP31" t="n">
        <v>1783.6</v>
      </c>
      <c r="FQ31" t="n">
        <v>1793.4</v>
      </c>
      <c r="FR31" t="n">
        <v>1817.3</v>
      </c>
      <c r="FS31" t="n">
        <v>1815.5</v>
      </c>
      <c r="FT31" t="n">
        <v>1823.2</v>
      </c>
      <c r="FU31" t="n">
        <v>1830.1</v>
      </c>
      <c r="FV31" t="n">
        <v>1848.1</v>
      </c>
      <c r="FW31" t="n">
        <v>1876.8</v>
      </c>
      <c r="FX31" t="n">
        <v>1890.5</v>
      </c>
      <c r="FY31" t="n">
        <v>1909</v>
      </c>
      <c r="FZ31" t="n">
        <v>1945.5</v>
      </c>
      <c r="GA31" t="n">
        <v>1966.6</v>
      </c>
      <c r="GB31" t="n">
        <v>1977.6</v>
      </c>
      <c r="GC31" t="n">
        <v>1989.7</v>
      </c>
      <c r="GD31" t="n">
        <v>2006.2</v>
      </c>
      <c r="GE31" t="n">
        <v>2018</v>
      </c>
      <c r="GF31" t="n">
        <v>2029.1</v>
      </c>
      <c r="GG31" t="n">
        <v>2043.5</v>
      </c>
      <c r="GH31" t="n">
        <v>2074</v>
      </c>
      <c r="GI31" t="n">
        <v>2087.4</v>
      </c>
      <c r="GJ31" t="n">
        <v>2105.5</v>
      </c>
      <c r="GK31" t="n">
        <v>2124.2</v>
      </c>
      <c r="GL31" t="n">
        <v>2171.5</v>
      </c>
      <c r="GM31" t="n">
        <v>2184.4</v>
      </c>
      <c r="GN31" t="n">
        <v>2200.6</v>
      </c>
      <c r="GO31" t="n">
        <v>2223</v>
      </c>
      <c r="GP31" t="n">
        <v>2303.8</v>
      </c>
      <c r="GQ31" t="n">
        <v>2321.7</v>
      </c>
      <c r="GR31" t="n">
        <v>2337.1</v>
      </c>
      <c r="GS31" t="n">
        <v>2349.5</v>
      </c>
      <c r="GT31" t="n">
        <v>2414.4</v>
      </c>
      <c r="GU31" t="n">
        <v>4654.1</v>
      </c>
      <c r="GV31" t="n">
        <v>3504.7</v>
      </c>
      <c r="GW31" t="n">
        <v>2888.4</v>
      </c>
      <c r="GX31" t="n">
        <v>5138.1</v>
      </c>
      <c r="GY31" t="n">
        <v>3397.8</v>
      </c>
      <c r="GZ31" t="n">
        <v>3124.9</v>
      </c>
      <c r="HA31" t="n">
        <v>2952.6</v>
      </c>
      <c r="HB31" t="n">
        <v>2970.9</v>
      </c>
      <c r="HC31" t="n">
        <v>2976.2</v>
      </c>
      <c r="HD31" t="n">
        <v>2970.4</v>
      </c>
      <c r="HE31" t="n">
        <v>3024.4</v>
      </c>
      <c r="HF31" t="n">
        <v>3038.4</v>
      </c>
      <c r="HG31" t="n">
        <v>3049.1</v>
      </c>
      <c r="HH31" t="n">
        <v>3078</v>
      </c>
      <c r="HI31" t="n">
        <v>3095.6</v>
      </c>
      <c r="HJ31" t="n">
        <v>3201.1</v>
      </c>
      <c r="HK31" t="n">
        <v>3243.1</v>
      </c>
      <c r="HL31" t="n">
        <v>3283.8</v>
      </c>
      <c r="HM31" t="n">
        <v>3328.6</v>
      </c>
      <c r="HN31" t="n">
        <v>3452.4</v>
      </c>
      <c r="HO31" t="n">
        <v>3577.1</v>
      </c>
    </row>
    <row r="32">
      <c r="A32" s="78" t="s">
        <v>2544</v>
      </c>
      <c r="B32" s="78" t="n">
        <v>16.6</v>
      </c>
      <c r="C32" s="78" t="n">
        <v>17.9</v>
      </c>
      <c r="D32" s="78" t="n">
        <v>19.2</v>
      </c>
      <c r="E32" s="78" t="n">
        <v>19.8</v>
      </c>
      <c r="F32" s="78" t="n">
        <v>20.5</v>
      </c>
      <c r="G32" s="78" t="n">
        <v>22.1</v>
      </c>
      <c r="H32" s="78" t="n">
        <v>22.4</v>
      </c>
      <c r="I32" s="78" t="n">
        <v>23.7</v>
      </c>
      <c r="J32" s="78" t="n">
        <v>24.4</v>
      </c>
      <c r="K32" s="78" t="n">
        <v>32.7</v>
      </c>
      <c r="L32" s="78" t="n">
        <v>25.6</v>
      </c>
      <c r="M32" s="78" t="n">
        <v>39.3</v>
      </c>
      <c r="N32" s="78" t="n">
        <v>34.3</v>
      </c>
      <c r="O32" s="78" t="n">
        <v>33.4</v>
      </c>
      <c r="P32" t="n">
        <v>32.6</v>
      </c>
      <c r="Q32" t="n">
        <v>33.6</v>
      </c>
      <c r="R32" t="n">
        <v>33.3</v>
      </c>
      <c r="S32" t="n">
        <v>34.1</v>
      </c>
      <c r="T32" t="n">
        <v>35.4</v>
      </c>
      <c r="U32" t="n">
        <v>36.8</v>
      </c>
      <c r="V32" t="n">
        <v>39.3</v>
      </c>
      <c r="W32" t="n">
        <v>44.3</v>
      </c>
      <c r="X32" t="n">
        <v>45</v>
      </c>
      <c r="Y32" t="n">
        <v>45.9</v>
      </c>
      <c r="Z32" t="n">
        <v>47</v>
      </c>
      <c r="AA32" t="n">
        <v>47.8</v>
      </c>
      <c r="AB32" t="n">
        <v>48.7</v>
      </c>
      <c r="AC32" t="n">
        <v>52.7</v>
      </c>
      <c r="AD32" t="n">
        <v>50.7</v>
      </c>
      <c r="AE32" t="n">
        <v>53.7</v>
      </c>
      <c r="AF32" t="n">
        <v>57.3</v>
      </c>
      <c r="AG32" t="n">
        <v>57.3</v>
      </c>
      <c r="AH32" t="n">
        <v>61.5</v>
      </c>
      <c r="AI32" t="n">
        <v>64.1</v>
      </c>
      <c r="AJ32" t="n">
        <v>63.4</v>
      </c>
      <c r="AK32" t="n">
        <v>64.9</v>
      </c>
      <c r="AL32" t="n">
        <v>62.1</v>
      </c>
      <c r="AM32" t="n">
        <v>62.6</v>
      </c>
      <c r="AN32" t="n">
        <v>65.2</v>
      </c>
      <c r="AO32" t="n">
        <v>65.9</v>
      </c>
      <c r="AP32" t="n">
        <v>66.7</v>
      </c>
      <c r="AQ32" t="n">
        <v>68.2</v>
      </c>
      <c r="AR32" t="n">
        <v>70.7</v>
      </c>
      <c r="AS32" t="n">
        <v>73.1</v>
      </c>
      <c r="AT32" t="n">
        <v>71.5</v>
      </c>
      <c r="AU32" t="n">
        <v>71.4</v>
      </c>
      <c r="AV32" t="n">
        <v>68.8</v>
      </c>
      <c r="AW32" t="n">
        <v>66</v>
      </c>
      <c r="AX32" t="n">
        <v>65.8</v>
      </c>
      <c r="AY32" t="n">
        <v>67.3</v>
      </c>
      <c r="AZ32" t="n">
        <v>65.6</v>
      </c>
      <c r="BA32" t="n">
        <v>66.3</v>
      </c>
      <c r="BB32" t="n">
        <v>67.2</v>
      </c>
      <c r="BC32" t="n">
        <v>69.2</v>
      </c>
      <c r="BD32" t="n">
        <v>68.4</v>
      </c>
      <c r="BE32" t="n">
        <v>67</v>
      </c>
      <c r="BF32" t="n">
        <v>71.3</v>
      </c>
      <c r="BG32" t="n">
        <v>73.1</v>
      </c>
      <c r="BH32" t="n">
        <v>70.7</v>
      </c>
      <c r="BI32" t="n">
        <v>74.3</v>
      </c>
      <c r="BJ32" t="n">
        <v>74.8</v>
      </c>
      <c r="BK32" t="n">
        <v>75.3</v>
      </c>
      <c r="BL32" t="n">
        <v>76.4</v>
      </c>
      <c r="BM32" t="n">
        <v>78.1</v>
      </c>
      <c r="BN32" t="n">
        <v>79.7</v>
      </c>
      <c r="BO32" t="n">
        <v>83.8</v>
      </c>
      <c r="BP32" t="n">
        <v>86.7</v>
      </c>
      <c r="BQ32" t="n">
        <v>79.5</v>
      </c>
      <c r="BR32" t="n">
        <v>76.9</v>
      </c>
      <c r="BS32" t="n">
        <v>80.2</v>
      </c>
      <c r="BT32" t="n">
        <v>78.2</v>
      </c>
      <c r="BU32" t="n">
        <v>78.2</v>
      </c>
      <c r="BV32" t="n">
        <v>84.1</v>
      </c>
      <c r="BW32" t="n">
        <v>84.1</v>
      </c>
      <c r="BX32" t="n">
        <v>87</v>
      </c>
      <c r="BY32" t="n">
        <v>87.7</v>
      </c>
      <c r="BZ32" t="n">
        <v>88.7</v>
      </c>
      <c r="CA32" t="n">
        <v>89.1</v>
      </c>
      <c r="CB32" t="n">
        <v>95</v>
      </c>
      <c r="CC32" t="n">
        <v>94.5</v>
      </c>
      <c r="CD32" t="n">
        <v>99.9</v>
      </c>
      <c r="CE32" t="n">
        <v>103.2</v>
      </c>
      <c r="CF32" t="n">
        <v>105.5</v>
      </c>
      <c r="CG32" t="n">
        <v>108.8</v>
      </c>
      <c r="CH32" t="n">
        <v>115.6</v>
      </c>
      <c r="CI32" t="n">
        <v>120.5</v>
      </c>
      <c r="CJ32" t="n">
        <v>127</v>
      </c>
      <c r="CK32" t="n">
        <v>132.9</v>
      </c>
      <c r="CL32" t="n">
        <v>136.2</v>
      </c>
      <c r="CM32" t="n">
        <v>139</v>
      </c>
      <c r="CN32" t="n">
        <v>145</v>
      </c>
      <c r="CO32" t="n">
        <v>146.5</v>
      </c>
      <c r="CP32" t="n">
        <v>148.8</v>
      </c>
      <c r="CQ32" t="n">
        <v>151.4</v>
      </c>
      <c r="CR32" t="n">
        <v>157.2</v>
      </c>
      <c r="CS32" t="n">
        <v>165.5</v>
      </c>
      <c r="CT32" t="n">
        <v>162.4</v>
      </c>
      <c r="CU32" t="n">
        <v>164.9</v>
      </c>
      <c r="CV32" t="n">
        <v>167.3</v>
      </c>
      <c r="CW32" t="n">
        <v>172.8</v>
      </c>
      <c r="CX32" t="n">
        <v>175.6</v>
      </c>
      <c r="CY32" t="n">
        <v>174.8</v>
      </c>
      <c r="CZ32" t="n">
        <v>175.8</v>
      </c>
      <c r="DA32" t="n">
        <v>171.7</v>
      </c>
      <c r="DB32" t="n">
        <v>177.1</v>
      </c>
      <c r="DC32" t="n">
        <v>185.5</v>
      </c>
      <c r="DD32" t="n">
        <v>182.9</v>
      </c>
      <c r="DE32" t="n">
        <v>180.3</v>
      </c>
      <c r="DF32" t="n">
        <v>184.6</v>
      </c>
      <c r="DG32" t="n">
        <v>184.2</v>
      </c>
      <c r="DH32" t="n">
        <v>187.5</v>
      </c>
      <c r="DI32" t="n">
        <v>196.3</v>
      </c>
      <c r="DJ32" t="n">
        <v>197.3</v>
      </c>
      <c r="DK32" t="n">
        <v>197</v>
      </c>
      <c r="DL32" t="n">
        <v>201.8</v>
      </c>
      <c r="DM32" t="n">
        <v>207</v>
      </c>
      <c r="DN32" t="n">
        <v>214.7</v>
      </c>
      <c r="DO32" t="n">
        <v>211.8</v>
      </c>
      <c r="DP32" t="n">
        <v>223.1</v>
      </c>
      <c r="DQ32" t="n">
        <v>227</v>
      </c>
      <c r="DR32" t="n">
        <v>224.5</v>
      </c>
      <c r="DS32" t="n">
        <v>227.4</v>
      </c>
      <c r="DT32" t="n">
        <v>239.5</v>
      </c>
      <c r="DU32" t="n">
        <v>241.1</v>
      </c>
      <c r="DV32" t="n">
        <v>254</v>
      </c>
      <c r="DW32" t="n">
        <v>262.2</v>
      </c>
      <c r="DX32" t="n">
        <v>258.5</v>
      </c>
      <c r="DY32" t="n">
        <v>270.4</v>
      </c>
      <c r="DZ32" t="n">
        <v>277.3</v>
      </c>
      <c r="EA32" t="n">
        <v>285.7</v>
      </c>
      <c r="EB32" t="n">
        <v>294.3</v>
      </c>
      <c r="EC32" t="n">
        <v>297.4</v>
      </c>
      <c r="ED32" t="n">
        <v>299.6</v>
      </c>
      <c r="EE32" t="n">
        <v>323.3</v>
      </c>
      <c r="EF32" t="n">
        <v>329.6</v>
      </c>
      <c r="EG32" t="n">
        <v>334.3</v>
      </c>
      <c r="EH32" t="n">
        <v>328</v>
      </c>
      <c r="EI32" t="n">
        <v>332.8</v>
      </c>
      <c r="EJ32" t="n">
        <v>328.4</v>
      </c>
      <c r="EK32" t="n">
        <v>340</v>
      </c>
      <c r="EL32" t="n">
        <v>341.6</v>
      </c>
      <c r="EM32" t="n">
        <v>344.8</v>
      </c>
      <c r="EN32" t="n">
        <v>342.5</v>
      </c>
      <c r="EO32" t="n">
        <v>345.1</v>
      </c>
      <c r="EP32" t="n">
        <v>340</v>
      </c>
      <c r="EQ32" t="n">
        <v>341.5</v>
      </c>
      <c r="ER32" t="n">
        <v>347.9</v>
      </c>
      <c r="ES32" t="n">
        <v>334.7</v>
      </c>
      <c r="ET32" t="n">
        <v>358.4</v>
      </c>
      <c r="EU32" t="n">
        <v>359.4</v>
      </c>
      <c r="EV32" t="n">
        <v>359.8</v>
      </c>
      <c r="EW32" t="n">
        <v>358.9</v>
      </c>
      <c r="EX32" t="n">
        <v>365.7</v>
      </c>
      <c r="EY32" t="n">
        <v>371.5</v>
      </c>
      <c r="EZ32" t="n">
        <v>368.8</v>
      </c>
      <c r="FA32" t="n">
        <v>378.6</v>
      </c>
      <c r="FB32" t="n">
        <v>421.1</v>
      </c>
      <c r="FC32" t="n">
        <v>473.9</v>
      </c>
      <c r="FD32" t="n">
        <v>465.4</v>
      </c>
      <c r="FE32" t="n">
        <v>472.1</v>
      </c>
      <c r="FF32" t="n">
        <v>496.2</v>
      </c>
      <c r="FG32" t="n">
        <v>492.6</v>
      </c>
      <c r="FH32" t="n">
        <v>517.8</v>
      </c>
      <c r="FI32" t="n">
        <v>514.4</v>
      </c>
      <c r="FJ32" t="n">
        <v>500.5</v>
      </c>
      <c r="FK32" t="n">
        <v>503.4</v>
      </c>
      <c r="FL32" t="n">
        <v>448.3</v>
      </c>
      <c r="FM32" t="n">
        <v>437.7</v>
      </c>
      <c r="FN32" t="n">
        <v>441.7</v>
      </c>
      <c r="FO32" t="n">
        <v>447.9</v>
      </c>
      <c r="FP32" t="n">
        <v>440</v>
      </c>
      <c r="FQ32" t="n">
        <v>448.2</v>
      </c>
      <c r="FR32" t="n">
        <v>440</v>
      </c>
      <c r="FS32" t="n">
        <v>459.2</v>
      </c>
      <c r="FT32" t="n">
        <v>454</v>
      </c>
      <c r="FU32" t="n">
        <v>447.3</v>
      </c>
      <c r="FV32" t="n">
        <v>467.8</v>
      </c>
      <c r="FW32" t="n">
        <v>492.5</v>
      </c>
      <c r="FX32" t="n">
        <v>511.1</v>
      </c>
      <c r="FY32" t="n">
        <v>508.8</v>
      </c>
      <c r="FZ32" t="n">
        <v>524.8</v>
      </c>
      <c r="GA32" t="n">
        <v>528.9</v>
      </c>
      <c r="GB32" t="n">
        <v>530.4</v>
      </c>
      <c r="GC32" t="n">
        <v>548.2</v>
      </c>
      <c r="GD32" t="n">
        <v>544.4</v>
      </c>
      <c r="GE32" t="n">
        <v>546.6</v>
      </c>
      <c r="GF32" t="n">
        <v>562.8</v>
      </c>
      <c r="GG32" t="n">
        <v>573.1</v>
      </c>
      <c r="GH32" t="n">
        <v>562.8</v>
      </c>
      <c r="GI32" t="n">
        <v>542.4</v>
      </c>
      <c r="GJ32" t="n">
        <v>562.9</v>
      </c>
      <c r="GK32" t="n">
        <v>573.6</v>
      </c>
      <c r="GL32" t="n">
        <v>582</v>
      </c>
      <c r="GM32" t="n">
        <v>576.7</v>
      </c>
      <c r="GN32" t="n">
        <v>581.4</v>
      </c>
      <c r="GO32" t="n">
        <v>590.1</v>
      </c>
      <c r="GP32" t="n">
        <v>591.2</v>
      </c>
      <c r="GQ32" t="n">
        <v>610.7</v>
      </c>
      <c r="GR32" t="n">
        <v>608.8</v>
      </c>
      <c r="GS32" t="n">
        <v>625</v>
      </c>
      <c r="GT32" t="n">
        <v>635</v>
      </c>
      <c r="GU32" t="n">
        <v>1387</v>
      </c>
      <c r="GV32" t="n">
        <v>734.9</v>
      </c>
      <c r="GW32" t="n">
        <v>757.9</v>
      </c>
      <c r="GX32" t="n">
        <v>777.7</v>
      </c>
      <c r="GY32" t="n">
        <v>1640.8</v>
      </c>
      <c r="GZ32" t="n">
        <v>1085.6</v>
      </c>
      <c r="HA32" t="n">
        <v>936.3</v>
      </c>
      <c r="HB32" t="n">
        <v>930</v>
      </c>
      <c r="HC32" t="n">
        <v>951.4</v>
      </c>
      <c r="HD32" t="n">
        <v>956.4</v>
      </c>
      <c r="HE32" t="n">
        <v>955.4</v>
      </c>
      <c r="HF32" t="n">
        <v>977.7</v>
      </c>
      <c r="HG32" t="n">
        <v>967.9</v>
      </c>
      <c r="HH32" t="n">
        <v>915.6</v>
      </c>
      <c r="HI32" t="n">
        <v>941.4</v>
      </c>
      <c r="HJ32" t="n">
        <v>941</v>
      </c>
      <c r="HK32" t="n">
        <v>949.1</v>
      </c>
      <c r="HL32" t="n">
        <v>981.6</v>
      </c>
      <c r="HM32" t="n">
        <v>981.1</v>
      </c>
      <c r="HN32" t="n">
        <v>953.4</v>
      </c>
      <c r="HO32" t="n">
        <v>971.5</v>
      </c>
    </row>
    <row r="33">
      <c r="A33" s="78" t="s">
        <v>2545</v>
      </c>
      <c r="B33" s="78" t="n">
        <v>14</v>
      </c>
      <c r="C33" s="78" t="n">
        <v>14.1</v>
      </c>
      <c r="D33" s="78" t="n">
        <v>14.3</v>
      </c>
      <c r="E33" s="78" t="n">
        <v>14.4</v>
      </c>
      <c r="F33" s="78" t="n">
        <v>14.7</v>
      </c>
      <c r="G33" s="78" t="n">
        <v>15.6</v>
      </c>
      <c r="H33" s="78" t="n">
        <v>16</v>
      </c>
      <c r="I33" s="78" t="n">
        <v>17.3</v>
      </c>
      <c r="J33" s="78" t="n">
        <v>19.5</v>
      </c>
      <c r="K33" s="78" t="n">
        <v>21</v>
      </c>
      <c r="L33" s="78" t="n">
        <v>21.2</v>
      </c>
      <c r="M33" s="78" t="n">
        <v>21.8</v>
      </c>
      <c r="N33" s="78" t="n">
        <v>21.9</v>
      </c>
      <c r="O33" s="78" t="n">
        <v>22.3</v>
      </c>
      <c r="P33" t="n">
        <v>23.1</v>
      </c>
      <c r="Q33" t="n">
        <v>24</v>
      </c>
      <c r="R33" t="n">
        <v>23.3</v>
      </c>
      <c r="S33" t="n">
        <v>24.1</v>
      </c>
      <c r="T33" t="n">
        <v>25.2</v>
      </c>
      <c r="U33" t="n">
        <v>25.6</v>
      </c>
      <c r="V33" t="n">
        <v>25.7</v>
      </c>
      <c r="W33" t="n">
        <v>26.5</v>
      </c>
      <c r="X33" t="n">
        <v>27.2</v>
      </c>
      <c r="Y33" t="n">
        <v>28.2</v>
      </c>
      <c r="Z33" t="n">
        <v>29.5</v>
      </c>
      <c r="AA33" t="n">
        <v>30.6</v>
      </c>
      <c r="AB33" t="n">
        <v>31.6</v>
      </c>
      <c r="AC33" t="n">
        <v>32.6</v>
      </c>
      <c r="AD33" t="n">
        <v>33.5</v>
      </c>
      <c r="AE33" t="n">
        <v>34.7</v>
      </c>
      <c r="AF33" t="n">
        <v>35.9</v>
      </c>
      <c r="AG33" t="n">
        <v>37.3</v>
      </c>
      <c r="AH33" t="n">
        <v>38.6</v>
      </c>
      <c r="AI33" t="n">
        <v>40.1</v>
      </c>
      <c r="AJ33" t="n">
        <v>40.9</v>
      </c>
      <c r="AK33" t="n">
        <v>42.1</v>
      </c>
      <c r="AL33" t="n">
        <v>42</v>
      </c>
      <c r="AM33" t="n">
        <v>42.1</v>
      </c>
      <c r="AN33" t="n">
        <v>45.4</v>
      </c>
      <c r="AO33" t="n">
        <v>46.6</v>
      </c>
      <c r="AP33" t="n">
        <v>46.6</v>
      </c>
      <c r="AQ33" t="n">
        <v>48</v>
      </c>
      <c r="AR33" t="n">
        <v>49.4</v>
      </c>
      <c r="AS33" t="n">
        <v>51.6</v>
      </c>
      <c r="AT33" t="n">
        <v>52.5</v>
      </c>
      <c r="AU33" t="n">
        <v>53.7</v>
      </c>
      <c r="AV33" t="n">
        <v>55.5</v>
      </c>
      <c r="AW33" t="n">
        <v>56.8</v>
      </c>
      <c r="AX33" t="n">
        <v>57.3</v>
      </c>
      <c r="AY33" t="n">
        <v>58.1</v>
      </c>
      <c r="AZ33" t="n">
        <v>60.4</v>
      </c>
      <c r="BA33" t="n">
        <v>60.8</v>
      </c>
      <c r="BB33" t="n">
        <v>61.3</v>
      </c>
      <c r="BC33" t="n">
        <v>64.3</v>
      </c>
      <c r="BD33" t="n">
        <v>68.1</v>
      </c>
      <c r="BE33" t="n">
        <v>70.7</v>
      </c>
      <c r="BF33" t="n">
        <v>73.3</v>
      </c>
      <c r="BG33" t="n">
        <v>75.8</v>
      </c>
      <c r="BH33" t="n">
        <v>76.8</v>
      </c>
      <c r="BI33" t="n">
        <v>78.2</v>
      </c>
      <c r="BJ33" t="n">
        <v>79.3</v>
      </c>
      <c r="BK33" t="n">
        <v>80.9</v>
      </c>
      <c r="BL33" t="n">
        <v>81.5</v>
      </c>
      <c r="BM33" t="n">
        <v>83.7</v>
      </c>
      <c r="BN33" t="n">
        <v>84.5</v>
      </c>
      <c r="BO33" t="n">
        <v>85</v>
      </c>
      <c r="BP33" t="n">
        <v>87.5</v>
      </c>
      <c r="BQ33" t="n">
        <v>91.8</v>
      </c>
      <c r="BR33" t="n">
        <v>92.4</v>
      </c>
      <c r="BS33" t="n">
        <v>101.5</v>
      </c>
      <c r="BT33" t="n">
        <v>94.1</v>
      </c>
      <c r="BU33" t="n">
        <v>98.4</v>
      </c>
      <c r="BV33" t="n">
        <v>99.4</v>
      </c>
      <c r="BW33" t="n">
        <v>97.2</v>
      </c>
      <c r="BX33" t="n">
        <v>104.1</v>
      </c>
      <c r="BY33" t="n">
        <v>107.6</v>
      </c>
      <c r="BZ33" t="n">
        <v>113.4</v>
      </c>
      <c r="CA33" t="n">
        <v>118.3</v>
      </c>
      <c r="CB33" t="n">
        <v>114.5</v>
      </c>
      <c r="CC33" t="n">
        <v>112.4</v>
      </c>
      <c r="CD33" t="n">
        <v>119.4</v>
      </c>
      <c r="CE33" t="n">
        <v>122.6</v>
      </c>
      <c r="CF33" t="n">
        <v>123.7</v>
      </c>
      <c r="CG33" t="n">
        <v>124.6</v>
      </c>
      <c r="CH33" t="n">
        <v>121.2</v>
      </c>
      <c r="CI33" t="n">
        <v>124.5</v>
      </c>
      <c r="CJ33" t="n">
        <v>126.1</v>
      </c>
      <c r="CK33" t="n">
        <v>129.5</v>
      </c>
      <c r="CL33" t="n">
        <v>127.6</v>
      </c>
      <c r="CM33" t="n">
        <v>136.9</v>
      </c>
      <c r="CN33" t="n">
        <v>136.8</v>
      </c>
      <c r="CO33" t="n">
        <v>140</v>
      </c>
      <c r="CP33" t="n">
        <v>136.7</v>
      </c>
      <c r="CQ33" t="n">
        <v>138.3</v>
      </c>
      <c r="CR33" t="n">
        <v>143.6</v>
      </c>
      <c r="CS33" t="n">
        <v>145.8</v>
      </c>
      <c r="CT33" t="n">
        <v>146.9</v>
      </c>
      <c r="CU33" t="n">
        <v>141.9</v>
      </c>
      <c r="CV33" t="n">
        <v>151.2</v>
      </c>
      <c r="CW33" t="n">
        <v>152</v>
      </c>
      <c r="CX33" t="n">
        <v>156.9</v>
      </c>
      <c r="CY33" t="n">
        <v>152.4</v>
      </c>
      <c r="CZ33" t="n">
        <v>160.7</v>
      </c>
      <c r="DA33" t="n">
        <v>162.4</v>
      </c>
      <c r="DB33" t="n">
        <v>165.3</v>
      </c>
      <c r="DC33" t="n">
        <v>165.9</v>
      </c>
      <c r="DD33" t="n">
        <v>169.3</v>
      </c>
      <c r="DE33" t="n">
        <v>174.1</v>
      </c>
      <c r="DF33" t="n">
        <v>177.8</v>
      </c>
      <c r="DG33" t="n">
        <v>176.9</v>
      </c>
      <c r="DH33" t="n">
        <v>184.1</v>
      </c>
      <c r="DI33" t="n">
        <v>189.2</v>
      </c>
      <c r="DJ33" t="n">
        <v>195.6</v>
      </c>
      <c r="DK33" t="n">
        <v>201.4</v>
      </c>
      <c r="DL33" t="n">
        <v>201.6</v>
      </c>
      <c r="DM33" t="n">
        <v>206.3</v>
      </c>
      <c r="DN33" t="n">
        <v>208.2</v>
      </c>
      <c r="DO33" t="n">
        <v>209.4</v>
      </c>
      <c r="DP33" t="n">
        <v>216.4</v>
      </c>
      <c r="DQ33" t="n">
        <v>224</v>
      </c>
      <c r="DR33" t="n">
        <v>232.2</v>
      </c>
      <c r="DS33" t="n">
        <v>243.3</v>
      </c>
      <c r="DT33" t="n">
        <v>236.6</v>
      </c>
      <c r="DU33" t="n">
        <v>234.8</v>
      </c>
      <c r="DV33" t="n">
        <v>250.9</v>
      </c>
      <c r="DW33" t="n">
        <v>259.9</v>
      </c>
      <c r="DX33" t="n">
        <v>231.9</v>
      </c>
      <c r="DY33" t="n">
        <v>229.3</v>
      </c>
      <c r="DZ33" t="n">
        <v>227.4</v>
      </c>
      <c r="EA33" t="n">
        <v>214.3</v>
      </c>
      <c r="EB33" t="n">
        <v>218.8</v>
      </c>
      <c r="EC33" t="n">
        <v>218.9</v>
      </c>
      <c r="ED33" t="n">
        <v>217.9</v>
      </c>
      <c r="EE33" t="n">
        <v>207.9</v>
      </c>
      <c r="EF33" t="n">
        <v>234.2</v>
      </c>
      <c r="EG33" t="n">
        <v>239.7</v>
      </c>
      <c r="EH33" t="n">
        <v>239</v>
      </c>
      <c r="EI33" t="n">
        <v>234.3</v>
      </c>
      <c r="EJ33" t="n">
        <v>247.7</v>
      </c>
      <c r="EK33" t="n">
        <v>261.8</v>
      </c>
      <c r="EL33" t="n">
        <v>269.4</v>
      </c>
      <c r="EM33" t="n">
        <v>270.4</v>
      </c>
      <c r="EN33" t="n">
        <v>276</v>
      </c>
      <c r="EO33" t="n">
        <v>285.2</v>
      </c>
      <c r="EP33" t="n">
        <v>294.9</v>
      </c>
      <c r="EQ33" t="n">
        <v>310.1</v>
      </c>
      <c r="ER33" t="n">
        <v>297.7</v>
      </c>
      <c r="ES33" t="n">
        <v>301.7</v>
      </c>
      <c r="ET33" t="n">
        <v>320.5</v>
      </c>
      <c r="EU33" t="n">
        <v>332</v>
      </c>
      <c r="EV33" t="n">
        <v>319.6</v>
      </c>
      <c r="EW33" t="n">
        <v>314.2</v>
      </c>
      <c r="EX33" t="n">
        <v>333.4</v>
      </c>
      <c r="EY33" t="n">
        <v>361.1</v>
      </c>
      <c r="EZ33" t="n">
        <v>323.8</v>
      </c>
      <c r="FA33" t="n">
        <v>305.1</v>
      </c>
      <c r="FB33" t="n">
        <v>281.1</v>
      </c>
      <c r="FC33" t="n">
        <v>275.6</v>
      </c>
      <c r="FD33" t="n">
        <v>293.3</v>
      </c>
      <c r="FE33" t="n">
        <v>293.3</v>
      </c>
      <c r="FF33" t="n">
        <v>288.4</v>
      </c>
      <c r="FG33" t="n">
        <v>278</v>
      </c>
      <c r="FH33" t="n">
        <v>297.8</v>
      </c>
      <c r="FI33" t="n">
        <v>311.9</v>
      </c>
      <c r="FJ33" t="n">
        <v>315.2</v>
      </c>
      <c r="FK33" t="n">
        <v>319.4</v>
      </c>
      <c r="FL33" t="n">
        <v>327.2</v>
      </c>
      <c r="FM33" t="n">
        <v>329.9</v>
      </c>
      <c r="FN33" t="n">
        <v>330.1</v>
      </c>
      <c r="FO33" t="n">
        <v>337</v>
      </c>
      <c r="FP33" t="n">
        <v>346.2</v>
      </c>
      <c r="FQ33" t="n">
        <v>359.2</v>
      </c>
      <c r="FR33" t="n">
        <v>377.3</v>
      </c>
      <c r="FS33" t="n">
        <v>387.5</v>
      </c>
      <c r="FT33" t="n">
        <v>368</v>
      </c>
      <c r="FU33" t="n">
        <v>365.9</v>
      </c>
      <c r="FV33" t="n">
        <v>376.7</v>
      </c>
      <c r="FW33" t="n">
        <v>370.5</v>
      </c>
      <c r="FX33" t="n">
        <v>386.5</v>
      </c>
      <c r="FY33" t="n">
        <v>394.1</v>
      </c>
      <c r="FZ33" t="n">
        <v>396.4</v>
      </c>
      <c r="GA33" t="n">
        <v>416.2</v>
      </c>
      <c r="GB33" t="n">
        <v>407.4</v>
      </c>
      <c r="GC33" t="n">
        <v>413.2</v>
      </c>
      <c r="GD33" t="n">
        <v>398.5</v>
      </c>
      <c r="GE33" t="n">
        <v>407.3</v>
      </c>
      <c r="GF33" t="n">
        <v>418.7</v>
      </c>
      <c r="GG33" t="n">
        <v>418.7</v>
      </c>
      <c r="GH33" t="n">
        <v>424.3</v>
      </c>
      <c r="GI33" t="n">
        <v>412.2</v>
      </c>
      <c r="GJ33" t="n">
        <v>431.9</v>
      </c>
      <c r="GK33" t="n">
        <v>474.6</v>
      </c>
      <c r="GL33" t="n">
        <v>474.3</v>
      </c>
      <c r="GM33" t="n">
        <v>450.9</v>
      </c>
      <c r="GN33" t="n">
        <v>460.4</v>
      </c>
      <c r="GO33" t="n">
        <v>453.8</v>
      </c>
      <c r="GP33" t="n">
        <v>473.5</v>
      </c>
      <c r="GQ33" t="n">
        <v>531</v>
      </c>
      <c r="GR33" t="n">
        <v>495.6</v>
      </c>
      <c r="GS33" t="n">
        <v>490.1</v>
      </c>
      <c r="GT33" t="n">
        <v>492.5</v>
      </c>
      <c r="GU33" t="n">
        <v>485.2</v>
      </c>
      <c r="GV33" t="n">
        <v>511.6</v>
      </c>
      <c r="GW33" t="n">
        <v>528.4</v>
      </c>
      <c r="GX33" t="n">
        <v>559</v>
      </c>
      <c r="GY33" t="n">
        <v>586.1</v>
      </c>
      <c r="GZ33" t="n">
        <v>576.4</v>
      </c>
      <c r="HA33" t="n">
        <v>599.1</v>
      </c>
      <c r="HB33" t="n">
        <v>656.7</v>
      </c>
      <c r="HC33" t="n">
        <v>693.1</v>
      </c>
      <c r="HD33" t="n">
        <v>596.6</v>
      </c>
      <c r="HE33" t="n">
        <v>607.6</v>
      </c>
      <c r="HF33" t="n">
        <v>578</v>
      </c>
      <c r="HG33" t="n">
        <v>581.6</v>
      </c>
      <c r="HH33" t="n">
        <v>605.5</v>
      </c>
      <c r="HI33" t="n">
        <v>612.1</v>
      </c>
      <c r="HJ33" t="n">
        <v>609.5</v>
      </c>
      <c r="HK33" t="n">
        <v>630</v>
      </c>
      <c r="HL33" t="n">
        <v>655.5</v>
      </c>
      <c r="HM33" t="n">
        <v>670.5</v>
      </c>
      <c r="HN33" t="n">
        <v>677.6</v>
      </c>
      <c r="HO33" t="n">
        <v>691.2</v>
      </c>
    </row>
    <row r="34">
      <c r="A34" s="78" t="s">
        <v>2546</v>
      </c>
      <c r="B34" s="78" t="n">
        <v>70.6</v>
      </c>
      <c r="C34" s="78" t="n">
        <v>72.4</v>
      </c>
      <c r="D34" s="78" t="n">
        <v>74.3</v>
      </c>
      <c r="E34" s="78" t="n">
        <v>76</v>
      </c>
      <c r="F34" s="78" t="n">
        <v>78.3</v>
      </c>
      <c r="G34" s="78" t="n">
        <v>80.2</v>
      </c>
      <c r="H34" s="78" t="n">
        <v>82.8</v>
      </c>
      <c r="I34" s="78" t="n">
        <v>84.7</v>
      </c>
      <c r="J34" s="78" t="n">
        <v>86.4</v>
      </c>
      <c r="K34" s="78" t="n">
        <v>88.5</v>
      </c>
      <c r="L34" s="78" t="n">
        <v>90.4</v>
      </c>
      <c r="M34" s="78" t="n">
        <v>92.5</v>
      </c>
      <c r="N34" s="78" t="n">
        <v>95.1</v>
      </c>
      <c r="O34" s="78" t="n">
        <v>96.3</v>
      </c>
      <c r="P34" t="n">
        <v>98.7</v>
      </c>
      <c r="Q34" t="n">
        <v>99.6</v>
      </c>
      <c r="R34" t="n">
        <v>101</v>
      </c>
      <c r="S34" t="n">
        <v>104</v>
      </c>
      <c r="T34" t="n">
        <v>106.8</v>
      </c>
      <c r="U34" t="n">
        <v>107.5</v>
      </c>
      <c r="V34" t="n">
        <v>109</v>
      </c>
      <c r="W34" t="n">
        <v>111.7</v>
      </c>
      <c r="X34" t="n">
        <v>114.9</v>
      </c>
      <c r="Y34" t="n">
        <v>117.3</v>
      </c>
      <c r="Z34" t="n">
        <v>120.9</v>
      </c>
      <c r="AA34" t="n">
        <v>123.5</v>
      </c>
      <c r="AB34" t="n">
        <v>126</v>
      </c>
      <c r="AC34" t="n">
        <v>129.6</v>
      </c>
      <c r="AD34" t="n">
        <v>132.9</v>
      </c>
      <c r="AE34" t="n">
        <v>135.5</v>
      </c>
      <c r="AF34" t="n">
        <v>138.3</v>
      </c>
      <c r="AG34" t="n">
        <v>141.1</v>
      </c>
      <c r="AH34" t="n">
        <v>143</v>
      </c>
      <c r="AI34" t="n">
        <v>147.7</v>
      </c>
      <c r="AJ34" t="n">
        <v>144.2</v>
      </c>
      <c r="AK34" t="n">
        <v>147.6</v>
      </c>
      <c r="AL34" t="n">
        <v>150.6</v>
      </c>
      <c r="AM34" t="n">
        <v>152.6</v>
      </c>
      <c r="AN34" t="n">
        <v>155.6</v>
      </c>
      <c r="AO34" t="n">
        <v>159</v>
      </c>
      <c r="AP34" t="n">
        <v>161.9</v>
      </c>
      <c r="AQ34" t="n">
        <v>163.3</v>
      </c>
      <c r="AR34" t="n">
        <v>168.2</v>
      </c>
      <c r="AS34" t="n">
        <v>173.3</v>
      </c>
      <c r="AT34" t="n">
        <v>180.2</v>
      </c>
      <c r="AU34" t="n">
        <v>183.7</v>
      </c>
      <c r="AV34" t="n">
        <v>188.3</v>
      </c>
      <c r="AW34" t="n">
        <v>190.7</v>
      </c>
      <c r="AX34" t="n">
        <v>193.9</v>
      </c>
      <c r="AY34" t="n">
        <v>198.3</v>
      </c>
      <c r="AZ34" t="n">
        <v>201.7</v>
      </c>
      <c r="BA34" t="n">
        <v>206</v>
      </c>
      <c r="BB34" t="n">
        <v>209.6</v>
      </c>
      <c r="BC34" t="n">
        <v>216</v>
      </c>
      <c r="BD34" t="n">
        <v>222</v>
      </c>
      <c r="BE34" t="n">
        <v>228</v>
      </c>
      <c r="BF34" t="n">
        <v>234.7</v>
      </c>
      <c r="BG34" t="n">
        <v>240.3</v>
      </c>
      <c r="BH34" t="n">
        <v>244.7</v>
      </c>
      <c r="BI34" t="n">
        <v>250.2</v>
      </c>
      <c r="BJ34" t="n">
        <v>254.7</v>
      </c>
      <c r="BK34" t="n">
        <v>260</v>
      </c>
      <c r="BL34" t="n">
        <v>265.1</v>
      </c>
      <c r="BM34" t="n">
        <v>268.5</v>
      </c>
      <c r="BN34" t="n">
        <v>273</v>
      </c>
      <c r="BO34" t="n">
        <v>276.6</v>
      </c>
      <c r="BP34" t="n">
        <v>282.3</v>
      </c>
      <c r="BQ34" t="n">
        <v>286.8</v>
      </c>
      <c r="BR34" t="n">
        <v>291.9</v>
      </c>
      <c r="BS34" t="n">
        <v>298.5</v>
      </c>
      <c r="BT34" t="n">
        <v>306</v>
      </c>
      <c r="BU34" t="n">
        <v>310</v>
      </c>
      <c r="BV34" t="n">
        <v>315.7</v>
      </c>
      <c r="BW34" t="n">
        <v>323.2</v>
      </c>
      <c r="BX34" t="n">
        <v>327.3</v>
      </c>
      <c r="BY34" t="n">
        <v>332.4</v>
      </c>
      <c r="BZ34" t="n">
        <v>340.2</v>
      </c>
      <c r="CA34" t="n">
        <v>348.2</v>
      </c>
      <c r="CB34" t="n">
        <v>353.9</v>
      </c>
      <c r="CC34" t="n">
        <v>354.2</v>
      </c>
      <c r="CD34" t="n">
        <v>369.3</v>
      </c>
      <c r="CE34" t="n">
        <v>368.7</v>
      </c>
      <c r="CF34" t="n">
        <v>375.6</v>
      </c>
      <c r="CG34" t="n">
        <v>382.7</v>
      </c>
      <c r="CH34" t="n">
        <v>384.3</v>
      </c>
      <c r="CI34" t="n">
        <v>390.2</v>
      </c>
      <c r="CJ34" t="n">
        <v>399.4</v>
      </c>
      <c r="CK34" t="n">
        <v>407.3</v>
      </c>
      <c r="CL34" t="n">
        <v>412.8</v>
      </c>
      <c r="CM34" t="n">
        <v>418.2</v>
      </c>
      <c r="CN34" t="n">
        <v>424.1</v>
      </c>
      <c r="CO34" t="n">
        <v>425.3</v>
      </c>
      <c r="CP34" t="n">
        <v>427.5</v>
      </c>
      <c r="CQ34" t="n">
        <v>432.8</v>
      </c>
      <c r="CR34" t="n">
        <v>439.5</v>
      </c>
      <c r="CS34" t="n">
        <v>447.2</v>
      </c>
      <c r="CT34" t="n">
        <v>456</v>
      </c>
      <c r="CU34" t="n">
        <v>465.8</v>
      </c>
      <c r="CV34" t="n">
        <v>470</v>
      </c>
      <c r="CW34" t="n">
        <v>473.3</v>
      </c>
      <c r="CX34" t="n">
        <v>478.8</v>
      </c>
      <c r="CY34" t="n">
        <v>477.9</v>
      </c>
      <c r="CZ34" t="n">
        <v>483.5</v>
      </c>
      <c r="DA34" t="n">
        <v>489.3</v>
      </c>
      <c r="DB34" t="n">
        <v>497.8</v>
      </c>
      <c r="DC34" t="n">
        <v>506.5</v>
      </c>
      <c r="DD34" t="n">
        <v>510.1</v>
      </c>
      <c r="DE34" t="n">
        <v>517.3</v>
      </c>
      <c r="DF34" t="n">
        <v>523.8</v>
      </c>
      <c r="DG34" t="n">
        <v>530.7</v>
      </c>
      <c r="DH34" t="n">
        <v>536.6</v>
      </c>
      <c r="DI34" t="n">
        <v>544</v>
      </c>
      <c r="DJ34" t="n">
        <v>549.6</v>
      </c>
      <c r="DK34" t="n">
        <v>555.4</v>
      </c>
      <c r="DL34" t="n">
        <v>561.6</v>
      </c>
      <c r="DM34" t="n">
        <v>568.6</v>
      </c>
      <c r="DN34" t="n">
        <v>576.2</v>
      </c>
      <c r="DO34" t="n">
        <v>585.4</v>
      </c>
      <c r="DP34" t="n">
        <v>595.2</v>
      </c>
      <c r="DQ34" t="n">
        <v>603.7</v>
      </c>
      <c r="DR34" t="n">
        <v>612.4</v>
      </c>
      <c r="DS34" t="n">
        <v>618.9</v>
      </c>
      <c r="DT34" t="n">
        <v>623.7</v>
      </c>
      <c r="DU34" t="n">
        <v>630.1</v>
      </c>
      <c r="DV34" t="n">
        <v>637.1</v>
      </c>
      <c r="DW34" t="n">
        <v>637.8</v>
      </c>
      <c r="DX34" t="n">
        <v>641.7</v>
      </c>
      <c r="DY34" t="n">
        <v>653</v>
      </c>
      <c r="DZ34" t="n">
        <v>659.3</v>
      </c>
      <c r="EA34" t="n">
        <v>664</v>
      </c>
      <c r="EB34" t="n">
        <v>680.5</v>
      </c>
      <c r="EC34" t="n">
        <v>689</v>
      </c>
      <c r="ED34" t="n">
        <v>698.5</v>
      </c>
      <c r="EE34" t="n">
        <v>709.9</v>
      </c>
      <c r="EF34" t="n">
        <v>723.4</v>
      </c>
      <c r="EG34" t="n">
        <v>729.8</v>
      </c>
      <c r="EH34" t="n">
        <v>753.2</v>
      </c>
      <c r="EI34" t="n">
        <v>765.1</v>
      </c>
      <c r="EJ34" t="n">
        <v>775.4</v>
      </c>
      <c r="EK34" t="n">
        <v>797.6</v>
      </c>
      <c r="EL34" t="n">
        <v>817.9</v>
      </c>
      <c r="EM34" t="n">
        <v>835.9</v>
      </c>
      <c r="EN34" t="n">
        <v>851.8</v>
      </c>
      <c r="EO34" t="n">
        <v>866.6</v>
      </c>
      <c r="EP34" t="n">
        <v>882.7</v>
      </c>
      <c r="EQ34" t="n">
        <v>892.2</v>
      </c>
      <c r="ER34" t="n">
        <v>903.9</v>
      </c>
      <c r="ES34" t="n">
        <v>912.4</v>
      </c>
      <c r="ET34" t="n">
        <v>931.9</v>
      </c>
      <c r="EU34" t="n">
        <v>939.4</v>
      </c>
      <c r="EV34" t="n">
        <v>940.4</v>
      </c>
      <c r="EW34" t="n">
        <v>957.1</v>
      </c>
      <c r="EX34" t="n">
        <v>952.5</v>
      </c>
      <c r="EY34" t="n">
        <v>959.4</v>
      </c>
      <c r="EZ34" t="n">
        <v>964.8</v>
      </c>
      <c r="FA34" t="n">
        <v>946.3</v>
      </c>
      <c r="FB34" t="n">
        <v>929.2</v>
      </c>
      <c r="FC34" t="n">
        <v>923</v>
      </c>
      <c r="FD34" t="n">
        <v>937.4</v>
      </c>
      <c r="FE34" t="n">
        <v>952.1</v>
      </c>
      <c r="FF34" t="n">
        <v>951.6</v>
      </c>
      <c r="FG34" t="n">
        <v>965.7</v>
      </c>
      <c r="FH34" t="n">
        <v>970.1</v>
      </c>
      <c r="FI34" t="n">
        <v>977.7</v>
      </c>
      <c r="FJ34" t="n">
        <v>986.8</v>
      </c>
      <c r="FK34" t="n">
        <v>996.4</v>
      </c>
      <c r="FL34" t="n">
        <v>994.5</v>
      </c>
      <c r="FM34" t="n">
        <v>1002.7</v>
      </c>
      <c r="FN34" t="n">
        <v>1016.9</v>
      </c>
      <c r="FO34" t="n">
        <v>1019.5</v>
      </c>
      <c r="FP34" t="n">
        <v>1016.6</v>
      </c>
      <c r="FQ34" t="n">
        <v>1030.8</v>
      </c>
      <c r="FR34" t="n">
        <v>1053.1</v>
      </c>
      <c r="FS34" t="n">
        <v>1054.9</v>
      </c>
      <c r="FT34" t="n">
        <v>1063.8</v>
      </c>
      <c r="FU34" t="n">
        <v>1069.5</v>
      </c>
      <c r="FV34" t="n">
        <v>1079.3</v>
      </c>
      <c r="FW34" t="n">
        <v>1099.4</v>
      </c>
      <c r="FX34" t="n">
        <v>1108.2</v>
      </c>
      <c r="FY34" t="n">
        <v>1117.2</v>
      </c>
      <c r="FZ34" t="n">
        <v>1117.9</v>
      </c>
      <c r="GA34" t="n">
        <v>1125.8</v>
      </c>
      <c r="GB34" t="n">
        <v>1138</v>
      </c>
      <c r="GC34" t="n">
        <v>1144.7</v>
      </c>
      <c r="GD34" t="n">
        <v>1153</v>
      </c>
      <c r="GE34" t="n">
        <v>1160.9</v>
      </c>
      <c r="GF34" t="n">
        <v>1183.6</v>
      </c>
      <c r="GG34" t="n">
        <v>1190</v>
      </c>
      <c r="GH34" t="n">
        <v>1209.4</v>
      </c>
      <c r="GI34" t="n">
        <v>1221.8</v>
      </c>
      <c r="GJ34" t="n">
        <v>1240.2</v>
      </c>
      <c r="GK34" t="n">
        <v>1258.8</v>
      </c>
      <c r="GL34" t="n">
        <v>1273.2</v>
      </c>
      <c r="GM34" t="n">
        <v>1285.3</v>
      </c>
      <c r="GN34" t="n">
        <v>1300.2</v>
      </c>
      <c r="GO34" t="n">
        <v>1315.9</v>
      </c>
      <c r="GP34" t="n">
        <v>1333.5</v>
      </c>
      <c r="GQ34" t="n">
        <v>1351</v>
      </c>
      <c r="GR34" t="n">
        <v>1376.8</v>
      </c>
      <c r="GS34" t="n">
        <v>1373.6</v>
      </c>
      <c r="GT34" t="n">
        <v>1373.1</v>
      </c>
      <c r="GU34" t="n">
        <v>1288.7</v>
      </c>
      <c r="GV34" t="n">
        <v>1390.2</v>
      </c>
      <c r="GW34" t="n">
        <v>1411.7</v>
      </c>
      <c r="GX34" t="n">
        <v>1436.2</v>
      </c>
      <c r="GY34" t="n">
        <v>1524.3</v>
      </c>
      <c r="GZ34" t="n">
        <v>1538.3</v>
      </c>
      <c r="HA34" t="n">
        <v>1579.3</v>
      </c>
      <c r="HB34" t="n">
        <v>1605.3</v>
      </c>
      <c r="HC34" t="n">
        <v>1644.2</v>
      </c>
      <c r="HD34" t="n">
        <v>1668.2</v>
      </c>
      <c r="HE34" t="n">
        <v>1676.9</v>
      </c>
      <c r="HF34" t="n">
        <v>1697.8</v>
      </c>
      <c r="HG34" t="n">
        <v>1709.4</v>
      </c>
      <c r="HH34" t="n">
        <v>1724</v>
      </c>
      <c r="HI34" t="n">
        <v>1744.3</v>
      </c>
      <c r="HJ34" t="n">
        <v>1760.8</v>
      </c>
      <c r="HK34" t="n">
        <v>1782.3</v>
      </c>
      <c r="HL34" t="n">
        <v>1794.5</v>
      </c>
      <c r="HM34" t="n">
        <v>1821.7</v>
      </c>
      <c r="HN34" t="n">
        <v>1845.9</v>
      </c>
      <c r="HO34" t="n">
        <v>1871.3</v>
      </c>
    </row>
    <row r="35">
      <c r="A35" s="78" t="s">
        <v>2547</v>
      </c>
      <c r="B35" s="78" t="n">
        <v>3.8</v>
      </c>
      <c r="C35" s="78" t="n">
        <v>3.7</v>
      </c>
      <c r="D35" s="78" t="n">
        <v>3.8</v>
      </c>
      <c r="E35" s="78" t="n">
        <v>3.6</v>
      </c>
      <c r="F35" s="78" t="n">
        <v>4.1</v>
      </c>
      <c r="G35" s="78" t="n">
        <v>4.2</v>
      </c>
      <c r="H35" s="78" t="n">
        <v>4.4</v>
      </c>
      <c r="I35" s="78" t="n">
        <v>4.5</v>
      </c>
      <c r="J35" s="78" t="n">
        <v>5</v>
      </c>
      <c r="K35" s="78" t="n">
        <v>5</v>
      </c>
      <c r="L35" s="78" t="n">
        <v>5.2</v>
      </c>
      <c r="M35" s="78" t="n">
        <v>5.7</v>
      </c>
      <c r="N35" s="78" t="n">
        <v>6</v>
      </c>
      <c r="O35" t="n">
        <v>6.1</v>
      </c>
      <c r="P35" t="n">
        <v>5.9</v>
      </c>
      <c r="Q35" t="n">
        <v>6.1</v>
      </c>
      <c r="R35" t="n">
        <v>6.3</v>
      </c>
      <c r="S35" t="n">
        <v>6.6</v>
      </c>
      <c r="T35" t="n">
        <v>7.3</v>
      </c>
      <c r="U35" t="n">
        <v>6.5</v>
      </c>
      <c r="V35" t="n">
        <v>6.1</v>
      </c>
      <c r="W35" t="n">
        <v>6.6</v>
      </c>
      <c r="X35" t="n">
        <v>8.2</v>
      </c>
      <c r="Y35" t="n">
        <v>8.4</v>
      </c>
      <c r="Z35" t="n">
        <v>9.7</v>
      </c>
      <c r="AA35" t="n">
        <v>9.6</v>
      </c>
      <c r="AB35" t="n">
        <v>9.7</v>
      </c>
      <c r="AC35" t="n">
        <v>9.6</v>
      </c>
      <c r="AD35" t="n">
        <v>10.5</v>
      </c>
      <c r="AE35" t="n">
        <v>11.4</v>
      </c>
      <c r="AF35" t="n">
        <v>11.8</v>
      </c>
      <c r="AG35" t="n">
        <v>12</v>
      </c>
      <c r="AH35" t="n">
        <v>10.5</v>
      </c>
      <c r="AI35" t="n">
        <v>12.4</v>
      </c>
      <c r="AJ35" t="n">
        <v>12.5</v>
      </c>
      <c r="AK35" t="n">
        <v>13.1</v>
      </c>
      <c r="AL35" t="n">
        <v>13.7</v>
      </c>
      <c r="AM35" t="n">
        <v>13.8</v>
      </c>
      <c r="AN35" t="n">
        <v>13.6</v>
      </c>
      <c r="AO35" t="n">
        <v>13.2</v>
      </c>
      <c r="AP35" t="n">
        <v>16.1</v>
      </c>
      <c r="AQ35" t="n">
        <v>12.8</v>
      </c>
      <c r="AR35" t="n">
        <v>14</v>
      </c>
      <c r="AS35" t="n">
        <v>15.1</v>
      </c>
      <c r="AT35" t="n">
        <v>16.8</v>
      </c>
      <c r="AU35" t="n">
        <v>15.2</v>
      </c>
      <c r="AV35" t="n">
        <v>15.7</v>
      </c>
      <c r="AW35" t="n">
        <v>14.1</v>
      </c>
      <c r="AX35" t="n">
        <v>14.1</v>
      </c>
      <c r="AY35" t="n">
        <v>14.3</v>
      </c>
      <c r="AZ35" t="n">
        <v>14.4</v>
      </c>
      <c r="BA35" t="n">
        <v>13.3</v>
      </c>
      <c r="BB35" t="n">
        <v>12.8</v>
      </c>
      <c r="BC35" t="n">
        <v>15.7</v>
      </c>
      <c r="BD35" t="n">
        <v>17.4</v>
      </c>
      <c r="BE35" t="n">
        <v>17.7</v>
      </c>
      <c r="BF35" t="n">
        <v>20.1</v>
      </c>
      <c r="BG35" t="n">
        <v>19.9</v>
      </c>
      <c r="BH35" t="n">
        <v>17.5</v>
      </c>
      <c r="BI35" t="n">
        <v>17.7</v>
      </c>
      <c r="BJ35" t="n">
        <v>20</v>
      </c>
      <c r="BK35" t="n">
        <v>19.6</v>
      </c>
      <c r="BL35" t="n">
        <v>20.9</v>
      </c>
      <c r="BM35" t="n">
        <v>20.5</v>
      </c>
      <c r="BN35" t="n">
        <v>21.4</v>
      </c>
      <c r="BO35" t="n">
        <v>22</v>
      </c>
      <c r="BP35" t="n">
        <v>22.4</v>
      </c>
      <c r="BQ35" t="n">
        <v>24.8</v>
      </c>
      <c r="BR35" t="n">
        <v>22.7</v>
      </c>
      <c r="BS35" t="n">
        <v>24.5</v>
      </c>
      <c r="BT35" t="n">
        <v>24.8</v>
      </c>
      <c r="BU35" t="n">
        <v>23.6</v>
      </c>
      <c r="BV35" t="n">
        <v>23.4</v>
      </c>
      <c r="BW35" t="n">
        <v>25.2</v>
      </c>
      <c r="BX35" t="n">
        <v>27.3</v>
      </c>
      <c r="BY35" t="n">
        <v>28.2</v>
      </c>
      <c r="BZ35" t="n">
        <v>27.8</v>
      </c>
      <c r="CA35" t="n">
        <v>24.2</v>
      </c>
      <c r="CB35" t="n">
        <v>22.8</v>
      </c>
      <c r="CC35" t="n">
        <v>22.1</v>
      </c>
      <c r="CD35" t="n">
        <v>21.4</v>
      </c>
      <c r="CE35" t="n">
        <v>22.1</v>
      </c>
      <c r="CF35" t="n">
        <v>23</v>
      </c>
      <c r="CG35" t="n">
        <v>23.4</v>
      </c>
      <c r="CH35" t="n">
        <v>23.8</v>
      </c>
      <c r="CI35" t="n">
        <v>23.4</v>
      </c>
      <c r="CJ35" t="n">
        <v>23.7</v>
      </c>
      <c r="CK35" t="n">
        <v>23.6</v>
      </c>
      <c r="CL35" t="n">
        <v>25.2</v>
      </c>
      <c r="CM35" t="n">
        <v>24.7</v>
      </c>
      <c r="CN35" t="n">
        <v>23.2</v>
      </c>
      <c r="CO35" t="n">
        <v>24.4</v>
      </c>
      <c r="CP35" t="n">
        <v>24.8</v>
      </c>
      <c r="CQ35" t="n">
        <v>26.8</v>
      </c>
      <c r="CR35" t="n">
        <v>25.2</v>
      </c>
      <c r="CS35" t="n">
        <v>30.8</v>
      </c>
      <c r="CT35" t="n">
        <v>27.1</v>
      </c>
      <c r="CU35" t="n">
        <v>28.7</v>
      </c>
      <c r="CV35" t="n">
        <v>31.4</v>
      </c>
      <c r="CW35" t="n">
        <v>32.7</v>
      </c>
      <c r="CX35" t="n">
        <v>32.5</v>
      </c>
      <c r="CY35" t="n">
        <v>31.3</v>
      </c>
      <c r="CZ35" t="n">
        <v>31.9</v>
      </c>
      <c r="DA35" t="n">
        <v>30.9</v>
      </c>
      <c r="DB35" t="n">
        <v>31.9</v>
      </c>
      <c r="DC35" t="n">
        <v>33.5</v>
      </c>
      <c r="DD35" t="n">
        <v>33.3</v>
      </c>
      <c r="DE35" t="n">
        <v>33.4</v>
      </c>
      <c r="DF35" t="n">
        <v>33.1</v>
      </c>
      <c r="DG35" t="n">
        <v>33.6</v>
      </c>
      <c r="DH35" t="n">
        <v>35.5</v>
      </c>
      <c r="DI35" t="n">
        <v>34.4</v>
      </c>
      <c r="DJ35" t="n">
        <v>34.7</v>
      </c>
      <c r="DK35" t="n">
        <v>34.5</v>
      </c>
      <c r="DL35" t="n">
        <v>35.7</v>
      </c>
      <c r="DM35" t="n">
        <v>34.8</v>
      </c>
      <c r="DN35" t="n">
        <v>36.3</v>
      </c>
      <c r="DO35" t="n">
        <v>35.5</v>
      </c>
      <c r="DP35" t="n">
        <v>35.6</v>
      </c>
      <c r="DQ35" t="n">
        <v>35.9</v>
      </c>
      <c r="DR35" t="n">
        <v>37.2</v>
      </c>
      <c r="DS35" t="n">
        <v>36.5</v>
      </c>
      <c r="DT35" t="n">
        <v>33.5</v>
      </c>
      <c r="DU35" t="n">
        <v>33.7</v>
      </c>
      <c r="DV35" t="n">
        <v>30.1</v>
      </c>
      <c r="DW35" t="n">
        <v>30.4</v>
      </c>
      <c r="DX35" t="n">
        <v>28.3</v>
      </c>
      <c r="DY35" t="n">
        <v>26.6</v>
      </c>
      <c r="DZ35" t="n">
        <v>28.3</v>
      </c>
      <c r="EA35" t="n">
        <v>30.2</v>
      </c>
      <c r="EB35" t="n">
        <v>31.5</v>
      </c>
      <c r="EC35" t="n">
        <v>33.5</v>
      </c>
      <c r="ED35" t="n">
        <v>34.5</v>
      </c>
      <c r="EE35" t="n">
        <v>31.7</v>
      </c>
      <c r="EF35" t="n">
        <v>33.6</v>
      </c>
      <c r="EG35" t="n">
        <v>36.2</v>
      </c>
      <c r="EH35" t="n">
        <v>37.8</v>
      </c>
      <c r="EI35" t="n">
        <v>40.8</v>
      </c>
      <c r="EJ35" t="n">
        <v>43.9</v>
      </c>
      <c r="EK35" t="n">
        <v>44.3</v>
      </c>
      <c r="EL35" t="n">
        <v>55.3</v>
      </c>
      <c r="EM35" t="n">
        <v>53</v>
      </c>
      <c r="EN35" t="n">
        <v>53.3</v>
      </c>
      <c r="EO35" t="n">
        <v>58.2</v>
      </c>
      <c r="EP35" t="n">
        <v>59.6</v>
      </c>
      <c r="EQ35" t="n">
        <v>60.3</v>
      </c>
      <c r="ER35" t="n">
        <v>61.8</v>
      </c>
      <c r="ES35" t="n">
        <v>55.2</v>
      </c>
      <c r="ET35" t="n">
        <v>59.2</v>
      </c>
      <c r="EU35" t="n">
        <v>59.4</v>
      </c>
      <c r="EV35" t="n">
        <v>56.3</v>
      </c>
      <c r="EW35" t="n">
        <v>56.6</v>
      </c>
      <c r="EX35" t="n">
        <v>50.2</v>
      </c>
      <c r="EY35" t="n">
        <v>51.6</v>
      </c>
      <c r="EZ35" t="n">
        <v>52.8</v>
      </c>
      <c r="FA35" t="n">
        <v>35.1</v>
      </c>
      <c r="FB35" t="n">
        <v>43.7</v>
      </c>
      <c r="FC35" t="n">
        <v>49.6</v>
      </c>
      <c r="FD35" t="n">
        <v>41.3</v>
      </c>
      <c r="FE35" t="n">
        <v>43.4</v>
      </c>
      <c r="FF35" t="n">
        <v>45.1</v>
      </c>
      <c r="FG35" t="n">
        <v>43.4</v>
      </c>
      <c r="FH35" t="n">
        <v>45.5</v>
      </c>
      <c r="FI35" t="n">
        <v>50.4</v>
      </c>
      <c r="FJ35" t="n">
        <v>48.4</v>
      </c>
      <c r="FK35" t="n">
        <v>49.8</v>
      </c>
      <c r="FL35" t="n">
        <v>46.4</v>
      </c>
      <c r="FM35" t="n">
        <v>49</v>
      </c>
      <c r="FN35" t="n">
        <v>49.2</v>
      </c>
      <c r="FO35" t="n">
        <v>49.5</v>
      </c>
      <c r="FP35" t="n">
        <v>52.1</v>
      </c>
      <c r="FQ35" t="n">
        <v>51.9</v>
      </c>
      <c r="FR35" t="n">
        <v>52.6</v>
      </c>
      <c r="FS35" t="n">
        <v>54.3</v>
      </c>
      <c r="FT35" t="n">
        <v>53.3</v>
      </c>
      <c r="FU35" t="n">
        <v>54.4</v>
      </c>
      <c r="FV35" t="n">
        <v>55.2</v>
      </c>
      <c r="FW35" t="n">
        <v>55.3</v>
      </c>
      <c r="FX35" t="n">
        <v>57.1</v>
      </c>
      <c r="FY35" t="n">
        <v>57.8</v>
      </c>
      <c r="FZ35" t="n">
        <v>57.3</v>
      </c>
      <c r="GA35" t="n">
        <v>57.6</v>
      </c>
      <c r="GB35" t="n">
        <v>55.6</v>
      </c>
      <c r="GC35" t="n">
        <v>53.7</v>
      </c>
      <c r="GD35" t="n">
        <v>53.3</v>
      </c>
      <c r="GE35" t="n">
        <v>52.4</v>
      </c>
      <c r="GF35" t="n">
        <v>52.9</v>
      </c>
      <c r="GG35" t="n">
        <v>54.2</v>
      </c>
      <c r="GH35" t="n">
        <v>55.1</v>
      </c>
      <c r="GI35" t="n">
        <v>53.8</v>
      </c>
      <c r="GJ35" t="n">
        <v>54.2</v>
      </c>
      <c r="GK35" t="n">
        <v>54.5</v>
      </c>
      <c r="GL35" t="n">
        <v>54.9</v>
      </c>
      <c r="GM35" t="n">
        <v>60.4</v>
      </c>
      <c r="GN35" t="n">
        <v>61.6</v>
      </c>
      <c r="GO35" t="n">
        <v>63.6</v>
      </c>
      <c r="GP35" t="n">
        <v>71.8</v>
      </c>
      <c r="GQ35" t="n">
        <v>76.8</v>
      </c>
      <c r="GR35" t="n">
        <v>74.1</v>
      </c>
      <c r="GS35" t="n">
        <v>70.3</v>
      </c>
      <c r="GT35" t="n">
        <v>64.5</v>
      </c>
      <c r="GU35" t="n">
        <v>66.4</v>
      </c>
      <c r="GV35" t="n">
        <v>81.5</v>
      </c>
      <c r="GW35" t="n">
        <v>82.4</v>
      </c>
      <c r="GX35" t="n">
        <v>83.1</v>
      </c>
      <c r="GY35" t="n">
        <v>93.7</v>
      </c>
      <c r="GZ35" t="n">
        <v>119.3</v>
      </c>
      <c r="HA35" t="n">
        <v>168.1</v>
      </c>
      <c r="HB35" t="n">
        <v>170.8</v>
      </c>
      <c r="HC35" t="n">
        <v>157.6</v>
      </c>
      <c r="HD35" t="n">
        <v>159.1</v>
      </c>
      <c r="HE35" t="n">
        <v>162.2</v>
      </c>
      <c r="HF35" t="n">
        <v>158.7</v>
      </c>
      <c r="HG35" t="n">
        <v>162.4</v>
      </c>
      <c r="HH35" t="n">
        <v>165.9</v>
      </c>
      <c r="HI35" t="n">
        <v>166.9</v>
      </c>
      <c r="HJ35" t="n">
        <v>170.4</v>
      </c>
      <c r="HK35" t="n">
        <v>164</v>
      </c>
      <c r="HL35" t="n">
        <v>162.6</v>
      </c>
      <c r="HM35" t="n">
        <v>164.2</v>
      </c>
      <c r="HN35" t="n">
        <v>174.7</v>
      </c>
      <c r="HO35" t="n">
        <v>164.4</v>
      </c>
    </row>
    <row r="36">
      <c r="A36" s="78" t="s">
        <v>2548</v>
      </c>
      <c r="B36" s="78" t="n">
        <v>1.1</v>
      </c>
      <c r="C36" s="78" t="n">
        <v>1.1</v>
      </c>
      <c r="D36" s="78" t="n">
        <v>1.1</v>
      </c>
      <c r="E36" s="78" t="n">
        <v>1.1</v>
      </c>
      <c r="F36" s="78" t="n">
        <v>1.1</v>
      </c>
      <c r="G36" s="78" t="n">
        <v>1.2</v>
      </c>
      <c r="H36" s="78" t="n">
        <v>1.2</v>
      </c>
      <c r="I36" s="78" t="n">
        <v>1.2</v>
      </c>
      <c r="J36" s="78" t="n">
        <v>1.3</v>
      </c>
      <c r="K36" s="78" t="n">
        <v>1.3</v>
      </c>
      <c r="L36" s="78" t="n">
        <v>1.3</v>
      </c>
      <c r="M36" s="78" t="n">
        <v>1.4</v>
      </c>
      <c r="N36" s="78" t="n">
        <v>1.4</v>
      </c>
      <c r="O36" s="78" t="n">
        <v>1.5</v>
      </c>
      <c r="P36" t="n">
        <v>1.5</v>
      </c>
      <c r="Q36" t="n">
        <v>1.6</v>
      </c>
      <c r="R36" t="n">
        <v>1.6</v>
      </c>
      <c r="S36" t="n">
        <v>1.6</v>
      </c>
      <c r="T36" t="n">
        <v>1.7</v>
      </c>
      <c r="U36" t="n">
        <v>1.7</v>
      </c>
      <c r="V36" t="n">
        <v>1.8</v>
      </c>
      <c r="W36" t="n">
        <v>1.8</v>
      </c>
      <c r="X36" t="n">
        <v>1.9</v>
      </c>
      <c r="Y36" t="n">
        <v>2</v>
      </c>
      <c r="Z36" t="n">
        <v>2</v>
      </c>
      <c r="AA36" t="n">
        <v>2.1</v>
      </c>
      <c r="AB36" t="n">
        <v>2.2</v>
      </c>
      <c r="AC36" t="n">
        <v>2.3</v>
      </c>
      <c r="AD36" t="n">
        <v>2.5</v>
      </c>
      <c r="AE36" t="n">
        <v>2.7</v>
      </c>
      <c r="AF36" t="n">
        <v>2.9</v>
      </c>
      <c r="AG36" t="n">
        <v>3</v>
      </c>
      <c r="AH36" t="n">
        <v>3.2</v>
      </c>
      <c r="AI36" t="n">
        <v>3.3</v>
      </c>
      <c r="AJ36" t="n">
        <v>3.5</v>
      </c>
      <c r="AK36" t="n">
        <v>3.6</v>
      </c>
      <c r="AL36" t="n">
        <v>3.8</v>
      </c>
      <c r="AM36" t="n">
        <v>3.9</v>
      </c>
      <c r="AN36" t="n">
        <v>3.9</v>
      </c>
      <c r="AO36" t="n">
        <v>4</v>
      </c>
      <c r="AP36" t="n">
        <v>3.6</v>
      </c>
      <c r="AQ36" t="n">
        <v>2.9</v>
      </c>
      <c r="AR36" t="n">
        <v>3.8</v>
      </c>
      <c r="AS36" t="n">
        <v>4</v>
      </c>
      <c r="AT36" t="n">
        <v>3.7</v>
      </c>
      <c r="AU36" t="n">
        <v>3.8</v>
      </c>
      <c r="AV36" t="n">
        <v>3.9</v>
      </c>
      <c r="AW36" t="n">
        <v>4</v>
      </c>
      <c r="AX36" t="n">
        <v>4</v>
      </c>
      <c r="AY36" t="n">
        <v>4</v>
      </c>
      <c r="AZ36" t="n">
        <v>4.1</v>
      </c>
      <c r="BA36" t="n">
        <v>4.1</v>
      </c>
      <c r="BB36" t="n">
        <v>4</v>
      </c>
      <c r="BC36" t="n">
        <v>4.1</v>
      </c>
      <c r="BD36" t="n">
        <v>4.1</v>
      </c>
      <c r="BE36" t="n">
        <v>4.3</v>
      </c>
      <c r="BF36" t="n">
        <v>4.5</v>
      </c>
      <c r="BG36" t="n">
        <v>4.7</v>
      </c>
      <c r="BH36" t="n">
        <v>4.8</v>
      </c>
      <c r="BI36" t="n">
        <v>4.8</v>
      </c>
      <c r="BJ36" t="n">
        <v>4.7</v>
      </c>
      <c r="BK36" t="n">
        <v>4.8</v>
      </c>
      <c r="BL36" t="n">
        <v>4.9</v>
      </c>
      <c r="BM36" t="n">
        <v>5.2</v>
      </c>
      <c r="BN36" t="n">
        <v>5.5</v>
      </c>
      <c r="BO36" t="n">
        <v>5.8</v>
      </c>
      <c r="BP36" t="n">
        <v>6.1</v>
      </c>
      <c r="BQ36" t="n">
        <v>6.4</v>
      </c>
      <c r="BR36" t="n">
        <v>6.7</v>
      </c>
      <c r="BS36" t="n">
        <v>7</v>
      </c>
      <c r="BT36" t="n">
        <v>7.3</v>
      </c>
      <c r="BU36" t="n">
        <v>7.7</v>
      </c>
      <c r="BV36" t="n">
        <v>8</v>
      </c>
      <c r="BW36" t="n">
        <v>8.3</v>
      </c>
      <c r="BX36" t="n">
        <v>8.5</v>
      </c>
      <c r="BY36" t="n">
        <v>8.7</v>
      </c>
      <c r="BZ36" t="n">
        <v>8.8</v>
      </c>
      <c r="CA36" t="n">
        <v>8.9</v>
      </c>
      <c r="CB36" t="n">
        <v>9</v>
      </c>
      <c r="CC36" t="n">
        <v>9.3</v>
      </c>
      <c r="CD36" t="n">
        <v>9.5</v>
      </c>
      <c r="CE36" t="n">
        <v>9.9</v>
      </c>
      <c r="CF36" t="n">
        <v>10.2</v>
      </c>
      <c r="CG36" t="n">
        <v>10.5</v>
      </c>
      <c r="CH36" t="n">
        <v>11</v>
      </c>
      <c r="CI36" t="n">
        <v>11.4</v>
      </c>
      <c r="CJ36" t="n">
        <v>11.8</v>
      </c>
      <c r="CK36" t="n">
        <v>12.2</v>
      </c>
      <c r="CL36" t="n">
        <v>12.6</v>
      </c>
      <c r="CM36" t="n">
        <v>13</v>
      </c>
      <c r="CN36" t="n">
        <v>13.3</v>
      </c>
      <c r="CO36" t="n">
        <v>13.6</v>
      </c>
      <c r="CP36" t="n">
        <v>13.8</v>
      </c>
      <c r="CQ36" t="n">
        <v>14.1</v>
      </c>
      <c r="CR36" t="n">
        <v>14.2</v>
      </c>
      <c r="CS36" t="n">
        <v>14.4</v>
      </c>
      <c r="CT36" t="n">
        <v>14.6</v>
      </c>
      <c r="CU36" t="n">
        <v>14.6</v>
      </c>
      <c r="CV36" t="n">
        <v>14.5</v>
      </c>
      <c r="CW36" t="n">
        <v>14.4</v>
      </c>
      <c r="CX36" t="n">
        <v>14</v>
      </c>
      <c r="CY36" t="n">
        <v>13.7</v>
      </c>
      <c r="CZ36" t="n">
        <v>13.5</v>
      </c>
      <c r="DA36" t="n">
        <v>13.2</v>
      </c>
      <c r="DB36" t="n">
        <v>13</v>
      </c>
      <c r="DC36" t="n">
        <v>12.7</v>
      </c>
      <c r="DD36" t="n">
        <v>12.3</v>
      </c>
      <c r="DE36" t="n">
        <v>11.9</v>
      </c>
      <c r="DF36" t="n">
        <v>11.3</v>
      </c>
      <c r="DG36" t="n">
        <v>10.9</v>
      </c>
      <c r="DH36" t="n">
        <v>10.6</v>
      </c>
      <c r="DI36" t="n">
        <v>10.5</v>
      </c>
      <c r="DJ36" t="n">
        <v>10.5</v>
      </c>
      <c r="DK36" t="n">
        <v>10.5</v>
      </c>
      <c r="DL36" t="n">
        <v>10.3</v>
      </c>
      <c r="DM36" t="n">
        <v>10.1</v>
      </c>
      <c r="DN36" t="n">
        <v>9.9</v>
      </c>
      <c r="DO36" t="n">
        <v>9.7</v>
      </c>
      <c r="DP36" t="n">
        <v>9.7</v>
      </c>
      <c r="DQ36" t="n">
        <v>9.8</v>
      </c>
      <c r="DR36" t="n">
        <v>10</v>
      </c>
      <c r="DS36" t="n">
        <v>10.4</v>
      </c>
      <c r="DT36" t="n">
        <v>11</v>
      </c>
      <c r="DU36" t="n">
        <v>11.8</v>
      </c>
      <c r="DV36" t="n">
        <v>12.7</v>
      </c>
      <c r="DW36" t="n">
        <v>13.5</v>
      </c>
      <c r="DX36" t="n">
        <v>14.1</v>
      </c>
      <c r="DY36" t="n">
        <v>14.5</v>
      </c>
      <c r="DZ36" t="n">
        <v>14.9</v>
      </c>
      <c r="EA36" t="n">
        <v>15.4</v>
      </c>
      <c r="EB36" t="n">
        <v>16.1</v>
      </c>
      <c r="EC36" t="n">
        <v>17</v>
      </c>
      <c r="ED36" t="n">
        <v>18</v>
      </c>
      <c r="EE36" t="n">
        <v>19.2</v>
      </c>
      <c r="EF36" t="n">
        <v>20.5</v>
      </c>
      <c r="EG36" t="n">
        <v>22</v>
      </c>
      <c r="EH36" t="n">
        <v>23.4</v>
      </c>
      <c r="EI36" t="n">
        <v>24.5</v>
      </c>
      <c r="EJ36" t="n">
        <v>25.2</v>
      </c>
      <c r="EK36" t="n">
        <v>25.5</v>
      </c>
      <c r="EL36" t="n">
        <v>25.3</v>
      </c>
      <c r="EM36" t="n">
        <v>25</v>
      </c>
      <c r="EN36" t="n">
        <v>24.4</v>
      </c>
      <c r="EO36" t="n">
        <v>23.7</v>
      </c>
      <c r="EP36" t="n">
        <v>22.8</v>
      </c>
      <c r="EQ36" t="n">
        <v>21.9</v>
      </c>
      <c r="ER36" t="n">
        <v>21</v>
      </c>
      <c r="ES36" t="n">
        <v>20.2</v>
      </c>
      <c r="ET36" t="n">
        <v>19.4</v>
      </c>
      <c r="EU36" t="n">
        <v>18.9</v>
      </c>
      <c r="EV36" t="n">
        <v>18.5</v>
      </c>
      <c r="EW36" t="n">
        <v>18.5</v>
      </c>
      <c r="EX36" t="n">
        <v>18.6</v>
      </c>
      <c r="EY36" t="n">
        <v>18.7</v>
      </c>
      <c r="EZ36" t="n">
        <v>18.7</v>
      </c>
      <c r="FA36" t="n">
        <v>18.8</v>
      </c>
      <c r="FB36" t="n">
        <v>18.8</v>
      </c>
      <c r="FC36" t="n">
        <v>18.7</v>
      </c>
      <c r="FD36" t="n">
        <v>18.5</v>
      </c>
      <c r="FE36" t="n">
        <v>18.3</v>
      </c>
      <c r="FF36" t="n">
        <v>18</v>
      </c>
      <c r="FG36" t="n">
        <v>17.7</v>
      </c>
      <c r="FH36" t="n">
        <v>17.7</v>
      </c>
      <c r="FI36" t="n">
        <v>17.7</v>
      </c>
      <c r="FJ36" t="n">
        <v>17.9</v>
      </c>
      <c r="FK36" t="n">
        <v>18</v>
      </c>
      <c r="FL36" t="n">
        <v>17.9</v>
      </c>
      <c r="FM36" t="n">
        <v>17.7</v>
      </c>
      <c r="FN36" t="n">
        <v>17.4</v>
      </c>
      <c r="FO36" t="n">
        <v>17.2</v>
      </c>
      <c r="FP36" t="n">
        <v>17.1</v>
      </c>
      <c r="FQ36" t="n">
        <v>17.1</v>
      </c>
      <c r="FR36" t="n">
        <v>17.3</v>
      </c>
      <c r="FS36" t="n">
        <v>17.5</v>
      </c>
      <c r="FT36" t="n">
        <v>17.8</v>
      </c>
      <c r="FU36" t="n">
        <v>18.1</v>
      </c>
      <c r="FV36" t="n">
        <v>18.4</v>
      </c>
      <c r="FW36" t="n">
        <v>18.7</v>
      </c>
      <c r="FX36" t="n">
        <v>18.9</v>
      </c>
      <c r="FY36" t="n">
        <v>19</v>
      </c>
      <c r="FZ36" t="n">
        <v>19</v>
      </c>
      <c r="GA36" t="n">
        <v>19.1</v>
      </c>
      <c r="GB36" t="n">
        <v>19.3</v>
      </c>
      <c r="GC36" t="n">
        <v>19.5</v>
      </c>
      <c r="GD36" t="n">
        <v>19.8</v>
      </c>
      <c r="GE36" t="n">
        <v>20</v>
      </c>
      <c r="GF36" t="n">
        <v>20</v>
      </c>
      <c r="GG36" t="n">
        <v>20</v>
      </c>
      <c r="GH36" t="n">
        <v>19.8</v>
      </c>
      <c r="GI36" t="n">
        <v>19.8</v>
      </c>
      <c r="GJ36" t="n">
        <v>19.8</v>
      </c>
      <c r="GK36" t="n">
        <v>20</v>
      </c>
      <c r="GL36" t="n">
        <v>20.2</v>
      </c>
      <c r="GM36" t="n">
        <v>20.4</v>
      </c>
      <c r="GN36" t="n">
        <v>20.6</v>
      </c>
      <c r="GO36" t="n">
        <v>20.6</v>
      </c>
      <c r="GP36" t="n">
        <v>20.8</v>
      </c>
      <c r="GQ36" t="n">
        <v>20.8</v>
      </c>
      <c r="GR36" t="n">
        <v>20.6</v>
      </c>
      <c r="GS36" t="n">
        <v>20.5</v>
      </c>
      <c r="GT36" t="n">
        <v>20.3</v>
      </c>
      <c r="GU36" t="n">
        <v>19.3</v>
      </c>
      <c r="GV36" t="n">
        <v>19.9</v>
      </c>
      <c r="GW36" t="n">
        <v>20.6</v>
      </c>
      <c r="GX36" t="n">
        <v>21.3</v>
      </c>
      <c r="GY36" t="n">
        <v>22</v>
      </c>
      <c r="GZ36" t="n">
        <v>22.6</v>
      </c>
      <c r="HA36" t="n">
        <v>23.1</v>
      </c>
      <c r="HB36" t="n">
        <v>23.4</v>
      </c>
      <c r="HC36" t="n">
        <v>23.1</v>
      </c>
      <c r="HD36" t="n">
        <v>22.7</v>
      </c>
      <c r="HE36" t="n">
        <v>21.8</v>
      </c>
      <c r="HF36" t="n">
        <v>20.8</v>
      </c>
      <c r="HG36" t="n">
        <v>20.5</v>
      </c>
      <c r="HH36" t="n">
        <v>21.2</v>
      </c>
      <c r="HI36" t="n">
        <v>22.8</v>
      </c>
      <c r="HJ36" t="n">
        <v>25</v>
      </c>
      <c r="HK36" t="n">
        <v>26.7</v>
      </c>
      <c r="HL36" t="n">
        <v>27.5</v>
      </c>
      <c r="HM36" t="n">
        <v>27.6</v>
      </c>
      <c r="HN36" t="n">
        <v>27</v>
      </c>
      <c r="HO36" t="n">
        <v>27.1</v>
      </c>
    </row>
    <row r="37">
      <c r="A37" s="78" t="s">
        <v>2549</v>
      </c>
      <c r="B37" s="78" t="n">
        <v>14.7</v>
      </c>
      <c r="C37" s="78" t="n">
        <v>15.6</v>
      </c>
      <c r="D37" s="78" t="n">
        <v>16.6</v>
      </c>
      <c r="E37" s="78" t="n">
        <v>17.5</v>
      </c>
      <c r="F37" s="78" t="n">
        <v>18.3</v>
      </c>
      <c r="G37" s="78" t="n">
        <v>19.1</v>
      </c>
      <c r="H37" s="78" t="n">
        <v>19.6</v>
      </c>
      <c r="I37" s="78" t="n">
        <v>20.3</v>
      </c>
      <c r="J37" s="78" t="n">
        <v>21.2</v>
      </c>
      <c r="K37" s="78" t="n">
        <v>21.6</v>
      </c>
      <c r="L37" s="78" t="n">
        <v>22.5</v>
      </c>
      <c r="M37" s="78" t="n">
        <v>22.5</v>
      </c>
      <c r="N37" s="78" t="n">
        <v>23.2</v>
      </c>
      <c r="O37" s="78" t="n">
        <v>24</v>
      </c>
      <c r="P37" t="n">
        <v>24.2</v>
      </c>
      <c r="Q37" t="n">
        <v>25</v>
      </c>
      <c r="R37" t="n">
        <v>23.4</v>
      </c>
      <c r="S37" t="n">
        <v>24.7</v>
      </c>
      <c r="T37" t="n">
        <v>25.9</v>
      </c>
      <c r="U37" t="n">
        <v>27.1</v>
      </c>
      <c r="V37" t="n">
        <v>29.2</v>
      </c>
      <c r="W37" t="n">
        <v>30.5</v>
      </c>
      <c r="X37" t="n">
        <v>31</v>
      </c>
      <c r="Y37" t="n">
        <v>32.6</v>
      </c>
      <c r="Z37" t="n">
        <v>33.4</v>
      </c>
      <c r="AA37" t="n">
        <v>33.4</v>
      </c>
      <c r="AB37" t="n">
        <v>34.7</v>
      </c>
      <c r="AC37" t="n">
        <v>35</v>
      </c>
      <c r="AD37" t="n">
        <v>35.7</v>
      </c>
      <c r="AE37" t="n">
        <v>37.5</v>
      </c>
      <c r="AF37" t="n">
        <v>37.3</v>
      </c>
      <c r="AG37" t="n">
        <v>37.7</v>
      </c>
      <c r="AH37" t="n">
        <v>39.2</v>
      </c>
      <c r="AI37" t="n">
        <v>41</v>
      </c>
      <c r="AJ37" t="n">
        <v>41.3</v>
      </c>
      <c r="AK37" t="n">
        <v>41.7</v>
      </c>
      <c r="AL37" t="n">
        <v>42.4</v>
      </c>
      <c r="AM37" t="n">
        <v>43.5</v>
      </c>
      <c r="AN37" t="n">
        <v>44.5</v>
      </c>
      <c r="AO37" t="n">
        <v>46.9</v>
      </c>
      <c r="AP37" t="n">
        <v>49.1</v>
      </c>
      <c r="AQ37" t="n">
        <v>49</v>
      </c>
      <c r="AR37" t="n">
        <v>52.4</v>
      </c>
      <c r="AS37" t="n">
        <v>54.3</v>
      </c>
      <c r="AT37" t="n">
        <v>55.6</v>
      </c>
      <c r="AU37" t="n">
        <v>57.4</v>
      </c>
      <c r="AV37" t="n">
        <v>57.7</v>
      </c>
      <c r="AW37" t="n">
        <v>57.7</v>
      </c>
      <c r="AX37" t="n">
        <v>59</v>
      </c>
      <c r="AY37" t="n">
        <v>61</v>
      </c>
      <c r="AZ37" t="n">
        <v>62.1</v>
      </c>
      <c r="BA37" t="n">
        <v>62.6</v>
      </c>
      <c r="BB37" t="n">
        <v>65.8</v>
      </c>
      <c r="BC37" t="n">
        <v>66.3</v>
      </c>
      <c r="BD37" t="n">
        <v>67.2</v>
      </c>
      <c r="BE37" t="n">
        <v>68.3</v>
      </c>
      <c r="BF37" t="n">
        <v>69.9</v>
      </c>
      <c r="BG37" t="n">
        <v>70.6</v>
      </c>
      <c r="BH37" t="n">
        <v>71.3</v>
      </c>
      <c r="BI37" t="n">
        <v>72.8</v>
      </c>
      <c r="BJ37" t="n">
        <v>74.9</v>
      </c>
      <c r="BK37" t="n">
        <v>76.3</v>
      </c>
      <c r="BL37" t="n">
        <v>78.1</v>
      </c>
      <c r="BM37" t="n">
        <v>79.8</v>
      </c>
      <c r="BN37" t="n">
        <v>81.6</v>
      </c>
      <c r="BO37" t="n">
        <v>83.6</v>
      </c>
      <c r="BP37" t="n">
        <v>85.3</v>
      </c>
      <c r="BQ37" t="n">
        <v>86.9</v>
      </c>
      <c r="BR37" t="n">
        <v>88.3</v>
      </c>
      <c r="BS37" t="n">
        <v>89.9</v>
      </c>
      <c r="BT37" t="n">
        <v>91.6</v>
      </c>
      <c r="BU37" t="n">
        <v>93.1</v>
      </c>
      <c r="BV37" t="n">
        <v>95.3</v>
      </c>
      <c r="BW37" t="n">
        <v>97.3</v>
      </c>
      <c r="BX37" t="n">
        <v>99.5</v>
      </c>
      <c r="BY37" t="n">
        <v>101.9</v>
      </c>
      <c r="BZ37" t="n">
        <v>104.2</v>
      </c>
      <c r="CA37" t="n">
        <v>107.3</v>
      </c>
      <c r="CB37" t="n">
        <v>111</v>
      </c>
      <c r="CC37" t="n">
        <v>114.8</v>
      </c>
      <c r="CD37" t="n">
        <v>118.8</v>
      </c>
      <c r="CE37" t="n">
        <v>124.2</v>
      </c>
      <c r="CF37" t="n">
        <v>130.3</v>
      </c>
      <c r="CG37" t="n">
        <v>137.4</v>
      </c>
      <c r="CH37" t="n">
        <v>141.5</v>
      </c>
      <c r="CI37" t="n">
        <v>152.2</v>
      </c>
      <c r="CJ37" t="n">
        <v>158.6</v>
      </c>
      <c r="CK37" t="n">
        <v>173.8</v>
      </c>
      <c r="CL37" t="n">
        <v>170.5</v>
      </c>
      <c r="CM37" t="n">
        <v>178.6</v>
      </c>
      <c r="CN37" t="n">
        <v>185.8</v>
      </c>
      <c r="CO37" t="n">
        <v>185</v>
      </c>
      <c r="CP37" t="n">
        <v>188.9</v>
      </c>
      <c r="CQ37" t="n">
        <v>189.7</v>
      </c>
      <c r="CR37" t="n">
        <v>200.6</v>
      </c>
      <c r="CS37" t="n">
        <v>201.7</v>
      </c>
      <c r="CT37" t="n">
        <v>203.6</v>
      </c>
      <c r="CU37" t="n">
        <v>203.9</v>
      </c>
      <c r="CV37" t="n">
        <v>203.7</v>
      </c>
      <c r="CW37" t="n">
        <v>215.7</v>
      </c>
      <c r="CX37" t="n">
        <v>220.4</v>
      </c>
      <c r="CY37" t="n">
        <v>220.7</v>
      </c>
      <c r="CZ37" t="n">
        <v>220.7</v>
      </c>
      <c r="DA37" t="n">
        <v>208.8</v>
      </c>
      <c r="DB37" t="n">
        <v>218.2</v>
      </c>
      <c r="DC37" t="n">
        <v>232.2</v>
      </c>
      <c r="DD37" t="n">
        <v>224.8</v>
      </c>
      <c r="DE37" t="n">
        <v>221.7</v>
      </c>
      <c r="DF37" t="n">
        <v>226</v>
      </c>
      <c r="DG37" t="n">
        <v>223.7</v>
      </c>
      <c r="DH37" t="n">
        <v>228</v>
      </c>
      <c r="DI37" t="n">
        <v>232.4</v>
      </c>
      <c r="DJ37" t="n">
        <v>232.1</v>
      </c>
      <c r="DK37" t="n">
        <v>235.3</v>
      </c>
      <c r="DL37" t="n">
        <v>233.9</v>
      </c>
      <c r="DM37" t="n">
        <v>241.7</v>
      </c>
      <c r="DN37" t="n">
        <v>247.8</v>
      </c>
      <c r="DO37" t="n">
        <v>246.4</v>
      </c>
      <c r="DP37" t="n">
        <v>255</v>
      </c>
      <c r="DQ37" t="n">
        <v>260.2</v>
      </c>
      <c r="DR37" t="n">
        <v>260.1</v>
      </c>
      <c r="DS37" t="n">
        <v>269.4</v>
      </c>
      <c r="DT37" t="n">
        <v>277.2</v>
      </c>
      <c r="DU37" t="n">
        <v>279.1</v>
      </c>
      <c r="DV37" t="n">
        <v>290.4</v>
      </c>
      <c r="DW37" t="n">
        <v>308</v>
      </c>
      <c r="DX37" t="n">
        <v>295.8</v>
      </c>
      <c r="DY37" t="n">
        <v>326</v>
      </c>
      <c r="DZ37" t="n">
        <v>326</v>
      </c>
      <c r="EA37" t="n">
        <v>326</v>
      </c>
      <c r="EB37" t="n">
        <v>334.7</v>
      </c>
      <c r="EC37" t="n">
        <v>345.4</v>
      </c>
      <c r="ED37" t="n">
        <v>347</v>
      </c>
      <c r="EE37" t="n">
        <v>348.3</v>
      </c>
      <c r="EF37" t="n">
        <v>361.8</v>
      </c>
      <c r="EG37" t="n">
        <v>357</v>
      </c>
      <c r="EH37" t="n">
        <v>376</v>
      </c>
      <c r="EI37" t="n">
        <v>387.1</v>
      </c>
      <c r="EJ37" t="n">
        <v>385.7</v>
      </c>
      <c r="EK37" t="n">
        <v>391</v>
      </c>
      <c r="EL37" t="n">
        <v>399.1</v>
      </c>
      <c r="EM37" t="n">
        <v>410</v>
      </c>
      <c r="EN37" t="n">
        <v>409.1</v>
      </c>
      <c r="EO37" t="n">
        <v>407.9</v>
      </c>
      <c r="EP37" t="n">
        <v>394</v>
      </c>
      <c r="EQ37" t="n">
        <v>399.2</v>
      </c>
      <c r="ER37" t="n">
        <v>414.4</v>
      </c>
      <c r="ES37" t="n">
        <v>408.1</v>
      </c>
      <c r="ET37" t="n">
        <v>440.1</v>
      </c>
      <c r="EU37" t="n">
        <v>423.7</v>
      </c>
      <c r="EV37" t="n">
        <v>429.9</v>
      </c>
      <c r="EW37" t="n">
        <v>442.3</v>
      </c>
      <c r="EX37" t="n">
        <v>446.3</v>
      </c>
      <c r="EY37" t="n">
        <v>456</v>
      </c>
      <c r="EZ37" t="n">
        <v>460</v>
      </c>
      <c r="FA37" t="n">
        <v>462.1</v>
      </c>
      <c r="FB37" t="n">
        <v>480.2</v>
      </c>
      <c r="FC37" t="n">
        <v>492</v>
      </c>
      <c r="FD37" t="n">
        <v>502.4</v>
      </c>
      <c r="FE37" t="n">
        <v>498.2</v>
      </c>
      <c r="FF37" t="n">
        <v>508.7</v>
      </c>
      <c r="FG37" t="n">
        <v>513</v>
      </c>
      <c r="FH37" t="n">
        <v>533.2</v>
      </c>
      <c r="FI37" t="n">
        <v>540.8</v>
      </c>
      <c r="FJ37" t="n">
        <v>544.4</v>
      </c>
      <c r="FK37" t="n">
        <v>534.7</v>
      </c>
      <c r="FL37" t="n">
        <v>520.7</v>
      </c>
      <c r="FM37" t="n">
        <v>522.9</v>
      </c>
      <c r="FN37" t="n">
        <v>523.9</v>
      </c>
      <c r="FO37" t="n">
        <v>544.4</v>
      </c>
      <c r="FP37" t="n">
        <v>542</v>
      </c>
      <c r="FQ37" t="n">
        <v>552.7</v>
      </c>
      <c r="FR37" t="n">
        <v>548.4</v>
      </c>
      <c r="FS37" t="n">
        <v>562.8</v>
      </c>
      <c r="FT37" t="n">
        <v>572.8</v>
      </c>
      <c r="FU37" t="n">
        <v>573.6</v>
      </c>
      <c r="FV37" t="n">
        <v>585.1</v>
      </c>
      <c r="FW37" t="n">
        <v>607.8</v>
      </c>
      <c r="FX37" t="n">
        <v>634.1</v>
      </c>
      <c r="FY37" t="n">
        <v>643.2</v>
      </c>
      <c r="FZ37" t="n">
        <v>652.2</v>
      </c>
      <c r="GA37" t="n">
        <v>667.3</v>
      </c>
      <c r="GB37" t="n">
        <v>670.2</v>
      </c>
      <c r="GC37" t="n">
        <v>671.5</v>
      </c>
      <c r="GD37" t="n">
        <v>679.9</v>
      </c>
      <c r="GE37" t="n">
        <v>688.5</v>
      </c>
      <c r="GF37" t="n">
        <v>697.2</v>
      </c>
      <c r="GG37" t="n">
        <v>706.6</v>
      </c>
      <c r="GH37" t="n">
        <v>705.1</v>
      </c>
      <c r="GI37" t="n">
        <v>702.3</v>
      </c>
      <c r="GJ37" t="n">
        <v>718</v>
      </c>
      <c r="GK37" t="n">
        <v>713.3</v>
      </c>
      <c r="GL37" t="n">
        <v>720.7</v>
      </c>
      <c r="GM37" t="n">
        <v>732.9</v>
      </c>
      <c r="GN37" t="n">
        <v>737.3</v>
      </c>
      <c r="GO37" t="n">
        <v>733.6</v>
      </c>
      <c r="GP37" t="n">
        <v>744.3</v>
      </c>
      <c r="GQ37" t="n">
        <v>762.3</v>
      </c>
      <c r="GR37" t="n">
        <v>772.2</v>
      </c>
      <c r="GS37" t="n">
        <v>772.1</v>
      </c>
      <c r="GT37" t="n">
        <v>760.8</v>
      </c>
      <c r="GU37" t="n">
        <v>811.3</v>
      </c>
      <c r="GV37" t="n">
        <v>850.3</v>
      </c>
      <c r="GW37" t="n">
        <v>840.3</v>
      </c>
      <c r="GX37" t="n">
        <v>869.7</v>
      </c>
      <c r="GY37" t="n">
        <v>913.8</v>
      </c>
      <c r="GZ37" t="n">
        <v>923.8</v>
      </c>
      <c r="HA37" t="n">
        <v>923.5</v>
      </c>
      <c r="HB37" t="n">
        <v>973.6</v>
      </c>
      <c r="HC37" t="n">
        <v>1010.5</v>
      </c>
      <c r="HD37" t="n">
        <v>1032.6</v>
      </c>
      <c r="HE37" t="n">
        <v>1096.6</v>
      </c>
      <c r="HF37" t="n">
        <v>1083.2</v>
      </c>
      <c r="HG37" t="n">
        <v>1111.1</v>
      </c>
      <c r="HH37" t="n">
        <v>1069.4</v>
      </c>
      <c r="HI37" t="n">
        <v>1061</v>
      </c>
      <c r="HJ37" t="n">
        <v>1113.5</v>
      </c>
      <c r="HK37" t="n">
        <v>1136.9</v>
      </c>
      <c r="HL37" t="n">
        <v>1154</v>
      </c>
      <c r="HM37" t="n">
        <v>1162.5</v>
      </c>
      <c r="HN37" t="n">
        <v>1176.2</v>
      </c>
      <c r="HO37" t="n">
        <v>1203.5</v>
      </c>
    </row>
    <row r="38">
      <c r="A38" s="78" t="s">
        <v>2550</v>
      </c>
      <c r="B38" s="78" t="n">
        <v>129.9</v>
      </c>
      <c r="C38" s="78" t="n">
        <v>134.1</v>
      </c>
      <c r="D38" s="78" t="n">
        <v>140.1</v>
      </c>
      <c r="E38" s="78" t="n">
        <v>144.3</v>
      </c>
      <c r="F38" s="78" t="n">
        <v>149.1</v>
      </c>
      <c r="G38" s="78" t="n">
        <v>153.6</v>
      </c>
      <c r="H38" s="78" t="n">
        <v>156.9</v>
      </c>
      <c r="I38" s="78" t="n">
        <v>161</v>
      </c>
      <c r="J38" s="78" t="n">
        <v>165.7</v>
      </c>
      <c r="K38" s="78" t="n">
        <v>167.9</v>
      </c>
      <c r="L38" s="78" t="n">
        <v>172.5</v>
      </c>
      <c r="M38" s="78" t="n">
        <v>176.8</v>
      </c>
      <c r="N38" s="78" t="n">
        <v>181.7</v>
      </c>
      <c r="O38" s="78" t="n">
        <v>185.7</v>
      </c>
      <c r="P38" t="n">
        <v>190</v>
      </c>
      <c r="Q38" t="n">
        <v>195.9</v>
      </c>
      <c r="R38" t="n">
        <v>201.1</v>
      </c>
      <c r="S38" t="n">
        <v>210.1</v>
      </c>
      <c r="T38" t="n">
        <v>217</v>
      </c>
      <c r="U38" t="n">
        <v>223.7</v>
      </c>
      <c r="V38" t="n">
        <v>235.9</v>
      </c>
      <c r="W38" t="n">
        <v>240.3</v>
      </c>
      <c r="X38" t="n">
        <v>246.6</v>
      </c>
      <c r="Y38" t="n">
        <v>254.2</v>
      </c>
      <c r="Z38" t="n">
        <v>260.3</v>
      </c>
      <c r="AA38" t="n">
        <v>259.4</v>
      </c>
      <c r="AB38" t="n">
        <v>261.3</v>
      </c>
      <c r="AC38" t="n">
        <v>263.9</v>
      </c>
      <c r="AD38" t="n">
        <v>271.1</v>
      </c>
      <c r="AE38" t="n">
        <v>278.6</v>
      </c>
      <c r="AF38" t="n">
        <v>282.3</v>
      </c>
      <c r="AG38" t="n">
        <v>287.5</v>
      </c>
      <c r="AH38" t="n">
        <v>292.5</v>
      </c>
      <c r="AI38" t="n">
        <v>306</v>
      </c>
      <c r="AJ38" t="n">
        <v>313.5</v>
      </c>
      <c r="AK38" t="n">
        <v>320.5</v>
      </c>
      <c r="AL38" t="n">
        <v>323.2</v>
      </c>
      <c r="AM38" t="n">
        <v>333.2</v>
      </c>
      <c r="AN38" t="n">
        <v>344.8</v>
      </c>
      <c r="AO38" t="n">
        <v>356.1</v>
      </c>
      <c r="AP38" t="n">
        <v>367.6</v>
      </c>
      <c r="AQ38" t="n">
        <v>371.7</v>
      </c>
      <c r="AR38" t="n">
        <v>379.1</v>
      </c>
      <c r="AS38" t="n">
        <v>388.1</v>
      </c>
      <c r="AT38" t="n">
        <v>402.6</v>
      </c>
      <c r="AU38" t="n">
        <v>405.3</v>
      </c>
      <c r="AV38" t="n">
        <v>409.8</v>
      </c>
      <c r="AW38" t="n">
        <v>418.5</v>
      </c>
      <c r="AX38" t="n">
        <v>425.5</v>
      </c>
      <c r="AY38" t="n">
        <v>435.4</v>
      </c>
      <c r="AZ38" t="n">
        <v>443.4</v>
      </c>
      <c r="BA38" t="n">
        <v>452.9</v>
      </c>
      <c r="BB38" t="n">
        <v>461.9</v>
      </c>
      <c r="BC38" t="n">
        <v>467.5</v>
      </c>
      <c r="BD38" t="n">
        <v>476.7</v>
      </c>
      <c r="BE38" t="n">
        <v>482.1</v>
      </c>
      <c r="BF38" t="n">
        <v>495.1</v>
      </c>
      <c r="BG38" t="n">
        <v>505.9</v>
      </c>
      <c r="BH38" t="n">
        <v>518.3</v>
      </c>
      <c r="BI38" t="n">
        <v>529.3</v>
      </c>
      <c r="BJ38" t="n">
        <v>542.7</v>
      </c>
      <c r="BK38" t="n">
        <v>557.7</v>
      </c>
      <c r="BL38" t="n">
        <v>571.6</v>
      </c>
      <c r="BM38" t="n">
        <v>582.2</v>
      </c>
      <c r="BN38" t="n">
        <v>595.9</v>
      </c>
      <c r="BO38" t="n">
        <v>605.5</v>
      </c>
      <c r="BP38" t="n">
        <v>616.5</v>
      </c>
      <c r="BQ38" t="n">
        <v>626.3</v>
      </c>
      <c r="BR38" t="n">
        <v>637.8</v>
      </c>
      <c r="BS38" t="n">
        <v>646.9</v>
      </c>
      <c r="BT38" t="n">
        <v>656.4</v>
      </c>
      <c r="BU38" t="n">
        <v>668.1</v>
      </c>
      <c r="BV38" t="n">
        <v>678.6</v>
      </c>
      <c r="BW38" t="n">
        <v>693.1</v>
      </c>
      <c r="BX38" t="n">
        <v>703.2</v>
      </c>
      <c r="BY38" t="n">
        <v>720.1</v>
      </c>
      <c r="BZ38" t="n">
        <v>736.6</v>
      </c>
      <c r="CA38" t="n">
        <v>755.1</v>
      </c>
      <c r="CB38" t="n">
        <v>770.4</v>
      </c>
      <c r="CC38" t="n">
        <v>790</v>
      </c>
      <c r="CD38" t="n">
        <v>811.4</v>
      </c>
      <c r="CE38" t="n">
        <v>824.1</v>
      </c>
      <c r="CF38" t="n">
        <v>843.9</v>
      </c>
      <c r="CG38" t="n">
        <v>871</v>
      </c>
      <c r="CH38" t="n">
        <v>881.6</v>
      </c>
      <c r="CI38" t="n">
        <v>901.3</v>
      </c>
      <c r="CJ38" t="n">
        <v>919.2</v>
      </c>
      <c r="CK38" t="n">
        <v>947</v>
      </c>
      <c r="CL38" t="n">
        <v>959.3</v>
      </c>
      <c r="CM38" t="n">
        <v>975.2</v>
      </c>
      <c r="CN38" t="n">
        <v>988.2</v>
      </c>
      <c r="CO38" t="n">
        <v>991.3</v>
      </c>
      <c r="CP38" t="n">
        <v>1001.1</v>
      </c>
      <c r="CQ38" t="n">
        <v>1011.6</v>
      </c>
      <c r="CR38" t="n">
        <v>1028.1</v>
      </c>
      <c r="CS38" t="n">
        <v>1036.1</v>
      </c>
      <c r="CT38" t="n">
        <v>1046.6</v>
      </c>
      <c r="CU38" t="n">
        <v>1060.5</v>
      </c>
      <c r="CV38" t="n">
        <v>1077.4</v>
      </c>
      <c r="CW38" t="n">
        <v>1100.7</v>
      </c>
      <c r="CX38" t="n">
        <v>1118.5</v>
      </c>
      <c r="CY38" t="n">
        <v>1132.8</v>
      </c>
      <c r="CZ38" t="n">
        <v>1136.8</v>
      </c>
      <c r="DA38" t="n">
        <v>1131.2</v>
      </c>
      <c r="DB38" t="n">
        <v>1145.1</v>
      </c>
      <c r="DC38" t="n">
        <v>1171.4</v>
      </c>
      <c r="DD38" t="n">
        <v>1176</v>
      </c>
      <c r="DE38" t="n">
        <v>1192</v>
      </c>
      <c r="DF38" t="n">
        <v>1202.5</v>
      </c>
      <c r="DG38" t="n">
        <v>1209</v>
      </c>
      <c r="DH38" t="n">
        <v>1225.5</v>
      </c>
      <c r="DI38" t="n">
        <v>1243.5</v>
      </c>
      <c r="DJ38" t="n">
        <v>1250.5</v>
      </c>
      <c r="DK38" t="n">
        <v>1272.2</v>
      </c>
      <c r="DL38" t="n">
        <v>1290.9</v>
      </c>
      <c r="DM38" t="n">
        <v>1312.2</v>
      </c>
      <c r="DN38" t="n">
        <v>1338.9</v>
      </c>
      <c r="DO38" t="n">
        <v>1357.5</v>
      </c>
      <c r="DP38" t="n">
        <v>1388.2</v>
      </c>
      <c r="DQ38" t="n">
        <v>1417.2</v>
      </c>
      <c r="DR38" t="n">
        <v>1435.6</v>
      </c>
      <c r="DS38" t="n">
        <v>1453</v>
      </c>
      <c r="DT38" t="n">
        <v>1478</v>
      </c>
      <c r="DU38" t="n">
        <v>1507</v>
      </c>
      <c r="DV38" t="n">
        <v>1560.6</v>
      </c>
      <c r="DW38" t="n">
        <v>1617.6</v>
      </c>
      <c r="DX38" t="n">
        <v>1597.3</v>
      </c>
      <c r="DY38" t="n">
        <v>1656.2</v>
      </c>
      <c r="DZ38" t="n">
        <v>1677.3</v>
      </c>
      <c r="EA38" t="n">
        <v>1694.5</v>
      </c>
      <c r="EB38" t="n">
        <v>1724.4</v>
      </c>
      <c r="EC38" t="n">
        <v>1756.3</v>
      </c>
      <c r="ED38" t="n">
        <v>1781.7</v>
      </c>
      <c r="EE38" t="n">
        <v>1783.4</v>
      </c>
      <c r="EF38" t="n">
        <v>1811.7</v>
      </c>
      <c r="EG38" t="n">
        <v>1814.6</v>
      </c>
      <c r="EH38" t="n">
        <v>1843.6</v>
      </c>
      <c r="EI38" t="n">
        <v>1868.2</v>
      </c>
      <c r="EJ38" t="n">
        <v>1895.3</v>
      </c>
      <c r="EK38" t="n">
        <v>1903</v>
      </c>
      <c r="EL38" t="n">
        <v>1925.1</v>
      </c>
      <c r="EM38" t="n">
        <v>1952.9</v>
      </c>
      <c r="EN38" t="n">
        <v>1978</v>
      </c>
      <c r="EO38" t="n">
        <v>2024.5</v>
      </c>
      <c r="EP38" t="n">
        <v>2008</v>
      </c>
      <c r="EQ38" t="n">
        <v>2042.4</v>
      </c>
      <c r="ER38" t="n">
        <v>2078.5</v>
      </c>
      <c r="ES38" t="n">
        <v>2094.2</v>
      </c>
      <c r="ET38" t="n">
        <v>2165.9</v>
      </c>
      <c r="EU38" t="n">
        <v>2182.4</v>
      </c>
      <c r="EV38" t="n">
        <v>2205.9</v>
      </c>
      <c r="EW38" t="n">
        <v>2242.1</v>
      </c>
      <c r="EX38" t="n">
        <v>2256.4</v>
      </c>
      <c r="EY38" t="n">
        <v>2293.3</v>
      </c>
      <c r="EZ38" t="n">
        <v>2337.8</v>
      </c>
      <c r="FA38" t="n">
        <v>2337.2</v>
      </c>
      <c r="FB38" t="n">
        <v>2371.5</v>
      </c>
      <c r="FC38" t="n">
        <v>2419.8</v>
      </c>
      <c r="FD38" t="n">
        <v>2446.9</v>
      </c>
      <c r="FE38" t="n">
        <v>2444.5</v>
      </c>
      <c r="FF38" t="n">
        <v>2439.1</v>
      </c>
      <c r="FG38" t="n">
        <v>2443.1</v>
      </c>
      <c r="FH38" t="n">
        <v>2451.4</v>
      </c>
      <c r="FI38" t="n">
        <v>2452.3</v>
      </c>
      <c r="FJ38" t="n">
        <v>2451.4</v>
      </c>
      <c r="FK38" t="n">
        <v>2445</v>
      </c>
      <c r="FL38" t="n">
        <v>2423.3</v>
      </c>
      <c r="FM38" t="n">
        <v>2417.9</v>
      </c>
      <c r="FN38" t="n">
        <v>2431.3</v>
      </c>
      <c r="FO38" t="n">
        <v>2447.2</v>
      </c>
      <c r="FP38" t="n">
        <v>2448.6</v>
      </c>
      <c r="FQ38" t="n">
        <v>2475.8</v>
      </c>
      <c r="FR38" t="n">
        <v>2483.9</v>
      </c>
      <c r="FS38" t="n">
        <v>2506.2</v>
      </c>
      <c r="FT38" t="n">
        <v>2526.9</v>
      </c>
      <c r="FU38" t="n">
        <v>2529.9</v>
      </c>
      <c r="FV38" t="n">
        <v>2540.3</v>
      </c>
      <c r="FW38" t="n">
        <v>2577.6</v>
      </c>
      <c r="FX38" t="n">
        <v>2619.9</v>
      </c>
      <c r="FY38" t="n">
        <v>2643.5</v>
      </c>
      <c r="FZ38" t="n">
        <v>2650.2</v>
      </c>
      <c r="GA38" t="n">
        <v>2706.1</v>
      </c>
      <c r="GB38" t="n">
        <v>2730.1</v>
      </c>
      <c r="GC38" t="n">
        <v>2731.2</v>
      </c>
      <c r="GD38" t="n">
        <v>2755.7</v>
      </c>
      <c r="GE38" t="n">
        <v>2784.2</v>
      </c>
      <c r="GF38" t="n">
        <v>2809.5</v>
      </c>
      <c r="GG38" t="n">
        <v>2835</v>
      </c>
      <c r="GH38" t="n">
        <v>2849.2</v>
      </c>
      <c r="GI38" t="n">
        <v>2851.8</v>
      </c>
      <c r="GJ38" t="n">
        <v>2892.4</v>
      </c>
      <c r="GK38" t="n">
        <v>2918.9</v>
      </c>
      <c r="GL38" t="n">
        <v>2940.4</v>
      </c>
      <c r="GM38" t="n">
        <v>2985</v>
      </c>
      <c r="GN38" t="n">
        <v>3020.2</v>
      </c>
      <c r="GO38" t="n">
        <v>3027</v>
      </c>
      <c r="GP38" t="n">
        <v>3069.1</v>
      </c>
      <c r="GQ38" t="n">
        <v>3141.9</v>
      </c>
      <c r="GR38" t="n">
        <v>3185.2</v>
      </c>
      <c r="GS38" t="n">
        <v>3217.2</v>
      </c>
      <c r="GT38" t="n">
        <v>3255.1</v>
      </c>
      <c r="GU38" t="n">
        <v>3273.8</v>
      </c>
      <c r="GV38" t="n">
        <v>3321.8</v>
      </c>
      <c r="GW38" t="n">
        <v>3321.3</v>
      </c>
      <c r="GX38" t="n">
        <v>3391.7</v>
      </c>
      <c r="GY38" t="n">
        <v>3467.1</v>
      </c>
      <c r="GZ38" t="n">
        <v>3507.6</v>
      </c>
      <c r="HA38" t="n">
        <v>3518.9</v>
      </c>
      <c r="HB38" t="n">
        <v>3599.4</v>
      </c>
      <c r="HC38" t="n">
        <v>3703.4</v>
      </c>
      <c r="HD38" t="n">
        <v>3749.1</v>
      </c>
      <c r="HE38" t="n">
        <v>3838.5</v>
      </c>
      <c r="HF38" t="n">
        <v>3861.7</v>
      </c>
      <c r="HG38" t="n">
        <v>3911.8</v>
      </c>
      <c r="HH38" t="n">
        <v>3944.8</v>
      </c>
      <c r="HI38" t="n">
        <v>3975.3</v>
      </c>
      <c r="HJ38" t="n">
        <v>4067.2</v>
      </c>
      <c r="HK38" t="n">
        <v>4111.1</v>
      </c>
      <c r="HL38" t="n">
        <v>4161.6</v>
      </c>
      <c r="HM38" t="n">
        <v>4201.4</v>
      </c>
      <c r="HN38" t="n">
        <v>4243.3</v>
      </c>
      <c r="HO38" t="n">
        <v>4295.9</v>
      </c>
    </row>
    <row r="39">
      <c r="A39" s="78" t="s">
        <v>2551</v>
      </c>
      <c r="B39" s="78"/>
      <c r="C39" s="78"/>
      <c r="D39" s="78"/>
      <c r="E39" s="78"/>
      <c r="F39" s="78"/>
      <c r="G39" s="78"/>
      <c r="H39" s="78"/>
      <c r="I39" s="78"/>
      <c r="J39" s="78"/>
      <c r="K39" s="78"/>
      <c r="L39" s="78"/>
      <c r="M39" s="78"/>
      <c r="N39" s="78"/>
      <c r="O39" s="78"/>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t="n">
        <v>78.072</v>
      </c>
      <c r="CQ39" t="n">
        <v>80.831</v>
      </c>
      <c r="CR39" t="n">
        <v>85.251</v>
      </c>
      <c r="CS39" t="n">
        <v>88.178</v>
      </c>
      <c r="CT39" t="n">
        <v>84.002</v>
      </c>
      <c r="CU39" t="n">
        <v>86.255</v>
      </c>
      <c r="CV39" t="n">
        <v>87.978</v>
      </c>
      <c r="CW39" t="n">
        <v>89.829</v>
      </c>
      <c r="CX39" t="n">
        <v>95.218</v>
      </c>
      <c r="CY39" t="n">
        <v>94.484</v>
      </c>
      <c r="CZ39" t="n">
        <v>93.858</v>
      </c>
      <c r="DA39" t="n">
        <v>92.181</v>
      </c>
      <c r="DB39" t="n">
        <v>94.539</v>
      </c>
      <c r="DC39" t="n">
        <v>102.461</v>
      </c>
      <c r="DD39" t="n">
        <v>99.672</v>
      </c>
      <c r="DE39" t="n">
        <v>97.609</v>
      </c>
      <c r="DF39" t="n">
        <v>98.691</v>
      </c>
      <c r="DG39" t="n">
        <v>98.642</v>
      </c>
      <c r="DH39" t="n">
        <v>101.001</v>
      </c>
      <c r="DI39" t="n">
        <v>105.738</v>
      </c>
      <c r="DJ39" t="n">
        <v>103.992</v>
      </c>
      <c r="DK39" t="n">
        <v>106.287</v>
      </c>
      <c r="DL39" t="n">
        <v>106.646</v>
      </c>
      <c r="DM39" t="n">
        <v>110.762</v>
      </c>
      <c r="DN39" t="n">
        <v>114.027</v>
      </c>
      <c r="DO39" t="n">
        <v>113.559</v>
      </c>
      <c r="DP39" t="n">
        <v>120.524</v>
      </c>
      <c r="DQ39" t="n">
        <v>121.904</v>
      </c>
      <c r="DR39" t="n">
        <v>121.898</v>
      </c>
      <c r="DS39" t="n">
        <v>123.319</v>
      </c>
      <c r="DT39" t="n">
        <v>133.626</v>
      </c>
      <c r="DU39" t="n">
        <v>129.622</v>
      </c>
      <c r="DV39" t="n">
        <v>138.716</v>
      </c>
      <c r="DW39" t="n">
        <v>145.774</v>
      </c>
      <c r="DX39" t="n">
        <v>143.219</v>
      </c>
      <c r="DY39" t="n">
        <v>153.809</v>
      </c>
      <c r="DZ39" t="n">
        <v>156.084</v>
      </c>
      <c r="EA39" t="n">
        <v>157.455</v>
      </c>
      <c r="EB39" t="n">
        <v>164.01</v>
      </c>
      <c r="EC39" t="n">
        <v>166.934</v>
      </c>
      <c r="ED39" t="n">
        <v>165.906</v>
      </c>
      <c r="EE39" t="n">
        <v>171.106</v>
      </c>
      <c r="EF39" t="n">
        <v>186.792</v>
      </c>
      <c r="EG39" t="n">
        <v>182.543</v>
      </c>
      <c r="EH39" t="n">
        <v>190.07</v>
      </c>
      <c r="EI39" t="n">
        <v>194.963</v>
      </c>
      <c r="EJ39" t="n">
        <v>186.476</v>
      </c>
      <c r="EK39" t="n">
        <v>191.752</v>
      </c>
      <c r="EL39" t="n">
        <v>199.036</v>
      </c>
      <c r="EM39" t="n">
        <v>200.246</v>
      </c>
      <c r="EN39" t="n">
        <v>195.231</v>
      </c>
      <c r="EO39" t="n">
        <v>197.352</v>
      </c>
      <c r="EP39" t="n">
        <v>191.747</v>
      </c>
      <c r="EQ39" t="n">
        <v>189.018</v>
      </c>
      <c r="ER39" t="n">
        <v>197.488</v>
      </c>
      <c r="ES39" t="n">
        <v>189.083</v>
      </c>
      <c r="ET39" t="n">
        <v>209.347</v>
      </c>
      <c r="EU39" t="n">
        <v>201.383</v>
      </c>
      <c r="EV39" t="n">
        <v>204.318</v>
      </c>
      <c r="EW39" t="n">
        <v>206.11</v>
      </c>
      <c r="EX39" t="n">
        <v>209.603</v>
      </c>
      <c r="EY39" t="n">
        <v>216.57</v>
      </c>
      <c r="EZ39" t="n">
        <v>213.016</v>
      </c>
      <c r="FA39" t="n">
        <v>217.491</v>
      </c>
      <c r="FB39" t="n">
        <v>266.407</v>
      </c>
      <c r="FC39" t="n">
        <v>284.526</v>
      </c>
      <c r="FD39" t="n">
        <v>273.903</v>
      </c>
      <c r="FE39" t="n">
        <v>272.345</v>
      </c>
      <c r="FF39" t="n">
        <v>283.268</v>
      </c>
      <c r="FG39" t="n">
        <v>290.808</v>
      </c>
      <c r="FH39" t="n">
        <v>297.13</v>
      </c>
      <c r="FI39" t="n">
        <v>309.668</v>
      </c>
      <c r="FJ39" t="n">
        <v>293.84</v>
      </c>
      <c r="FK39" t="n">
        <v>288.9</v>
      </c>
      <c r="FL39" t="n">
        <v>248.813</v>
      </c>
      <c r="FM39" t="n">
        <v>249.625</v>
      </c>
      <c r="FN39" t="n">
        <v>258.161</v>
      </c>
      <c r="FO39" t="n">
        <v>273.39</v>
      </c>
      <c r="FP39" t="n">
        <v>263.079</v>
      </c>
      <c r="FQ39" t="n">
        <v>269.71</v>
      </c>
      <c r="FR39" t="n">
        <v>272.063</v>
      </c>
      <c r="FS39" t="n">
        <v>283.408</v>
      </c>
      <c r="FT39" t="n">
        <v>281.455</v>
      </c>
      <c r="FU39" t="n">
        <v>282.107</v>
      </c>
      <c r="FV39" t="n">
        <v>303.39</v>
      </c>
      <c r="FW39" t="n">
        <v>320.015</v>
      </c>
      <c r="FX39" t="n">
        <v>343.692</v>
      </c>
      <c r="FY39" t="n">
        <v>345.712</v>
      </c>
      <c r="FZ39" t="n">
        <v>362.792</v>
      </c>
      <c r="GA39" t="n">
        <v>363.41</v>
      </c>
      <c r="GB39" t="n">
        <v>365.384</v>
      </c>
      <c r="GC39" t="n">
        <v>384.032</v>
      </c>
      <c r="GD39" t="n">
        <v>378.246</v>
      </c>
      <c r="GE39" t="n">
        <v>382.367</v>
      </c>
      <c r="GF39" t="n">
        <v>396.216</v>
      </c>
      <c r="GG39" t="n">
        <v>408.323</v>
      </c>
      <c r="GH39" t="n">
        <v>396.162</v>
      </c>
      <c r="GI39" t="n">
        <v>373.916</v>
      </c>
      <c r="GJ39" t="n">
        <v>396.066</v>
      </c>
      <c r="GK39" t="n">
        <v>401.385</v>
      </c>
      <c r="GL39" t="n">
        <v>411.488</v>
      </c>
      <c r="GM39" t="n">
        <v>404.339</v>
      </c>
      <c r="GN39" t="n">
        <v>411.955</v>
      </c>
      <c r="GO39" t="n">
        <v>412.702</v>
      </c>
      <c r="GP39" t="n">
        <v>427.002</v>
      </c>
      <c r="GQ39" t="n">
        <v>436.454</v>
      </c>
      <c r="GR39" t="n">
        <v>437.673</v>
      </c>
      <c r="GS39" t="n">
        <v>439.754</v>
      </c>
      <c r="GT39" t="n">
        <v>445.969</v>
      </c>
      <c r="GU39" t="n">
        <v>580.009</v>
      </c>
      <c r="GV39" t="n">
        <v>532.596</v>
      </c>
      <c r="GW39" t="n">
        <v>548.315</v>
      </c>
      <c r="GX39" t="n">
        <v>537.872</v>
      </c>
      <c r="GY39" t="n">
        <v>552.752</v>
      </c>
      <c r="GZ39" t="n">
        <v>583.201</v>
      </c>
      <c r="HA39" t="n">
        <v>617.229</v>
      </c>
      <c r="HB39" t="n">
        <v>633.92</v>
      </c>
      <c r="HC39" t="n">
        <v>630.317</v>
      </c>
      <c r="HD39" t="n">
        <v>648.996</v>
      </c>
      <c r="HE39" t="n">
        <v>647.526</v>
      </c>
      <c r="HF39" t="n">
        <v>665.999</v>
      </c>
      <c r="HG39" t="n">
        <v>661.473</v>
      </c>
      <c r="HH39" t="n">
        <v>617.139</v>
      </c>
      <c r="HI39" t="n">
        <v>643.48</v>
      </c>
      <c r="HJ39" t="n">
        <v>651.158</v>
      </c>
      <c r="HK39" t="n">
        <v>660.255</v>
      </c>
      <c r="HL39" t="n">
        <v>673.4</v>
      </c>
      <c r="HM39" t="n">
        <v>689.816</v>
      </c>
      <c r="HN39" t="n">
        <v>679.854</v>
      </c>
      <c r="HO39" t="n">
        <v>713.677</v>
      </c>
    </row>
    <row r="40">
      <c r="A40" s="78" t="s">
        <v>2552</v>
      </c>
      <c r="B40" s="78"/>
      <c r="C40" s="78"/>
      <c r="D40" s="78"/>
      <c r="E40" s="78"/>
      <c r="F40" s="78"/>
      <c r="G40" s="78"/>
      <c r="H40" s="78"/>
      <c r="I40" s="78"/>
      <c r="J40" s="78"/>
      <c r="K40" s="78"/>
      <c r="L40" s="78"/>
      <c r="M40" s="78"/>
      <c r="N40" s="78"/>
      <c r="O40" s="78"/>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t="n">
        <v>73.888</v>
      </c>
      <c r="CQ40" t="n">
        <v>76.036</v>
      </c>
      <c r="CR40" t="n">
        <v>80.604</v>
      </c>
      <c r="CS40" t="n">
        <v>84.1</v>
      </c>
      <c r="CT40" t="n">
        <v>78.948</v>
      </c>
      <c r="CU40" t="n">
        <v>81.772</v>
      </c>
      <c r="CV40" t="n">
        <v>82.892</v>
      </c>
      <c r="CW40" t="n">
        <v>85.54</v>
      </c>
      <c r="CX40" t="n">
        <v>90.524</v>
      </c>
      <c r="CY40" t="n">
        <v>90.54</v>
      </c>
      <c r="CZ40" t="n">
        <v>89.28</v>
      </c>
      <c r="DA40" t="n">
        <v>87.568</v>
      </c>
      <c r="DB40" t="n">
        <v>88.772</v>
      </c>
      <c r="DC40" t="n">
        <v>96.376</v>
      </c>
      <c r="DD40" t="n">
        <v>94.872</v>
      </c>
      <c r="DE40" t="n">
        <v>93.892</v>
      </c>
      <c r="DF40" t="n">
        <v>95.98</v>
      </c>
      <c r="DG40" t="n">
        <v>94.924</v>
      </c>
      <c r="DH40" t="n">
        <v>97.108</v>
      </c>
      <c r="DI40" t="n">
        <v>101.384</v>
      </c>
      <c r="DJ40" t="n">
        <v>99.444</v>
      </c>
      <c r="DK40" t="n">
        <v>101.608</v>
      </c>
      <c r="DL40" t="n">
        <v>102.26</v>
      </c>
      <c r="DM40" t="n">
        <v>103.952</v>
      </c>
      <c r="DN40" t="n">
        <v>107.1</v>
      </c>
      <c r="DO40" t="n">
        <v>107.208</v>
      </c>
      <c r="DP40" t="n">
        <v>113.428</v>
      </c>
      <c r="DQ40" t="n">
        <v>114.62</v>
      </c>
      <c r="DR40" t="n">
        <v>114.852</v>
      </c>
      <c r="DS40" t="n">
        <v>116.168</v>
      </c>
      <c r="DT40" t="n">
        <v>125.392</v>
      </c>
      <c r="DU40" t="n">
        <v>121.748</v>
      </c>
      <c r="DV40" t="n">
        <v>129.388</v>
      </c>
      <c r="DW40" t="n">
        <v>132.128</v>
      </c>
      <c r="DX40" t="n">
        <v>133.364</v>
      </c>
      <c r="DY40" t="n">
        <v>143.652</v>
      </c>
      <c r="DZ40" t="n">
        <v>145.547</v>
      </c>
      <c r="EA40" t="n">
        <v>146.352</v>
      </c>
      <c r="EB40" t="n">
        <v>152.896</v>
      </c>
      <c r="EC40" t="n">
        <v>155.307</v>
      </c>
      <c r="ED40" t="n">
        <v>154.378</v>
      </c>
      <c r="EE40" t="n">
        <v>158.02</v>
      </c>
      <c r="EF40" t="n">
        <v>174.229</v>
      </c>
      <c r="EG40" t="n">
        <v>170.506</v>
      </c>
      <c r="EH40" t="n">
        <v>177.772</v>
      </c>
      <c r="EI40" t="n">
        <v>182.692</v>
      </c>
      <c r="EJ40" t="n">
        <v>173.33</v>
      </c>
      <c r="EK40" t="n">
        <v>177.282</v>
      </c>
      <c r="EL40" t="n">
        <v>183.908</v>
      </c>
      <c r="EM40" t="n">
        <v>185.818</v>
      </c>
      <c r="EN40" t="n">
        <v>179.683</v>
      </c>
      <c r="EO40" t="n">
        <v>182.944</v>
      </c>
      <c r="EP40" t="n">
        <v>175.956</v>
      </c>
      <c r="EQ40" t="n">
        <v>176.53</v>
      </c>
      <c r="ER40" t="n">
        <v>186.733</v>
      </c>
      <c r="ES40" t="n">
        <v>177.659</v>
      </c>
      <c r="ET40" t="n">
        <v>200.218</v>
      </c>
      <c r="EU40" t="n">
        <v>190.602</v>
      </c>
      <c r="EV40" t="n">
        <v>194.111</v>
      </c>
      <c r="EW40" t="n">
        <v>196.028</v>
      </c>
      <c r="EX40" t="n">
        <v>200.294</v>
      </c>
      <c r="EY40" t="n">
        <v>203.794</v>
      </c>
      <c r="EZ40" t="n">
        <v>205.059</v>
      </c>
      <c r="FA40" t="n">
        <v>208.505</v>
      </c>
      <c r="FB40" t="n">
        <v>256.944</v>
      </c>
      <c r="FC40" t="n">
        <v>274.664</v>
      </c>
      <c r="FD40" t="n">
        <v>263.924</v>
      </c>
      <c r="FE40" t="n">
        <v>261.944</v>
      </c>
      <c r="FF40" t="n">
        <v>271.844</v>
      </c>
      <c r="FG40" t="n">
        <v>272.456</v>
      </c>
      <c r="FH40" t="n">
        <v>283.691</v>
      </c>
      <c r="FI40" t="n">
        <v>297.609</v>
      </c>
      <c r="FJ40" t="n">
        <v>282.445</v>
      </c>
      <c r="FK40" t="n">
        <v>277.196</v>
      </c>
      <c r="FL40" t="n">
        <v>237.739</v>
      </c>
      <c r="FM40" t="n">
        <v>239.291</v>
      </c>
      <c r="FN40" t="n">
        <v>246.248</v>
      </c>
      <c r="FO40" t="n">
        <v>262.324</v>
      </c>
      <c r="FP40" t="n">
        <v>250.54</v>
      </c>
      <c r="FQ40" t="n">
        <v>259.562</v>
      </c>
      <c r="FR40" t="n">
        <v>258.45</v>
      </c>
      <c r="FS40" t="n">
        <v>270.887</v>
      </c>
      <c r="FT40" t="n">
        <v>269.279</v>
      </c>
      <c r="FU40" t="n">
        <v>269.982</v>
      </c>
      <c r="FV40" t="n">
        <v>291.59</v>
      </c>
      <c r="FW40" t="n">
        <v>307.775</v>
      </c>
      <c r="FX40" t="n">
        <v>332.4</v>
      </c>
      <c r="FY40" t="n">
        <v>335.611</v>
      </c>
      <c r="FZ40" t="n">
        <v>352.188</v>
      </c>
      <c r="GA40" t="n">
        <v>353.442</v>
      </c>
      <c r="GB40" t="n">
        <v>352.909</v>
      </c>
      <c r="GC40" t="n">
        <v>366.274</v>
      </c>
      <c r="GD40" t="n">
        <v>360.221</v>
      </c>
      <c r="GE40" t="n">
        <v>363.844</v>
      </c>
      <c r="GF40" t="n">
        <v>377.967</v>
      </c>
      <c r="GG40" t="n">
        <v>388.176</v>
      </c>
      <c r="GH40" t="n">
        <v>376.564</v>
      </c>
      <c r="GI40" t="n">
        <v>354.404</v>
      </c>
      <c r="GJ40" t="n">
        <v>375.438</v>
      </c>
      <c r="GK40" t="n">
        <v>382.68</v>
      </c>
      <c r="GL40" t="n">
        <v>389.901</v>
      </c>
      <c r="GM40" t="n">
        <v>385.517</v>
      </c>
      <c r="GN40" t="n">
        <v>390.852</v>
      </c>
      <c r="GO40" t="n">
        <v>391.921</v>
      </c>
      <c r="GP40" t="n">
        <v>405.368</v>
      </c>
      <c r="GQ40" t="n">
        <v>414.196</v>
      </c>
      <c r="GR40" t="n">
        <v>418.686</v>
      </c>
      <c r="GS40" t="n">
        <v>416.185</v>
      </c>
      <c r="GT40" t="n">
        <v>422.89</v>
      </c>
      <c r="GU40" t="n">
        <v>502.906</v>
      </c>
      <c r="GV40" t="n">
        <v>484.48</v>
      </c>
      <c r="GW40" t="n">
        <v>509.884</v>
      </c>
      <c r="GX40" t="n">
        <v>499.429</v>
      </c>
      <c r="GY40" t="n">
        <v>520.79</v>
      </c>
      <c r="GZ40" t="n">
        <v>545.326</v>
      </c>
      <c r="HA40" t="n">
        <v>567.61</v>
      </c>
      <c r="HB40" t="n">
        <v>589.927</v>
      </c>
      <c r="HC40" t="n">
        <v>585.746</v>
      </c>
      <c r="HD40" t="n">
        <v>617.889</v>
      </c>
      <c r="HE40" t="n">
        <v>611.68</v>
      </c>
      <c r="HF40" t="n">
        <v>632.66</v>
      </c>
      <c r="HG40" t="n">
        <v>628.887</v>
      </c>
      <c r="HH40" t="n">
        <v>585.984</v>
      </c>
      <c r="HI40" t="n">
        <v>612.034</v>
      </c>
      <c r="HJ40" t="n">
        <v>618.727</v>
      </c>
      <c r="HK40" t="n">
        <v>628.157</v>
      </c>
      <c r="HL40" t="n">
        <v>641.237</v>
      </c>
      <c r="HM40" t="n">
        <v>655.175</v>
      </c>
      <c r="HN40" t="n">
        <v>647.03</v>
      </c>
      <c r="HO40" t="n">
        <v>680.658</v>
      </c>
    </row>
    <row r="41">
      <c r="A41" s="78" t="s">
        <v>2553</v>
      </c>
      <c r="B41" s="78" t="n">
        <v>5.576</v>
      </c>
      <c r="C41" s="78" t="n">
        <v>5.228</v>
      </c>
      <c r="D41" s="78" t="n">
        <v>4.816</v>
      </c>
      <c r="E41" s="78" t="n">
        <v>4.9</v>
      </c>
      <c r="F41" s="78" t="n">
        <v>5.464</v>
      </c>
      <c r="G41" s="78" t="n">
        <v>6.312</v>
      </c>
      <c r="H41" s="78" t="n">
        <v>5.756</v>
      </c>
      <c r="I41" s="78" t="n">
        <v>5.644</v>
      </c>
      <c r="J41" s="78" t="n">
        <v>5.668</v>
      </c>
      <c r="K41" s="78" t="n">
        <v>5.216</v>
      </c>
      <c r="L41" s="78" t="n">
        <v>6.724</v>
      </c>
      <c r="M41" s="78" t="n">
        <v>5.7</v>
      </c>
      <c r="N41" s="78" t="n">
        <v>5.74</v>
      </c>
      <c r="O41" s="78" t="n">
        <v>6.208</v>
      </c>
      <c r="P41" t="n">
        <v>5.344</v>
      </c>
      <c r="Q41" t="n">
        <v>5.92</v>
      </c>
      <c r="R41" t="n">
        <v>7.76</v>
      </c>
      <c r="S41" t="n">
        <v>8.572</v>
      </c>
      <c r="T41" t="n">
        <v>6.496</v>
      </c>
      <c r="U41" t="n">
        <v>7.84</v>
      </c>
      <c r="V41" t="n">
        <v>8.652</v>
      </c>
      <c r="W41" t="n">
        <v>7.804</v>
      </c>
      <c r="X41" t="n">
        <v>10.772</v>
      </c>
      <c r="Y41" t="n">
        <v>10.424</v>
      </c>
      <c r="Z41" t="n">
        <v>10.012</v>
      </c>
      <c r="AA41" t="n">
        <v>9.76</v>
      </c>
      <c r="AB41" t="n">
        <v>10.592</v>
      </c>
      <c r="AC41" t="n">
        <v>11.108</v>
      </c>
      <c r="AD41" t="n">
        <v>10.716</v>
      </c>
      <c r="AE41" t="n">
        <v>10.652</v>
      </c>
      <c r="AF41" t="n">
        <v>11.804</v>
      </c>
      <c r="AG41" t="n">
        <v>10.7</v>
      </c>
      <c r="AH41" t="n">
        <v>10.968</v>
      </c>
      <c r="AI41" t="n">
        <v>11.528</v>
      </c>
      <c r="AJ41" t="n">
        <v>11.908</v>
      </c>
      <c r="AK41" t="n">
        <v>12.528</v>
      </c>
      <c r="AL41" t="n">
        <v>13.592</v>
      </c>
      <c r="AM41" t="n">
        <v>13.048</v>
      </c>
      <c r="AN41" t="n">
        <v>14.292</v>
      </c>
      <c r="AO41" t="n">
        <v>15.752</v>
      </c>
      <c r="AP41" t="n">
        <v>16.26</v>
      </c>
      <c r="AQ41" t="n">
        <v>16.536</v>
      </c>
      <c r="AR41" t="n">
        <v>15.916</v>
      </c>
      <c r="AS41" t="n">
        <v>16.628</v>
      </c>
      <c r="AT41" t="n">
        <v>16.092</v>
      </c>
      <c r="AU41" t="n">
        <v>15.716</v>
      </c>
      <c r="AV41" t="n">
        <v>14.828</v>
      </c>
      <c r="AW41" t="n">
        <v>15.012</v>
      </c>
      <c r="AX41" t="n">
        <v>13.852</v>
      </c>
      <c r="AY41" t="n">
        <v>14.552</v>
      </c>
      <c r="AZ41" t="n">
        <v>14.544</v>
      </c>
      <c r="BA41" t="n">
        <v>14.484</v>
      </c>
      <c r="BB41" t="n">
        <v>15.9</v>
      </c>
      <c r="BC41" t="n">
        <v>14.2</v>
      </c>
      <c r="BD41" t="n">
        <v>15.904</v>
      </c>
      <c r="BE41" t="n">
        <v>15.768</v>
      </c>
      <c r="BF41" t="n">
        <v>16.556</v>
      </c>
      <c r="BG41" t="n">
        <v>17.236</v>
      </c>
      <c r="BH41" t="n">
        <v>18.092</v>
      </c>
      <c r="BI41" t="n">
        <v>18.824</v>
      </c>
      <c r="BJ41" t="n">
        <v>17.044</v>
      </c>
      <c r="BK41" t="n">
        <v>19.408</v>
      </c>
      <c r="BL41" t="n">
        <v>20.036</v>
      </c>
      <c r="BM41" t="n">
        <v>21.184</v>
      </c>
      <c r="BN41" t="n">
        <v>19.72</v>
      </c>
      <c r="BO41" t="n">
        <v>20.556</v>
      </c>
      <c r="BP41" t="n">
        <v>21.284</v>
      </c>
      <c r="BQ41" t="n">
        <v>18.32</v>
      </c>
      <c r="BR41" t="n">
        <v>18.76</v>
      </c>
      <c r="BS41" t="n">
        <v>19.56</v>
      </c>
      <c r="BT41" t="n">
        <v>18.828</v>
      </c>
      <c r="BU41" t="n">
        <v>18.696</v>
      </c>
      <c r="BV41" t="n">
        <v>18.972</v>
      </c>
      <c r="BW41" t="n">
        <v>19.836</v>
      </c>
      <c r="BX41" t="n">
        <v>20.388</v>
      </c>
      <c r="BY41" t="n">
        <v>19.284</v>
      </c>
      <c r="BZ41" t="n">
        <v>20.192</v>
      </c>
      <c r="CA41" t="n">
        <v>19.936</v>
      </c>
      <c r="CB41" t="n">
        <v>18.832</v>
      </c>
      <c r="CC41" t="n">
        <v>20.492</v>
      </c>
      <c r="CD41" t="n">
        <v>21.448</v>
      </c>
      <c r="CE41" t="n">
        <v>20.184</v>
      </c>
      <c r="CF41" t="n">
        <v>20.508</v>
      </c>
      <c r="CG41" t="n">
        <v>21.188</v>
      </c>
      <c r="CH41" t="n">
        <v>21.552</v>
      </c>
      <c r="CI41" t="n">
        <v>21.612</v>
      </c>
      <c r="CJ41" t="n">
        <v>21.056</v>
      </c>
      <c r="CK41" t="n">
        <v>20.612</v>
      </c>
      <c r="CL41" t="n">
        <v>21.388</v>
      </c>
      <c r="CM41" t="n">
        <v>22.8</v>
      </c>
      <c r="CN41" t="n">
        <v>22.288</v>
      </c>
      <c r="CO41" t="n">
        <v>23.064</v>
      </c>
      <c r="CP41" t="n">
        <v>21.784</v>
      </c>
      <c r="CQ41" t="n">
        <v>22.472</v>
      </c>
      <c r="CR41" t="n">
        <v>24.884</v>
      </c>
      <c r="CS41" t="n">
        <v>24.764</v>
      </c>
      <c r="CT41" t="n">
        <v>23.632</v>
      </c>
      <c r="CU41" t="n">
        <v>23.952</v>
      </c>
      <c r="CV41" t="n">
        <v>25.152</v>
      </c>
      <c r="CW41" t="n">
        <v>26.476</v>
      </c>
      <c r="CX41" t="n">
        <v>27.744</v>
      </c>
      <c r="CY41" t="n">
        <v>28.028</v>
      </c>
      <c r="CZ41" t="n">
        <v>26.448</v>
      </c>
      <c r="DA41" t="n">
        <v>26.816</v>
      </c>
      <c r="DB41" t="n">
        <v>29.136</v>
      </c>
      <c r="DC41" t="n">
        <v>27.904</v>
      </c>
      <c r="DD41" t="n">
        <v>27.116</v>
      </c>
      <c r="DE41" t="n">
        <v>28.72</v>
      </c>
      <c r="DF41" t="n">
        <v>28.4</v>
      </c>
      <c r="DG41" t="n">
        <v>29.016</v>
      </c>
      <c r="DH41" t="n">
        <v>29.084</v>
      </c>
      <c r="DI41" t="n">
        <v>28.744</v>
      </c>
      <c r="DJ41" t="n">
        <v>27.052</v>
      </c>
      <c r="DK41" t="n">
        <v>27.336</v>
      </c>
      <c r="DL41" t="n">
        <v>29.104</v>
      </c>
      <c r="DM41" t="n">
        <v>31.232</v>
      </c>
      <c r="DN41" t="n">
        <v>27.78</v>
      </c>
      <c r="DO41" t="n">
        <v>32.192</v>
      </c>
      <c r="DP41" t="n">
        <v>34.264</v>
      </c>
      <c r="DQ41" t="n">
        <v>34.124</v>
      </c>
      <c r="DR41" t="n">
        <v>35.572</v>
      </c>
      <c r="DS41" t="n">
        <v>36.04</v>
      </c>
      <c r="DT41" t="n">
        <v>35.728</v>
      </c>
      <c r="DU41" t="n">
        <v>39.26</v>
      </c>
      <c r="DV41" t="n">
        <v>40.316</v>
      </c>
      <c r="DW41" t="n">
        <v>43.008</v>
      </c>
      <c r="DX41" t="n">
        <v>42.668</v>
      </c>
      <c r="DY41" t="n">
        <v>43.008</v>
      </c>
      <c r="DZ41" t="n">
        <v>50.609</v>
      </c>
      <c r="EA41" t="n">
        <v>45.405</v>
      </c>
      <c r="EB41" t="n">
        <v>41.342</v>
      </c>
      <c r="EC41" t="n">
        <v>44.814</v>
      </c>
      <c r="ED41" t="n">
        <v>43.171</v>
      </c>
      <c r="EE41" t="n">
        <v>48.719</v>
      </c>
      <c r="EF41" t="n">
        <v>46.443</v>
      </c>
      <c r="EG41" t="n">
        <v>45.507</v>
      </c>
      <c r="EH41" t="n">
        <v>47.601</v>
      </c>
      <c r="EI41" t="n">
        <v>44.213</v>
      </c>
      <c r="EJ41" t="n">
        <v>50.413</v>
      </c>
      <c r="EK41" t="n">
        <v>44.947</v>
      </c>
      <c r="EL41" t="n">
        <v>49.943</v>
      </c>
      <c r="EM41" t="n">
        <v>51.172</v>
      </c>
      <c r="EN41" t="n">
        <v>47.383</v>
      </c>
      <c r="EO41" t="n">
        <v>49.225</v>
      </c>
      <c r="EP41" t="n">
        <v>53.557</v>
      </c>
      <c r="EQ41" t="n">
        <v>53.237</v>
      </c>
      <c r="ER41" t="n">
        <v>52.165</v>
      </c>
      <c r="ES41" t="n">
        <v>51.704</v>
      </c>
      <c r="ET41" t="n">
        <v>50.937</v>
      </c>
      <c r="EU41" t="n">
        <v>56.121</v>
      </c>
      <c r="EV41" t="n">
        <v>55.528</v>
      </c>
      <c r="EW41" t="n">
        <v>54.619</v>
      </c>
      <c r="EX41" t="n">
        <v>56.613</v>
      </c>
      <c r="EY41" t="n">
        <v>58.842</v>
      </c>
      <c r="EZ41" t="n">
        <v>56.868</v>
      </c>
      <c r="FA41" t="n">
        <v>58.177</v>
      </c>
      <c r="FB41" t="n">
        <v>58.334</v>
      </c>
      <c r="FC41" t="n">
        <v>59.643</v>
      </c>
      <c r="FD41" t="n">
        <v>67.126</v>
      </c>
      <c r="FE41" t="n">
        <v>68.543</v>
      </c>
      <c r="FF41" t="n">
        <v>64.721</v>
      </c>
      <c r="FG41" t="n">
        <v>73.737</v>
      </c>
      <c r="FH41" t="n">
        <v>74.821</v>
      </c>
      <c r="FI41" t="n">
        <v>75.022</v>
      </c>
      <c r="FJ41" t="n">
        <v>70.503</v>
      </c>
      <c r="FK41" t="n">
        <v>69.145</v>
      </c>
      <c r="FL41" t="n">
        <v>65.916</v>
      </c>
      <c r="FM41" t="n">
        <v>70.531</v>
      </c>
      <c r="FN41" t="n">
        <v>67.107</v>
      </c>
      <c r="FO41" t="n">
        <v>67.67</v>
      </c>
      <c r="FP41" t="n">
        <v>65.88</v>
      </c>
      <c r="FQ41" t="n">
        <v>65.507</v>
      </c>
      <c r="FR41" t="n">
        <v>67.564</v>
      </c>
      <c r="FS41" t="n">
        <v>63.979</v>
      </c>
      <c r="FT41" t="n">
        <v>68.014</v>
      </c>
      <c r="FU41" t="n">
        <v>65.742</v>
      </c>
      <c r="FV41" t="n">
        <v>65.276</v>
      </c>
      <c r="FW41" t="n">
        <v>67.164</v>
      </c>
      <c r="FX41" t="n">
        <v>68.84</v>
      </c>
      <c r="FY41" t="n">
        <v>61.403</v>
      </c>
      <c r="FZ41" t="n">
        <v>63.534</v>
      </c>
      <c r="GA41" t="n">
        <v>62.907</v>
      </c>
      <c r="GB41" t="n">
        <v>66.76</v>
      </c>
      <c r="GC41" t="n">
        <v>64.462</v>
      </c>
      <c r="GD41" t="n">
        <v>66.301</v>
      </c>
      <c r="GE41" t="n">
        <v>67.191</v>
      </c>
      <c r="GF41" t="n">
        <v>68.578</v>
      </c>
      <c r="GG41" t="n">
        <v>66.981</v>
      </c>
      <c r="GH41" t="n">
        <v>67.223</v>
      </c>
      <c r="GI41" t="n">
        <v>69.479</v>
      </c>
      <c r="GJ41" t="n">
        <v>64.624</v>
      </c>
      <c r="GK41" t="n">
        <v>65.737</v>
      </c>
      <c r="GL41" t="n">
        <v>65.069</v>
      </c>
      <c r="GM41" t="n">
        <v>65.827</v>
      </c>
      <c r="GN41" t="n">
        <v>70.346</v>
      </c>
      <c r="GO41" t="n">
        <v>66.262</v>
      </c>
      <c r="GP41" t="n">
        <v>67.564</v>
      </c>
      <c r="GQ41" t="n">
        <v>67.514</v>
      </c>
      <c r="GR41" t="n">
        <v>70.83</v>
      </c>
      <c r="GS41" t="n">
        <v>72.497</v>
      </c>
      <c r="GT41" t="n">
        <v>75.649</v>
      </c>
      <c r="GU41" t="n">
        <v>75.484</v>
      </c>
      <c r="GV41" t="n">
        <v>79.444</v>
      </c>
      <c r="GW41" t="n">
        <v>75.743</v>
      </c>
      <c r="GX41" t="n">
        <v>73.183</v>
      </c>
      <c r="GY41" t="n">
        <v>74.421</v>
      </c>
      <c r="GZ41" t="n">
        <v>70.334</v>
      </c>
      <c r="HA41" t="n">
        <v>72.708</v>
      </c>
      <c r="HB41" t="n">
        <v>75.024</v>
      </c>
      <c r="HC41" t="n">
        <v>427.625</v>
      </c>
      <c r="HD41" t="n">
        <v>145.124</v>
      </c>
      <c r="HE41" t="n">
        <v>81.416</v>
      </c>
      <c r="HF41" t="n">
        <v>81.027</v>
      </c>
      <c r="HG41" t="n">
        <v>89.128</v>
      </c>
      <c r="HH41" t="n">
        <v>92.77</v>
      </c>
      <c r="HI41" t="n">
        <v>90.915</v>
      </c>
      <c r="HJ41" t="n">
        <v>93.025</v>
      </c>
      <c r="HK41" t="n">
        <v>95.403</v>
      </c>
      <c r="HL41" t="n">
        <v>100.43</v>
      </c>
      <c r="HM41" t="n">
        <v>179.066</v>
      </c>
      <c r="HN41" t="n">
        <v>105.753</v>
      </c>
      <c r="HO41" t="n">
        <v>103.189</v>
      </c>
    </row>
    <row r="42">
      <c r="A42" s="78" t="s">
        <v>2554</v>
      </c>
      <c r="B42" s="78" t="n">
        <v>4.7</v>
      </c>
      <c r="C42" s="78" t="n">
        <v>4.8</v>
      </c>
      <c r="D42" s="78" t="n">
        <v>4.7</v>
      </c>
      <c r="E42" s="78" t="n">
        <v>4.8</v>
      </c>
      <c r="F42" s="78" t="n">
        <v>4.7</v>
      </c>
      <c r="G42" s="78" t="n">
        <v>4.8</v>
      </c>
      <c r="H42" s="78" t="n">
        <v>4.5</v>
      </c>
      <c r="I42" s="78" t="n">
        <v>4.6</v>
      </c>
      <c r="J42" s="78" t="n">
        <v>6.1</v>
      </c>
      <c r="K42" s="78" t="n">
        <v>6.2</v>
      </c>
      <c r="L42" s="78" t="n">
        <v>7.1</v>
      </c>
      <c r="M42" s="78" t="n">
        <v>7</v>
      </c>
      <c r="N42" s="78" t="n">
        <v>5.9</v>
      </c>
      <c r="O42" s="78" t="n">
        <v>5.6</v>
      </c>
      <c r="P42" t="n">
        <v>4.6</v>
      </c>
      <c r="Q42" t="n">
        <v>4.5</v>
      </c>
      <c r="R42" t="n">
        <v>3.5</v>
      </c>
      <c r="S42" t="n">
        <v>2.8</v>
      </c>
      <c r="T42" t="n">
        <v>3.1</v>
      </c>
      <c r="U42" t="n">
        <v>3.5</v>
      </c>
      <c r="V42" t="n">
        <v>4.1</v>
      </c>
      <c r="W42" t="n">
        <v>4.1</v>
      </c>
      <c r="X42" t="n">
        <v>4.4</v>
      </c>
      <c r="Y42" t="n">
        <v>4.8</v>
      </c>
      <c r="Z42" t="n">
        <v>5</v>
      </c>
      <c r="AA42" t="n">
        <v>4.7</v>
      </c>
      <c r="AB42" t="n">
        <v>4.9</v>
      </c>
      <c r="AC42" t="n">
        <v>5.3</v>
      </c>
      <c r="AD42" t="n">
        <v>5.6</v>
      </c>
      <c r="AE42" t="n">
        <v>5.7</v>
      </c>
      <c r="AF42" t="n">
        <v>6.2</v>
      </c>
      <c r="AG42" t="n">
        <v>10.1</v>
      </c>
      <c r="AH42" t="n">
        <v>8.5</v>
      </c>
      <c r="AI42" t="n">
        <v>8.1</v>
      </c>
      <c r="AJ42" t="n">
        <v>8</v>
      </c>
      <c r="AK42" t="n">
        <v>10.1</v>
      </c>
      <c r="AL42" t="n">
        <v>8.1</v>
      </c>
      <c r="AM42" t="n">
        <v>8.5</v>
      </c>
      <c r="AN42" t="n">
        <v>7.8</v>
      </c>
      <c r="AO42" t="n">
        <v>8.5</v>
      </c>
      <c r="AP42" t="n">
        <v>8.9</v>
      </c>
      <c r="AQ42" t="n">
        <v>9.3</v>
      </c>
      <c r="AR42" t="n">
        <v>9.7</v>
      </c>
      <c r="AS42" t="n">
        <v>9.9</v>
      </c>
      <c r="AT42" t="n">
        <v>10.2</v>
      </c>
      <c r="AU42" t="n">
        <v>10.3</v>
      </c>
      <c r="AV42" t="n">
        <v>10.7</v>
      </c>
      <c r="AW42" t="n">
        <v>13.1</v>
      </c>
      <c r="AX42" t="n">
        <v>13.6</v>
      </c>
      <c r="AY42" t="n">
        <v>13.2</v>
      </c>
      <c r="AZ42" t="n">
        <v>12.6</v>
      </c>
      <c r="BA42" t="n">
        <v>19</v>
      </c>
      <c r="BB42" t="n">
        <v>19.4</v>
      </c>
      <c r="BC42" t="n">
        <v>21.1</v>
      </c>
      <c r="BD42" t="n">
        <v>21.8</v>
      </c>
      <c r="BE42" t="n">
        <v>21.1</v>
      </c>
      <c r="BF42" t="n">
        <v>20.8</v>
      </c>
      <c r="BG42" t="n">
        <v>20.6</v>
      </c>
      <c r="BH42" t="n">
        <v>20.5</v>
      </c>
      <c r="BI42" t="n">
        <v>20.8</v>
      </c>
      <c r="BJ42" t="n">
        <v>20.8</v>
      </c>
      <c r="BK42" t="n">
        <v>20.7</v>
      </c>
      <c r="BL42" t="n">
        <v>21</v>
      </c>
      <c r="BM42" t="n">
        <v>21.7</v>
      </c>
      <c r="BN42" t="n">
        <v>22.8</v>
      </c>
      <c r="BO42" t="n">
        <v>23.9</v>
      </c>
      <c r="BP42" t="n">
        <v>25.1</v>
      </c>
      <c r="BQ42" t="n">
        <v>26.5</v>
      </c>
      <c r="BR42" t="n">
        <v>28</v>
      </c>
      <c r="BS42" t="n">
        <v>30.2</v>
      </c>
      <c r="BT42" t="n">
        <v>31</v>
      </c>
      <c r="BU42" t="n">
        <v>30.8</v>
      </c>
      <c r="BV42" t="n">
        <v>30</v>
      </c>
      <c r="BW42" t="n">
        <v>29.5</v>
      </c>
      <c r="BX42" t="n">
        <v>28.9</v>
      </c>
      <c r="BY42" t="n">
        <v>28.2</v>
      </c>
      <c r="BZ42" t="n">
        <v>27.6</v>
      </c>
      <c r="CA42" t="n">
        <v>27</v>
      </c>
      <c r="CB42" t="n">
        <v>26.7</v>
      </c>
      <c r="CC42" t="n">
        <v>26.9</v>
      </c>
      <c r="CD42" t="n">
        <v>26.8</v>
      </c>
      <c r="CE42" t="n">
        <v>26.6</v>
      </c>
      <c r="CF42" t="n">
        <v>26.6</v>
      </c>
      <c r="CG42" t="n">
        <v>26.6</v>
      </c>
      <c r="CH42" t="n">
        <v>26.7</v>
      </c>
      <c r="CI42" t="n">
        <v>26.8</v>
      </c>
      <c r="CJ42" t="n">
        <v>27.1</v>
      </c>
      <c r="CK42" t="n">
        <v>27.7</v>
      </c>
      <c r="CL42" t="n">
        <v>28.2</v>
      </c>
      <c r="CM42" t="n">
        <v>28.8</v>
      </c>
      <c r="CN42" t="n">
        <v>30</v>
      </c>
      <c r="CO42" t="n">
        <v>31.8</v>
      </c>
      <c r="CP42" t="n">
        <v>35.1</v>
      </c>
      <c r="CQ42" t="n">
        <v>37.2</v>
      </c>
      <c r="CR42" t="n">
        <v>37.3</v>
      </c>
      <c r="CS42" t="n">
        <v>35.7</v>
      </c>
      <c r="CT42" t="n">
        <v>33.2</v>
      </c>
      <c r="CU42" t="n">
        <v>32</v>
      </c>
      <c r="CV42" t="n">
        <v>31.6</v>
      </c>
      <c r="CW42" t="n">
        <v>31.9</v>
      </c>
      <c r="CX42" t="n">
        <v>33.6</v>
      </c>
      <c r="CY42" t="n">
        <v>34.3</v>
      </c>
      <c r="CZ42" t="n">
        <v>34.8</v>
      </c>
      <c r="DA42" t="n">
        <v>35.2</v>
      </c>
      <c r="DB42" t="n">
        <v>35.2</v>
      </c>
      <c r="DC42" t="n">
        <v>35.1</v>
      </c>
      <c r="DD42" t="n">
        <v>34.9</v>
      </c>
      <c r="DE42" t="n">
        <v>34.4</v>
      </c>
      <c r="DF42" t="n">
        <v>34</v>
      </c>
      <c r="DG42" t="n">
        <v>33.2</v>
      </c>
      <c r="DH42" t="n">
        <v>33</v>
      </c>
      <c r="DI42" t="n">
        <v>33.3</v>
      </c>
      <c r="DJ42" t="n">
        <v>33.4</v>
      </c>
      <c r="DK42" t="n">
        <v>34.6</v>
      </c>
      <c r="DL42" t="n">
        <v>36.3</v>
      </c>
      <c r="DM42" t="n">
        <v>39.4</v>
      </c>
      <c r="DN42" t="n">
        <v>42</v>
      </c>
      <c r="DO42" t="n">
        <v>44.6</v>
      </c>
      <c r="DP42" t="n">
        <v>46</v>
      </c>
      <c r="DQ42" t="n">
        <v>46.5</v>
      </c>
      <c r="DR42" t="n">
        <v>44.6</v>
      </c>
      <c r="DS42" t="n">
        <v>45</v>
      </c>
      <c r="DT42" t="n">
        <v>45.3</v>
      </c>
      <c r="DU42" t="n">
        <v>46.4</v>
      </c>
      <c r="DV42" t="n">
        <v>47.2</v>
      </c>
      <c r="DW42" t="n">
        <v>47.6</v>
      </c>
      <c r="DX42" t="n">
        <v>66.3</v>
      </c>
      <c r="DY42" t="n">
        <v>43.1</v>
      </c>
      <c r="DZ42" t="n">
        <v>40.7</v>
      </c>
      <c r="EA42" t="n">
        <v>39.2</v>
      </c>
      <c r="EB42" t="n">
        <v>39.7</v>
      </c>
      <c r="EC42" t="n">
        <v>42.3</v>
      </c>
      <c r="ED42" t="n">
        <v>47</v>
      </c>
      <c r="EE42" t="n">
        <v>56.8</v>
      </c>
      <c r="EF42" t="n">
        <v>46.9</v>
      </c>
      <c r="EG42" t="n">
        <v>45.1</v>
      </c>
      <c r="EH42" t="n">
        <v>43.9</v>
      </c>
      <c r="EI42" t="n">
        <v>43.3</v>
      </c>
      <c r="EJ42" t="n">
        <v>45</v>
      </c>
      <c r="EK42" t="n">
        <v>51.9</v>
      </c>
      <c r="EL42" t="n">
        <v>56.4</v>
      </c>
      <c r="EM42" t="n">
        <v>60.3</v>
      </c>
      <c r="EN42" t="n">
        <v>61.6</v>
      </c>
      <c r="EO42" t="n">
        <v>63.9</v>
      </c>
      <c r="EP42" t="n">
        <v>55.4</v>
      </c>
      <c r="EQ42" t="n">
        <v>51.2</v>
      </c>
      <c r="ER42" t="n">
        <v>49.5</v>
      </c>
      <c r="ES42" t="n">
        <v>48.3</v>
      </c>
      <c r="ET42" t="n">
        <v>47.6</v>
      </c>
      <c r="EU42" t="n">
        <v>47.5</v>
      </c>
      <c r="EV42" t="n">
        <v>47.2</v>
      </c>
      <c r="EW42" t="n">
        <v>47.5</v>
      </c>
      <c r="EX42" t="n">
        <v>48</v>
      </c>
      <c r="EY42" t="n">
        <v>48.7</v>
      </c>
      <c r="EZ42" t="n">
        <v>49.8</v>
      </c>
      <c r="FA42" t="n">
        <v>51.8</v>
      </c>
      <c r="FB42" t="n">
        <v>53.4</v>
      </c>
      <c r="FC42" t="n">
        <v>54.3</v>
      </c>
      <c r="FD42" t="n">
        <v>65.9</v>
      </c>
      <c r="FE42" t="n">
        <v>54.3</v>
      </c>
      <c r="FF42" t="n">
        <v>53.2</v>
      </c>
      <c r="FG42" t="n">
        <v>53.4</v>
      </c>
      <c r="FH42" t="n">
        <v>54.4</v>
      </c>
      <c r="FI42" t="n">
        <v>56</v>
      </c>
      <c r="FJ42" t="n">
        <v>58</v>
      </c>
      <c r="FK42" t="n">
        <v>59.5</v>
      </c>
      <c r="FL42" t="n">
        <v>59.7</v>
      </c>
      <c r="FM42" t="n">
        <v>60.6</v>
      </c>
      <c r="FN42" t="n">
        <v>57.9</v>
      </c>
      <c r="FO42" t="n">
        <v>57.6</v>
      </c>
      <c r="FP42" t="n">
        <v>55.8</v>
      </c>
      <c r="FQ42" t="n">
        <v>58.9</v>
      </c>
      <c r="FR42" t="n">
        <v>58.9</v>
      </c>
      <c r="FS42" t="n">
        <v>59.6</v>
      </c>
      <c r="FT42" t="n">
        <v>59.5</v>
      </c>
      <c r="FU42" t="n">
        <v>58.9</v>
      </c>
      <c r="FV42" t="n">
        <v>58.2</v>
      </c>
      <c r="FW42" t="n">
        <v>58</v>
      </c>
      <c r="FX42" t="n">
        <v>57.7</v>
      </c>
      <c r="FY42" t="n">
        <v>56.5</v>
      </c>
      <c r="FZ42" t="n">
        <v>55.5</v>
      </c>
      <c r="GA42" t="n">
        <v>55.9</v>
      </c>
      <c r="GB42" t="n">
        <v>57.2</v>
      </c>
      <c r="GC42" t="n">
        <v>58.1</v>
      </c>
      <c r="GD42" t="n">
        <v>60.2</v>
      </c>
      <c r="GE42" t="n">
        <v>61.8</v>
      </c>
      <c r="GF42" t="n">
        <v>62.5</v>
      </c>
      <c r="GG42" t="n">
        <v>60.4</v>
      </c>
      <c r="GH42" t="n">
        <v>58.8</v>
      </c>
      <c r="GI42" t="n">
        <v>57.5</v>
      </c>
      <c r="GJ42" t="n">
        <v>61.4</v>
      </c>
      <c r="GK42" t="n">
        <v>59.6</v>
      </c>
      <c r="GL42" t="n">
        <v>58.1</v>
      </c>
      <c r="GM42" t="n">
        <v>57.7</v>
      </c>
      <c r="GN42" t="n">
        <v>57.3</v>
      </c>
      <c r="GO42" t="n">
        <v>77.9</v>
      </c>
      <c r="GP42" t="n">
        <v>68.5</v>
      </c>
      <c r="GQ42" t="n">
        <v>58.3</v>
      </c>
      <c r="GR42" t="n">
        <v>80.6</v>
      </c>
      <c r="GS42" t="n">
        <v>82.1</v>
      </c>
      <c r="GT42" t="n">
        <v>80</v>
      </c>
      <c r="GU42" t="n">
        <v>1031.8</v>
      </c>
      <c r="GV42" t="n">
        <v>1163.3</v>
      </c>
      <c r="GW42" t="n">
        <v>516.4</v>
      </c>
      <c r="GX42" t="n">
        <v>518.1</v>
      </c>
      <c r="GY42" t="n">
        <v>822</v>
      </c>
      <c r="GZ42" t="n">
        <v>673.4</v>
      </c>
      <c r="HA42" t="n">
        <v>413.4</v>
      </c>
      <c r="HB42" t="n">
        <v>150.8</v>
      </c>
      <c r="HC42" t="n">
        <v>129.3</v>
      </c>
      <c r="HD42" t="n">
        <v>118.4</v>
      </c>
      <c r="HE42" t="n">
        <v>110.8</v>
      </c>
      <c r="HF42" t="n">
        <v>103.8</v>
      </c>
      <c r="HG42" t="n">
        <v>101.8</v>
      </c>
      <c r="HH42" t="n">
        <v>104</v>
      </c>
      <c r="HI42" t="n">
        <v>98.9</v>
      </c>
      <c r="HJ42" t="n">
        <v>96.1</v>
      </c>
      <c r="HK42" t="n">
        <v>93.7</v>
      </c>
      <c r="HL42" t="n">
        <v>92.1</v>
      </c>
      <c r="HM42" t="n">
        <v>93.5</v>
      </c>
      <c r="HN42" t="n">
        <v>104.1</v>
      </c>
      <c r="HO42" t="n">
        <v>116.5</v>
      </c>
    </row>
    <row r="43">
      <c r="A43" s="78" t="s">
        <v>2555</v>
      </c>
      <c r="B43" s="78" t="n">
        <v>0</v>
      </c>
      <c r="C43" s="78" t="n">
        <v>0</v>
      </c>
      <c r="D43" s="78" t="n">
        <v>0</v>
      </c>
      <c r="E43" s="78" t="n">
        <v>0</v>
      </c>
      <c r="F43" s="78" t="n">
        <v>0</v>
      </c>
      <c r="G43" s="78" t="n">
        <v>0</v>
      </c>
      <c r="H43" s="78" t="n">
        <v>0</v>
      </c>
      <c r="I43" s="78" t="n">
        <v>0</v>
      </c>
      <c r="J43" s="78" t="n">
        <v>0</v>
      </c>
      <c r="K43" s="78" t="n">
        <v>0.1</v>
      </c>
      <c r="L43" s="78" t="n">
        <v>0.1</v>
      </c>
      <c r="M43" s="78" t="n">
        <v>0.1</v>
      </c>
      <c r="N43" s="78" t="n">
        <v>0.1</v>
      </c>
      <c r="O43" s="78" t="n">
        <v>0.1</v>
      </c>
      <c r="P43" t="n">
        <v>0.1</v>
      </c>
      <c r="Q43" t="n">
        <v>0.1</v>
      </c>
      <c r="R43" t="n">
        <v>0.1</v>
      </c>
      <c r="S43" t="n">
        <v>0.1</v>
      </c>
      <c r="T43" t="n">
        <v>0.1</v>
      </c>
      <c r="U43" t="n">
        <v>0.1</v>
      </c>
      <c r="V43" t="n">
        <v>0.1</v>
      </c>
      <c r="W43" t="n">
        <v>0.2</v>
      </c>
      <c r="X43" t="n">
        <v>0.2</v>
      </c>
      <c r="Y43" t="n">
        <v>0.2</v>
      </c>
      <c r="Z43" t="n">
        <v>0.2</v>
      </c>
      <c r="AA43" t="n">
        <v>0.2</v>
      </c>
      <c r="AB43" t="n">
        <v>0.2</v>
      </c>
      <c r="AC43" t="n">
        <v>0.2</v>
      </c>
      <c r="AD43" t="n">
        <v>0.2</v>
      </c>
      <c r="AE43" t="n">
        <v>0.2</v>
      </c>
      <c r="AF43" t="n">
        <v>0.2</v>
      </c>
      <c r="AG43" t="n">
        <v>0.2</v>
      </c>
      <c r="AH43" t="n">
        <v>0.2</v>
      </c>
      <c r="AI43" t="n">
        <v>0.2</v>
      </c>
      <c r="AJ43" t="n">
        <v>0.2</v>
      </c>
      <c r="AK43" t="n">
        <v>0.3</v>
      </c>
      <c r="AL43" t="n">
        <v>0.3</v>
      </c>
      <c r="AM43" t="n">
        <v>0.3</v>
      </c>
      <c r="AN43" t="n">
        <v>0.3</v>
      </c>
      <c r="AO43" t="n">
        <v>0.3</v>
      </c>
      <c r="AP43" t="n">
        <v>0.3</v>
      </c>
      <c r="AQ43" t="n">
        <v>0.3</v>
      </c>
      <c r="AR43" t="n">
        <v>0.4</v>
      </c>
      <c r="AS43" t="n">
        <v>0.4</v>
      </c>
      <c r="AT43" t="n">
        <v>0.4</v>
      </c>
      <c r="AU43" t="n">
        <v>0.4</v>
      </c>
      <c r="AV43" t="n">
        <v>0.4</v>
      </c>
      <c r="AW43" t="n">
        <v>0.4</v>
      </c>
      <c r="AX43" t="n">
        <v>0.4</v>
      </c>
      <c r="AY43" t="n">
        <v>0.5</v>
      </c>
      <c r="AZ43" t="n">
        <v>0.5</v>
      </c>
      <c r="BA43" t="n">
        <v>0.5</v>
      </c>
      <c r="BB43" t="n">
        <v>0.5</v>
      </c>
      <c r="BC43" t="n">
        <v>0.4</v>
      </c>
      <c r="BD43" t="n">
        <v>0.4</v>
      </c>
      <c r="BE43" t="n">
        <v>0.4</v>
      </c>
      <c r="BF43" t="n">
        <v>0.4</v>
      </c>
      <c r="BG43" t="n">
        <v>0.4</v>
      </c>
      <c r="BH43" t="n">
        <v>0.4</v>
      </c>
      <c r="BI43" t="n">
        <v>0.4</v>
      </c>
      <c r="BJ43" t="n">
        <v>0.3</v>
      </c>
      <c r="BK43" t="n">
        <v>0.3</v>
      </c>
      <c r="BL43" t="n">
        <v>0.3</v>
      </c>
      <c r="BM43" t="n">
        <v>0.3</v>
      </c>
      <c r="BN43" t="n">
        <v>0.3</v>
      </c>
      <c r="BO43" t="n">
        <v>0.3</v>
      </c>
      <c r="BP43" t="n">
        <v>0.3</v>
      </c>
      <c r="BQ43" t="n">
        <v>0.3</v>
      </c>
      <c r="BR43" t="n">
        <v>0.3</v>
      </c>
      <c r="BS43" t="n">
        <v>0.3</v>
      </c>
      <c r="BT43" t="n">
        <v>0.3</v>
      </c>
      <c r="BU43" t="n">
        <v>0.3</v>
      </c>
      <c r="BV43" t="n">
        <v>0.3</v>
      </c>
      <c r="BW43" t="n">
        <v>0.3</v>
      </c>
      <c r="BX43" t="n">
        <v>0.4</v>
      </c>
      <c r="BY43" t="n">
        <v>0.4</v>
      </c>
      <c r="BZ43" t="n">
        <v>0.4</v>
      </c>
      <c r="CA43" t="n">
        <v>0.4</v>
      </c>
      <c r="CB43" t="n">
        <v>0.4</v>
      </c>
      <c r="CC43" t="n">
        <v>0.4</v>
      </c>
      <c r="CD43" t="n">
        <v>0.4</v>
      </c>
      <c r="CE43" t="n">
        <v>0.4</v>
      </c>
      <c r="CF43" t="n">
        <v>0.4</v>
      </c>
      <c r="CG43" t="n">
        <v>0.4</v>
      </c>
      <c r="CH43" t="n">
        <v>0.4</v>
      </c>
      <c r="CI43" t="n">
        <v>0.4</v>
      </c>
      <c r="CJ43" t="n">
        <v>0.4</v>
      </c>
      <c r="CK43" t="n">
        <v>0.4</v>
      </c>
      <c r="CL43" t="n">
        <v>0.4</v>
      </c>
      <c r="CM43" t="n">
        <v>0.4</v>
      </c>
      <c r="CN43" t="n">
        <v>0.4</v>
      </c>
      <c r="CO43" t="n">
        <v>0.4</v>
      </c>
      <c r="CP43" t="n">
        <v>0.4</v>
      </c>
      <c r="CQ43" t="n">
        <v>0.4</v>
      </c>
      <c r="CR43" t="n">
        <v>0.4</v>
      </c>
      <c r="CS43" t="n">
        <v>0.4</v>
      </c>
      <c r="CT43" t="n">
        <v>0.4</v>
      </c>
      <c r="CU43" t="n">
        <v>0.3</v>
      </c>
      <c r="CV43" t="n">
        <v>0.3</v>
      </c>
      <c r="CW43" t="n">
        <v>0.3</v>
      </c>
      <c r="CX43" t="n">
        <v>0.3</v>
      </c>
      <c r="CY43" t="n">
        <v>0.3</v>
      </c>
      <c r="CZ43" t="n">
        <v>0.3</v>
      </c>
      <c r="DA43" t="n">
        <v>0.3</v>
      </c>
      <c r="DB43" t="n">
        <v>0.3</v>
      </c>
      <c r="DC43" t="n">
        <v>0.3</v>
      </c>
      <c r="DD43" t="n">
        <v>0.3</v>
      </c>
      <c r="DE43" t="n">
        <v>0.4</v>
      </c>
      <c r="DF43" t="n">
        <v>0.4</v>
      </c>
      <c r="DG43" t="n">
        <v>0.4</v>
      </c>
      <c r="DH43" t="n">
        <v>0.4</v>
      </c>
      <c r="DI43" t="n">
        <v>0.5</v>
      </c>
      <c r="DJ43" t="n">
        <v>0.5</v>
      </c>
      <c r="DK43" t="n">
        <v>0.5</v>
      </c>
      <c r="DL43" t="n">
        <v>0.4</v>
      </c>
      <c r="DM43" t="n">
        <v>0.4</v>
      </c>
      <c r="DN43" t="n">
        <v>0.4</v>
      </c>
      <c r="DO43" t="n">
        <v>0.4</v>
      </c>
      <c r="DP43" t="n">
        <v>0.4</v>
      </c>
      <c r="DQ43" t="n">
        <v>0.4</v>
      </c>
      <c r="DR43" t="n">
        <v>0.5</v>
      </c>
      <c r="DS43" t="n">
        <v>0.5</v>
      </c>
      <c r="DT43" t="n">
        <v>0.6</v>
      </c>
      <c r="DU43" t="n">
        <v>0.6</v>
      </c>
      <c r="DV43" t="n">
        <v>8</v>
      </c>
      <c r="DW43" t="n">
        <v>14.4</v>
      </c>
      <c r="DX43" t="n">
        <v>4.8</v>
      </c>
      <c r="DY43" t="n">
        <v>3.4</v>
      </c>
      <c r="DZ43" t="n">
        <v>1.8</v>
      </c>
      <c r="EA43" t="n">
        <v>0.6</v>
      </c>
      <c r="EB43" t="n">
        <v>1.7</v>
      </c>
      <c r="EC43" t="n">
        <v>-0.4</v>
      </c>
      <c r="ED43" t="n">
        <v>0.1</v>
      </c>
      <c r="EE43" t="n">
        <v>0.3</v>
      </c>
      <c r="EF43" t="n">
        <v>-1</v>
      </c>
      <c r="EG43" t="n">
        <v>0.9</v>
      </c>
      <c r="EH43" t="n">
        <v>0.4</v>
      </c>
      <c r="EI43" t="n">
        <v>0.4</v>
      </c>
      <c r="EJ43" t="n">
        <v>0.4</v>
      </c>
      <c r="EK43" t="n">
        <v>0.4</v>
      </c>
      <c r="EL43" t="n">
        <v>0.4</v>
      </c>
      <c r="EM43" t="n">
        <v>0.4</v>
      </c>
      <c r="EN43" t="n">
        <v>0.4</v>
      </c>
      <c r="EO43" t="n">
        <v>0.4</v>
      </c>
      <c r="EP43" t="n">
        <v>0.4</v>
      </c>
      <c r="EQ43" t="n">
        <v>0.4</v>
      </c>
      <c r="ER43" t="n">
        <v>0.4</v>
      </c>
      <c r="ES43" t="n">
        <v>0.4</v>
      </c>
      <c r="ET43" t="n">
        <v>1.9</v>
      </c>
      <c r="EU43" t="n">
        <v>10.7</v>
      </c>
      <c r="EV43" t="n">
        <v>8.8</v>
      </c>
      <c r="EW43" t="n">
        <v>7.2</v>
      </c>
      <c r="EX43" t="n">
        <v>4</v>
      </c>
      <c r="EY43" t="n">
        <v>2.9</v>
      </c>
      <c r="EZ43" t="n">
        <v>2.2</v>
      </c>
      <c r="FA43" t="n">
        <v>2.8</v>
      </c>
      <c r="FB43" t="n">
        <v>2</v>
      </c>
      <c r="FC43" t="n">
        <v>1.2</v>
      </c>
      <c r="FD43" t="n">
        <v>1.2</v>
      </c>
      <c r="FE43" t="n">
        <v>1.2</v>
      </c>
      <c r="FF43" t="n">
        <v>1.6</v>
      </c>
      <c r="FG43" t="n">
        <v>2.1</v>
      </c>
      <c r="FH43" t="n">
        <v>1.6</v>
      </c>
      <c r="FI43" t="n">
        <v>1</v>
      </c>
      <c r="FJ43" t="n">
        <v>0.9</v>
      </c>
      <c r="FK43" t="n">
        <v>0.4</v>
      </c>
      <c r="FL43" t="n">
        <v>0.4</v>
      </c>
      <c r="FM43" t="n">
        <v>0.4</v>
      </c>
      <c r="FN43" t="n">
        <v>0.5</v>
      </c>
      <c r="FO43" t="n">
        <v>0.5</v>
      </c>
      <c r="FP43" t="n">
        <v>0.5</v>
      </c>
      <c r="FQ43" t="n">
        <v>0.5</v>
      </c>
      <c r="FR43" t="n">
        <v>0.5</v>
      </c>
      <c r="FS43" t="n">
        <v>0.5</v>
      </c>
      <c r="FT43" t="n">
        <v>0.5</v>
      </c>
      <c r="FU43" t="n">
        <v>0.5</v>
      </c>
      <c r="FV43" t="n">
        <v>0.5</v>
      </c>
      <c r="FW43" t="n">
        <v>0.5</v>
      </c>
      <c r="FX43" t="n">
        <v>0.5</v>
      </c>
      <c r="FY43" t="n">
        <v>0.5</v>
      </c>
      <c r="FZ43" t="n">
        <v>0.5</v>
      </c>
      <c r="GA43" t="n">
        <v>0.5</v>
      </c>
      <c r="GB43" t="n">
        <v>0.5</v>
      </c>
      <c r="GC43" t="n">
        <v>0.5</v>
      </c>
      <c r="GD43" t="n">
        <v>0.5</v>
      </c>
      <c r="GE43" t="n">
        <v>0.5</v>
      </c>
      <c r="GF43" t="n">
        <v>0.5</v>
      </c>
      <c r="GG43" t="n">
        <v>0.5</v>
      </c>
      <c r="GH43" t="n">
        <v>0.5</v>
      </c>
      <c r="GI43" t="n">
        <v>0.6</v>
      </c>
      <c r="GJ43" t="n">
        <v>0.6</v>
      </c>
      <c r="GK43" t="n">
        <v>0.6</v>
      </c>
      <c r="GL43" t="n">
        <v>0.6</v>
      </c>
      <c r="GM43" t="n">
        <v>0.6</v>
      </c>
      <c r="GN43" t="n">
        <v>0.6</v>
      </c>
      <c r="GO43" t="n">
        <v>0.6</v>
      </c>
      <c r="GP43" t="n">
        <v>0.6</v>
      </c>
      <c r="GQ43" t="n">
        <v>0.6</v>
      </c>
      <c r="GR43" t="n">
        <v>0.6</v>
      </c>
      <c r="GS43" t="n">
        <v>0.6</v>
      </c>
      <c r="GT43" t="n">
        <v>0.6</v>
      </c>
      <c r="GU43" t="n">
        <v>0.6</v>
      </c>
      <c r="GV43" t="n">
        <v>0.6</v>
      </c>
      <c r="GW43" t="n">
        <v>0.6</v>
      </c>
      <c r="GX43" t="n">
        <v>2.5</v>
      </c>
      <c r="GY43" t="n">
        <v>8.6</v>
      </c>
      <c r="GZ43" t="n">
        <v>0.7</v>
      </c>
      <c r="HA43" t="n">
        <v>0.7</v>
      </c>
      <c r="HB43" t="n">
        <v>0.7</v>
      </c>
      <c r="HC43" t="n">
        <v>0.7</v>
      </c>
      <c r="HD43" t="n">
        <v>0.7</v>
      </c>
      <c r="HE43" t="n">
        <v>0.7</v>
      </c>
      <c r="HF43" t="n">
        <v>0.7</v>
      </c>
      <c r="HG43" t="n">
        <v>0.7</v>
      </c>
      <c r="HH43" t="n">
        <v>0.7</v>
      </c>
      <c r="HI43" t="n">
        <v>0.7</v>
      </c>
      <c r="HJ43" t="n">
        <v>0.7</v>
      </c>
      <c r="HK43" t="n">
        <v>0.7</v>
      </c>
      <c r="HL43" t="n">
        <v>0.7</v>
      </c>
      <c r="HM43" t="n">
        <v>0.7</v>
      </c>
      <c r="HN43" t="n">
        <v>0.7</v>
      </c>
      <c r="HO43" t="n">
        <v>0.7</v>
      </c>
    </row>
    <row r="44">
      <c r="A44" s="78" t="s">
        <v>2556</v>
      </c>
      <c r="B44" s="78" t="n">
        <v>4.7</v>
      </c>
      <c r="C44" s="78" t="n">
        <v>4.8</v>
      </c>
      <c r="D44" s="78" t="n">
        <v>4.7</v>
      </c>
      <c r="E44" s="78" t="n">
        <v>4.8</v>
      </c>
      <c r="F44" s="78" t="n">
        <v>4.8</v>
      </c>
      <c r="G44" s="78" t="n">
        <v>4.8</v>
      </c>
      <c r="H44" s="78" t="n">
        <v>4.5</v>
      </c>
      <c r="I44" s="78" t="n">
        <v>4.6</v>
      </c>
      <c r="J44" s="78" t="n">
        <v>6.1</v>
      </c>
      <c r="K44" s="78" t="n">
        <v>6.2</v>
      </c>
      <c r="L44" s="78" t="n">
        <v>7.2</v>
      </c>
      <c r="M44" s="78" t="n">
        <v>7.1</v>
      </c>
      <c r="N44" s="78" t="n">
        <v>5.9</v>
      </c>
      <c r="O44" s="78" t="n">
        <v>5.7</v>
      </c>
      <c r="P44" t="n">
        <v>4.7</v>
      </c>
      <c r="Q44" t="n">
        <v>4.6</v>
      </c>
      <c r="R44" t="n">
        <v>3.6</v>
      </c>
      <c r="S44" t="n">
        <v>2.9</v>
      </c>
      <c r="T44" t="n">
        <v>3.2</v>
      </c>
      <c r="U44" t="n">
        <v>3.6</v>
      </c>
      <c r="V44" t="n">
        <v>4.2</v>
      </c>
      <c r="W44" t="n">
        <v>4.3</v>
      </c>
      <c r="X44" t="n">
        <v>4.6</v>
      </c>
      <c r="Y44" t="n">
        <v>4.9</v>
      </c>
      <c r="Z44" t="n">
        <v>5.1</v>
      </c>
      <c r="AA44" t="n">
        <v>4.8</v>
      </c>
      <c r="AB44" t="n">
        <v>5.1</v>
      </c>
      <c r="AC44" t="n">
        <v>5.5</v>
      </c>
      <c r="AD44" t="n">
        <v>5.8</v>
      </c>
      <c r="AE44" t="n">
        <v>5.9</v>
      </c>
      <c r="AF44" t="n">
        <v>6.4</v>
      </c>
      <c r="AG44" t="n">
        <v>10.3</v>
      </c>
      <c r="AH44" t="n">
        <v>8.7</v>
      </c>
      <c r="AI44" t="n">
        <v>8.4</v>
      </c>
      <c r="AJ44" t="n">
        <v>8.3</v>
      </c>
      <c r="AK44" t="n">
        <v>10.4</v>
      </c>
      <c r="AL44" t="n">
        <v>8.4</v>
      </c>
      <c r="AM44" t="n">
        <v>8.8</v>
      </c>
      <c r="AN44" t="n">
        <v>8.1</v>
      </c>
      <c r="AO44" t="n">
        <v>8.9</v>
      </c>
      <c r="AP44" t="n">
        <v>9.2</v>
      </c>
      <c r="AQ44" t="n">
        <v>9.6</v>
      </c>
      <c r="AR44" t="n">
        <v>10.1</v>
      </c>
      <c r="AS44" t="n">
        <v>10.3</v>
      </c>
      <c r="AT44" t="n">
        <v>10.6</v>
      </c>
      <c r="AU44" t="n">
        <v>10.7</v>
      </c>
      <c r="AV44" t="n">
        <v>11.1</v>
      </c>
      <c r="AW44" t="n">
        <v>13.5</v>
      </c>
      <c r="AX44" t="n">
        <v>14</v>
      </c>
      <c r="AY44" t="n">
        <v>13.6</v>
      </c>
      <c r="AZ44" t="n">
        <v>13</v>
      </c>
      <c r="BA44" t="n">
        <v>19.4</v>
      </c>
      <c r="BB44" t="n">
        <v>19.9</v>
      </c>
      <c r="BC44" t="n">
        <v>21.6</v>
      </c>
      <c r="BD44" t="n">
        <v>22.2</v>
      </c>
      <c r="BE44" t="n">
        <v>21.5</v>
      </c>
      <c r="BF44" t="n">
        <v>21.2</v>
      </c>
      <c r="BG44" t="n">
        <v>21</v>
      </c>
      <c r="BH44" t="n">
        <v>20.9</v>
      </c>
      <c r="BI44" t="n">
        <v>21.2</v>
      </c>
      <c r="BJ44" t="n">
        <v>21.1</v>
      </c>
      <c r="BK44" t="n">
        <v>21</v>
      </c>
      <c r="BL44" t="n">
        <v>21.3</v>
      </c>
      <c r="BM44" t="n">
        <v>22</v>
      </c>
      <c r="BN44" t="n">
        <v>23.1</v>
      </c>
      <c r="BO44" t="n">
        <v>24.2</v>
      </c>
      <c r="BP44" t="n">
        <v>25.5</v>
      </c>
      <c r="BQ44" t="n">
        <v>26.8</v>
      </c>
      <c r="BR44" t="n">
        <v>28.3</v>
      </c>
      <c r="BS44" t="n">
        <v>30.4</v>
      </c>
      <c r="BT44" t="n">
        <v>31.3</v>
      </c>
      <c r="BU44" t="n">
        <v>31.1</v>
      </c>
      <c r="BV44" t="n">
        <v>30.4</v>
      </c>
      <c r="BW44" t="n">
        <v>29.8</v>
      </c>
      <c r="BX44" t="n">
        <v>29.2</v>
      </c>
      <c r="BY44" t="n">
        <v>28.6</v>
      </c>
      <c r="BZ44" t="n">
        <v>28</v>
      </c>
      <c r="CA44" t="n">
        <v>27.4</v>
      </c>
      <c r="CB44" t="n">
        <v>27.1</v>
      </c>
      <c r="CC44" t="n">
        <v>27.3</v>
      </c>
      <c r="CD44" t="n">
        <v>27.1</v>
      </c>
      <c r="CE44" t="n">
        <v>27</v>
      </c>
      <c r="CF44" t="n">
        <v>26.9</v>
      </c>
      <c r="CG44" t="n">
        <v>27</v>
      </c>
      <c r="CH44" t="n">
        <v>27.1</v>
      </c>
      <c r="CI44" t="n">
        <v>27.2</v>
      </c>
      <c r="CJ44" t="n">
        <v>27.5</v>
      </c>
      <c r="CK44" t="n">
        <v>28.1</v>
      </c>
      <c r="CL44" t="n">
        <v>28.6</v>
      </c>
      <c r="CM44" t="n">
        <v>29.2</v>
      </c>
      <c r="CN44" t="n">
        <v>30.4</v>
      </c>
      <c r="CO44" t="n">
        <v>32.2</v>
      </c>
      <c r="CP44" t="n">
        <v>35.5</v>
      </c>
      <c r="CQ44" t="n">
        <v>37.6</v>
      </c>
      <c r="CR44" t="n">
        <v>37.7</v>
      </c>
      <c r="CS44" t="n">
        <v>36</v>
      </c>
      <c r="CT44" t="n">
        <v>33.6</v>
      </c>
      <c r="CU44" t="n">
        <v>32.4</v>
      </c>
      <c r="CV44" t="n">
        <v>31.9</v>
      </c>
      <c r="CW44" t="n">
        <v>32.2</v>
      </c>
      <c r="CX44" t="n">
        <v>34</v>
      </c>
      <c r="CY44" t="n">
        <v>34.6</v>
      </c>
      <c r="CZ44" t="n">
        <v>35.1</v>
      </c>
      <c r="DA44" t="n">
        <v>35.5</v>
      </c>
      <c r="DB44" t="n">
        <v>35.5</v>
      </c>
      <c r="DC44" t="n">
        <v>35.4</v>
      </c>
      <c r="DD44" t="n">
        <v>35.2</v>
      </c>
      <c r="DE44" t="n">
        <v>34.8</v>
      </c>
      <c r="DF44" t="n">
        <v>34.4</v>
      </c>
      <c r="DG44" t="n">
        <v>33.6</v>
      </c>
      <c r="DH44" t="n">
        <v>33.4</v>
      </c>
      <c r="DI44" t="n">
        <v>33.8</v>
      </c>
      <c r="DJ44" t="n">
        <v>33.8</v>
      </c>
      <c r="DK44" t="n">
        <v>35</v>
      </c>
      <c r="DL44" t="n">
        <v>36.8</v>
      </c>
      <c r="DM44" t="n">
        <v>39.9</v>
      </c>
      <c r="DN44" t="n">
        <v>42.4</v>
      </c>
      <c r="DO44" t="n">
        <v>45</v>
      </c>
      <c r="DP44" t="n">
        <v>46.4</v>
      </c>
      <c r="DQ44" t="n">
        <v>46.9</v>
      </c>
      <c r="DR44" t="n">
        <v>45.1</v>
      </c>
      <c r="DS44" t="n">
        <v>45.5</v>
      </c>
      <c r="DT44" t="n">
        <v>45.8</v>
      </c>
      <c r="DU44" t="n">
        <v>47</v>
      </c>
      <c r="DV44" t="n">
        <v>55.2</v>
      </c>
      <c r="DW44" t="n">
        <v>62</v>
      </c>
      <c r="DX44" t="n">
        <v>71.2</v>
      </c>
      <c r="DY44" t="n">
        <v>46.4</v>
      </c>
      <c r="DZ44" t="n">
        <v>42.6</v>
      </c>
      <c r="EA44" t="n">
        <v>39.8</v>
      </c>
      <c r="EB44" t="n">
        <v>41.3</v>
      </c>
      <c r="EC44" t="n">
        <v>41.9</v>
      </c>
      <c r="ED44" t="n">
        <v>47.1</v>
      </c>
      <c r="EE44" t="n">
        <v>57.1</v>
      </c>
      <c r="EF44" t="n">
        <v>45.9</v>
      </c>
      <c r="EG44" t="n">
        <v>46</v>
      </c>
      <c r="EH44" t="n">
        <v>44.2</v>
      </c>
      <c r="EI44" t="n">
        <v>43.7</v>
      </c>
      <c r="EJ44" t="n">
        <v>45.4</v>
      </c>
      <c r="EK44" t="n">
        <v>52.3</v>
      </c>
      <c r="EL44" t="n">
        <v>56.7</v>
      </c>
      <c r="EM44" t="n">
        <v>60.7</v>
      </c>
      <c r="EN44" t="n">
        <v>62</v>
      </c>
      <c r="EO44" t="n">
        <v>64.2</v>
      </c>
      <c r="EP44" t="n">
        <v>55.7</v>
      </c>
      <c r="EQ44" t="n">
        <v>51.5</v>
      </c>
      <c r="ER44" t="n">
        <v>49.9</v>
      </c>
      <c r="ES44" t="n">
        <v>48.7</v>
      </c>
      <c r="ET44" t="n">
        <v>49.5</v>
      </c>
      <c r="EU44" t="n">
        <v>58.2</v>
      </c>
      <c r="EV44" t="n">
        <v>55.9</v>
      </c>
      <c r="EW44" t="n">
        <v>54.7</v>
      </c>
      <c r="EX44" t="n">
        <v>51.9</v>
      </c>
      <c r="EY44" t="n">
        <v>51.7</v>
      </c>
      <c r="EZ44" t="n">
        <v>52</v>
      </c>
      <c r="FA44" t="n">
        <v>54.6</v>
      </c>
      <c r="FB44" t="n">
        <v>55.4</v>
      </c>
      <c r="FC44" t="n">
        <v>55.5</v>
      </c>
      <c r="FD44" t="n">
        <v>67.1</v>
      </c>
      <c r="FE44" t="n">
        <v>55.5</v>
      </c>
      <c r="FF44" t="n">
        <v>54.8</v>
      </c>
      <c r="FG44" t="n">
        <v>55.5</v>
      </c>
      <c r="FH44" t="n">
        <v>56</v>
      </c>
      <c r="FI44" t="n">
        <v>56.9</v>
      </c>
      <c r="FJ44" t="n">
        <v>58.9</v>
      </c>
      <c r="FK44" t="n">
        <v>59.9</v>
      </c>
      <c r="FL44" t="n">
        <v>60.2</v>
      </c>
      <c r="FM44" t="n">
        <v>61.1</v>
      </c>
      <c r="FN44" t="n">
        <v>58.4</v>
      </c>
      <c r="FO44" t="n">
        <v>58.1</v>
      </c>
      <c r="FP44" t="n">
        <v>56.3</v>
      </c>
      <c r="FQ44" t="n">
        <v>59.4</v>
      </c>
      <c r="FR44" t="n">
        <v>59.4</v>
      </c>
      <c r="FS44" t="n">
        <v>60.1</v>
      </c>
      <c r="FT44" t="n">
        <v>60</v>
      </c>
      <c r="FU44" t="n">
        <v>59.4</v>
      </c>
      <c r="FV44" t="n">
        <v>58.7</v>
      </c>
      <c r="FW44" t="n">
        <v>58.5</v>
      </c>
      <c r="FX44" t="n">
        <v>58.2</v>
      </c>
      <c r="FY44" t="n">
        <v>57</v>
      </c>
      <c r="FZ44" t="n">
        <v>56</v>
      </c>
      <c r="GA44" t="n">
        <v>56.4</v>
      </c>
      <c r="GB44" t="n">
        <v>57.7</v>
      </c>
      <c r="GC44" t="n">
        <v>58.7</v>
      </c>
      <c r="GD44" t="n">
        <v>60.7</v>
      </c>
      <c r="GE44" t="n">
        <v>62.4</v>
      </c>
      <c r="GF44" t="n">
        <v>63</v>
      </c>
      <c r="GG44" t="n">
        <v>60.9</v>
      </c>
      <c r="GH44" t="n">
        <v>59.4</v>
      </c>
      <c r="GI44" t="n">
        <v>58</v>
      </c>
      <c r="GJ44" t="n">
        <v>61.9</v>
      </c>
      <c r="GK44" t="n">
        <v>60.2</v>
      </c>
      <c r="GL44" t="n">
        <v>58.7</v>
      </c>
      <c r="GM44" t="n">
        <v>58.2</v>
      </c>
      <c r="GN44" t="n">
        <v>57.8</v>
      </c>
      <c r="GO44" t="n">
        <v>78.5</v>
      </c>
      <c r="GP44" t="n">
        <v>69.1</v>
      </c>
      <c r="GQ44" t="n">
        <v>58.9</v>
      </c>
      <c r="GR44" t="n">
        <v>81.2</v>
      </c>
      <c r="GS44" t="n">
        <v>82.7</v>
      </c>
      <c r="GT44" t="n">
        <v>80.7</v>
      </c>
      <c r="GU44" t="n">
        <v>1032.4</v>
      </c>
      <c r="GV44" t="n">
        <v>1163.9</v>
      </c>
      <c r="GW44" t="n">
        <v>517</v>
      </c>
      <c r="GX44" t="n">
        <v>520.7</v>
      </c>
      <c r="GY44" t="n">
        <v>830.7</v>
      </c>
      <c r="GZ44" t="n">
        <v>674.1</v>
      </c>
      <c r="HA44" t="n">
        <v>414.1</v>
      </c>
      <c r="HB44" t="n">
        <v>151.5</v>
      </c>
      <c r="HC44" t="n">
        <v>130</v>
      </c>
      <c r="HD44" t="n">
        <v>119.1</v>
      </c>
      <c r="HE44" t="n">
        <v>111.5</v>
      </c>
      <c r="HF44" t="n">
        <v>104.5</v>
      </c>
      <c r="HG44" t="n">
        <v>102.5</v>
      </c>
      <c r="HH44" t="n">
        <v>104.7</v>
      </c>
      <c r="HI44" t="n">
        <v>99.6</v>
      </c>
      <c r="HJ44" t="n">
        <v>96.8</v>
      </c>
      <c r="HK44" t="n">
        <v>94.4</v>
      </c>
      <c r="HL44" t="n">
        <v>92.8</v>
      </c>
      <c r="HM44" t="n">
        <v>94.2</v>
      </c>
      <c r="HN44" t="n">
        <v>104.8</v>
      </c>
      <c r="HO44" t="n">
        <v>117.3</v>
      </c>
    </row>
    <row r="45">
      <c r="A45" s="78" t="s">
        <v>2557</v>
      </c>
      <c r="B45" s="78"/>
      <c r="C45" s="78"/>
      <c r="D45" s="78"/>
      <c r="E45" s="78"/>
      <c r="F45" s="78"/>
      <c r="G45" s="78"/>
      <c r="H45" s="78"/>
      <c r="I45" s="78"/>
      <c r="J45" s="78"/>
      <c r="K45" s="78"/>
      <c r="L45" s="78"/>
      <c r="M45" s="78"/>
      <c r="N45" s="78"/>
      <c r="O45" s="78"/>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t="n">
        <v>1078.1</v>
      </c>
      <c r="GV45" t="n">
        <v>15.6</v>
      </c>
      <c r="GW45" t="n">
        <v>5</v>
      </c>
      <c r="GX45" t="n">
        <v>1933.7</v>
      </c>
      <c r="GY45" t="n">
        <v>290.1</v>
      </c>
      <c r="GZ45" t="n">
        <v>38.9</v>
      </c>
      <c r="HA45" t="n">
        <v>14.2</v>
      </c>
      <c r="HB45" t="n">
        <v>0</v>
      </c>
      <c r="HC45" t="n">
        <v>0</v>
      </c>
      <c r="HD45" t="n">
        <v>0</v>
      </c>
      <c r="HE45" t="n">
        <v>0</v>
      </c>
      <c r="HF45"/>
      <c r="HG45"/>
      <c r="HH45"/>
      <c r="HI45"/>
      <c r="HJ45"/>
      <c r="HK45"/>
      <c r="HL45"/>
      <c r="HM45"/>
      <c r="HN45"/>
      <c r="HO45"/>
    </row>
    <row r="46">
      <c r="A46" s="78" t="s">
        <v>2558</v>
      </c>
      <c r="B46" s="78"/>
      <c r="C46" s="78"/>
      <c r="D46" s="78"/>
      <c r="E46" s="78"/>
      <c r="F46" s="78"/>
      <c r="G46" s="78"/>
      <c r="H46" s="78"/>
      <c r="I46" s="78"/>
      <c r="J46" s="78"/>
      <c r="K46" s="78"/>
      <c r="L46" s="78"/>
      <c r="M46" s="78"/>
      <c r="N46" s="78"/>
      <c r="O46" s="78"/>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t="n">
        <v>9.6</v>
      </c>
      <c r="GV46" t="n">
        <v>14.4</v>
      </c>
      <c r="GW46" t="n">
        <v>14.3</v>
      </c>
      <c r="GX46" t="n">
        <v>15</v>
      </c>
      <c r="GY46" t="n">
        <v>15.3</v>
      </c>
      <c r="GZ46" t="n">
        <v>15.6</v>
      </c>
      <c r="HA46" t="n">
        <v>15.7</v>
      </c>
      <c r="HB46" t="n">
        <v>15.8</v>
      </c>
      <c r="HC46" t="n">
        <v>7.9</v>
      </c>
      <c r="HD46" t="n">
        <v>0</v>
      </c>
      <c r="HE46" t="n">
        <v>0</v>
      </c>
      <c r="HF46"/>
      <c r="HG46"/>
      <c r="HH46"/>
      <c r="HI46"/>
      <c r="HJ46"/>
      <c r="HK46"/>
      <c r="HL46"/>
      <c r="HM46"/>
      <c r="HN46"/>
      <c r="HO46"/>
    </row>
    <row r="47">
      <c r="A47" s="78" t="s">
        <v>2559</v>
      </c>
      <c r="B47" s="78"/>
      <c r="C47" s="78"/>
      <c r="D47" s="78"/>
      <c r="E47" s="78"/>
      <c r="F47" s="78"/>
      <c r="G47" s="78"/>
      <c r="H47" s="78"/>
      <c r="I47" s="78"/>
      <c r="J47" s="78"/>
      <c r="K47" s="78"/>
      <c r="L47" s="78"/>
      <c r="M47" s="78"/>
      <c r="N47" s="78"/>
      <c r="O47" s="78"/>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t="n">
        <v>57.2</v>
      </c>
      <c r="GV47" t="n">
        <v>81.2</v>
      </c>
      <c r="GW47" t="n">
        <v>24.4</v>
      </c>
      <c r="GX47" t="n">
        <v>11.7</v>
      </c>
      <c r="GY47" t="n">
        <v>28.5</v>
      </c>
      <c r="GZ47" t="n">
        <v>18.8</v>
      </c>
      <c r="HA47" t="n">
        <v>1.6</v>
      </c>
      <c r="HB47" t="n">
        <v>0</v>
      </c>
      <c r="HC47" t="n">
        <v>0</v>
      </c>
      <c r="HD47" t="n">
        <v>0</v>
      </c>
      <c r="HE47" t="n">
        <v>0</v>
      </c>
      <c r="HF47"/>
      <c r="HG47"/>
      <c r="HH47"/>
      <c r="HI47"/>
      <c r="HJ47"/>
      <c r="HK47"/>
      <c r="HL47"/>
      <c r="HM47"/>
      <c r="HN47"/>
      <c r="HO47"/>
    </row>
    <row r="48">
      <c r="A48" s="78" t="s">
        <v>2560</v>
      </c>
      <c r="B48" s="78"/>
      <c r="C48" s="78"/>
      <c r="D48" s="78"/>
      <c r="E48" s="78"/>
      <c r="F48" s="78"/>
      <c r="G48" s="78"/>
      <c r="H48" s="78"/>
      <c r="I48" s="78"/>
      <c r="J48" s="78"/>
      <c r="K48" s="78"/>
      <c r="L48" s="78"/>
      <c r="M48" s="78"/>
      <c r="N48" s="78"/>
      <c r="O48" s="7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t="n">
        <v>1.5</v>
      </c>
      <c r="GU48" t="n">
        <v>160.9</v>
      </c>
      <c r="GV48" t="n">
        <v>58.4</v>
      </c>
      <c r="GW48" t="n">
        <v>34.5</v>
      </c>
      <c r="GX48" t="n">
        <v>21.4</v>
      </c>
      <c r="GY48" t="n">
        <v>13.3</v>
      </c>
      <c r="GZ48" t="n">
        <v>18.7</v>
      </c>
      <c r="HA48" t="n">
        <v>32.2</v>
      </c>
      <c r="HB48" t="n">
        <v>26.9</v>
      </c>
      <c r="HC48" t="n">
        <v>20</v>
      </c>
      <c r="HD48" t="n">
        <v>8.1</v>
      </c>
      <c r="HE48" t="n">
        <v>4.9</v>
      </c>
      <c r="HF48"/>
      <c r="HG48"/>
      <c r="HH48"/>
      <c r="HI48"/>
      <c r="HJ48"/>
      <c r="HK48"/>
      <c r="HL48"/>
      <c r="HM48"/>
      <c r="HN48"/>
      <c r="HO48"/>
    </row>
    <row r="49">
      <c r="A49" s="78" t="s">
        <v>2561</v>
      </c>
      <c r="B49" s="78"/>
      <c r="C49" s="78"/>
      <c r="D49" s="78"/>
      <c r="E49" s="78"/>
      <c r="F49" s="78"/>
      <c r="G49" s="78"/>
      <c r="H49" s="78"/>
      <c r="I49" s="78"/>
      <c r="J49" s="78"/>
      <c r="K49" s="78"/>
      <c r="L49" s="78"/>
      <c r="M49" s="78"/>
      <c r="N49" s="78"/>
      <c r="O49" s="78"/>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t="n">
        <v>576.9</v>
      </c>
      <c r="GV49" t="n">
        <v>819.5</v>
      </c>
      <c r="GW49" t="n">
        <v>246.3</v>
      </c>
      <c r="GX49" t="n">
        <v>197</v>
      </c>
      <c r="GY49" t="n">
        <v>441.2</v>
      </c>
      <c r="GZ49" t="n">
        <v>276.7</v>
      </c>
      <c r="HA49" t="n">
        <v>28.2</v>
      </c>
      <c r="HB49" t="n">
        <v>0</v>
      </c>
      <c r="HC49" t="n">
        <v>0</v>
      </c>
      <c r="HD49" t="n">
        <v>0</v>
      </c>
      <c r="HE49" t="n">
        <v>0</v>
      </c>
      <c r="HF49"/>
      <c r="HG49"/>
      <c r="HH49"/>
      <c r="HI49"/>
      <c r="HJ49"/>
      <c r="HK49"/>
      <c r="HL49"/>
      <c r="HM49"/>
      <c r="HN49"/>
      <c r="HO49"/>
    </row>
    <row r="50">
      <c r="A50" s="78" t="s">
        <v>2562</v>
      </c>
      <c r="B50" s="78"/>
      <c r="C50" s="78"/>
      <c r="D50" s="78"/>
      <c r="E50" s="78"/>
      <c r="F50" s="78"/>
      <c r="G50" s="78"/>
      <c r="H50" s="78"/>
      <c r="I50" s="78"/>
      <c r="J50" s="78"/>
      <c r="K50" s="78"/>
      <c r="L50" s="78"/>
      <c r="M50" s="78"/>
      <c r="N50" s="78"/>
      <c r="O50" s="78"/>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t="n">
        <v>63.8</v>
      </c>
      <c r="GV50" t="n">
        <v>15</v>
      </c>
      <c r="GW50" t="n">
        <v>0.1</v>
      </c>
      <c r="GX50" t="n">
        <v>38</v>
      </c>
      <c r="GY50" t="n">
        <v>47.3</v>
      </c>
      <c r="GZ50" t="n">
        <v>0.7</v>
      </c>
      <c r="HA50" t="n">
        <v>0</v>
      </c>
      <c r="HB50" t="n">
        <v>0.3</v>
      </c>
      <c r="HC50" t="n">
        <v>0.2</v>
      </c>
      <c r="HD50" t="n">
        <v>0.3</v>
      </c>
      <c r="HE50" t="n">
        <v>0.4</v>
      </c>
      <c r="HF50"/>
      <c r="HG50"/>
      <c r="HH50"/>
      <c r="HI50"/>
      <c r="HJ50"/>
      <c r="HK50"/>
      <c r="HL50"/>
      <c r="HM50"/>
      <c r="HN50"/>
      <c r="HO50"/>
    </row>
    <row r="51">
      <c r="A51" s="78" t="s">
        <v>2563</v>
      </c>
      <c r="B51" s="78"/>
      <c r="C51" s="78"/>
      <c r="D51" s="78"/>
      <c r="E51" s="78"/>
      <c r="F51" s="78"/>
      <c r="G51" s="78"/>
      <c r="H51" s="78"/>
      <c r="I51" s="78"/>
      <c r="J51" s="78"/>
      <c r="K51" s="78"/>
      <c r="L51" s="78"/>
      <c r="M51" s="78"/>
      <c r="N51" s="78"/>
      <c r="O51" s="78"/>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t="n">
        <v>73.3</v>
      </c>
      <c r="GV51" t="n">
        <v>73.3</v>
      </c>
      <c r="GW51" t="n">
        <v>73.3</v>
      </c>
      <c r="GX51" t="n">
        <v>39.8</v>
      </c>
      <c r="GY51" t="n">
        <v>43</v>
      </c>
      <c r="GZ51" t="n">
        <v>45.7</v>
      </c>
      <c r="HA51" t="n">
        <v>51.5</v>
      </c>
      <c r="HB51" t="n">
        <v>0</v>
      </c>
      <c r="HC51" t="n">
        <v>0</v>
      </c>
      <c r="HD51" t="n">
        <v>0</v>
      </c>
      <c r="HE51" t="n">
        <v>0</v>
      </c>
      <c r="HF51"/>
      <c r="HG51"/>
      <c r="HH51"/>
      <c r="HI51"/>
      <c r="HJ51"/>
      <c r="HK51"/>
      <c r="HL51"/>
      <c r="HM51"/>
      <c r="HN51"/>
      <c r="HO51"/>
    </row>
    <row r="52">
      <c r="A52" s="78" t="s">
        <v>2564</v>
      </c>
      <c r="B52" s="78"/>
      <c r="C52" s="78"/>
      <c r="D52" s="78"/>
      <c r="E52" s="78"/>
      <c r="F52" s="78"/>
      <c r="G52" s="78"/>
      <c r="H52" s="78"/>
      <c r="I52" s="78"/>
      <c r="J52" s="78"/>
      <c r="K52" s="78"/>
      <c r="L52" s="78"/>
      <c r="M52" s="78"/>
      <c r="N52" s="78"/>
      <c r="O52" s="78"/>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t="n">
        <v>22</v>
      </c>
      <c r="GV52" t="n">
        <v>25.3</v>
      </c>
      <c r="GW52" t="n">
        <v>11.8</v>
      </c>
      <c r="GX52" t="n">
        <v>11.9</v>
      </c>
      <c r="GY52" t="n">
        <v>11.3</v>
      </c>
      <c r="GZ52" t="n">
        <v>13.6</v>
      </c>
      <c r="HA52" t="n">
        <v>19</v>
      </c>
      <c r="HB52" t="n">
        <v>21.8</v>
      </c>
      <c r="HC52" t="n">
        <v>22.3</v>
      </c>
      <c r="HD52" t="n">
        <v>20.2</v>
      </c>
      <c r="HE52" t="n">
        <v>15.8</v>
      </c>
      <c r="HF52"/>
      <c r="HG52"/>
      <c r="HH52"/>
      <c r="HI52"/>
      <c r="HJ52"/>
      <c r="HK52"/>
      <c r="HL52"/>
      <c r="HM52"/>
      <c r="HN52"/>
      <c r="HO52"/>
    </row>
    <row r="53">
      <c r="A53" s="78" t="s">
        <v>2565</v>
      </c>
      <c r="B53" s="78"/>
      <c r="C53" s="78"/>
      <c r="D53" s="78"/>
      <c r="E53" s="78"/>
      <c r="F53" s="78"/>
      <c r="G53" s="78"/>
      <c r="H53" s="78"/>
      <c r="I53" s="78"/>
      <c r="J53" s="78"/>
      <c r="K53" s="78"/>
      <c r="L53" s="78"/>
      <c r="M53" s="78"/>
      <c r="N53" s="78"/>
      <c r="O53" s="78"/>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t="n">
        <v>16.9</v>
      </c>
      <c r="GV53" t="n">
        <v>18.4</v>
      </c>
      <c r="GW53" t="n">
        <v>46.2</v>
      </c>
      <c r="GX53" t="n">
        <v>0.9</v>
      </c>
      <c r="GY53" t="n">
        <v>14.1</v>
      </c>
      <c r="GZ53" t="n">
        <v>8.6</v>
      </c>
      <c r="HA53" t="n">
        <v>1.2</v>
      </c>
      <c r="HB53" t="n">
        <v>0.6</v>
      </c>
      <c r="HC53" t="n">
        <v>0</v>
      </c>
      <c r="HD53" t="n">
        <v>0</v>
      </c>
      <c r="HE53" t="n">
        <v>0</v>
      </c>
      <c r="HF53"/>
      <c r="HG53"/>
      <c r="HH53"/>
      <c r="HI53"/>
      <c r="HJ53"/>
      <c r="HK53"/>
      <c r="HL53"/>
      <c r="HM53"/>
      <c r="HN53"/>
      <c r="HO53"/>
    </row>
    <row r="54">
      <c r="A54" s="78" t="s">
        <v>2566</v>
      </c>
      <c r="B54" s="78"/>
      <c r="C54" s="78"/>
      <c r="D54" s="78"/>
      <c r="E54" s="78"/>
      <c r="F54" s="78"/>
      <c r="G54" s="78"/>
      <c r="H54" s="78"/>
      <c r="I54" s="78"/>
      <c r="J54" s="78"/>
      <c r="K54" s="78"/>
      <c r="L54" s="78"/>
      <c r="M54" s="78"/>
      <c r="N54" s="78"/>
      <c r="O54" s="78"/>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t="n">
        <v>96.6</v>
      </c>
      <c r="GV54" t="n">
        <v>35.1</v>
      </c>
      <c r="GW54" t="n">
        <v>20.7</v>
      </c>
      <c r="GX54" t="n">
        <v>15.4</v>
      </c>
      <c r="GY54" t="n">
        <v>9.6</v>
      </c>
      <c r="GZ54" t="n">
        <v>13.5</v>
      </c>
      <c r="HA54" t="n">
        <v>23.2</v>
      </c>
      <c r="HB54" t="n">
        <v>19.3</v>
      </c>
      <c r="HC54" t="n">
        <v>14.4</v>
      </c>
      <c r="HD54" t="n">
        <v>5.9</v>
      </c>
      <c r="HE54" t="n">
        <v>3.6</v>
      </c>
      <c r="HF54"/>
      <c r="HG54"/>
      <c r="HH54"/>
      <c r="HI54"/>
      <c r="HJ54"/>
      <c r="HK54"/>
      <c r="HL54"/>
      <c r="HM54"/>
      <c r="HN54"/>
      <c r="HO54"/>
    </row>
    <row r="55">
      <c r="A55" s="78" t="s">
        <v>2567</v>
      </c>
      <c r="B55" s="78"/>
      <c r="C55" s="78"/>
      <c r="D55" s="78"/>
      <c r="E55" s="78"/>
      <c r="F55" s="78"/>
      <c r="G55" s="78"/>
      <c r="H55" s="78"/>
      <c r="I55" s="78"/>
      <c r="J55" s="78"/>
      <c r="K55" s="78"/>
      <c r="L55" s="78"/>
      <c r="M55" s="78"/>
      <c r="N55" s="78"/>
      <c r="O55" s="78"/>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t="n">
        <v>140</v>
      </c>
      <c r="GV55" t="n">
        <v>140</v>
      </c>
      <c r="GW55" t="n">
        <v>140</v>
      </c>
      <c r="GX55" t="n">
        <v>4.8</v>
      </c>
      <c r="GY55" t="n">
        <v>4.4</v>
      </c>
      <c r="GZ55" t="n">
        <v>5.3</v>
      </c>
      <c r="HA55" t="n">
        <v>4.7</v>
      </c>
      <c r="HB55" t="n">
        <v>0</v>
      </c>
      <c r="HC55" t="n">
        <v>0</v>
      </c>
      <c r="HD55" t="n">
        <v>0</v>
      </c>
      <c r="HE55" t="n">
        <v>0</v>
      </c>
      <c r="HF55"/>
      <c r="HG55"/>
      <c r="HH55"/>
      <c r="HI55"/>
      <c r="HJ55"/>
      <c r="HK55"/>
      <c r="HL55"/>
      <c r="HM55"/>
      <c r="HN55"/>
      <c r="HO55"/>
    </row>
    <row r="56">
      <c r="A56" s="78" t="s">
        <v>2568</v>
      </c>
      <c r="B56" s="78"/>
      <c r="C56" s="78"/>
      <c r="D56" s="78"/>
      <c r="E56" s="78"/>
      <c r="F56" s="78"/>
      <c r="G56" s="78"/>
      <c r="H56" s="78"/>
      <c r="I56" s="78"/>
      <c r="J56" s="78"/>
      <c r="K56" s="78"/>
      <c r="L56" s="78"/>
      <c r="M56" s="78"/>
      <c r="N56" s="78"/>
      <c r="O56" s="78"/>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t="n">
        <v>597.9</v>
      </c>
      <c r="GV56" t="n">
        <v>0</v>
      </c>
      <c r="GW56" t="n">
        <v>0</v>
      </c>
      <c r="GX56" t="n">
        <v>0</v>
      </c>
      <c r="GY56" t="n">
        <v>785.9</v>
      </c>
      <c r="GZ56" t="n">
        <v>187.9</v>
      </c>
      <c r="HA56" t="n">
        <v>9.2</v>
      </c>
      <c r="HB56" t="n">
        <v>0.6</v>
      </c>
      <c r="HC56" t="n">
        <v>0</v>
      </c>
      <c r="HD56" t="n">
        <v>0</v>
      </c>
      <c r="HE56" t="n">
        <v>0</v>
      </c>
      <c r="HF56"/>
      <c r="HG56"/>
      <c r="HH56"/>
      <c r="HI56"/>
      <c r="HJ56"/>
      <c r="HK56"/>
      <c r="HL56"/>
      <c r="HM56"/>
      <c r="HN56"/>
      <c r="HO56"/>
    </row>
    <row r="57">
      <c r="A57" s="78" t="s">
        <v>2569</v>
      </c>
      <c r="B57" s="78"/>
      <c r="C57" s="78"/>
      <c r="D57" s="78"/>
      <c r="E57" s="78"/>
      <c r="F57" s="78"/>
      <c r="G57" s="78"/>
      <c r="H57" s="78"/>
      <c r="I57" s="78"/>
      <c r="J57" s="78"/>
      <c r="K57" s="78"/>
      <c r="L57" s="78"/>
      <c r="M57" s="78"/>
      <c r="N57" s="78"/>
      <c r="O57" s="78"/>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t="n">
        <v>28.4</v>
      </c>
      <c r="GV57" t="n">
        <v>15.8</v>
      </c>
      <c r="GW57" t="n">
        <v>15.2</v>
      </c>
      <c r="GX57" t="n">
        <v>28.9</v>
      </c>
      <c r="GY57" t="n">
        <v>67.6</v>
      </c>
      <c r="GZ57" t="n">
        <v>80.7</v>
      </c>
      <c r="HA57" t="n">
        <v>87.2</v>
      </c>
      <c r="HB57" t="n">
        <v>72.4</v>
      </c>
      <c r="HC57" t="n">
        <v>85.9</v>
      </c>
      <c r="HD57" t="n">
        <v>68.3</v>
      </c>
      <c r="HE57" t="n">
        <v>64</v>
      </c>
      <c r="HF57"/>
      <c r="HG57"/>
      <c r="HH57"/>
      <c r="HI57"/>
      <c r="HJ57"/>
      <c r="HK57"/>
      <c r="HL57"/>
      <c r="HM57"/>
      <c r="HN57"/>
      <c r="HO57"/>
    </row>
    <row r="58">
      <c r="A58" s="78" t="s">
        <v>2570</v>
      </c>
      <c r="B58" s="78"/>
      <c r="C58" s="78"/>
      <c r="D58" s="78"/>
      <c r="E58" s="78"/>
      <c r="F58" s="78"/>
      <c r="G58" s="78"/>
      <c r="H58" s="78"/>
      <c r="I58" s="78"/>
      <c r="J58" s="78"/>
      <c r="K58" s="78"/>
      <c r="L58" s="78"/>
      <c r="M58" s="78"/>
      <c r="N58" s="78"/>
      <c r="O58" s="7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t="n">
        <v>64.4</v>
      </c>
      <c r="GV58" t="n">
        <v>23.4</v>
      </c>
      <c r="GW58" t="n">
        <v>13.8</v>
      </c>
      <c r="GX58" t="n">
        <v>12</v>
      </c>
      <c r="GY58" t="n">
        <v>7.5</v>
      </c>
      <c r="GZ58" t="n">
        <v>10.5</v>
      </c>
      <c r="HA58" t="n">
        <v>18</v>
      </c>
      <c r="HB58" t="n">
        <v>15</v>
      </c>
      <c r="HC58" t="n">
        <v>11.2</v>
      </c>
      <c r="HD58" t="n">
        <v>7.5</v>
      </c>
      <c r="HE58" t="n">
        <v>6.2</v>
      </c>
      <c r="HF58"/>
      <c r="HG58"/>
      <c r="HH58"/>
      <c r="HI58"/>
      <c r="HJ58"/>
      <c r="HK58"/>
      <c r="HL58"/>
      <c r="HM58"/>
      <c r="HN58"/>
      <c r="HO58"/>
    </row>
    <row r="59">
      <c r="A59" s="78" t="s">
        <v>2571</v>
      </c>
      <c r="B59" s="78"/>
      <c r="C59" s="78"/>
      <c r="D59" s="78"/>
      <c r="E59" s="78"/>
      <c r="F59" s="78"/>
      <c r="G59" s="78"/>
      <c r="H59" s="78"/>
      <c r="I59" s="78"/>
      <c r="J59" s="78"/>
      <c r="K59" s="78"/>
      <c r="L59" s="78"/>
      <c r="M59" s="78"/>
      <c r="N59" s="78"/>
      <c r="O59" s="78"/>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t="n">
        <v>6.3</v>
      </c>
      <c r="GV59" t="n">
        <v>26.7</v>
      </c>
      <c r="GW59" t="n">
        <v>82.1</v>
      </c>
      <c r="GX59" t="n">
        <v>94.7</v>
      </c>
      <c r="GY59" t="n">
        <v>92.1</v>
      </c>
      <c r="GZ59" t="n">
        <v>51.6</v>
      </c>
      <c r="HA59" t="n">
        <v>2.8</v>
      </c>
      <c r="HB59" t="n">
        <v>0.8</v>
      </c>
      <c r="HC59" t="n">
        <v>0.5</v>
      </c>
      <c r="HD59" t="n">
        <v>0.3</v>
      </c>
      <c r="HE59" t="n">
        <v>0.2</v>
      </c>
      <c r="HF59"/>
      <c r="HG59"/>
      <c r="HH59"/>
      <c r="HI59"/>
      <c r="HJ59"/>
      <c r="HK59"/>
      <c r="HL59"/>
      <c r="HM59"/>
      <c r="HN59"/>
      <c r="HO59"/>
    </row>
    <row r="60">
      <c r="A60" s="78" t="s">
        <v>2572</v>
      </c>
      <c r="B60" s="78"/>
      <c r="C60" s="78"/>
      <c r="D60" s="78"/>
      <c r="E60" s="78"/>
      <c r="F60" s="78"/>
      <c r="G60" s="78"/>
      <c r="H60" s="78"/>
      <c r="I60" s="78"/>
      <c r="J60" s="78"/>
      <c r="K60" s="78"/>
      <c r="L60" s="78"/>
      <c r="M60" s="78"/>
      <c r="N60" s="78"/>
      <c r="O60" s="78"/>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t="n">
        <v>74.4</v>
      </c>
      <c r="GV60" t="n">
        <v>138.3</v>
      </c>
      <c r="GW60" t="n">
        <v>106.8</v>
      </c>
      <c r="GX60" t="n">
        <v>89.2</v>
      </c>
      <c r="GY60" t="n">
        <v>72.3</v>
      </c>
      <c r="GZ60" t="n">
        <v>43.5</v>
      </c>
      <c r="HA60" t="n">
        <v>2.1</v>
      </c>
      <c r="HB60" t="n">
        <v>0.8</v>
      </c>
      <c r="HC60" t="n">
        <v>0.4</v>
      </c>
      <c r="HD60" t="n">
        <v>0.2</v>
      </c>
      <c r="HE60" t="n">
        <v>0.1</v>
      </c>
      <c r="HF60"/>
      <c r="HG60"/>
      <c r="HH60"/>
      <c r="HI60"/>
      <c r="HJ60"/>
      <c r="HK60"/>
      <c r="HL60"/>
      <c r="HM60"/>
      <c r="HN60"/>
      <c r="HO60"/>
    </row>
    <row r="61">
      <c r="A61" s="78" t="s">
        <v>2573</v>
      </c>
      <c r="B61" s="78"/>
      <c r="C61" s="78"/>
      <c r="D61" s="78"/>
      <c r="E61" s="78"/>
      <c r="F61" s="78"/>
      <c r="G61" s="78"/>
      <c r="H61" s="78"/>
      <c r="I61" s="78"/>
      <c r="J61" s="78"/>
      <c r="K61" s="78"/>
      <c r="L61" s="78"/>
      <c r="M61" s="78"/>
      <c r="N61" s="78"/>
      <c r="O61" s="78"/>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t="n">
        <v>698.9</v>
      </c>
      <c r="GV61" t="n">
        <v>413.9</v>
      </c>
      <c r="GW61" t="n">
        <v>14.7</v>
      </c>
      <c r="GX61" t="n">
        <v>288.2</v>
      </c>
      <c r="GY61" t="n">
        <v>233.3</v>
      </c>
      <c r="GZ61" t="n">
        <v>110.5</v>
      </c>
      <c r="HA61" t="n">
        <v>0</v>
      </c>
      <c r="HB61" t="n">
        <v>0</v>
      </c>
      <c r="HC61" t="n">
        <v>0</v>
      </c>
      <c r="HD61" t="n">
        <v>0</v>
      </c>
      <c r="HE61" t="n">
        <v>0</v>
      </c>
      <c r="HF61"/>
      <c r="HG61"/>
      <c r="HH61"/>
      <c r="HI61"/>
      <c r="HJ61"/>
      <c r="HK61"/>
      <c r="HL61"/>
      <c r="HM61"/>
      <c r="HN61"/>
      <c r="HO61"/>
    </row>
    <row r="62">
      <c r="A62" s="78" t="s">
        <v>2574</v>
      </c>
      <c r="B62" s="78"/>
      <c r="C62" s="78"/>
      <c r="D62" s="78"/>
      <c r="E62" s="78"/>
      <c r="F62" s="78"/>
      <c r="G62" s="78"/>
      <c r="H62" s="78"/>
      <c r="I62" s="78"/>
      <c r="J62" s="78"/>
      <c r="K62" s="78"/>
      <c r="L62" s="78"/>
      <c r="M62" s="78"/>
      <c r="N62" s="78"/>
      <c r="O62" s="78"/>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t="n">
        <v>779.6</v>
      </c>
      <c r="GV62" t="n">
        <v>582.4</v>
      </c>
      <c r="GW62" t="n">
        <v>216.6</v>
      </c>
      <c r="GX62" t="n">
        <v>497.6</v>
      </c>
      <c r="GY62" t="n">
        <v>401.5</v>
      </c>
      <c r="GZ62" t="n">
        <v>207.5</v>
      </c>
      <c r="HA62" t="n">
        <v>5.5</v>
      </c>
      <c r="HB62" t="n">
        <v>1.8</v>
      </c>
      <c r="HC62" t="n">
        <v>1</v>
      </c>
      <c r="HD62" t="n">
        <v>0.5</v>
      </c>
      <c r="HE62" t="n">
        <v>0.3</v>
      </c>
      <c r="HF62"/>
      <c r="HG62"/>
      <c r="HH62"/>
      <c r="HI62"/>
      <c r="HJ62"/>
      <c r="HK62"/>
      <c r="HL62"/>
      <c r="HM62"/>
      <c r="HN62"/>
      <c r="HO62"/>
    </row>
    <row r="63">
      <c r="A63" s="78" t="s">
        <v>2575</v>
      </c>
      <c r="B63" s="78"/>
      <c r="C63" s="78"/>
      <c r="D63" s="78"/>
      <c r="E63" s="78"/>
      <c r="F63" s="78"/>
      <c r="G63" s="78"/>
      <c r="H63" s="78"/>
      <c r="I63" s="78"/>
      <c r="J63" s="78"/>
      <c r="K63" s="78"/>
      <c r="L63" s="78"/>
      <c r="M63" s="78"/>
      <c r="N63" s="78"/>
      <c r="O63" s="78"/>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t="n">
        <v>0.1</v>
      </c>
      <c r="GV63" t="n">
        <v>3.7</v>
      </c>
      <c r="GW63" t="n">
        <v>12.9</v>
      </c>
      <c r="GX63" t="n">
        <v>25.5</v>
      </c>
      <c r="GY63" t="n">
        <v>3.8</v>
      </c>
      <c r="GZ63" t="n">
        <v>1.8</v>
      </c>
      <c r="HA63" t="n">
        <v>0.6</v>
      </c>
      <c r="HB63" t="n">
        <v>0.2</v>
      </c>
      <c r="HC63" t="n">
        <v>0.1</v>
      </c>
      <c r="HD63" t="n">
        <v>0</v>
      </c>
      <c r="HE63" t="n">
        <v>0</v>
      </c>
      <c r="HF63"/>
      <c r="HG63"/>
      <c r="HH63"/>
      <c r="HI63"/>
      <c r="HJ63"/>
      <c r="HK63"/>
      <c r="HL63"/>
      <c r="HM63"/>
      <c r="HN63"/>
      <c r="HO63"/>
    </row>
    <row r="64">
      <c r="A64" s="78" t="s">
        <v>2576</v>
      </c>
      <c r="B64" s="78"/>
      <c r="C64" s="78"/>
      <c r="D64" s="78"/>
      <c r="E64" s="78"/>
      <c r="F64" s="78"/>
      <c r="G64" s="78"/>
      <c r="H64" s="78"/>
      <c r="I64" s="78"/>
      <c r="J64" s="78"/>
      <c r="K64" s="78"/>
      <c r="L64" s="78"/>
      <c r="M64" s="78"/>
      <c r="N64" s="78"/>
      <c r="O64" s="78"/>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t="n">
        <v>106.2</v>
      </c>
      <c r="GW64" t="n">
        <v>35.9</v>
      </c>
      <c r="GX64" t="n">
        <v>1.6</v>
      </c>
      <c r="GY64" t="n">
        <v>0.6</v>
      </c>
      <c r="GZ64" t="n">
        <v>0.1</v>
      </c>
      <c r="HA64" t="n">
        <v>0</v>
      </c>
      <c r="HB64" t="n">
        <v>0</v>
      </c>
      <c r="HC64" t="n">
        <v>0</v>
      </c>
      <c r="HD64" t="n">
        <v>0</v>
      </c>
      <c r="HE64" t="n">
        <v>0</v>
      </c>
      <c r="HF64"/>
      <c r="HG64"/>
      <c r="HH64"/>
      <c r="HI64"/>
      <c r="HJ64"/>
      <c r="HK64"/>
      <c r="HL64"/>
      <c r="HM64"/>
      <c r="HN64"/>
      <c r="HO64"/>
    </row>
    <row r="65">
      <c r="A65" s="78" t="s">
        <v>2577</v>
      </c>
      <c r="B65" s="78" t="n">
        <v>5.7</v>
      </c>
      <c r="C65" s="78" t="n">
        <v>5.4</v>
      </c>
      <c r="D65" s="78" t="n">
        <v>4.9</v>
      </c>
      <c r="E65" s="78" t="n">
        <v>5.1</v>
      </c>
      <c r="F65" s="78" t="n">
        <v>5.6</v>
      </c>
      <c r="G65" s="78" t="n">
        <v>6.4</v>
      </c>
      <c r="H65" s="78" t="n">
        <v>5.9</v>
      </c>
      <c r="I65" s="78" t="n">
        <v>5.8</v>
      </c>
      <c r="J65" s="78" t="n">
        <v>5.9</v>
      </c>
      <c r="K65" s="78" t="n">
        <v>5.5</v>
      </c>
      <c r="L65" s="78" t="n">
        <v>7</v>
      </c>
      <c r="M65" s="78" t="n">
        <v>5.9</v>
      </c>
      <c r="N65" s="78" t="n">
        <v>5.9</v>
      </c>
      <c r="O65" s="78" t="n">
        <v>6.4</v>
      </c>
      <c r="P65" t="n">
        <v>5.5</v>
      </c>
      <c r="Q65" t="n">
        <v>6.1</v>
      </c>
      <c r="R65" t="n">
        <v>8</v>
      </c>
      <c r="S65" t="n">
        <v>8.8</v>
      </c>
      <c r="T65" t="n">
        <v>6.7</v>
      </c>
      <c r="U65" t="n">
        <v>8.1</v>
      </c>
      <c r="V65" t="n">
        <v>9</v>
      </c>
      <c r="W65" t="n">
        <v>8.1</v>
      </c>
      <c r="X65" t="n">
        <v>11.1</v>
      </c>
      <c r="Y65" t="n">
        <v>10.7</v>
      </c>
      <c r="Z65" t="n">
        <v>10.3</v>
      </c>
      <c r="AA65" t="n">
        <v>10</v>
      </c>
      <c r="AB65" t="n">
        <v>10.8</v>
      </c>
      <c r="AC65" t="n">
        <v>11.3</v>
      </c>
      <c r="AD65" t="n">
        <v>10.9</v>
      </c>
      <c r="AE65" t="n">
        <v>10.9</v>
      </c>
      <c r="AF65" t="n">
        <v>12.1</v>
      </c>
      <c r="AG65" t="n">
        <v>10.9</v>
      </c>
      <c r="AH65" t="n">
        <v>11.2</v>
      </c>
      <c r="AI65" t="n">
        <v>11.8</v>
      </c>
      <c r="AJ65" t="n">
        <v>12.2</v>
      </c>
      <c r="AK65" t="n">
        <v>12.8</v>
      </c>
      <c r="AL65" t="n">
        <v>13.9</v>
      </c>
      <c r="AM65" t="n">
        <v>13.4</v>
      </c>
      <c r="AN65" t="n">
        <v>14.7</v>
      </c>
      <c r="AO65" t="n">
        <v>16.1</v>
      </c>
      <c r="AP65" t="n">
        <v>16.7</v>
      </c>
      <c r="AQ65" t="n">
        <v>16.9</v>
      </c>
      <c r="AR65" t="n">
        <v>16.3</v>
      </c>
      <c r="AS65" t="n">
        <v>17.1</v>
      </c>
      <c r="AT65" t="n">
        <v>16.4</v>
      </c>
      <c r="AU65" t="n">
        <v>16</v>
      </c>
      <c r="AV65" t="n">
        <v>15.1</v>
      </c>
      <c r="AW65" t="n">
        <v>15.4</v>
      </c>
      <c r="AX65" t="n">
        <v>14.2</v>
      </c>
      <c r="AY65" t="n">
        <v>14.9</v>
      </c>
      <c r="AZ65" t="n">
        <v>14.8</v>
      </c>
      <c r="BA65" t="n">
        <v>14.7</v>
      </c>
      <c r="BB65" t="n">
        <v>16.1</v>
      </c>
      <c r="BC65" t="n">
        <v>14.3</v>
      </c>
      <c r="BD65" t="n">
        <v>16</v>
      </c>
      <c r="BE65" t="n">
        <v>15.9</v>
      </c>
      <c r="BF65" t="n">
        <v>16.7</v>
      </c>
      <c r="BG65" t="n">
        <v>17.3</v>
      </c>
      <c r="BH65" t="n">
        <v>18.2</v>
      </c>
      <c r="BI65" t="n">
        <v>18.9</v>
      </c>
      <c r="BJ65" t="n">
        <v>17.2</v>
      </c>
      <c r="BK65" t="n">
        <v>19.6</v>
      </c>
      <c r="BL65" t="n">
        <v>20.2</v>
      </c>
      <c r="BM65" t="n">
        <v>21.3</v>
      </c>
      <c r="BN65" t="n">
        <v>19.8</v>
      </c>
      <c r="BO65" t="n">
        <v>20.7</v>
      </c>
      <c r="BP65" t="n">
        <v>21.4</v>
      </c>
      <c r="BQ65" t="n">
        <v>18.4</v>
      </c>
      <c r="BR65" t="n">
        <v>18.9</v>
      </c>
      <c r="BS65" t="n">
        <v>19.7</v>
      </c>
      <c r="BT65" t="n">
        <v>19</v>
      </c>
      <c r="BU65" t="n">
        <v>18.8</v>
      </c>
      <c r="BV65" t="n">
        <v>19.1</v>
      </c>
      <c r="BW65" t="n">
        <v>20</v>
      </c>
      <c r="BX65" t="n">
        <v>20.5</v>
      </c>
      <c r="BY65" t="n">
        <v>19.4</v>
      </c>
      <c r="BZ65" t="n">
        <v>20.3</v>
      </c>
      <c r="CA65" t="n">
        <v>20.1</v>
      </c>
      <c r="CB65" t="n">
        <v>19</v>
      </c>
      <c r="CC65" t="n">
        <v>21.5</v>
      </c>
      <c r="CD65" t="n">
        <v>22.3</v>
      </c>
      <c r="CE65" t="n">
        <v>20.3</v>
      </c>
      <c r="CF65" t="n">
        <v>20.7</v>
      </c>
      <c r="CG65" t="n">
        <v>49.5</v>
      </c>
      <c r="CH65" t="n">
        <v>26</v>
      </c>
      <c r="CI65" t="n">
        <v>22.2</v>
      </c>
      <c r="CJ65" t="n">
        <v>37.1</v>
      </c>
      <c r="CK65" t="n">
        <v>20.8</v>
      </c>
      <c r="CL65" t="n">
        <v>21.6</v>
      </c>
      <c r="CM65" t="n">
        <v>23.2</v>
      </c>
      <c r="CN65" t="n">
        <v>22.5</v>
      </c>
      <c r="CO65" t="n">
        <v>23.2</v>
      </c>
      <c r="CP65" t="n">
        <v>24.4</v>
      </c>
      <c r="CQ65" t="n">
        <v>22.6</v>
      </c>
      <c r="CR65" t="n">
        <v>25.3</v>
      </c>
      <c r="CS65" t="n">
        <v>24.9</v>
      </c>
      <c r="CT65" t="n">
        <v>23.8</v>
      </c>
      <c r="CU65" t="n">
        <v>27.5</v>
      </c>
      <c r="CV65" t="n">
        <v>26.2</v>
      </c>
      <c r="CW65" t="n">
        <v>26.7</v>
      </c>
      <c r="CX65" t="n">
        <v>27.9</v>
      </c>
      <c r="CY65" t="n">
        <v>28.2</v>
      </c>
      <c r="CZ65" t="n">
        <v>28.4</v>
      </c>
      <c r="DA65" t="n">
        <v>27</v>
      </c>
      <c r="DB65" t="n">
        <v>29.3</v>
      </c>
      <c r="DC65" t="n">
        <v>28.1</v>
      </c>
      <c r="DD65" t="n">
        <v>27.3</v>
      </c>
      <c r="DE65" t="n">
        <v>28.9</v>
      </c>
      <c r="DF65" t="n">
        <v>28.6</v>
      </c>
      <c r="DG65" t="n">
        <v>29.5</v>
      </c>
      <c r="DH65" t="n">
        <v>29.7</v>
      </c>
      <c r="DI65" t="n">
        <v>29</v>
      </c>
      <c r="DJ65" t="n">
        <v>27.3</v>
      </c>
      <c r="DK65" t="n">
        <v>27.5</v>
      </c>
      <c r="DL65" t="n">
        <v>29.4</v>
      </c>
      <c r="DM65" t="n">
        <v>31.5</v>
      </c>
      <c r="DN65" t="n">
        <v>29.2</v>
      </c>
      <c r="DO65" t="n">
        <v>33.9</v>
      </c>
      <c r="DP65" t="n">
        <v>35.9</v>
      </c>
      <c r="DQ65" t="n">
        <v>56.3</v>
      </c>
      <c r="DR65" t="n">
        <v>38</v>
      </c>
      <c r="DS65" t="n">
        <v>37.9</v>
      </c>
      <c r="DT65" t="n">
        <v>39.4</v>
      </c>
      <c r="DU65" t="n">
        <v>49.6</v>
      </c>
      <c r="DV65" t="n">
        <v>40.9</v>
      </c>
      <c r="DW65" t="n">
        <v>43.8</v>
      </c>
      <c r="DX65" t="n">
        <v>44.3</v>
      </c>
      <c r="DY65" t="n">
        <v>45.3</v>
      </c>
      <c r="DZ65" t="n">
        <v>59.6</v>
      </c>
      <c r="EA65" t="n">
        <v>47.2</v>
      </c>
      <c r="EB65" t="n">
        <v>43.2</v>
      </c>
      <c r="EC65" t="n">
        <v>63.5</v>
      </c>
      <c r="ED65" t="n">
        <v>65.7</v>
      </c>
      <c r="EE65" t="n">
        <v>75.5</v>
      </c>
      <c r="EF65" t="n">
        <v>71.5</v>
      </c>
      <c r="EG65" t="n">
        <v>66.4</v>
      </c>
      <c r="EH65" t="n">
        <v>75.3</v>
      </c>
      <c r="EI65" t="n">
        <v>65.2</v>
      </c>
      <c r="EJ65" t="n">
        <v>74.7</v>
      </c>
      <c r="EK65" t="n">
        <v>70.2</v>
      </c>
      <c r="EL65" t="n">
        <v>90.6</v>
      </c>
      <c r="EM65" t="n">
        <v>75</v>
      </c>
      <c r="EN65" t="n">
        <v>141.5</v>
      </c>
      <c r="EO65" t="n">
        <v>82.9</v>
      </c>
      <c r="EP65" t="n">
        <v>80.5</v>
      </c>
      <c r="EQ65" t="n">
        <v>77.5</v>
      </c>
      <c r="ER65" t="n">
        <v>74.8</v>
      </c>
      <c r="ES65" t="n">
        <v>73.9</v>
      </c>
      <c r="ET65" t="n">
        <v>90.3</v>
      </c>
      <c r="EU65" t="n">
        <v>86.5</v>
      </c>
      <c r="EV65" t="n">
        <v>86.3</v>
      </c>
      <c r="EW65" t="n">
        <v>80.4</v>
      </c>
      <c r="EX65" t="n">
        <v>87</v>
      </c>
      <c r="EY65" t="n">
        <v>81.4</v>
      </c>
      <c r="EZ65" t="n">
        <v>91.2</v>
      </c>
      <c r="FA65" t="n">
        <v>348.6</v>
      </c>
      <c r="FB65" t="n">
        <v>301.2</v>
      </c>
      <c r="FC65" t="n">
        <v>226</v>
      </c>
      <c r="FD65" t="n">
        <v>144.9</v>
      </c>
      <c r="FE65" t="n">
        <v>178.4</v>
      </c>
      <c r="FF65" t="n">
        <v>164.3</v>
      </c>
      <c r="FG65" t="n">
        <v>195.8</v>
      </c>
      <c r="FH65" t="n">
        <v>122.5</v>
      </c>
      <c r="FI65" t="n">
        <v>110</v>
      </c>
      <c r="FJ65" t="n">
        <v>110.2</v>
      </c>
      <c r="FK65" t="n">
        <v>142.2</v>
      </c>
      <c r="FL65" t="n">
        <v>122.8</v>
      </c>
      <c r="FM65" t="n">
        <v>149.7</v>
      </c>
      <c r="FN65" t="n">
        <v>110.8</v>
      </c>
      <c r="FO65" t="n">
        <v>93</v>
      </c>
      <c r="FP65" t="n">
        <v>90.7</v>
      </c>
      <c r="FQ65" t="n">
        <v>125.3</v>
      </c>
      <c r="FR65" t="n">
        <v>91.2</v>
      </c>
      <c r="FS65" t="n">
        <v>84.4</v>
      </c>
      <c r="FT65" t="n">
        <v>85.3</v>
      </c>
      <c r="FU65" t="n">
        <v>79.7</v>
      </c>
      <c r="FV65" t="n">
        <v>86.8</v>
      </c>
      <c r="FW65" t="n">
        <v>84.1</v>
      </c>
      <c r="FX65" t="n">
        <v>83</v>
      </c>
      <c r="FY65" t="n">
        <v>80.8</v>
      </c>
      <c r="FZ65" t="n">
        <v>83.2</v>
      </c>
      <c r="GA65" t="n">
        <v>77.1</v>
      </c>
      <c r="GB65" t="n">
        <v>83.9</v>
      </c>
      <c r="GC65" t="n">
        <v>76.4</v>
      </c>
      <c r="GD65" t="n">
        <v>80.9</v>
      </c>
      <c r="GE65" t="n">
        <v>77.2</v>
      </c>
      <c r="GF65" t="n">
        <v>79.6</v>
      </c>
      <c r="GG65" t="n">
        <v>84.5</v>
      </c>
      <c r="GH65" t="n">
        <v>84.3</v>
      </c>
      <c r="GI65" t="n">
        <v>85.5</v>
      </c>
      <c r="GJ65" t="n">
        <v>116.5</v>
      </c>
      <c r="GK65" t="n">
        <v>81</v>
      </c>
      <c r="GL65" t="n">
        <v>78.9</v>
      </c>
      <c r="GM65" t="n">
        <v>86.1</v>
      </c>
      <c r="GN65" t="n">
        <v>85.3</v>
      </c>
      <c r="GO65" t="n">
        <v>82.9</v>
      </c>
      <c r="GP65" t="n">
        <v>86</v>
      </c>
      <c r="GQ65" t="n">
        <v>78.6</v>
      </c>
      <c r="GR65" t="n">
        <v>82.2</v>
      </c>
      <c r="GS65" t="n">
        <v>134</v>
      </c>
      <c r="GT65" t="n">
        <v>95.5</v>
      </c>
      <c r="GU65" t="n">
        <v>92.4</v>
      </c>
      <c r="GV65" t="n">
        <v>92.9</v>
      </c>
      <c r="GW65" t="n">
        <v>89.2</v>
      </c>
      <c r="GX65" t="n">
        <v>301.1</v>
      </c>
      <c r="GY65" t="n">
        <v>85.6</v>
      </c>
      <c r="GZ65" t="n">
        <v>98.4</v>
      </c>
      <c r="HA65" t="n">
        <v>88.6</v>
      </c>
      <c r="HB65" t="n">
        <v>89.5</v>
      </c>
      <c r="HC65" t="n">
        <v>476.6</v>
      </c>
      <c r="HD65" t="n">
        <v>203.9</v>
      </c>
      <c r="HE65" t="n">
        <v>108.6</v>
      </c>
      <c r="HF65" t="n">
        <v>246.5</v>
      </c>
      <c r="HG65" t="n">
        <v>385</v>
      </c>
      <c r="HH65" t="n">
        <v>343</v>
      </c>
      <c r="HI65" t="n">
        <v>164.7</v>
      </c>
      <c r="HJ65" t="n">
        <v>159.8</v>
      </c>
      <c r="HK65" t="n">
        <v>167.3</v>
      </c>
      <c r="HL65" t="n">
        <v>186.2</v>
      </c>
      <c r="HM65" t="n">
        <v>253.4</v>
      </c>
      <c r="HN65" t="n">
        <v>157.4</v>
      </c>
      <c r="HO65" t="n">
        <v>122.9</v>
      </c>
    </row>
    <row r="66">
      <c r="A66" s="78" t="s">
        <v>2578</v>
      </c>
      <c r="B66" s="78" t="n">
        <v>0.584</v>
      </c>
      <c r="C66" s="78" t="n">
        <v>0.98</v>
      </c>
      <c r="D66" s="78" t="n">
        <v>1.256</v>
      </c>
      <c r="E66" s="78" t="n">
        <v>1.592</v>
      </c>
      <c r="F66" s="78" t="n">
        <v>1.62</v>
      </c>
      <c r="G66" s="78" t="n">
        <v>1.6</v>
      </c>
      <c r="H66" s="78" t="n">
        <v>1.7</v>
      </c>
      <c r="I66" s="78" t="n">
        <v>1.872</v>
      </c>
      <c r="J66" s="78" t="n">
        <v>1.832</v>
      </c>
      <c r="K66" s="78" t="n">
        <v>1.824</v>
      </c>
      <c r="L66" s="78" t="n">
        <v>2.108</v>
      </c>
      <c r="M66" s="78" t="n">
        <v>2.156</v>
      </c>
      <c r="N66" s="78" t="n">
        <v>2.156</v>
      </c>
      <c r="O66" s="78" t="n">
        <v>2.144</v>
      </c>
      <c r="P66" t="n">
        <v>2.248</v>
      </c>
      <c r="Q66" t="n">
        <v>2.288</v>
      </c>
      <c r="R66" t="n">
        <v>3.064</v>
      </c>
      <c r="S66" t="n">
        <v>3.16</v>
      </c>
      <c r="T66" t="n">
        <v>3.62</v>
      </c>
      <c r="U66" t="n">
        <v>3.888</v>
      </c>
      <c r="V66" t="n">
        <v>4.364</v>
      </c>
      <c r="W66" t="n">
        <v>4.512</v>
      </c>
      <c r="X66" t="n">
        <v>4.832</v>
      </c>
      <c r="Y66" t="n">
        <v>4.68</v>
      </c>
      <c r="Z66" t="n">
        <v>4.768</v>
      </c>
      <c r="AA66" t="n">
        <v>4.676</v>
      </c>
      <c r="AB66" t="n">
        <v>4.416</v>
      </c>
      <c r="AC66" t="n">
        <v>4.532</v>
      </c>
      <c r="AD66" t="n">
        <v>4.496</v>
      </c>
      <c r="AE66" t="n">
        <v>4.316</v>
      </c>
      <c r="AF66" t="n">
        <v>4.38</v>
      </c>
      <c r="AG66" t="n">
        <v>4.384</v>
      </c>
      <c r="AH66" t="n">
        <v>4.584</v>
      </c>
      <c r="AI66" t="n">
        <v>4.488</v>
      </c>
      <c r="AJ66" t="n">
        <v>4.672</v>
      </c>
      <c r="AK66" t="n">
        <v>4.596</v>
      </c>
      <c r="AL66" t="n">
        <v>5.424</v>
      </c>
      <c r="AM66" t="n">
        <v>5.78</v>
      </c>
      <c r="AN66" t="n">
        <v>6.88</v>
      </c>
      <c r="AO66" t="n">
        <v>7.244</v>
      </c>
      <c r="AP66" t="n">
        <v>7.764</v>
      </c>
      <c r="AQ66" t="n">
        <v>8.14</v>
      </c>
      <c r="AR66" t="n">
        <v>8.44</v>
      </c>
      <c r="AS66" t="n">
        <v>8.512</v>
      </c>
      <c r="AT66" t="n">
        <v>10.144</v>
      </c>
      <c r="AU66" t="n">
        <v>10.272</v>
      </c>
      <c r="AV66" t="n">
        <v>10.16</v>
      </c>
      <c r="AW66" t="n">
        <v>9.684</v>
      </c>
      <c r="AX66" t="n">
        <v>9.296</v>
      </c>
      <c r="AY66" t="n">
        <v>9.432</v>
      </c>
      <c r="AZ66" t="n">
        <v>9.676</v>
      </c>
      <c r="BA66" t="n">
        <v>11.18</v>
      </c>
      <c r="BB66" t="n">
        <v>11.288</v>
      </c>
      <c r="BC66" t="n">
        <v>11.124</v>
      </c>
      <c r="BD66" t="n">
        <v>10.964</v>
      </c>
      <c r="BE66" t="n">
        <v>10.888</v>
      </c>
      <c r="BF66" t="n">
        <v>10.8</v>
      </c>
      <c r="BG66" t="n">
        <v>10.624</v>
      </c>
      <c r="BH66" t="n">
        <v>10.432</v>
      </c>
      <c r="BI66" t="n">
        <v>10.82</v>
      </c>
      <c r="BJ66" t="n">
        <v>10.784</v>
      </c>
      <c r="BK66" t="n">
        <v>10.72</v>
      </c>
      <c r="BL66" t="n">
        <v>10.612</v>
      </c>
      <c r="BM66" t="n">
        <v>10.644</v>
      </c>
      <c r="BN66" t="n">
        <v>10.488</v>
      </c>
      <c r="BO66" t="n">
        <v>10.564</v>
      </c>
      <c r="BP66" t="n">
        <v>10.576</v>
      </c>
      <c r="BQ66" t="n">
        <v>10.584</v>
      </c>
      <c r="BR66" t="n">
        <v>10.54</v>
      </c>
      <c r="BS66" t="n">
        <v>10.488</v>
      </c>
      <c r="BT66" t="n">
        <v>10.312</v>
      </c>
      <c r="BU66" t="n">
        <v>11.088</v>
      </c>
      <c r="BV66" t="n">
        <v>11.176</v>
      </c>
      <c r="BW66" t="n">
        <v>11.132</v>
      </c>
      <c r="BX66" t="n">
        <v>11.052</v>
      </c>
      <c r="BY66" t="n">
        <v>11.492</v>
      </c>
      <c r="BZ66" t="n">
        <v>11.656</v>
      </c>
      <c r="CA66" t="n">
        <v>11.712</v>
      </c>
      <c r="CB66" t="n">
        <v>11.784</v>
      </c>
      <c r="CC66" t="n">
        <v>14.148</v>
      </c>
      <c r="CD66" t="n">
        <v>13.984</v>
      </c>
      <c r="CE66" t="n">
        <v>14.216</v>
      </c>
      <c r="CF66" t="n">
        <v>14.404</v>
      </c>
      <c r="CG66" t="n">
        <v>16.36</v>
      </c>
      <c r="CH66" t="n">
        <v>16.996</v>
      </c>
      <c r="CI66" t="n">
        <v>17.636</v>
      </c>
      <c r="CJ66" t="n">
        <v>18.092</v>
      </c>
      <c r="CK66" t="n">
        <v>20.332</v>
      </c>
      <c r="CL66" t="n">
        <v>20.596</v>
      </c>
      <c r="CM66" t="n">
        <v>20.932</v>
      </c>
      <c r="CN66" t="n">
        <v>21.792</v>
      </c>
      <c r="CO66" t="n">
        <v>21.86</v>
      </c>
      <c r="CP66" t="n">
        <v>21.82</v>
      </c>
      <c r="CQ66" t="n">
        <v>22.14</v>
      </c>
      <c r="CR66" t="n">
        <v>22.204</v>
      </c>
      <c r="CS66" t="n">
        <v>22.68</v>
      </c>
      <c r="CT66" t="n">
        <v>23.06</v>
      </c>
      <c r="CU66" t="n">
        <v>22.58</v>
      </c>
      <c r="CV66" t="n">
        <v>22.504</v>
      </c>
      <c r="CW66" t="n">
        <v>23.224</v>
      </c>
      <c r="CX66" t="n">
        <v>22.716</v>
      </c>
      <c r="CY66" t="n">
        <v>22.384</v>
      </c>
      <c r="CZ66" t="n">
        <v>22.052</v>
      </c>
      <c r="DA66" t="n">
        <v>22.636</v>
      </c>
      <c r="DB66" t="n">
        <v>22.564</v>
      </c>
      <c r="DC66" t="n">
        <v>22.236</v>
      </c>
      <c r="DD66" t="n">
        <v>21.852</v>
      </c>
      <c r="DE66" t="n">
        <v>21.16</v>
      </c>
      <c r="DF66" t="n">
        <v>20.04</v>
      </c>
      <c r="DG66" t="n">
        <v>19.076</v>
      </c>
      <c r="DH66" t="n">
        <v>18.144</v>
      </c>
      <c r="DI66" t="n">
        <v>17.668</v>
      </c>
      <c r="DJ66" t="n">
        <v>17.124</v>
      </c>
      <c r="DK66" t="n">
        <v>16.58</v>
      </c>
      <c r="DL66" t="n">
        <v>15.976</v>
      </c>
      <c r="DM66" t="n">
        <v>16.18</v>
      </c>
      <c r="DN66" t="n">
        <v>15.788</v>
      </c>
      <c r="DO66" t="n">
        <v>15.464</v>
      </c>
      <c r="DP66" t="n">
        <v>15.284</v>
      </c>
      <c r="DQ66" t="n">
        <v>15.356</v>
      </c>
      <c r="DR66" t="n">
        <v>13.616</v>
      </c>
      <c r="DS66" t="n">
        <v>14.896</v>
      </c>
      <c r="DT66" t="n">
        <v>14.84</v>
      </c>
      <c r="DU66" t="n">
        <v>14.908</v>
      </c>
      <c r="DV66" t="n">
        <v>15.1</v>
      </c>
      <c r="DW66" t="n">
        <v>15.536</v>
      </c>
      <c r="DX66" t="n">
        <v>15.996</v>
      </c>
      <c r="DY66" t="n">
        <v>17.236</v>
      </c>
      <c r="DZ66" t="n">
        <v>17.898</v>
      </c>
      <c r="EA66" t="n">
        <v>18.222</v>
      </c>
      <c r="EB66" t="n">
        <v>18.485</v>
      </c>
      <c r="EC66" t="n">
        <v>19.842</v>
      </c>
      <c r="ED66" t="n">
        <v>20.652</v>
      </c>
      <c r="EE66" t="n">
        <v>21.759</v>
      </c>
      <c r="EF66" t="n">
        <v>22.788</v>
      </c>
      <c r="EG66" t="n">
        <v>23.299</v>
      </c>
      <c r="EH66" t="n">
        <v>24.086</v>
      </c>
      <c r="EI66" t="n">
        <v>24.969</v>
      </c>
      <c r="EJ66" t="n">
        <v>25.888</v>
      </c>
      <c r="EK66" t="n">
        <v>28.839</v>
      </c>
      <c r="EL66" t="n">
        <v>27.844</v>
      </c>
      <c r="EM66" t="n">
        <v>28.237</v>
      </c>
      <c r="EN66" t="n">
        <v>29.613</v>
      </c>
      <c r="EO66" t="n">
        <v>32.274</v>
      </c>
      <c r="EP66" t="n">
        <v>29.235</v>
      </c>
      <c r="EQ66" t="n">
        <v>29.264</v>
      </c>
      <c r="ER66" t="n">
        <v>29.344</v>
      </c>
      <c r="ES66" t="n">
        <v>29.717</v>
      </c>
      <c r="ET66" t="n">
        <v>30</v>
      </c>
      <c r="EU66" t="n">
        <v>30.392</v>
      </c>
      <c r="EV66" t="n">
        <v>30.74</v>
      </c>
      <c r="EW66" t="n">
        <v>32.553</v>
      </c>
      <c r="EX66" t="n">
        <v>33.466</v>
      </c>
      <c r="EY66" t="n">
        <v>34.607</v>
      </c>
      <c r="EZ66" t="n">
        <v>37.1</v>
      </c>
      <c r="FA66" t="n">
        <v>42.964</v>
      </c>
      <c r="FB66" t="n">
        <v>44.63</v>
      </c>
      <c r="FC66" t="n">
        <v>55.541</v>
      </c>
      <c r="FD66" t="n">
        <v>58.195</v>
      </c>
      <c r="FE66" t="n">
        <v>60.683</v>
      </c>
      <c r="FF66" t="n">
        <v>63.749</v>
      </c>
      <c r="FG66" t="n">
        <v>65.743</v>
      </c>
      <c r="FH66" t="n">
        <v>67.74</v>
      </c>
      <c r="FI66" t="n">
        <v>68.828</v>
      </c>
      <c r="FJ66" t="n">
        <v>71.063</v>
      </c>
      <c r="FK66" t="n">
        <v>72.829</v>
      </c>
      <c r="FL66" t="n">
        <v>73.527</v>
      </c>
      <c r="FM66" t="n">
        <v>73.492</v>
      </c>
      <c r="FN66" t="n">
        <v>74.054</v>
      </c>
      <c r="FO66" t="n">
        <v>74.348</v>
      </c>
      <c r="FP66" t="n">
        <v>75.343</v>
      </c>
      <c r="FQ66" t="n">
        <v>75.66</v>
      </c>
      <c r="FR66" t="n">
        <v>75.96</v>
      </c>
      <c r="FS66" t="n">
        <v>76.039</v>
      </c>
      <c r="FT66" t="n">
        <v>75.214</v>
      </c>
      <c r="FU66" t="n">
        <v>71.414</v>
      </c>
      <c r="FV66" t="n">
        <v>69.318</v>
      </c>
      <c r="FW66" t="n">
        <v>69.354</v>
      </c>
      <c r="FX66" t="n">
        <v>68.645</v>
      </c>
      <c r="FY66" t="n">
        <v>70.317</v>
      </c>
      <c r="FZ66" t="n">
        <v>69.767</v>
      </c>
      <c r="GA66" t="n">
        <v>69.164</v>
      </c>
      <c r="GB66" t="n">
        <v>68.382</v>
      </c>
      <c r="GC66" t="n">
        <v>67.638</v>
      </c>
      <c r="GD66" t="n">
        <v>67.294</v>
      </c>
      <c r="GE66" t="n">
        <v>65.413</v>
      </c>
      <c r="GF66" t="n">
        <v>64.803</v>
      </c>
      <c r="GG66" t="n">
        <v>64.499</v>
      </c>
      <c r="GH66" t="n">
        <v>63.667</v>
      </c>
      <c r="GI66" t="n">
        <v>62.198</v>
      </c>
      <c r="GJ66" t="n">
        <v>63.705</v>
      </c>
      <c r="GK66" t="n">
        <v>67.449</v>
      </c>
      <c r="GL66" t="n">
        <v>59.752</v>
      </c>
      <c r="GM66" t="n">
        <v>58.479</v>
      </c>
      <c r="GN66" t="n">
        <v>57.514</v>
      </c>
      <c r="GO66" t="n">
        <v>57.017</v>
      </c>
      <c r="GP66" t="n">
        <v>55.875</v>
      </c>
      <c r="GQ66" t="n">
        <v>54.336</v>
      </c>
      <c r="GR66" t="n">
        <v>54.346</v>
      </c>
      <c r="GS66" t="n">
        <v>54.291</v>
      </c>
      <c r="GT66" t="n">
        <v>61.624</v>
      </c>
      <c r="GU66" t="n">
        <v>105.667</v>
      </c>
      <c r="GV66" t="n">
        <v>105.886</v>
      </c>
      <c r="GW66" t="n">
        <v>106.606</v>
      </c>
      <c r="GX66" t="n">
        <v>145.787</v>
      </c>
      <c r="GY66" t="n">
        <v>155.346</v>
      </c>
      <c r="GZ66" t="n">
        <v>148.603</v>
      </c>
      <c r="HA66" t="n">
        <v>154.94</v>
      </c>
      <c r="HB66" t="n">
        <v>131.551</v>
      </c>
      <c r="HC66" t="n">
        <v>128.349</v>
      </c>
      <c r="HD66" t="n">
        <v>125.361</v>
      </c>
      <c r="HE66" t="n">
        <v>146.43</v>
      </c>
      <c r="HF66" t="n">
        <v>138.408</v>
      </c>
      <c r="HG66" t="n">
        <v>106.691</v>
      </c>
      <c r="HH66" t="n">
        <v>106.296</v>
      </c>
      <c r="HI66" t="n">
        <v>93.49</v>
      </c>
      <c r="HJ66" t="n">
        <v>92.008</v>
      </c>
      <c r="HK66" t="n">
        <v>96.12</v>
      </c>
      <c r="HL66" t="n">
        <v>102.79</v>
      </c>
      <c r="HM66" t="n">
        <v>98.516</v>
      </c>
      <c r="HN66" t="n">
        <v>95.266</v>
      </c>
      <c r="HO66" t="n">
        <v>94.234</v>
      </c>
    </row>
    <row r="67">
      <c r="A67" s="78" t="s">
        <v>2579</v>
      </c>
      <c r="B67" s="78" t="n">
        <v>38.1</v>
      </c>
      <c r="C67" s="78" t="n">
        <v>38.6333333333333</v>
      </c>
      <c r="D67" s="78" t="n">
        <v>39.0333333333333</v>
      </c>
      <c r="E67" s="78" t="n">
        <v>39.6</v>
      </c>
      <c r="F67" s="78" t="n">
        <v>39.9333333333333</v>
      </c>
      <c r="G67" s="78" t="n">
        <v>40.3</v>
      </c>
      <c r="H67" s="78" t="n">
        <v>40.7</v>
      </c>
      <c r="I67" s="78" t="n">
        <v>41</v>
      </c>
      <c r="J67" s="78" t="n">
        <v>41.3333333333333</v>
      </c>
      <c r="K67" s="78" t="n">
        <v>41.6</v>
      </c>
      <c r="L67" s="78" t="n">
        <v>41.9333333333333</v>
      </c>
      <c r="M67" s="78" t="n">
        <v>42.3666666666667</v>
      </c>
      <c r="N67" s="78" t="n">
        <v>43.0333333333333</v>
      </c>
      <c r="O67" s="78" t="n">
        <v>43.9333333333333</v>
      </c>
      <c r="P67" t="n">
        <v>44.8</v>
      </c>
      <c r="Q67" t="n">
        <v>45.9333333333333</v>
      </c>
      <c r="R67" t="n">
        <v>47.3</v>
      </c>
      <c r="S67" t="n">
        <v>48.5666666666667</v>
      </c>
      <c r="T67" t="n">
        <v>49.9333333333333</v>
      </c>
      <c r="U67" t="n">
        <v>51.4666666666667</v>
      </c>
      <c r="V67" t="n">
        <v>52.5666666666667</v>
      </c>
      <c r="W67" t="n">
        <v>53.2</v>
      </c>
      <c r="X67" t="n">
        <v>54.2666666666667</v>
      </c>
      <c r="Y67" t="n">
        <v>55.2666666666667</v>
      </c>
      <c r="Z67" t="n">
        <v>55.9</v>
      </c>
      <c r="AA67" t="n">
        <v>56.4</v>
      </c>
      <c r="AB67" t="n">
        <v>57.3</v>
      </c>
      <c r="AC67" t="n">
        <v>58.1333333333333</v>
      </c>
      <c r="AD67" t="n">
        <v>59.2</v>
      </c>
      <c r="AE67" t="n">
        <v>60.2333333333333</v>
      </c>
      <c r="AF67" t="n">
        <v>61.0666666666667</v>
      </c>
      <c r="AG67" t="n">
        <v>61.9666666666667</v>
      </c>
      <c r="AH67" t="n">
        <v>63.0333333333333</v>
      </c>
      <c r="AI67" t="n">
        <v>64.4666666666667</v>
      </c>
      <c r="AJ67" t="n">
        <v>65.9666666666667</v>
      </c>
      <c r="AK67" t="n">
        <v>67.5</v>
      </c>
      <c r="AL67" t="n">
        <v>69.2</v>
      </c>
      <c r="AM67" t="n">
        <v>71.4</v>
      </c>
      <c r="AN67" t="n">
        <v>73.7</v>
      </c>
      <c r="AO67" t="n">
        <v>76.0333333333333</v>
      </c>
      <c r="AP67" t="n">
        <v>79.0333333333333</v>
      </c>
      <c r="AQ67" t="n">
        <v>81.7</v>
      </c>
      <c r="AR67" t="n">
        <v>83.2333333333333</v>
      </c>
      <c r="AS67" t="n">
        <v>85.5666666666667</v>
      </c>
      <c r="AT67" t="n">
        <v>87.9333333333333</v>
      </c>
      <c r="AU67" t="n">
        <v>89.7666666666667</v>
      </c>
      <c r="AV67" t="n">
        <v>92.2666666666667</v>
      </c>
      <c r="AW67" t="n">
        <v>93.7666666666667</v>
      </c>
      <c r="AX67" t="n">
        <v>94.6</v>
      </c>
      <c r="AY67" t="n">
        <v>95.9666666666667</v>
      </c>
      <c r="AZ67" t="n">
        <v>97.6333333333333</v>
      </c>
      <c r="BA67" t="n">
        <v>97.9333333333333</v>
      </c>
      <c r="BB67" t="n">
        <v>98</v>
      </c>
      <c r="BC67" t="n">
        <v>99.1333333333333</v>
      </c>
      <c r="BD67" t="n">
        <v>100.1</v>
      </c>
      <c r="BE67" t="n">
        <v>101.1</v>
      </c>
      <c r="BF67" t="n">
        <v>102.533333333333</v>
      </c>
      <c r="BG67" t="n">
        <v>103.5</v>
      </c>
      <c r="BH67" t="n">
        <v>104.4</v>
      </c>
      <c r="BI67" t="n">
        <v>105.3</v>
      </c>
      <c r="BJ67" t="n">
        <v>106.266666666667</v>
      </c>
      <c r="BK67" t="n">
        <v>107.233333333333</v>
      </c>
      <c r="BL67" t="n">
        <v>107.9</v>
      </c>
      <c r="BM67" t="n">
        <v>109</v>
      </c>
      <c r="BN67" t="n">
        <v>109.566666666667</v>
      </c>
      <c r="BO67" t="n">
        <v>109.033333333333</v>
      </c>
      <c r="BP67" t="n">
        <v>109.7</v>
      </c>
      <c r="BQ67" t="n">
        <v>110.466666666667</v>
      </c>
      <c r="BR67" t="n">
        <v>111.8</v>
      </c>
      <c r="BS67" t="n">
        <v>113.066666666667</v>
      </c>
      <c r="BT67" t="n">
        <v>114.266666666667</v>
      </c>
      <c r="BU67" t="n">
        <v>115.333333333333</v>
      </c>
      <c r="BV67" t="n">
        <v>116.233333333333</v>
      </c>
      <c r="BW67" t="n">
        <v>117.566666666667</v>
      </c>
      <c r="BX67" t="n">
        <v>119</v>
      </c>
      <c r="BY67" t="n">
        <v>120.3</v>
      </c>
      <c r="BZ67" t="n">
        <v>121.666666666667</v>
      </c>
      <c r="CA67" t="n">
        <v>123.633333333333</v>
      </c>
      <c r="CB67" t="n">
        <v>124.6</v>
      </c>
      <c r="CC67" t="n">
        <v>125.866666666667</v>
      </c>
      <c r="CD67" t="n">
        <v>128.033333333333</v>
      </c>
      <c r="CE67" t="n">
        <v>129.3</v>
      </c>
      <c r="CF67" t="n">
        <v>131.533333333333</v>
      </c>
      <c r="CG67" t="n">
        <v>133.766666666667</v>
      </c>
      <c r="CH67" t="n">
        <v>134.766666666667</v>
      </c>
      <c r="CI67" t="n">
        <v>135.566666666667</v>
      </c>
      <c r="CJ67" t="n">
        <v>136.6</v>
      </c>
      <c r="CK67" t="n">
        <v>137.733333333333</v>
      </c>
      <c r="CL67" t="n">
        <v>138.666666666667</v>
      </c>
      <c r="CM67" t="n">
        <v>139.733333333333</v>
      </c>
      <c r="CN67" t="n">
        <v>140.8</v>
      </c>
      <c r="CO67" t="n">
        <v>142.033333333333</v>
      </c>
      <c r="CP67" t="n">
        <v>143.066666666667</v>
      </c>
      <c r="CQ67" t="n">
        <v>144.1</v>
      </c>
      <c r="CR67" t="n">
        <v>144.766666666667</v>
      </c>
      <c r="CS67" t="n">
        <v>145.966666666667</v>
      </c>
      <c r="CT67" t="n">
        <v>146.7</v>
      </c>
      <c r="CU67" t="n">
        <v>147.533333333333</v>
      </c>
      <c r="CV67" t="n">
        <v>148.9</v>
      </c>
      <c r="CW67" t="n">
        <v>149.766666666667</v>
      </c>
      <c r="CX67" t="n">
        <v>150.866666666667</v>
      </c>
      <c r="CY67" t="n">
        <v>152.1</v>
      </c>
      <c r="CZ67" t="n">
        <v>152.866666666667</v>
      </c>
      <c r="DA67" t="n">
        <v>153.7</v>
      </c>
      <c r="DB67" t="n">
        <v>155.066666666667</v>
      </c>
      <c r="DC67" t="n">
        <v>156.4</v>
      </c>
      <c r="DD67" t="n">
        <v>157.3</v>
      </c>
      <c r="DE67" t="n">
        <v>158.666666666667</v>
      </c>
      <c r="DF67" t="n">
        <v>159.633333333333</v>
      </c>
      <c r="DG67" t="n">
        <v>160</v>
      </c>
      <c r="DH67" t="n">
        <v>160.8</v>
      </c>
      <c r="DI67" t="n">
        <v>161.666666666667</v>
      </c>
      <c r="DJ67" t="n">
        <v>162</v>
      </c>
      <c r="DK67" t="n">
        <v>162.533333333333</v>
      </c>
      <c r="DL67" t="n">
        <v>163.366666666667</v>
      </c>
      <c r="DM67" t="n">
        <v>164.133333333333</v>
      </c>
      <c r="DN67" t="n">
        <v>164.733333333333</v>
      </c>
      <c r="DO67" t="n">
        <v>165.966666666667</v>
      </c>
      <c r="DP67" t="n">
        <v>167.2</v>
      </c>
      <c r="DQ67" t="n">
        <v>168.433333333333</v>
      </c>
      <c r="DR67" t="n">
        <v>170.1</v>
      </c>
      <c r="DS67" t="n">
        <v>171.433333333333</v>
      </c>
      <c r="DT67" t="n">
        <v>173</v>
      </c>
      <c r="DU67" t="n">
        <v>174.233333333333</v>
      </c>
      <c r="DV67" t="n">
        <v>175.9</v>
      </c>
      <c r="DW67" t="n">
        <v>177.133333333333</v>
      </c>
      <c r="DX67" t="n">
        <v>177.633333333333</v>
      </c>
      <c r="DY67" t="n">
        <v>177.5</v>
      </c>
      <c r="DZ67" t="n">
        <v>178.066666666667</v>
      </c>
      <c r="EA67" t="n">
        <v>179.466666666667</v>
      </c>
      <c r="EB67" t="n">
        <v>180.433333333333</v>
      </c>
      <c r="EC67" t="n">
        <v>181.5</v>
      </c>
      <c r="ED67" t="n">
        <v>183.366666666667</v>
      </c>
      <c r="EE67" t="n">
        <v>183.066666666667</v>
      </c>
      <c r="EF67" t="n">
        <v>184.433333333333</v>
      </c>
      <c r="EG67" t="n">
        <v>185.133333333333</v>
      </c>
      <c r="EH67" t="n">
        <v>186.7</v>
      </c>
      <c r="EI67" t="n">
        <v>188.166666666667</v>
      </c>
      <c r="EJ67" t="n">
        <v>189.366666666667</v>
      </c>
      <c r="EK67" t="n">
        <v>191.4</v>
      </c>
      <c r="EL67" t="n">
        <v>192.366666666667</v>
      </c>
      <c r="EM67" t="n">
        <v>193.666666666667</v>
      </c>
      <c r="EN67" t="n">
        <v>196.6</v>
      </c>
      <c r="EO67" t="n">
        <v>198.433333333333</v>
      </c>
      <c r="EP67" t="n">
        <v>199.466666666667</v>
      </c>
      <c r="EQ67" t="n">
        <v>201.266666666667</v>
      </c>
      <c r="ER67" t="n">
        <v>203.166666666667</v>
      </c>
      <c r="ES67" t="n">
        <v>202.333333333333</v>
      </c>
      <c r="ET67" t="n">
        <v>204.317</v>
      </c>
      <c r="EU67" t="n">
        <v>206.631</v>
      </c>
      <c r="EV67" t="n">
        <v>207.939</v>
      </c>
      <c r="EW67" t="n">
        <v>210.489666666667</v>
      </c>
      <c r="EX67" t="n">
        <v>212.769666666667</v>
      </c>
      <c r="EY67" t="n">
        <v>215.537666666667</v>
      </c>
      <c r="EZ67" t="n">
        <v>218.861</v>
      </c>
      <c r="FA67" t="n">
        <v>213.848666666667</v>
      </c>
      <c r="FB67" t="n">
        <v>212.377666666667</v>
      </c>
      <c r="FC67" t="n">
        <v>213.507</v>
      </c>
      <c r="FD67" t="n">
        <v>215.344</v>
      </c>
      <c r="FE67" t="n">
        <v>217.03</v>
      </c>
      <c r="FF67" t="n">
        <v>217.374</v>
      </c>
      <c r="FG67" t="n">
        <v>217.297333333333</v>
      </c>
      <c r="FH67" t="n">
        <v>217.934333333333</v>
      </c>
      <c r="FI67" t="n">
        <v>219.699</v>
      </c>
      <c r="FJ67" t="n">
        <v>222.043666666667</v>
      </c>
      <c r="FK67" t="n">
        <v>224.568333333333</v>
      </c>
      <c r="FL67" t="n">
        <v>226.032666666667</v>
      </c>
      <c r="FM67" t="n">
        <v>227.047333333333</v>
      </c>
      <c r="FN67" t="n">
        <v>228.326</v>
      </c>
      <c r="FO67" t="n">
        <v>228.808</v>
      </c>
      <c r="FP67" t="n">
        <v>229.841</v>
      </c>
      <c r="FQ67" t="n">
        <v>231.369333333333</v>
      </c>
      <c r="FR67" t="n">
        <v>232.299333333333</v>
      </c>
      <c r="FS67" t="n">
        <v>232.045</v>
      </c>
      <c r="FT67" t="n">
        <v>233.3</v>
      </c>
      <c r="FU67" t="n">
        <v>234.162666666667</v>
      </c>
      <c r="FV67" t="n">
        <v>235.621</v>
      </c>
      <c r="FW67" t="n">
        <v>236.872333333333</v>
      </c>
      <c r="FX67" t="n">
        <v>237.478333333333</v>
      </c>
      <c r="FY67" t="n">
        <v>236.888333333333</v>
      </c>
      <c r="FZ67" t="n">
        <v>235.355</v>
      </c>
      <c r="GA67" t="n">
        <v>236.96</v>
      </c>
      <c r="GB67" t="n">
        <v>237.855</v>
      </c>
      <c r="GC67" t="n">
        <v>237.837</v>
      </c>
      <c r="GD67" t="n">
        <v>237.689333333333</v>
      </c>
      <c r="GE67" t="n">
        <v>239.590333333333</v>
      </c>
      <c r="GF67" t="n">
        <v>240.607333333333</v>
      </c>
      <c r="GG67" t="n">
        <v>242.134666666667</v>
      </c>
      <c r="GH67" t="n">
        <v>243.838666666667</v>
      </c>
      <c r="GI67" t="n">
        <v>244.12</v>
      </c>
      <c r="GJ67" t="n">
        <v>245.287</v>
      </c>
      <c r="GK67" t="n">
        <v>247.238333333333</v>
      </c>
      <c r="GL67" t="n">
        <v>249.321666666667</v>
      </c>
      <c r="GM67" t="n">
        <v>250.679</v>
      </c>
      <c r="GN67" t="n">
        <v>251.686333333333</v>
      </c>
      <c r="GO67" t="n">
        <v>252.711</v>
      </c>
      <c r="GP67" t="n">
        <v>253.385666666667</v>
      </c>
      <c r="GQ67" t="n">
        <v>255.247333333333</v>
      </c>
      <c r="GR67" t="n">
        <v>256.089333333333</v>
      </c>
      <c r="GS67" t="n">
        <v>257.888</v>
      </c>
      <c r="GT67" t="n">
        <v>258.817666666667</v>
      </c>
      <c r="GU67" t="n">
        <v>256.292</v>
      </c>
      <c r="GV67" t="n">
        <v>259.221666666667</v>
      </c>
      <c r="GW67" t="n">
        <v>261.091666666667</v>
      </c>
      <c r="GX67" t="n">
        <v>263.686333333333</v>
      </c>
      <c r="GY67" t="n">
        <v>268.579666666667</v>
      </c>
      <c r="GZ67" t="n">
        <v>272.886333333333</v>
      </c>
      <c r="HA67" t="n">
        <v>278.719333333333</v>
      </c>
      <c r="HB67" t="n">
        <v>284.844666666667</v>
      </c>
      <c r="HC67" t="n">
        <v>291.651</v>
      </c>
      <c r="HD67" t="n">
        <v>295.507666666667</v>
      </c>
      <c r="HE67" t="n">
        <v>298.498333333333</v>
      </c>
      <c r="HF67" t="n">
        <v>301.191666666667</v>
      </c>
      <c r="HG67" t="n">
        <v>303.424333333333</v>
      </c>
      <c r="HH67" t="n">
        <v>306.042333333333</v>
      </c>
      <c r="HI67" t="n">
        <v>308.158333333333</v>
      </c>
      <c r="HJ67" t="n">
        <v>310.974333333333</v>
      </c>
      <c r="HK67" t="n">
        <v>313.095666666667</v>
      </c>
      <c r="HL67" t="n">
        <v>314.182666666667</v>
      </c>
      <c r="HM67" t="n">
        <v>316.538666666667</v>
      </c>
      <c r="HN67" t="n">
        <v>319.492</v>
      </c>
      <c r="HO67" t="n">
        <v>320.800333333333</v>
      </c>
    </row>
    <row r="68">
      <c r="A68" s="78" t="s">
        <v>2580</v>
      </c>
      <c r="B68" s="78" t="n">
        <v>38.3</v>
      </c>
      <c r="C68" s="78" t="n">
        <v>38.8333333333333</v>
      </c>
      <c r="D68" s="78" t="n">
        <v>39.2333333333333</v>
      </c>
      <c r="E68" s="78" t="n">
        <v>39.8</v>
      </c>
      <c r="F68" s="78" t="n">
        <v>40.1666666666667</v>
      </c>
      <c r="G68" s="78" t="n">
        <v>40.5333333333333</v>
      </c>
      <c r="H68" s="78" t="n">
        <v>40.9666666666667</v>
      </c>
      <c r="I68" s="78" t="n">
        <v>41.2333333333333</v>
      </c>
      <c r="J68" s="78" t="n">
        <v>41.6</v>
      </c>
      <c r="K68" s="78" t="n">
        <v>41.8</v>
      </c>
      <c r="L68" s="78" t="n">
        <v>42.2</v>
      </c>
      <c r="M68" s="78" t="n">
        <v>42.6333333333333</v>
      </c>
      <c r="N68" s="78" t="n">
        <v>43.2666666666667</v>
      </c>
      <c r="O68" s="78" t="n">
        <v>44.1666666666667</v>
      </c>
      <c r="P68" t="n">
        <v>45.0666666666667</v>
      </c>
      <c r="Q68" t="n">
        <v>46.1666666666667</v>
      </c>
      <c r="R68" t="n">
        <v>47.5666666666667</v>
      </c>
      <c r="S68" t="n">
        <v>48.7666666666667</v>
      </c>
      <c r="T68" t="n">
        <v>50.2333333333333</v>
      </c>
      <c r="U68" t="n">
        <v>51.7666666666667</v>
      </c>
      <c r="V68" t="n">
        <v>52.8666666666667</v>
      </c>
      <c r="W68" t="n">
        <v>53.5</v>
      </c>
      <c r="X68" t="n">
        <v>54.5666666666667</v>
      </c>
      <c r="Y68" t="n">
        <v>55.5666666666667</v>
      </c>
      <c r="Z68" t="n">
        <v>56.2333333333333</v>
      </c>
      <c r="AA68" t="n">
        <v>56.7333333333333</v>
      </c>
      <c r="AB68" t="n">
        <v>57.6</v>
      </c>
      <c r="AC68" t="n">
        <v>58.4333333333333</v>
      </c>
      <c r="AD68" t="n">
        <v>59.5333333333333</v>
      </c>
      <c r="AE68" t="n">
        <v>60.6</v>
      </c>
      <c r="AF68" t="n">
        <v>61.4333333333333</v>
      </c>
      <c r="AG68" t="n">
        <v>62.2666666666667</v>
      </c>
      <c r="AH68" t="n">
        <v>63.3666666666667</v>
      </c>
      <c r="AI68" t="n">
        <v>64.7666666666667</v>
      </c>
      <c r="AJ68" t="n">
        <v>66.2333333333333</v>
      </c>
      <c r="AK68" t="n">
        <v>67.8333333333333</v>
      </c>
      <c r="AL68" t="n">
        <v>69.5666666666667</v>
      </c>
      <c r="AM68" t="n">
        <v>71.9</v>
      </c>
      <c r="AN68" t="n">
        <v>74.2333333333333</v>
      </c>
      <c r="AO68" t="n">
        <v>76.5</v>
      </c>
      <c r="AP68" t="n">
        <v>79.5</v>
      </c>
      <c r="AQ68" t="n">
        <v>82.2</v>
      </c>
      <c r="AR68" t="n">
        <v>83.7333333333333</v>
      </c>
      <c r="AS68" t="n">
        <v>86.1666666666667</v>
      </c>
      <c r="AT68" t="n">
        <v>88.4666666666667</v>
      </c>
      <c r="AU68" t="n">
        <v>90.2333333333333</v>
      </c>
      <c r="AV68" t="n">
        <v>92.7333333333333</v>
      </c>
      <c r="AW68" t="n">
        <v>94.1666666666667</v>
      </c>
      <c r="AX68" t="n">
        <v>94.9666666666667</v>
      </c>
      <c r="AY68" t="n">
        <v>96.2333333333333</v>
      </c>
      <c r="AZ68" t="n">
        <v>98</v>
      </c>
      <c r="BA68" t="n">
        <v>98.3333333333333</v>
      </c>
      <c r="BB68" t="n">
        <v>98.3</v>
      </c>
      <c r="BC68" t="n">
        <v>99.4333333333333</v>
      </c>
      <c r="BD68" t="n">
        <v>100.4</v>
      </c>
      <c r="BE68" t="n">
        <v>101.166666666667</v>
      </c>
      <c r="BF68" t="n">
        <v>101.933333333333</v>
      </c>
      <c r="BG68" t="n">
        <v>102.466666666667</v>
      </c>
      <c r="BH68" t="n">
        <v>103.933333333333</v>
      </c>
      <c r="BI68" t="n">
        <v>104.8</v>
      </c>
      <c r="BJ68" t="n">
        <v>105.666666666667</v>
      </c>
      <c r="BK68" t="n">
        <v>106.633333333333</v>
      </c>
      <c r="BL68" t="n">
        <v>107.133333333333</v>
      </c>
      <c r="BM68" t="n">
        <v>108.2</v>
      </c>
      <c r="BN68" t="n">
        <v>108.666666666667</v>
      </c>
      <c r="BO68" t="n">
        <v>107.933333333333</v>
      </c>
      <c r="BP68" t="n">
        <v>108.5</v>
      </c>
      <c r="BQ68" t="n">
        <v>109.2</v>
      </c>
      <c r="BR68" t="n">
        <v>110.666666666667</v>
      </c>
      <c r="BS68" t="n">
        <v>111.966666666667</v>
      </c>
      <c r="BT68" t="n">
        <v>113.166666666667</v>
      </c>
      <c r="BU68" t="n">
        <v>114.166666666667</v>
      </c>
      <c r="BV68" t="n">
        <v>114.933333333333</v>
      </c>
      <c r="BW68" t="n">
        <v>116.2</v>
      </c>
      <c r="BX68" t="n">
        <v>117.733333333333</v>
      </c>
      <c r="BY68" t="n">
        <v>118.933333333333</v>
      </c>
      <c r="BZ68" t="n">
        <v>120.366666666667</v>
      </c>
      <c r="CA68" t="n">
        <v>122.4</v>
      </c>
      <c r="CB68" t="n">
        <v>123.266666666667</v>
      </c>
      <c r="CC68" t="n">
        <v>124.4</v>
      </c>
      <c r="CD68" t="n">
        <v>126.566666666667</v>
      </c>
      <c r="CE68" t="n">
        <v>127.666666666667</v>
      </c>
      <c r="CF68" t="n">
        <v>129.866666666667</v>
      </c>
      <c r="CG68" t="n">
        <v>132.1</v>
      </c>
      <c r="CH68" t="n">
        <v>132.933333333333</v>
      </c>
      <c r="CI68" t="n">
        <v>133.733333333333</v>
      </c>
      <c r="CJ68" t="n">
        <v>134.633333333333</v>
      </c>
      <c r="CK68" t="n">
        <v>135.733333333333</v>
      </c>
      <c r="CL68" t="n">
        <v>136.533333333333</v>
      </c>
      <c r="CM68" t="n">
        <v>137.566666666667</v>
      </c>
      <c r="CN68" t="n">
        <v>138.7</v>
      </c>
      <c r="CO68" t="n">
        <v>139.8</v>
      </c>
      <c r="CP68" t="n">
        <v>140.766666666667</v>
      </c>
      <c r="CQ68" t="n">
        <v>141.733333333333</v>
      </c>
      <c r="CR68" t="n">
        <v>142.333333333333</v>
      </c>
      <c r="CS68" t="n">
        <v>143.433333333333</v>
      </c>
      <c r="CT68" t="n">
        <v>144.033333333333</v>
      </c>
      <c r="CU68" t="n">
        <v>144.866666666667</v>
      </c>
      <c r="CV68" t="n">
        <v>146.4</v>
      </c>
      <c r="CW68" t="n">
        <v>147.266666666667</v>
      </c>
      <c r="CX68" t="n">
        <v>148.333333333333</v>
      </c>
      <c r="CY68" t="n">
        <v>149.5</v>
      </c>
      <c r="CZ68" t="n">
        <v>150.166666666667</v>
      </c>
      <c r="DA68" t="n">
        <v>151</v>
      </c>
      <c r="DB68" t="n">
        <v>152.4</v>
      </c>
      <c r="DC68" t="n">
        <v>153.733333333333</v>
      </c>
      <c r="DD68" t="n">
        <v>154.566666666667</v>
      </c>
      <c r="DE68" t="n">
        <v>155.866666666667</v>
      </c>
      <c r="DF68" t="n">
        <v>156.8</v>
      </c>
      <c r="DG68" t="n">
        <v>157.1</v>
      </c>
      <c r="DH68" t="n">
        <v>157.8</v>
      </c>
      <c r="DI68" t="n">
        <v>158.533333333333</v>
      </c>
      <c r="DJ68" t="n">
        <v>158.733333333333</v>
      </c>
      <c r="DK68" t="n">
        <v>159.2</v>
      </c>
      <c r="DL68" t="n">
        <v>159.966666666667</v>
      </c>
      <c r="DM68" t="n">
        <v>160.766666666667</v>
      </c>
      <c r="DN68" t="n">
        <v>161.366666666667</v>
      </c>
      <c r="DO68" t="n">
        <v>162.533333333333</v>
      </c>
      <c r="DP68" t="n">
        <v>163.9</v>
      </c>
      <c r="DQ68" t="n">
        <v>165.2</v>
      </c>
      <c r="DR68" t="n">
        <v>166.833333333333</v>
      </c>
      <c r="DS68" t="n">
        <v>168.166666666667</v>
      </c>
      <c r="DT68" t="n">
        <v>169.7</v>
      </c>
      <c r="DU68" t="n">
        <v>170.833333333333</v>
      </c>
      <c r="DV68" t="n">
        <v>172.433333333333</v>
      </c>
      <c r="DW68" t="n">
        <v>173.733333333333</v>
      </c>
      <c r="DX68" t="n">
        <v>174.1</v>
      </c>
      <c r="DY68" t="n">
        <v>173.666666666667</v>
      </c>
      <c r="DZ68" t="n">
        <v>174.033333333333</v>
      </c>
      <c r="EA68" t="n">
        <v>175.533333333333</v>
      </c>
      <c r="EB68" t="n">
        <v>176.5</v>
      </c>
      <c r="EC68" t="n">
        <v>177.466666666667</v>
      </c>
      <c r="ED68" t="n">
        <v>179.466666666667</v>
      </c>
      <c r="EE68" t="n">
        <v>178.933333333333</v>
      </c>
      <c r="EF68" t="n">
        <v>180.2</v>
      </c>
      <c r="EG68" t="n">
        <v>180.733333333333</v>
      </c>
      <c r="EH68" t="n">
        <v>182.333333333333</v>
      </c>
      <c r="EI68" t="n">
        <v>183.666666666667</v>
      </c>
      <c r="EJ68" t="n">
        <v>184.866666666667</v>
      </c>
      <c r="EK68" t="n">
        <v>187.066666666667</v>
      </c>
      <c r="EL68" t="n">
        <v>187.933333333333</v>
      </c>
      <c r="EM68" t="n">
        <v>189.233333333333</v>
      </c>
      <c r="EN68" t="n">
        <v>192.566666666667</v>
      </c>
      <c r="EO68" t="n">
        <v>194.2</v>
      </c>
      <c r="EP68" t="n">
        <v>195.133333333333</v>
      </c>
      <c r="EQ68" t="n">
        <v>196.933333333333</v>
      </c>
      <c r="ER68" t="n">
        <v>198.8</v>
      </c>
      <c r="ES68" t="n">
        <v>197.566666666667</v>
      </c>
      <c r="ET68" t="n">
        <v>199.553</v>
      </c>
      <c r="EU68" t="n">
        <v>202.077</v>
      </c>
      <c r="EV68" t="n">
        <v>203.37</v>
      </c>
      <c r="EW68" t="n">
        <v>206.085666666667</v>
      </c>
      <c r="EX68" t="n">
        <v>208.516</v>
      </c>
      <c r="EY68" t="n">
        <v>211.502666666667</v>
      </c>
      <c r="EZ68" t="n">
        <v>215.13</v>
      </c>
      <c r="FA68" t="n">
        <v>208.838666666667</v>
      </c>
      <c r="FB68" t="n">
        <v>206.943333333333</v>
      </c>
      <c r="FC68" t="n">
        <v>208.390333333333</v>
      </c>
      <c r="FD68" t="n">
        <v>210.695</v>
      </c>
      <c r="FE68" t="n">
        <v>212.632666666667</v>
      </c>
      <c r="FF68" t="n">
        <v>213.237</v>
      </c>
      <c r="FG68" t="n">
        <v>213.150666666667</v>
      </c>
      <c r="FH68" t="n">
        <v>213.82</v>
      </c>
      <c r="FI68" t="n">
        <v>215.764</v>
      </c>
      <c r="FJ68" t="n">
        <v>218.415666666667</v>
      </c>
      <c r="FK68" t="n">
        <v>221.287666666667</v>
      </c>
      <c r="FL68" t="n">
        <v>222.738</v>
      </c>
      <c r="FM68" t="n">
        <v>223.774666666667</v>
      </c>
      <c r="FN68" t="n">
        <v>225.087333333333</v>
      </c>
      <c r="FO68" t="n">
        <v>225.459333333333</v>
      </c>
      <c r="FP68" t="n">
        <v>226.357</v>
      </c>
      <c r="FQ68" t="n">
        <v>227.971666666667</v>
      </c>
      <c r="FR68" t="n">
        <v>228.836666666667</v>
      </c>
      <c r="FS68" t="n">
        <v>228.409666666667</v>
      </c>
      <c r="FT68" t="n">
        <v>229.589</v>
      </c>
      <c r="FU68" t="n">
        <v>230.433666666667</v>
      </c>
      <c r="FV68" t="n">
        <v>231.95</v>
      </c>
      <c r="FW68" t="n">
        <v>233.101333333333</v>
      </c>
      <c r="FX68" t="n">
        <v>233.494333333333</v>
      </c>
      <c r="FY68" t="n">
        <v>232.431</v>
      </c>
      <c r="FZ68" t="n">
        <v>230.236666666667</v>
      </c>
      <c r="GA68" t="n">
        <v>231.957666666667</v>
      </c>
      <c r="GB68" t="n">
        <v>232.693333333333</v>
      </c>
      <c r="GC68" t="n">
        <v>232.280333333333</v>
      </c>
      <c r="GD68" t="n">
        <v>231.781</v>
      </c>
      <c r="GE68" t="n">
        <v>233.774</v>
      </c>
      <c r="GF68" t="n">
        <v>234.596666666667</v>
      </c>
      <c r="GG68" t="n">
        <v>236.140666666667</v>
      </c>
      <c r="GH68" t="n">
        <v>237.859</v>
      </c>
      <c r="GI68" t="n">
        <v>237.925333333333</v>
      </c>
      <c r="GJ68" t="n">
        <v>239.136666666667</v>
      </c>
      <c r="GK68" t="n">
        <v>241.276333333333</v>
      </c>
      <c r="GL68" t="n">
        <v>243.415666666667</v>
      </c>
      <c r="GM68" t="n">
        <v>244.717666666667</v>
      </c>
      <c r="GN68" t="n">
        <v>245.765333333333</v>
      </c>
      <c r="GO68" t="n">
        <v>246.649666666667</v>
      </c>
      <c r="GP68" t="n">
        <v>246.956666666667</v>
      </c>
      <c r="GQ68" t="n">
        <v>248.901666666667</v>
      </c>
      <c r="GR68" t="n">
        <v>249.573</v>
      </c>
      <c r="GS68" t="n">
        <v>251.426666666667</v>
      </c>
      <c r="GT68" t="n">
        <v>252.223666666667</v>
      </c>
      <c r="GU68" t="n">
        <v>249.436333333333</v>
      </c>
      <c r="GV68" t="n">
        <v>252.759666666667</v>
      </c>
      <c r="GW68" t="n">
        <v>254.778333333333</v>
      </c>
      <c r="GX68" t="n">
        <v>257.669666666667</v>
      </c>
      <c r="GY68" t="n">
        <v>262.96</v>
      </c>
      <c r="GZ68" t="n">
        <v>267.533666666667</v>
      </c>
      <c r="HA68" t="n">
        <v>273.865333333333</v>
      </c>
      <c r="HB68" t="n">
        <v>280.401666666667</v>
      </c>
      <c r="HC68" t="n">
        <v>287.327333333333</v>
      </c>
      <c r="HD68" t="n">
        <v>290.776333333333</v>
      </c>
      <c r="HE68" t="n">
        <v>293.272666666667</v>
      </c>
      <c r="HF68" t="n">
        <v>295.585</v>
      </c>
      <c r="HG68" t="n">
        <v>297.647333333333</v>
      </c>
      <c r="HH68" t="n">
        <v>300.338333333333</v>
      </c>
      <c r="HI68" t="n">
        <v>302.407666666667</v>
      </c>
      <c r="HJ68" t="n">
        <v>305.067666666667</v>
      </c>
      <c r="HK68" t="n">
        <v>307.151333333333</v>
      </c>
      <c r="HL68" t="n">
        <v>307.930666666667</v>
      </c>
      <c r="HM68" t="n">
        <v>310.089333333333</v>
      </c>
      <c r="HN68" t="n">
        <v>313.091333333333</v>
      </c>
      <c r="HO68" t="n">
        <v>314.182666666667</v>
      </c>
    </row>
    <row r="69">
      <c r="A69" s="78" t="s">
        <v>2581</v>
      </c>
      <c r="B69" s="78" t="n">
        <v>5306</v>
      </c>
      <c r="C69" s="78" t="n">
        <v>5349.1</v>
      </c>
      <c r="D69" s="78" t="n">
        <v>5391.1</v>
      </c>
      <c r="E69" s="78" t="n">
        <v>5432.9</v>
      </c>
      <c r="F69" s="78" t="n">
        <v>5476.1</v>
      </c>
      <c r="G69" s="78" t="n">
        <v>5522.1</v>
      </c>
      <c r="H69" s="78" t="n">
        <v>5569.5</v>
      </c>
      <c r="I69" s="78" t="n">
        <v>5617.2</v>
      </c>
      <c r="J69" s="78" t="n">
        <v>5663.7</v>
      </c>
      <c r="K69" s="78" t="n">
        <v>5708.1</v>
      </c>
      <c r="L69" s="78" t="n">
        <v>5751.4</v>
      </c>
      <c r="M69" s="78" t="n">
        <v>5794.8</v>
      </c>
      <c r="N69" s="78" t="n">
        <v>5839.5</v>
      </c>
      <c r="O69" s="78" t="n">
        <v>5887.3</v>
      </c>
      <c r="P69" t="n">
        <v>5936.7</v>
      </c>
      <c r="Q69" t="n">
        <v>5987.8</v>
      </c>
      <c r="R69" t="n">
        <v>6039.6</v>
      </c>
      <c r="S69" t="n">
        <v>6091.8</v>
      </c>
      <c r="T69" t="n">
        <v>6143.2</v>
      </c>
      <c r="U69" t="n">
        <v>6194</v>
      </c>
      <c r="V69" t="n">
        <v>6243.7</v>
      </c>
      <c r="W69" t="n">
        <v>6292.8</v>
      </c>
      <c r="X69" t="n">
        <v>6341.6</v>
      </c>
      <c r="Y69" t="n">
        <v>6390.2</v>
      </c>
      <c r="Z69" t="n">
        <v>6438.2</v>
      </c>
      <c r="AA69" t="n">
        <v>6486.3</v>
      </c>
      <c r="AB69" t="n">
        <v>6535.4</v>
      </c>
      <c r="AC69" t="n">
        <v>6585.2</v>
      </c>
      <c r="AD69" t="n">
        <v>6637</v>
      </c>
      <c r="AE69" t="n">
        <v>6690.5</v>
      </c>
      <c r="AF69" t="n">
        <v>6745.2</v>
      </c>
      <c r="AG69" t="n">
        <v>6801.6</v>
      </c>
      <c r="AH69" t="n">
        <v>6859.4</v>
      </c>
      <c r="AI69" t="n">
        <v>6918.2</v>
      </c>
      <c r="AJ69" t="n">
        <v>6978.6</v>
      </c>
      <c r="AK69" t="n">
        <v>7040.2</v>
      </c>
      <c r="AL69" t="n">
        <v>7104</v>
      </c>
      <c r="AM69" t="n">
        <v>7165.9</v>
      </c>
      <c r="AN69" t="n">
        <v>7224.3</v>
      </c>
      <c r="AO69" t="n">
        <v>7278.1</v>
      </c>
      <c r="AP69" t="n">
        <v>7326.4</v>
      </c>
      <c r="AQ69" t="n">
        <v>7368</v>
      </c>
      <c r="AR69" t="n">
        <v>7403.1</v>
      </c>
      <c r="AS69" t="n">
        <v>7440.2</v>
      </c>
      <c r="AT69" t="n">
        <v>7464</v>
      </c>
      <c r="AU69" t="n">
        <v>7511</v>
      </c>
      <c r="AV69" t="n">
        <v>7561.3</v>
      </c>
      <c r="AW69" t="n">
        <v>7614.9</v>
      </c>
      <c r="AX69" t="n">
        <v>7670.9</v>
      </c>
      <c r="AY69" t="n">
        <v>7728.7</v>
      </c>
      <c r="AZ69" t="n">
        <v>7788.1</v>
      </c>
      <c r="BA69" t="n">
        <v>7848.9</v>
      </c>
      <c r="BB69" t="n">
        <v>7909.5</v>
      </c>
      <c r="BC69" t="n">
        <v>7971.6</v>
      </c>
      <c r="BD69" t="n">
        <v>8035.4</v>
      </c>
      <c r="BE69" t="n">
        <v>8101.8</v>
      </c>
      <c r="BF69" t="n">
        <v>8170.8</v>
      </c>
      <c r="BG69" t="n">
        <v>8242.5</v>
      </c>
      <c r="BH69" t="n">
        <v>8315.8</v>
      </c>
      <c r="BI69" t="n">
        <v>8390.4</v>
      </c>
      <c r="BJ69" t="n">
        <v>8465.3</v>
      </c>
      <c r="BK69" t="n">
        <v>8540.4</v>
      </c>
      <c r="BL69" t="n">
        <v>8615.3</v>
      </c>
      <c r="BM69" t="n">
        <v>8689.7</v>
      </c>
      <c r="BN69" t="n">
        <v>8763.2</v>
      </c>
      <c r="BO69" t="n">
        <v>8835.9</v>
      </c>
      <c r="BP69" t="n">
        <v>8908.2</v>
      </c>
      <c r="BQ69" t="n">
        <v>8980.8</v>
      </c>
      <c r="BR69" t="n">
        <v>9053.3</v>
      </c>
      <c r="BS69" t="n">
        <v>9125.6</v>
      </c>
      <c r="BT69" t="n">
        <v>9197.8</v>
      </c>
      <c r="BU69" t="n">
        <v>9270.5</v>
      </c>
      <c r="BV69" t="n">
        <v>9343.1</v>
      </c>
      <c r="BW69" t="n">
        <v>9416.3</v>
      </c>
      <c r="BX69" t="n">
        <v>9489.7</v>
      </c>
      <c r="BY69" t="n">
        <v>9563.6</v>
      </c>
      <c r="BZ69" t="n">
        <v>9637.7</v>
      </c>
      <c r="CA69" t="n">
        <v>9711.9</v>
      </c>
      <c r="CB69" t="n">
        <v>9786.1</v>
      </c>
      <c r="CC69" t="n">
        <v>9860</v>
      </c>
      <c r="CD69" t="n">
        <v>9933.2</v>
      </c>
      <c r="CE69" t="n">
        <v>10005.2</v>
      </c>
      <c r="CF69" t="n">
        <v>10075.4</v>
      </c>
      <c r="CG69" t="n">
        <v>10143.6</v>
      </c>
      <c r="CH69" t="n">
        <v>10210.3</v>
      </c>
      <c r="CI69" t="n">
        <v>10275.4</v>
      </c>
      <c r="CJ69" t="n">
        <v>10339.4</v>
      </c>
      <c r="CK69" t="n">
        <v>10403.4</v>
      </c>
      <c r="CL69" t="n">
        <v>10467.5</v>
      </c>
      <c r="CM69" t="n">
        <v>10532.4</v>
      </c>
      <c r="CN69" t="n">
        <v>10598.6</v>
      </c>
      <c r="CO69" t="n">
        <v>10665.8</v>
      </c>
      <c r="CP69" t="n">
        <v>10734</v>
      </c>
      <c r="CQ69" t="n">
        <v>10804</v>
      </c>
      <c r="CR69" t="n">
        <v>10875.2</v>
      </c>
      <c r="CS69" t="n">
        <v>10947.4</v>
      </c>
      <c r="CT69" t="n">
        <v>11020.7</v>
      </c>
      <c r="CU69" t="n">
        <v>11094.9</v>
      </c>
      <c r="CV69" t="n">
        <v>11170.7</v>
      </c>
      <c r="CW69" t="n">
        <v>11247.9</v>
      </c>
      <c r="CX69" t="n">
        <v>11325.9</v>
      </c>
      <c r="CY69" t="n">
        <v>11405.4</v>
      </c>
      <c r="CZ69" t="n">
        <v>11485.9</v>
      </c>
      <c r="DA69" t="n">
        <v>11568.5</v>
      </c>
      <c r="DB69" t="n">
        <v>11652.9</v>
      </c>
      <c r="DC69" t="n">
        <v>11742.6</v>
      </c>
      <c r="DD69" t="n">
        <v>11838.8</v>
      </c>
      <c r="DE69" t="n">
        <v>11941.3</v>
      </c>
      <c r="DF69" t="n">
        <v>12049.8</v>
      </c>
      <c r="DG69" t="n">
        <v>12163.6</v>
      </c>
      <c r="DH69" t="n">
        <v>12282.9</v>
      </c>
      <c r="DI69" t="n">
        <v>12406.6</v>
      </c>
      <c r="DJ69" t="n">
        <v>12534</v>
      </c>
      <c r="DK69" t="n">
        <v>12665.4</v>
      </c>
      <c r="DL69" t="n">
        <v>12799.2</v>
      </c>
      <c r="DM69" t="n">
        <v>12935.6</v>
      </c>
      <c r="DN69" t="n">
        <v>13074.8</v>
      </c>
      <c r="DO69" t="n">
        <v>13215.7</v>
      </c>
      <c r="DP69" t="n">
        <v>13358.5</v>
      </c>
      <c r="DQ69" t="n">
        <v>13503.5</v>
      </c>
      <c r="DR69" t="n">
        <v>13650</v>
      </c>
      <c r="DS69" t="n">
        <v>13792.7</v>
      </c>
      <c r="DT69" t="n">
        <v>13929.5</v>
      </c>
      <c r="DU69" t="n">
        <v>14059.4</v>
      </c>
      <c r="DV69" t="n">
        <v>14182.4</v>
      </c>
      <c r="DW69" t="n">
        <v>14298.5</v>
      </c>
      <c r="DX69" t="n">
        <v>14407.7</v>
      </c>
      <c r="DY69" t="n">
        <v>14510.9</v>
      </c>
      <c r="DZ69" t="n">
        <v>14608.7</v>
      </c>
      <c r="EA69" t="n">
        <v>14702.9</v>
      </c>
      <c r="EB69" t="n">
        <v>14795.1</v>
      </c>
      <c r="EC69" t="n">
        <v>14886.2</v>
      </c>
      <c r="ED69" t="n">
        <v>14977.2</v>
      </c>
      <c r="EE69" t="n">
        <v>15069</v>
      </c>
      <c r="EF69" t="n">
        <v>15161</v>
      </c>
      <c r="EG69" t="n">
        <v>15254.3</v>
      </c>
      <c r="EH69" t="n">
        <v>15349.4</v>
      </c>
      <c r="EI69" t="n">
        <v>15445.8</v>
      </c>
      <c r="EJ69" t="n">
        <v>15544.1</v>
      </c>
      <c r="EK69" t="n">
        <v>15643.4</v>
      </c>
      <c r="EL69" t="n">
        <v>15740.4</v>
      </c>
      <c r="EM69" t="n">
        <v>15834</v>
      </c>
      <c r="EN69" t="n">
        <v>15925.5</v>
      </c>
      <c r="EO69" t="n">
        <v>16014.2</v>
      </c>
      <c r="EP69" t="n">
        <v>16099.6</v>
      </c>
      <c r="EQ69" t="n">
        <v>16182.6</v>
      </c>
      <c r="ER69" t="n">
        <v>16261.6</v>
      </c>
      <c r="ES69" t="n">
        <v>16336.4</v>
      </c>
      <c r="ET69" t="n">
        <v>16413.1</v>
      </c>
      <c r="EU69" t="n">
        <v>16492.8</v>
      </c>
      <c r="EV69" t="n">
        <v>16575.4</v>
      </c>
      <c r="EW69" t="n">
        <v>16658.3</v>
      </c>
      <c r="EX69" t="n">
        <v>16741.8</v>
      </c>
      <c r="EY69" t="n">
        <v>16824</v>
      </c>
      <c r="EZ69" t="n">
        <v>16903.8</v>
      </c>
      <c r="FA69" t="n">
        <v>16979.7</v>
      </c>
      <c r="FB69" t="n">
        <v>17050.2</v>
      </c>
      <c r="FC69" t="n">
        <v>17116.5</v>
      </c>
      <c r="FD69" t="n">
        <v>17179</v>
      </c>
      <c r="FE69" t="n">
        <v>17239.5</v>
      </c>
      <c r="FF69" t="n">
        <v>17300.3</v>
      </c>
      <c r="FG69" t="n">
        <v>17362.2</v>
      </c>
      <c r="FH69" t="n">
        <v>17426.5</v>
      </c>
      <c r="FI69" t="n">
        <v>17492.5</v>
      </c>
      <c r="FJ69" t="n">
        <v>17560.5</v>
      </c>
      <c r="FK69" t="n">
        <v>17630.5</v>
      </c>
      <c r="FL69" t="n">
        <v>17702.6</v>
      </c>
      <c r="FM69" t="n">
        <v>17776.3</v>
      </c>
      <c r="FN69" t="n">
        <v>17851.5</v>
      </c>
      <c r="FO69" t="n">
        <v>17928.9</v>
      </c>
      <c r="FP69" t="n">
        <v>18007.8</v>
      </c>
      <c r="FQ69" t="n">
        <v>18088</v>
      </c>
      <c r="FR69" t="n">
        <v>18170.2</v>
      </c>
      <c r="FS69" t="n">
        <v>18253.5</v>
      </c>
      <c r="FT69" t="n">
        <v>18337.6</v>
      </c>
      <c r="FU69" t="n">
        <v>18422.9</v>
      </c>
      <c r="FV69" t="n">
        <v>18509.4</v>
      </c>
      <c r="FW69" t="n">
        <v>18597.1</v>
      </c>
      <c r="FX69" t="n">
        <v>18686.8</v>
      </c>
      <c r="FY69" t="n">
        <v>18777.7</v>
      </c>
      <c r="FZ69" t="n">
        <v>18869.8</v>
      </c>
      <c r="GA69" t="n">
        <v>18963</v>
      </c>
      <c r="GB69" t="n">
        <v>19056.8</v>
      </c>
      <c r="GC69" t="n">
        <v>19151</v>
      </c>
      <c r="GD69" t="n">
        <v>19245.2</v>
      </c>
      <c r="GE69" t="n">
        <v>19339.7</v>
      </c>
      <c r="GF69" t="n">
        <v>19434.1</v>
      </c>
      <c r="GG69" t="n">
        <v>19528.1</v>
      </c>
      <c r="GH69" t="n">
        <v>19622.2</v>
      </c>
      <c r="GI69" t="n">
        <v>19717.1</v>
      </c>
      <c r="GJ69" t="n">
        <v>19814.5</v>
      </c>
      <c r="GK69" t="n">
        <v>19914.3</v>
      </c>
      <c r="GL69" t="n">
        <v>20016.5</v>
      </c>
      <c r="GM69" t="n">
        <v>20121.7</v>
      </c>
      <c r="GN69" t="n">
        <v>20228.1</v>
      </c>
      <c r="GO69" t="n">
        <v>20335.1</v>
      </c>
      <c r="GP69" t="n">
        <v>20443</v>
      </c>
      <c r="GQ69" t="n">
        <v>20551.1</v>
      </c>
      <c r="GR69" t="n">
        <v>20659</v>
      </c>
      <c r="GS69" t="n">
        <v>20764</v>
      </c>
      <c r="GT69" t="n">
        <v>20867.3</v>
      </c>
      <c r="GU69" t="n">
        <v>20970.4</v>
      </c>
      <c r="GV69" t="n">
        <v>21071.8</v>
      </c>
      <c r="GW69" t="n">
        <v>21174.3</v>
      </c>
      <c r="GX69" t="n">
        <v>21277.7</v>
      </c>
      <c r="GY69" t="n">
        <v>21382.9</v>
      </c>
      <c r="GZ69" t="n">
        <v>21493</v>
      </c>
      <c r="HA69" t="n">
        <v>21606.1</v>
      </c>
      <c r="HB69" t="n">
        <v>21722</v>
      </c>
      <c r="HC69" t="n">
        <v>21840.6</v>
      </c>
      <c r="HD69" t="n">
        <v>21961.5</v>
      </c>
      <c r="HE69" t="n">
        <v>22084.9</v>
      </c>
      <c r="HF69" t="n">
        <v>22208.2</v>
      </c>
      <c r="HG69" t="n">
        <v>22333.1</v>
      </c>
      <c r="HH69" t="n">
        <v>22459.7</v>
      </c>
      <c r="HI69" t="n">
        <v>22588.2</v>
      </c>
      <c r="HJ69" t="n">
        <v>22718.1</v>
      </c>
      <c r="HK69" t="n">
        <v>22849.9</v>
      </c>
      <c r="HL69" t="n">
        <v>22981.3</v>
      </c>
      <c r="HM69" t="n">
        <v>23113.3</v>
      </c>
      <c r="HN69" t="n">
        <v>23243.2</v>
      </c>
      <c r="HO69" t="n">
        <v>23376.1</v>
      </c>
    </row>
    <row r="70">
      <c r="A70" s="78" t="s">
        <v>2582</v>
      </c>
      <c r="B70" s="78" t="n">
        <v>1052.2</v>
      </c>
      <c r="C70" s="78" t="n">
        <v>1075.6</v>
      </c>
      <c r="D70" s="78" t="n">
        <v>1093</v>
      </c>
      <c r="E70" s="78" t="n">
        <v>1116</v>
      </c>
      <c r="F70" s="78" t="n">
        <v>1142</v>
      </c>
      <c r="G70" s="78" t="n">
        <v>1166.6</v>
      </c>
      <c r="H70" s="78" t="n">
        <v>1188.7</v>
      </c>
      <c r="I70" s="78" t="n">
        <v>1208.8</v>
      </c>
      <c r="J70" s="78" t="n">
        <v>1237.4</v>
      </c>
      <c r="K70" s="78" t="n">
        <v>1254.9</v>
      </c>
      <c r="L70" s="78" t="n">
        <v>1276.5</v>
      </c>
      <c r="M70" s="78" t="n">
        <v>1302.5</v>
      </c>
      <c r="N70" s="78" t="n">
        <v>1327.7</v>
      </c>
      <c r="O70" s="78" t="n">
        <v>1359.1</v>
      </c>
      <c r="P70" t="n">
        <v>1397.2</v>
      </c>
      <c r="Q70" t="n">
        <v>1437.3</v>
      </c>
      <c r="R70" t="n">
        <v>1477.1</v>
      </c>
      <c r="S70" t="n">
        <v>1525.1</v>
      </c>
      <c r="T70" t="n">
        <v>1583</v>
      </c>
      <c r="U70" t="n">
        <v>1643.1</v>
      </c>
      <c r="V70" t="n">
        <v>1693.9</v>
      </c>
      <c r="W70" t="n">
        <v>1732.6</v>
      </c>
      <c r="X70" t="n">
        <v>1776.8</v>
      </c>
      <c r="Y70" t="n">
        <v>1820.4</v>
      </c>
      <c r="Z70" t="n">
        <v>1853.5</v>
      </c>
      <c r="AA70" t="n">
        <v>1886.1</v>
      </c>
      <c r="AB70" t="n">
        <v>1925</v>
      </c>
      <c r="AC70" t="n">
        <v>1974.5</v>
      </c>
      <c r="AD70" t="n">
        <v>2021.9</v>
      </c>
      <c r="AE70" t="n">
        <v>2067</v>
      </c>
      <c r="AF70" t="n">
        <v>2109.3</v>
      </c>
      <c r="AG70" t="n">
        <v>2172.9</v>
      </c>
      <c r="AH70" t="n">
        <v>2223.3</v>
      </c>
      <c r="AI70" t="n">
        <v>2285.1</v>
      </c>
      <c r="AJ70" t="n">
        <v>2344.3</v>
      </c>
      <c r="AK70" t="n">
        <v>2413.3</v>
      </c>
      <c r="AL70" t="n">
        <v>2479.6</v>
      </c>
      <c r="AM70" t="n">
        <v>2562.4</v>
      </c>
      <c r="AN70" t="n">
        <v>2639.8</v>
      </c>
      <c r="AO70" t="n">
        <v>2708.9</v>
      </c>
      <c r="AP70" t="n">
        <v>2784</v>
      </c>
      <c r="AQ70" t="n">
        <v>2866.5</v>
      </c>
      <c r="AR70" t="n">
        <v>2944.6</v>
      </c>
      <c r="AS70" t="n">
        <v>3036.4</v>
      </c>
      <c r="AT70" t="n">
        <v>3126.3</v>
      </c>
      <c r="AU70" t="n">
        <v>3208.3</v>
      </c>
      <c r="AV70" t="n">
        <v>3290.6</v>
      </c>
      <c r="AW70" t="n">
        <v>3371.2</v>
      </c>
      <c r="AX70" t="n">
        <v>3442.8</v>
      </c>
      <c r="AY70" t="n">
        <v>3513.8</v>
      </c>
      <c r="AZ70" t="n">
        <v>3590.9</v>
      </c>
      <c r="BA70" t="n">
        <v>3656.5</v>
      </c>
      <c r="BB70" t="n">
        <v>3712.5</v>
      </c>
      <c r="BC70" t="n">
        <v>3769.4</v>
      </c>
      <c r="BD70" t="n">
        <v>3840.1</v>
      </c>
      <c r="BE70" t="n">
        <v>3901.1</v>
      </c>
      <c r="BF70" t="n">
        <v>3974.3</v>
      </c>
      <c r="BG70" t="n">
        <v>4043.3</v>
      </c>
      <c r="BH70" t="n">
        <v>4115.6</v>
      </c>
      <c r="BI70" t="n">
        <v>4183.6</v>
      </c>
      <c r="BJ70" t="n">
        <v>4262.7</v>
      </c>
      <c r="BK70" t="n">
        <v>4328.2</v>
      </c>
      <c r="BL70" t="n">
        <v>4392.5</v>
      </c>
      <c r="BM70" t="n">
        <v>4455.1</v>
      </c>
      <c r="BN70" t="n">
        <v>4515.1</v>
      </c>
      <c r="BO70" t="n">
        <v>4569.8</v>
      </c>
      <c r="BP70" t="n">
        <v>4626.2</v>
      </c>
      <c r="BQ70" t="n">
        <v>4689.3</v>
      </c>
      <c r="BR70" t="n">
        <v>4757.4</v>
      </c>
      <c r="BS70" t="n">
        <v>4828.6</v>
      </c>
      <c r="BT70" t="n">
        <v>4903.7</v>
      </c>
      <c r="BU70" t="n">
        <v>4981.8</v>
      </c>
      <c r="BV70" t="n">
        <v>5060.2</v>
      </c>
      <c r="BW70" t="n">
        <v>5149.4</v>
      </c>
      <c r="BX70" t="n">
        <v>5251.5</v>
      </c>
      <c r="BY70" t="n">
        <v>5338.2</v>
      </c>
      <c r="BZ70" t="n">
        <v>5435.7</v>
      </c>
      <c r="CA70" t="n">
        <v>5535.9</v>
      </c>
      <c r="CB70" t="n">
        <v>5619</v>
      </c>
      <c r="CC70" t="n">
        <v>5701.6</v>
      </c>
      <c r="CD70" t="n">
        <v>5805.9</v>
      </c>
      <c r="CE70" t="n">
        <v>5913.5</v>
      </c>
      <c r="CF70" t="n">
        <v>6006</v>
      </c>
      <c r="CG70" t="n">
        <v>6091.7</v>
      </c>
      <c r="CH70" t="n">
        <v>6191.9</v>
      </c>
      <c r="CI70" t="n">
        <v>6277.1</v>
      </c>
      <c r="CJ70" t="n">
        <v>6365.5</v>
      </c>
      <c r="CK70" t="n">
        <v>6442.9</v>
      </c>
      <c r="CL70" t="n">
        <v>6506.8</v>
      </c>
      <c r="CM70" t="n">
        <v>6586.5</v>
      </c>
      <c r="CN70" t="n">
        <v>6660.2</v>
      </c>
      <c r="CO70" t="n">
        <v>6748.6</v>
      </c>
      <c r="CP70" t="n">
        <v>6829.8</v>
      </c>
      <c r="CQ70" t="n">
        <v>6915.3</v>
      </c>
      <c r="CR70" t="n">
        <v>7002.2</v>
      </c>
      <c r="CS70" t="n">
        <v>7087.1</v>
      </c>
      <c r="CT70" t="n">
        <v>7168.8</v>
      </c>
      <c r="CU70" t="n">
        <v>7251.8</v>
      </c>
      <c r="CV70" t="n">
        <v>7343.3</v>
      </c>
      <c r="CW70" t="n">
        <v>7434.2</v>
      </c>
      <c r="CX70" t="n">
        <v>7526.2</v>
      </c>
      <c r="CY70" t="n">
        <v>7615.5</v>
      </c>
      <c r="CZ70" t="n">
        <v>7707</v>
      </c>
      <c r="DA70" t="n">
        <v>7799.8</v>
      </c>
      <c r="DB70" t="n">
        <v>7894.6</v>
      </c>
      <c r="DC70" t="n">
        <v>7988.2</v>
      </c>
      <c r="DD70" t="n">
        <v>8080</v>
      </c>
      <c r="DE70" t="n">
        <v>8193.6</v>
      </c>
      <c r="DF70" t="n">
        <v>8317.4</v>
      </c>
      <c r="DG70" t="n">
        <v>8412.6</v>
      </c>
      <c r="DH70" t="n">
        <v>8532.2</v>
      </c>
      <c r="DI70" t="n">
        <v>8646.8</v>
      </c>
      <c r="DJ70" t="n">
        <v>8748.1</v>
      </c>
      <c r="DK70" t="n">
        <v>8860.6</v>
      </c>
      <c r="DL70" t="n">
        <v>8992.1</v>
      </c>
      <c r="DM70" t="n">
        <v>9113.6</v>
      </c>
      <c r="DN70" t="n">
        <v>9241.5</v>
      </c>
      <c r="DO70" t="n">
        <v>9376.5</v>
      </c>
      <c r="DP70" t="n">
        <v>9511.2</v>
      </c>
      <c r="DQ70" t="n">
        <v>9667.9</v>
      </c>
      <c r="DR70" t="n">
        <v>9837.8</v>
      </c>
      <c r="DS70" t="n">
        <v>10002.5</v>
      </c>
      <c r="DT70" t="n">
        <v>10160.8</v>
      </c>
      <c r="DU70" t="n">
        <v>10310.7</v>
      </c>
      <c r="DV70" t="n">
        <v>10469.7</v>
      </c>
      <c r="DW70" t="n">
        <v>10618.9</v>
      </c>
      <c r="DX70" t="n">
        <v>10742</v>
      </c>
      <c r="DY70" t="n">
        <v>10853</v>
      </c>
      <c r="DZ70" t="n">
        <v>10960.5</v>
      </c>
      <c r="EA70" t="n">
        <v>11069.8</v>
      </c>
      <c r="EB70" t="n">
        <v>11192.4</v>
      </c>
      <c r="EC70" t="n">
        <v>11326.6</v>
      </c>
      <c r="ED70" t="n">
        <v>11451.7</v>
      </c>
      <c r="EE70" t="n">
        <v>11562.5</v>
      </c>
      <c r="EF70" t="n">
        <v>11699.6</v>
      </c>
      <c r="EG70" t="n">
        <v>11843.3</v>
      </c>
      <c r="EH70" t="n">
        <v>12002.1</v>
      </c>
      <c r="EI70" t="n">
        <v>12175</v>
      </c>
      <c r="EJ70" t="n">
        <v>12330.3</v>
      </c>
      <c r="EK70" t="n">
        <v>12505.2</v>
      </c>
      <c r="EL70" t="n">
        <v>12683.2</v>
      </c>
      <c r="EM70" t="n">
        <v>12850.6</v>
      </c>
      <c r="EN70" t="n">
        <v>13042.6</v>
      </c>
      <c r="EO70" t="n">
        <v>13223</v>
      </c>
      <c r="EP70" t="n">
        <v>13387.8</v>
      </c>
      <c r="EQ70" t="n">
        <v>13574.3</v>
      </c>
      <c r="ER70" t="n">
        <v>13735.8</v>
      </c>
      <c r="ES70" t="n">
        <v>13848.4</v>
      </c>
      <c r="ET70" t="n">
        <v>14045.7</v>
      </c>
      <c r="EU70" t="n">
        <v>14212.1</v>
      </c>
      <c r="EV70" t="n">
        <v>14361.2</v>
      </c>
      <c r="EW70" t="n">
        <v>14491.6</v>
      </c>
      <c r="EX70" t="n">
        <v>14618.2</v>
      </c>
      <c r="EY70" t="n">
        <v>14761</v>
      </c>
      <c r="EZ70" t="n">
        <v>14942.7</v>
      </c>
      <c r="FA70" t="n">
        <v>15046.2</v>
      </c>
      <c r="FB70" t="n">
        <v>15096.7</v>
      </c>
      <c r="FC70" t="n">
        <v>15130.2</v>
      </c>
      <c r="FD70" t="n">
        <v>15203.5</v>
      </c>
      <c r="FE70" t="n">
        <v>15305.3</v>
      </c>
      <c r="FF70" t="n">
        <v>15403.5</v>
      </c>
      <c r="FG70" t="n">
        <v>15534</v>
      </c>
      <c r="FH70" t="n">
        <v>15639</v>
      </c>
      <c r="FI70" t="n">
        <v>15789.4</v>
      </c>
      <c r="FJ70" t="n">
        <v>15932</v>
      </c>
      <c r="FK70" t="n">
        <v>16101.2</v>
      </c>
      <c r="FL70" t="n">
        <v>16264.4</v>
      </c>
      <c r="FM70" t="n">
        <v>16351.6</v>
      </c>
      <c r="FN70" t="n">
        <v>16517.1</v>
      </c>
      <c r="FO70" t="n">
        <v>16657.1</v>
      </c>
      <c r="FP70" t="n">
        <v>16822.2</v>
      </c>
      <c r="FQ70" t="n">
        <v>16982</v>
      </c>
      <c r="FR70" t="n">
        <v>17126.8</v>
      </c>
      <c r="FS70" t="n">
        <v>17242.4</v>
      </c>
      <c r="FT70" t="n">
        <v>17406.7</v>
      </c>
      <c r="FU70" t="n">
        <v>17580.2</v>
      </c>
      <c r="FV70" t="n">
        <v>17729.7</v>
      </c>
      <c r="FW70" t="n">
        <v>17914.6</v>
      </c>
      <c r="FX70" t="n">
        <v>18074.9</v>
      </c>
      <c r="FY70" t="n">
        <v>18181</v>
      </c>
      <c r="FZ70" t="n">
        <v>18260.1</v>
      </c>
      <c r="GA70" t="n">
        <v>18455.8</v>
      </c>
      <c r="GB70" t="n">
        <v>18596.2</v>
      </c>
      <c r="GC70" t="n">
        <v>18687.6</v>
      </c>
      <c r="GD70" t="n">
        <v>18763.3</v>
      </c>
      <c r="GE70" t="n">
        <v>18983.6</v>
      </c>
      <c r="GF70" t="n">
        <v>19125</v>
      </c>
      <c r="GG70" t="n">
        <v>19310.6</v>
      </c>
      <c r="GH70" t="n">
        <v>19502.6</v>
      </c>
      <c r="GI70" t="n">
        <v>19648</v>
      </c>
      <c r="GJ70" t="n">
        <v>19846.6</v>
      </c>
      <c r="GK70" t="n">
        <v>20069.2</v>
      </c>
      <c r="GL70" t="n">
        <v>20300.7</v>
      </c>
      <c r="GM70" t="n">
        <v>20551.5</v>
      </c>
      <c r="GN70" t="n">
        <v>20749.4</v>
      </c>
      <c r="GO70" t="n">
        <v>20949</v>
      </c>
      <c r="GP70" t="n">
        <v>21123.4</v>
      </c>
      <c r="GQ70" t="n">
        <v>21344.7</v>
      </c>
      <c r="GR70" t="n">
        <v>21525.2</v>
      </c>
      <c r="GS70" t="n">
        <v>21701.8</v>
      </c>
      <c r="GT70" t="n">
        <v>21910.5</v>
      </c>
      <c r="GU70" t="n">
        <v>21937.5</v>
      </c>
      <c r="GV70" t="n">
        <v>22236.5</v>
      </c>
      <c r="GW70" t="n">
        <v>22496.6</v>
      </c>
      <c r="GX70" t="n">
        <v>22892.7</v>
      </c>
      <c r="GY70" t="n">
        <v>23362.2</v>
      </c>
      <c r="GZ70" t="n">
        <v>23835.1</v>
      </c>
      <c r="HA70" t="n">
        <v>24377.2</v>
      </c>
      <c r="HB70" t="n">
        <v>25006.1</v>
      </c>
      <c r="HC70" t="n">
        <v>25713.2</v>
      </c>
      <c r="HD70" t="n">
        <v>26146.7</v>
      </c>
      <c r="HE70" t="n">
        <v>26536.6</v>
      </c>
      <c r="HF70" t="n">
        <v>26927.8</v>
      </c>
      <c r="HG70" t="n">
        <v>27202.5</v>
      </c>
      <c r="HH70" t="n">
        <v>27573.4</v>
      </c>
      <c r="HI70" t="n">
        <v>27838</v>
      </c>
      <c r="HJ70" t="n">
        <v>28207.7</v>
      </c>
      <c r="HK70" t="n">
        <v>28549.4</v>
      </c>
      <c r="HL70" t="n">
        <v>28845.5</v>
      </c>
      <c r="HM70" t="n">
        <v>29181.8</v>
      </c>
      <c r="HN70" t="n">
        <v>29512.4</v>
      </c>
      <c r="HO70" t="n">
        <v>29836.7</v>
      </c>
    </row>
    <row r="71">
      <c r="A71" s="78" t="s">
        <v>2583</v>
      </c>
      <c r="B71" s="78" t="n">
        <v>1</v>
      </c>
      <c r="C71" s="78" t="n">
        <v>1</v>
      </c>
      <c r="D71" s="78" t="n">
        <v>1</v>
      </c>
      <c r="E71" s="78" t="n">
        <v>1</v>
      </c>
      <c r="F71" s="78" t="n">
        <v>-1</v>
      </c>
      <c r="G71" s="78" t="n">
        <v>-1</v>
      </c>
      <c r="H71" s="78" t="n">
        <v>-1</v>
      </c>
      <c r="I71" s="78" t="n">
        <v>-1</v>
      </c>
      <c r="J71" s="78" t="n">
        <v>-1</v>
      </c>
      <c r="K71" s="78" t="n">
        <v>-1</v>
      </c>
      <c r="L71" s="78" t="n">
        <v>-1</v>
      </c>
      <c r="M71" s="78" t="n">
        <v>-1</v>
      </c>
      <c r="N71" s="78" t="n">
        <v>-1</v>
      </c>
      <c r="O71" s="78" t="n">
        <v>-1</v>
      </c>
      <c r="P71" t="n">
        <v>-1</v>
      </c>
      <c r="Q71" t="n">
        <v>1</v>
      </c>
      <c r="R71" t="n">
        <v>1</v>
      </c>
      <c r="S71" t="n">
        <v>1</v>
      </c>
      <c r="T71" t="n">
        <v>1</v>
      </c>
      <c r="U71" t="n">
        <v>1</v>
      </c>
      <c r="V71" t="n">
        <v>1</v>
      </c>
      <c r="W71" t="n">
        <v>-1</v>
      </c>
      <c r="X71" t="n">
        <v>-1</v>
      </c>
      <c r="Y71" t="n">
        <v>-1</v>
      </c>
      <c r="Z71" t="n">
        <v>-1</v>
      </c>
      <c r="AA71" t="n">
        <v>-1</v>
      </c>
      <c r="AB71" t="n">
        <v>-1</v>
      </c>
      <c r="AC71" t="n">
        <v>-1</v>
      </c>
      <c r="AD71" t="n">
        <v>-1</v>
      </c>
      <c r="AE71" t="n">
        <v>-1</v>
      </c>
      <c r="AF71" t="n">
        <v>-1</v>
      </c>
      <c r="AG71" t="n">
        <v>-1</v>
      </c>
      <c r="AH71" t="n">
        <v>-1</v>
      </c>
      <c r="AI71" t="n">
        <v>-1</v>
      </c>
      <c r="AJ71" t="n">
        <v>-1</v>
      </c>
      <c r="AK71" t="n">
        <v>-1</v>
      </c>
      <c r="AL71" t="n">
        <v>-1</v>
      </c>
      <c r="AM71" t="n">
        <v>-1</v>
      </c>
      <c r="AN71" t="n">
        <v>-1</v>
      </c>
      <c r="AO71" t="n">
        <v>-1</v>
      </c>
      <c r="AP71" t="n">
        <v>1</v>
      </c>
      <c r="AQ71" t="n">
        <v>1</v>
      </c>
      <c r="AR71" t="n">
        <v>1</v>
      </c>
      <c r="AS71" t="n">
        <v>-1</v>
      </c>
      <c r="AT71" t="n">
        <v>-1</v>
      </c>
      <c r="AU71" t="n">
        <v>-1</v>
      </c>
      <c r="AV71" t="n">
        <v>1</v>
      </c>
      <c r="AW71" t="n">
        <v>1</v>
      </c>
      <c r="AX71" t="n">
        <v>1</v>
      </c>
      <c r="AY71" t="n">
        <v>1</v>
      </c>
      <c r="AZ71" t="n">
        <v>1</v>
      </c>
      <c r="BA71" t="n">
        <v>1</v>
      </c>
      <c r="BB71" t="n">
        <v>-1</v>
      </c>
      <c r="BC71" t="n">
        <v>-1</v>
      </c>
      <c r="BD71" t="n">
        <v>-1</v>
      </c>
      <c r="BE71" t="n">
        <v>-1</v>
      </c>
      <c r="BF71" t="n">
        <v>-1</v>
      </c>
      <c r="BG71" t="n">
        <v>-1</v>
      </c>
      <c r="BH71" t="n">
        <v>-1</v>
      </c>
      <c r="BI71" t="n">
        <v>-1</v>
      </c>
      <c r="BJ71" t="n">
        <v>-1</v>
      </c>
      <c r="BK71" t="n">
        <v>-1</v>
      </c>
      <c r="BL71" t="n">
        <v>-1</v>
      </c>
      <c r="BM71" t="n">
        <v>-1</v>
      </c>
      <c r="BN71" t="n">
        <v>-1</v>
      </c>
      <c r="BO71" t="n">
        <v>-1</v>
      </c>
      <c r="BP71" t="n">
        <v>-1</v>
      </c>
      <c r="BQ71" t="n">
        <v>-1</v>
      </c>
      <c r="BR71" t="n">
        <v>-1</v>
      </c>
      <c r="BS71" t="n">
        <v>-1</v>
      </c>
      <c r="BT71" t="n">
        <v>-1</v>
      </c>
      <c r="BU71" t="n">
        <v>-1</v>
      </c>
      <c r="BV71" t="n">
        <v>-1</v>
      </c>
      <c r="BW71" t="n">
        <v>-1</v>
      </c>
      <c r="BX71" t="n">
        <v>-1</v>
      </c>
      <c r="BY71" t="n">
        <v>-1</v>
      </c>
      <c r="BZ71" t="n">
        <v>-1</v>
      </c>
      <c r="CA71" t="n">
        <v>-1</v>
      </c>
      <c r="CB71" t="n">
        <v>-1</v>
      </c>
      <c r="CC71" t="n">
        <v>-1</v>
      </c>
      <c r="CD71" t="n">
        <v>-1</v>
      </c>
      <c r="CE71" t="n">
        <v>-1</v>
      </c>
      <c r="CF71" t="n">
        <v>1</v>
      </c>
      <c r="CG71" t="n">
        <v>1</v>
      </c>
      <c r="CH71" t="n">
        <v>1</v>
      </c>
      <c r="CI71" t="n">
        <v>-1</v>
      </c>
      <c r="CJ71" t="n">
        <v>-1</v>
      </c>
      <c r="CK71" t="n">
        <v>-1</v>
      </c>
      <c r="CL71" t="n">
        <v>-1</v>
      </c>
      <c r="CM71" t="n">
        <v>-1</v>
      </c>
      <c r="CN71" t="n">
        <v>-1</v>
      </c>
      <c r="CO71" t="n">
        <v>-1</v>
      </c>
      <c r="CP71" t="n">
        <v>-1</v>
      </c>
      <c r="CQ71" t="n">
        <v>-1</v>
      </c>
      <c r="CR71" t="n">
        <v>-1</v>
      </c>
      <c r="CS71" t="n">
        <v>-1</v>
      </c>
      <c r="CT71" t="n">
        <v>-1</v>
      </c>
      <c r="CU71" t="n">
        <v>-1</v>
      </c>
      <c r="CV71" t="n">
        <v>-1</v>
      </c>
      <c r="CW71" t="n">
        <v>-1</v>
      </c>
      <c r="CX71" t="n">
        <v>-1</v>
      </c>
      <c r="CY71" t="n">
        <v>-1</v>
      </c>
      <c r="CZ71" t="n">
        <v>-1</v>
      </c>
      <c r="DA71" t="n">
        <v>-1</v>
      </c>
      <c r="DB71" t="n">
        <v>-1</v>
      </c>
      <c r="DC71" t="n">
        <v>-1</v>
      </c>
      <c r="DD71" t="n">
        <v>-1</v>
      </c>
      <c r="DE71" t="n">
        <v>-1</v>
      </c>
      <c r="DF71" t="n">
        <v>-1</v>
      </c>
      <c r="DG71" t="n">
        <v>-1</v>
      </c>
      <c r="DH71" t="n">
        <v>-1</v>
      </c>
      <c r="DI71" t="n">
        <v>-1</v>
      </c>
      <c r="DJ71" t="n">
        <v>-1</v>
      </c>
      <c r="DK71" t="n">
        <v>-1</v>
      </c>
      <c r="DL71" t="n">
        <v>-1</v>
      </c>
      <c r="DM71" t="n">
        <v>-1</v>
      </c>
      <c r="DN71" t="n">
        <v>-1</v>
      </c>
      <c r="DO71" t="n">
        <v>-1</v>
      </c>
      <c r="DP71" t="n">
        <v>-1</v>
      </c>
      <c r="DQ71" t="n">
        <v>-1</v>
      </c>
      <c r="DR71" t="n">
        <v>-1</v>
      </c>
      <c r="DS71" t="n">
        <v>-1</v>
      </c>
      <c r="DT71" t="n">
        <v>-1</v>
      </c>
      <c r="DU71" t="n">
        <v>-1</v>
      </c>
      <c r="DV71" t="n">
        <v>1</v>
      </c>
      <c r="DW71" t="n">
        <v>1</v>
      </c>
      <c r="DX71" t="n">
        <v>1</v>
      </c>
      <c r="DY71" t="n">
        <v>1</v>
      </c>
      <c r="DZ71" t="n">
        <v>-1</v>
      </c>
      <c r="EA71" t="n">
        <v>-1</v>
      </c>
      <c r="EB71" t="n">
        <v>-1</v>
      </c>
      <c r="EC71" t="n">
        <v>-1</v>
      </c>
      <c r="ED71" t="n">
        <v>-1</v>
      </c>
      <c r="EE71" t="n">
        <v>-1</v>
      </c>
      <c r="EF71" t="n">
        <v>-1</v>
      </c>
      <c r="EG71" t="n">
        <v>-1</v>
      </c>
      <c r="EH71" t="n">
        <v>-1</v>
      </c>
      <c r="EI71" t="n">
        <v>-1</v>
      </c>
      <c r="EJ71" t="n">
        <v>-1</v>
      </c>
      <c r="EK71" t="n">
        <v>-1</v>
      </c>
      <c r="EL71" t="n">
        <v>-1</v>
      </c>
      <c r="EM71" t="n">
        <v>-1</v>
      </c>
      <c r="EN71" t="n">
        <v>-1</v>
      </c>
      <c r="EO71" t="n">
        <v>-1</v>
      </c>
      <c r="EP71" t="n">
        <v>-1</v>
      </c>
      <c r="EQ71" t="n">
        <v>-1</v>
      </c>
      <c r="ER71" t="n">
        <v>-1</v>
      </c>
      <c r="ES71" t="n">
        <v>-1</v>
      </c>
      <c r="ET71" t="n">
        <v>-1</v>
      </c>
      <c r="EU71" t="n">
        <v>-1</v>
      </c>
      <c r="EV71" t="n">
        <v>-1</v>
      </c>
      <c r="EW71" t="n">
        <v>1</v>
      </c>
      <c r="EX71" t="n">
        <v>1</v>
      </c>
      <c r="EY71" t="n">
        <v>1</v>
      </c>
      <c r="EZ71" t="n">
        <v>1</v>
      </c>
      <c r="FA71" t="n">
        <v>1</v>
      </c>
      <c r="FB71" t="n">
        <v>1</v>
      </c>
      <c r="FC71" t="n">
        <v>1</v>
      </c>
      <c r="FD71" t="n">
        <v>-1</v>
      </c>
      <c r="FE71" t="n">
        <v>-1</v>
      </c>
      <c r="FF71" t="n">
        <v>-1</v>
      </c>
      <c r="FG71" t="n">
        <v>-1</v>
      </c>
      <c r="FH71" t="n">
        <v>-1</v>
      </c>
      <c r="FI71" t="n">
        <v>-1</v>
      </c>
      <c r="FJ71" t="n">
        <v>-1</v>
      </c>
      <c r="FK71" t="n">
        <v>-1</v>
      </c>
      <c r="FL71" t="n">
        <v>-1</v>
      </c>
      <c r="FM71" t="n">
        <v>-1</v>
      </c>
      <c r="FN71" t="n">
        <v>-1</v>
      </c>
      <c r="FO71" t="n">
        <v>-1</v>
      </c>
      <c r="FP71" t="n">
        <v>-1</v>
      </c>
      <c r="FQ71" t="n">
        <v>-1</v>
      </c>
      <c r="FR71" t="n">
        <v>-1</v>
      </c>
      <c r="FS71" t="n">
        <v>-1</v>
      </c>
      <c r="FT71" t="n">
        <v>-1</v>
      </c>
      <c r="FU71" t="n">
        <v>-1</v>
      </c>
      <c r="FV71" t="n">
        <v>-1</v>
      </c>
      <c r="FW71" t="n">
        <v>-1</v>
      </c>
      <c r="FX71" t="n">
        <v>-1</v>
      </c>
      <c r="FY71" t="n">
        <v>-1</v>
      </c>
      <c r="FZ71" t="n">
        <v>-1</v>
      </c>
      <c r="GA71" t="n">
        <v>-1</v>
      </c>
      <c r="GB71" t="n">
        <v>-1</v>
      </c>
      <c r="GC71" t="n">
        <v>-1</v>
      </c>
      <c r="GD71" t="n">
        <v>-1</v>
      </c>
      <c r="GE71" t="n">
        <v>-1</v>
      </c>
      <c r="GF71" t="n">
        <v>-1</v>
      </c>
      <c r="GG71" t="n">
        <v>-1</v>
      </c>
      <c r="GH71" t="n">
        <v>-1</v>
      </c>
      <c r="GI71" t="n">
        <v>-1</v>
      </c>
      <c r="GJ71" t="n">
        <v>-1</v>
      </c>
      <c r="GK71" t="n">
        <v>-1</v>
      </c>
      <c r="GL71" t="n">
        <v>-1</v>
      </c>
      <c r="GM71" t="n">
        <v>-1</v>
      </c>
      <c r="GN71" t="n">
        <v>-1</v>
      </c>
      <c r="GO71" t="n">
        <v>-1</v>
      </c>
      <c r="GP71" t="n">
        <v>-1</v>
      </c>
      <c r="GQ71" t="n">
        <v>-1</v>
      </c>
      <c r="GR71" t="n">
        <v>-1</v>
      </c>
      <c r="GS71" t="n">
        <v>1</v>
      </c>
      <c r="GT71" t="n">
        <v>1</v>
      </c>
      <c r="GU71" t="n">
        <v>1</v>
      </c>
      <c r="GV71" t="n">
        <v>-1</v>
      </c>
      <c r="GW71" t="n">
        <v>-1</v>
      </c>
      <c r="GX71" t="n">
        <v>-1</v>
      </c>
      <c r="GY71" t="n">
        <v>-1</v>
      </c>
      <c r="GZ71" t="n">
        <v>-1</v>
      </c>
      <c r="HA71" t="n">
        <v>-1</v>
      </c>
      <c r="HB71" t="n">
        <v>-1</v>
      </c>
      <c r="HC71" t="n">
        <v>-1</v>
      </c>
      <c r="HD71" t="n">
        <v>-1</v>
      </c>
      <c r="HE71" t="n">
        <v>-1</v>
      </c>
      <c r="HF71" t="n">
        <v>-1</v>
      </c>
      <c r="HG71" t="n">
        <v>-1</v>
      </c>
      <c r="HH71" t="n">
        <v>-1</v>
      </c>
      <c r="HI71" t="n">
        <v>-1</v>
      </c>
      <c r="HJ71" t="n">
        <v>-1</v>
      </c>
      <c r="HK71" t="n">
        <v>-1</v>
      </c>
      <c r="HL71" t="n">
        <v>-1</v>
      </c>
      <c r="HM71" t="n">
        <v>-1</v>
      </c>
      <c r="HN71" t="n">
        <v>-1</v>
      </c>
      <c r="HO71" t="n">
        <v>-1</v>
      </c>
    </row>
    <row r="72">
      <c r="A72" s="78" t="s">
        <v>2584</v>
      </c>
      <c r="B72" s="78" t="n">
        <v>2613.33333333333</v>
      </c>
      <c r="C72" s="78" t="n">
        <v>2648.33333333333</v>
      </c>
      <c r="D72" s="78" t="n">
        <v>2681.66666666667</v>
      </c>
      <c r="E72" s="78" t="n">
        <v>2716.33333333333</v>
      </c>
      <c r="F72" s="78" t="n">
        <v>2719.33333333333</v>
      </c>
      <c r="G72" s="78" t="n">
        <v>2739.66666666667</v>
      </c>
      <c r="H72" s="78" t="n">
        <v>2751.66666666667</v>
      </c>
      <c r="I72" s="78" t="n">
        <v>2781</v>
      </c>
      <c r="J72" s="78" t="n">
        <v>2815</v>
      </c>
      <c r="K72" s="78" t="n">
        <v>2849</v>
      </c>
      <c r="L72" s="78" t="n">
        <v>2874</v>
      </c>
      <c r="M72" s="78" t="n">
        <v>2901.33333333333</v>
      </c>
      <c r="N72" s="78" t="n">
        <v>2899.66666666667</v>
      </c>
      <c r="O72" s="78" t="n">
        <v>2911.66666666667</v>
      </c>
      <c r="P72" t="n">
        <v>2926.33333333333</v>
      </c>
      <c r="Q72" t="n">
        <v>2953.33333333333</v>
      </c>
      <c r="R72" t="n">
        <v>2988.66666666667</v>
      </c>
      <c r="S72" t="n">
        <v>3018</v>
      </c>
      <c r="T72" t="n">
        <v>3048.33333333333</v>
      </c>
      <c r="U72" t="n">
        <v>3099</v>
      </c>
      <c r="V72" t="n">
        <v>3161.66666666667</v>
      </c>
      <c r="W72" t="n">
        <v>3177.33333333333</v>
      </c>
      <c r="X72" t="n">
        <v>3178</v>
      </c>
      <c r="Y72" t="n">
        <v>3197.33333333333</v>
      </c>
      <c r="Z72" t="n">
        <v>3214.33333333333</v>
      </c>
      <c r="AA72" t="n">
        <v>3241.66666666667</v>
      </c>
      <c r="AB72" t="n">
        <v>3290.66666666667</v>
      </c>
      <c r="AC72" t="n">
        <v>3342</v>
      </c>
      <c r="AD72" t="n">
        <v>3341.33333333333</v>
      </c>
      <c r="AE72" t="n">
        <v>3374.66666666667</v>
      </c>
      <c r="AF72" t="n">
        <v>3385</v>
      </c>
      <c r="AG72" t="n">
        <v>3404.66666666667</v>
      </c>
      <c r="AH72" t="n">
        <v>3442.33333333333</v>
      </c>
      <c r="AI72" t="n">
        <v>3479</v>
      </c>
      <c r="AJ72" t="n">
        <v>3477.33333333333</v>
      </c>
      <c r="AK72" t="n">
        <v>3494</v>
      </c>
      <c r="AL72" t="n">
        <v>3504.33333333333</v>
      </c>
      <c r="AM72" t="n">
        <v>3518</v>
      </c>
      <c r="AN72" t="n">
        <v>3560.66666666667</v>
      </c>
      <c r="AO72" t="n">
        <v>3579.33333333333</v>
      </c>
      <c r="AP72" t="n">
        <v>3582</v>
      </c>
      <c r="AQ72" t="n">
        <v>3602.66666666667</v>
      </c>
      <c r="AR72" t="n">
        <v>3624</v>
      </c>
      <c r="AS72" t="n">
        <v>3630.66666666667</v>
      </c>
      <c r="AT72" t="n">
        <v>3636</v>
      </c>
      <c r="AU72" t="n">
        <v>3631.66666666667</v>
      </c>
      <c r="AV72" t="n">
        <v>3640</v>
      </c>
      <c r="AW72" t="n">
        <v>3653</v>
      </c>
      <c r="AX72" t="n">
        <v>3645.66666666667</v>
      </c>
      <c r="AY72" t="n">
        <v>3647.33333333333</v>
      </c>
      <c r="AZ72" t="n">
        <v>3625.66666666667</v>
      </c>
      <c r="BA72" t="n">
        <v>3640.33333333333</v>
      </c>
      <c r="BB72" t="n">
        <v>3650.33333333333</v>
      </c>
      <c r="BC72" t="n">
        <v>3656</v>
      </c>
      <c r="BD72" t="n">
        <v>3671.33333333333</v>
      </c>
      <c r="BE72" t="n">
        <v>3671.66666666667</v>
      </c>
      <c r="BF72" t="n">
        <v>3687</v>
      </c>
      <c r="BG72" t="n">
        <v>3720</v>
      </c>
      <c r="BH72" t="n">
        <v>3758</v>
      </c>
      <c r="BI72" t="n">
        <v>3773</v>
      </c>
      <c r="BJ72" t="n">
        <v>3798.33333333333</v>
      </c>
      <c r="BK72" t="n">
        <v>3819.33333333333</v>
      </c>
      <c r="BL72" t="n">
        <v>3844.33333333333</v>
      </c>
      <c r="BM72" t="n">
        <v>3864.33333333333</v>
      </c>
      <c r="BN72" t="n">
        <v>3872.33333333333</v>
      </c>
      <c r="BO72" t="n">
        <v>3883</v>
      </c>
      <c r="BP72" t="n">
        <v>3889.33333333333</v>
      </c>
      <c r="BQ72" t="n">
        <v>3926.66666666667</v>
      </c>
      <c r="BR72" t="n">
        <v>3943.66666666667</v>
      </c>
      <c r="BS72" t="n">
        <v>3953</v>
      </c>
      <c r="BT72" t="n">
        <v>3969</v>
      </c>
      <c r="BU72" t="n">
        <v>4000.66666666667</v>
      </c>
      <c r="BV72" t="n">
        <v>4030.66666666667</v>
      </c>
      <c r="BW72" t="n">
        <v>4065.33333333333</v>
      </c>
      <c r="BX72" t="n">
        <v>4094.33333333333</v>
      </c>
      <c r="BY72" t="n">
        <v>4114.66666666667</v>
      </c>
      <c r="BZ72" t="n">
        <v>4135.66666666667</v>
      </c>
      <c r="CA72" t="n">
        <v>4169</v>
      </c>
      <c r="CB72" t="n">
        <v>4201.33333333333</v>
      </c>
      <c r="CC72" t="n">
        <v>4221</v>
      </c>
      <c r="CD72" t="n">
        <v>4258</v>
      </c>
      <c r="CE72" t="n">
        <v>4295.66666666667</v>
      </c>
      <c r="CF72" t="n">
        <v>4322.66666666667</v>
      </c>
      <c r="CG72" t="n">
        <v>4342.66666666667</v>
      </c>
      <c r="CH72" t="n">
        <v>4358</v>
      </c>
      <c r="CI72" t="n">
        <v>4362.33333333333</v>
      </c>
      <c r="CJ72" t="n">
        <v>4345</v>
      </c>
      <c r="CK72" t="n">
        <v>4354.33333333333</v>
      </c>
      <c r="CL72" t="n">
        <v>4372</v>
      </c>
      <c r="CM72" t="n">
        <v>4395.66666666667</v>
      </c>
      <c r="CN72" t="n">
        <v>4425.33333333333</v>
      </c>
      <c r="CO72" t="n">
        <v>4438</v>
      </c>
      <c r="CP72" t="n">
        <v>4456</v>
      </c>
      <c r="CQ72" t="n">
        <v>4478</v>
      </c>
      <c r="CR72" t="n">
        <v>4496</v>
      </c>
      <c r="CS72" t="n">
        <v>4515</v>
      </c>
      <c r="CT72" t="n">
        <v>4523.66666666667</v>
      </c>
      <c r="CU72" t="n">
        <v>4555.33333333333</v>
      </c>
      <c r="CV72" t="n">
        <v>4600</v>
      </c>
      <c r="CW72" t="n">
        <v>4626.33333333333</v>
      </c>
      <c r="CX72" t="n">
        <v>4649.66666666667</v>
      </c>
      <c r="CY72" t="n">
        <v>4643</v>
      </c>
      <c r="CZ72" t="n">
        <v>4623.66666666667</v>
      </c>
      <c r="DA72" t="n">
        <v>4624.66666666667</v>
      </c>
      <c r="DB72" t="n">
        <v>4621.33333333333</v>
      </c>
      <c r="DC72" t="n">
        <v>4618.33333333333</v>
      </c>
      <c r="DD72" t="n">
        <v>4600.33333333333</v>
      </c>
      <c r="DE72" t="n">
        <v>4581.33333333333</v>
      </c>
      <c r="DF72" t="n">
        <v>4574.33333333333</v>
      </c>
      <c r="DG72" t="n">
        <v>4577</v>
      </c>
      <c r="DH72" t="n">
        <v>4589</v>
      </c>
      <c r="DI72" t="n">
        <v>4583</v>
      </c>
      <c r="DJ72" t="n">
        <v>4578</v>
      </c>
      <c r="DK72" t="n">
        <v>4596.66666666667</v>
      </c>
      <c r="DL72" t="n">
        <v>4631.66666666667</v>
      </c>
      <c r="DM72" t="n">
        <v>4640.66666666667</v>
      </c>
      <c r="DN72" t="n">
        <v>4669</v>
      </c>
      <c r="DO72" t="n">
        <v>4688.33333333333</v>
      </c>
      <c r="DP72" t="n">
        <v>4717.33333333333</v>
      </c>
      <c r="DQ72" t="n">
        <v>4757.33333333333</v>
      </c>
      <c r="DR72" t="n">
        <v>4768</v>
      </c>
      <c r="DS72" t="n">
        <v>4779.33333333333</v>
      </c>
      <c r="DT72" t="n">
        <v>4793.33333333333</v>
      </c>
      <c r="DU72" t="n">
        <v>4809</v>
      </c>
      <c r="DV72" t="n">
        <v>4832</v>
      </c>
      <c r="DW72" t="n">
        <v>4877.66666666667</v>
      </c>
      <c r="DX72" t="n">
        <v>4936.66666666667</v>
      </c>
      <c r="DY72" t="n">
        <v>4977.33333333333</v>
      </c>
      <c r="DZ72" t="n">
        <v>5004.33333333333</v>
      </c>
      <c r="EA72" t="n">
        <v>5039</v>
      </c>
      <c r="EB72" t="n">
        <v>5052.66666666667</v>
      </c>
      <c r="EC72" t="n">
        <v>5020.66666666667</v>
      </c>
      <c r="ED72" t="n">
        <v>5029.33333333333</v>
      </c>
      <c r="EE72" t="n">
        <v>5007.66666666667</v>
      </c>
      <c r="EF72" t="n">
        <v>4978.66666666667</v>
      </c>
      <c r="EG72" t="n">
        <v>4985.33333333333</v>
      </c>
      <c r="EH72" t="n">
        <v>4968.33333333333</v>
      </c>
      <c r="EI72" t="n">
        <v>4974</v>
      </c>
      <c r="EJ72" t="n">
        <v>4984</v>
      </c>
      <c r="EK72" t="n">
        <v>4995.33333333333</v>
      </c>
      <c r="EL72" t="n">
        <v>5015.66666666667</v>
      </c>
      <c r="EM72" t="n">
        <v>5023.33333333333</v>
      </c>
      <c r="EN72" t="n">
        <v>5039.33333333333</v>
      </c>
      <c r="EO72" t="n">
        <v>5047.66666666667</v>
      </c>
      <c r="EP72" t="n">
        <v>5047</v>
      </c>
      <c r="EQ72" t="n">
        <v>5068.33333333333</v>
      </c>
      <c r="ER72" t="n">
        <v>5086</v>
      </c>
      <c r="ES72" t="n">
        <v>5098.33333333333</v>
      </c>
      <c r="ET72" t="n">
        <v>5106.33333333333</v>
      </c>
      <c r="EU72" t="n">
        <v>5124.33333333333</v>
      </c>
      <c r="EV72" t="n">
        <v>5122</v>
      </c>
      <c r="EW72" t="n">
        <v>5136</v>
      </c>
      <c r="EX72" t="n">
        <v>5148.66666666667</v>
      </c>
      <c r="EY72" t="n">
        <v>5166</v>
      </c>
      <c r="EZ72" t="n">
        <v>5196.33333333333</v>
      </c>
      <c r="FA72" t="n">
        <v>5189</v>
      </c>
      <c r="FB72" t="n">
        <v>5192</v>
      </c>
      <c r="FC72" t="n">
        <v>5181.66666666667</v>
      </c>
      <c r="FD72" t="n">
        <v>5145.33333333333</v>
      </c>
      <c r="FE72" t="n">
        <v>5153.33333333333</v>
      </c>
      <c r="FF72" t="n">
        <v>5144</v>
      </c>
      <c r="FG72" t="n">
        <v>5136.66666666667</v>
      </c>
      <c r="FH72" t="n">
        <v>5129.33333333333</v>
      </c>
      <c r="FI72" t="n">
        <v>5137</v>
      </c>
      <c r="FJ72" t="n">
        <v>5113.33333333333</v>
      </c>
      <c r="FK72" t="n">
        <v>5084.33333333333</v>
      </c>
      <c r="FL72" t="n">
        <v>5069.66666666667</v>
      </c>
      <c r="FM72" t="n">
        <v>5051</v>
      </c>
      <c r="FN72" t="n">
        <v>5048</v>
      </c>
      <c r="FO72" t="n">
        <v>5055.33333333333</v>
      </c>
      <c r="FP72" t="n">
        <v>5064.66666666667</v>
      </c>
      <c r="FQ72" t="n">
        <v>5051.66666666667</v>
      </c>
      <c r="FR72" t="n">
        <v>5042</v>
      </c>
      <c r="FS72" t="n">
        <v>5044.66666666667</v>
      </c>
      <c r="FT72" t="n">
        <v>5040</v>
      </c>
      <c r="FU72" t="n">
        <v>5055.33333333333</v>
      </c>
      <c r="FV72" t="n">
        <v>5054.66666666667</v>
      </c>
      <c r="FW72" t="n">
        <v>5054.66666666667</v>
      </c>
      <c r="FX72" t="n">
        <v>5030.66666666667</v>
      </c>
      <c r="FY72" t="n">
        <v>5052.66666666667</v>
      </c>
      <c r="FZ72" t="n">
        <v>5067.66666666667</v>
      </c>
      <c r="GA72" t="n">
        <v>5072.33333333333</v>
      </c>
      <c r="GB72" t="n">
        <v>5077.66666666667</v>
      </c>
      <c r="GC72" t="n">
        <v>5087.33333333333</v>
      </c>
      <c r="GD72" t="n">
        <v>5089</v>
      </c>
      <c r="GE72" t="n">
        <v>5098.66666666667</v>
      </c>
      <c r="GF72" t="n">
        <v>5126.66666666667</v>
      </c>
      <c r="GG72" t="n">
        <v>5135.33333333333</v>
      </c>
      <c r="GH72" t="n">
        <v>5159.66666666667</v>
      </c>
      <c r="GI72" t="n">
        <v>5174.66666666667</v>
      </c>
      <c r="GJ72" t="n">
        <v>5163.66666666667</v>
      </c>
      <c r="GK72" t="n">
        <v>5157.33333333333</v>
      </c>
      <c r="GL72" t="n">
        <v>5157.33333333333</v>
      </c>
      <c r="GM72" t="n">
        <v>5176.66666666667</v>
      </c>
      <c r="GN72" t="n">
        <v>5177.33333333333</v>
      </c>
      <c r="GO72" t="n">
        <v>5174.66666666667</v>
      </c>
      <c r="GP72" t="n">
        <v>5182</v>
      </c>
      <c r="GQ72" t="n">
        <v>5170.66666666667</v>
      </c>
      <c r="GR72" t="n">
        <v>5207.66666666667</v>
      </c>
      <c r="GS72" t="n">
        <v>5246</v>
      </c>
      <c r="GT72" t="n">
        <v>5277.66666666667</v>
      </c>
      <c r="GU72" t="n">
        <v>5080.33333333333</v>
      </c>
      <c r="GV72" t="n">
        <v>5097</v>
      </c>
      <c r="GW72" t="n">
        <v>5077</v>
      </c>
      <c r="GX72" t="n">
        <v>5165.33333333333</v>
      </c>
      <c r="GY72" t="n">
        <v>5186.66666666667</v>
      </c>
      <c r="GZ72" t="n">
        <v>5157</v>
      </c>
      <c r="HA72" t="n">
        <v>5125</v>
      </c>
      <c r="HB72" t="n">
        <v>5071.33333333333</v>
      </c>
      <c r="HC72" t="n">
        <v>5091.33333333333</v>
      </c>
      <c r="HD72" t="n">
        <v>5144.66666666667</v>
      </c>
      <c r="HE72" t="n">
        <v>5145.66666666667</v>
      </c>
      <c r="HF72" t="n">
        <v>5217.66666666667</v>
      </c>
      <c r="HG72" t="n">
        <v>5272.33333333333</v>
      </c>
      <c r="HH72" t="n">
        <v>5321.33333333333</v>
      </c>
      <c r="HI72" t="n">
        <v>5367.66666666667</v>
      </c>
      <c r="HJ72" t="n">
        <v>5402.66666666667</v>
      </c>
      <c r="HK72" t="n">
        <v>5422.33333333333</v>
      </c>
      <c r="HL72" t="n">
        <v>5455</v>
      </c>
      <c r="HM72" t="n">
        <v>5496.33333333333</v>
      </c>
      <c r="HN72" t="n">
        <v>5517.66666666667</v>
      </c>
      <c r="HO72" t="n">
        <v>5522</v>
      </c>
    </row>
    <row r="73">
      <c r="A73" s="78" t="s">
        <v>2585</v>
      </c>
      <c r="B73" s="78" t="n">
        <v>7048.66666666667</v>
      </c>
      <c r="C73" s="78" t="n">
        <v>7104.33333333333</v>
      </c>
      <c r="D73" s="78" t="n">
        <v>7204.33333333333</v>
      </c>
      <c r="E73" s="78" t="n">
        <v>7279.33333333333</v>
      </c>
      <c r="F73" s="78" t="n">
        <v>7353.33333333333</v>
      </c>
      <c r="G73" s="78" t="n">
        <v>7419.66666666667</v>
      </c>
      <c r="H73" s="78" t="n">
        <v>7443.66666666667</v>
      </c>
      <c r="I73" s="78" t="n">
        <v>7534</v>
      </c>
      <c r="J73" s="78" t="n">
        <v>7651.66666666667</v>
      </c>
      <c r="K73" s="78" t="n">
        <v>7726.33333333333</v>
      </c>
      <c r="L73" s="78" t="n">
        <v>7855</v>
      </c>
      <c r="M73" s="78" t="n">
        <v>7931.33333333333</v>
      </c>
      <c r="N73" s="78" t="n">
        <v>8016</v>
      </c>
      <c r="O73" s="78" t="n">
        <v>8115</v>
      </c>
      <c r="P73" t="n">
        <v>8183.66666666667</v>
      </c>
      <c r="Q73" t="n">
        <v>8272.33333333333</v>
      </c>
      <c r="R73" t="n">
        <v>8307.66666666667</v>
      </c>
      <c r="S73" t="n">
        <v>8346.33333333333</v>
      </c>
      <c r="T73" t="n">
        <v>8424.66666666667</v>
      </c>
      <c r="U73" t="n">
        <v>8551.33333333333</v>
      </c>
      <c r="V73" t="n">
        <v>8673</v>
      </c>
      <c r="W73" t="n">
        <v>8751.33333333333</v>
      </c>
      <c r="X73" t="n">
        <v>8786.33333333333</v>
      </c>
      <c r="Y73" t="n">
        <v>8824.66666666667</v>
      </c>
      <c r="Z73" t="n">
        <v>8883</v>
      </c>
      <c r="AA73" t="n">
        <v>8868.66666666667</v>
      </c>
      <c r="AB73" t="n">
        <v>8845</v>
      </c>
      <c r="AC73" t="n">
        <v>8861</v>
      </c>
      <c r="AD73" t="n">
        <v>8860.66666666667</v>
      </c>
      <c r="AE73" t="n">
        <v>8907.33333333333</v>
      </c>
      <c r="AF73" t="n">
        <v>9099.33333333333</v>
      </c>
      <c r="AG73" t="n">
        <v>9231</v>
      </c>
      <c r="AH73" t="n">
        <v>9348.33333333333</v>
      </c>
      <c r="AI73" t="n">
        <v>9466</v>
      </c>
      <c r="AJ73" t="n">
        <v>9492.33333333333</v>
      </c>
      <c r="AK73" t="n">
        <v>9482.66666666667</v>
      </c>
      <c r="AL73" t="n">
        <v>9531.33333333333</v>
      </c>
      <c r="AM73" t="n">
        <v>9604.33333333333</v>
      </c>
      <c r="AN73" t="n">
        <v>9710.66666666667</v>
      </c>
      <c r="AO73" t="n">
        <v>9697.33333333333</v>
      </c>
      <c r="AP73" t="n">
        <v>9741.33333333333</v>
      </c>
      <c r="AQ73" t="n">
        <v>9749.33333333333</v>
      </c>
      <c r="AR73" t="n">
        <v>9782.33333333333</v>
      </c>
      <c r="AS73" t="n">
        <v>9793</v>
      </c>
      <c r="AT73" t="n">
        <v>9750.33333333333</v>
      </c>
      <c r="AU73" t="n">
        <v>9665</v>
      </c>
      <c r="AV73" t="n">
        <v>9547.66666666667</v>
      </c>
      <c r="AW73" t="n">
        <v>9507</v>
      </c>
      <c r="AX73" t="n">
        <v>9484.33333333333</v>
      </c>
      <c r="AY73" t="n">
        <v>9495.66666666667</v>
      </c>
      <c r="AZ73" t="n">
        <v>9409.66666666667</v>
      </c>
      <c r="BA73" t="n">
        <v>9437</v>
      </c>
      <c r="BB73" t="n">
        <v>9447.33333333333</v>
      </c>
      <c r="BC73" t="n">
        <v>9445.33333333333</v>
      </c>
      <c r="BD73" t="n">
        <v>9433</v>
      </c>
      <c r="BE73" t="n">
        <v>9401.66666666667</v>
      </c>
      <c r="BF73" t="n">
        <v>9412</v>
      </c>
      <c r="BG73" t="n">
        <v>9445.33333333333</v>
      </c>
      <c r="BH73" t="n">
        <v>9509</v>
      </c>
      <c r="BI73" t="n">
        <v>9555</v>
      </c>
      <c r="BJ73" t="n">
        <v>9595.66666666667</v>
      </c>
      <c r="BK73" t="n">
        <v>9640.33333333333</v>
      </c>
      <c r="BL73" t="n">
        <v>9746.66666666667</v>
      </c>
      <c r="BM73" t="n">
        <v>9764.33333333333</v>
      </c>
      <c r="BN73" t="n">
        <v>9815.33333333333</v>
      </c>
      <c r="BO73" t="n">
        <v>9854.33333333333</v>
      </c>
      <c r="BP73" t="n">
        <v>9906.66666666667</v>
      </c>
      <c r="BQ73" t="n">
        <v>10024.3333333333</v>
      </c>
      <c r="BR73" t="n">
        <v>10039.3333333333</v>
      </c>
      <c r="BS73" t="n">
        <v>10083.3333333333</v>
      </c>
      <c r="BT73" t="n">
        <v>10092.3333333333</v>
      </c>
      <c r="BU73" t="n">
        <v>10184.6666666667</v>
      </c>
      <c r="BV73" t="n">
        <v>10250.6666666667</v>
      </c>
      <c r="BW73" t="n">
        <v>10315.3333333333</v>
      </c>
      <c r="BX73" t="n">
        <v>10341.6666666667</v>
      </c>
      <c r="BY73" t="n">
        <v>10446.6666666667</v>
      </c>
      <c r="BZ73" t="n">
        <v>10510.6666666667</v>
      </c>
      <c r="CA73" t="n">
        <v>10566.3333333333</v>
      </c>
      <c r="CB73" t="n">
        <v>10640.6666666667</v>
      </c>
      <c r="CC73" t="n">
        <v>10719.6666666667</v>
      </c>
      <c r="CD73" t="n">
        <v>10814</v>
      </c>
      <c r="CE73" t="n">
        <v>10873</v>
      </c>
      <c r="CF73" t="n">
        <v>10967.3333333333</v>
      </c>
      <c r="CG73" t="n">
        <v>11000.3333333333</v>
      </c>
      <c r="CH73" t="n">
        <v>11027</v>
      </c>
      <c r="CI73" t="n">
        <v>11057.3333333333</v>
      </c>
      <c r="CJ73" t="n">
        <v>11099.3333333333</v>
      </c>
      <c r="CK73" t="n">
        <v>11139.3333333333</v>
      </c>
      <c r="CL73" t="n">
        <v>11199</v>
      </c>
      <c r="CM73" t="n">
        <v>11238</v>
      </c>
      <c r="CN73" t="n">
        <v>11306.6666666667</v>
      </c>
      <c r="CO73" t="n">
        <v>11319.6666666667</v>
      </c>
      <c r="CP73" t="n">
        <v>11366.6666666667</v>
      </c>
      <c r="CQ73" t="n">
        <v>11407.6666666667</v>
      </c>
      <c r="CR73" t="n">
        <v>11483</v>
      </c>
      <c r="CS73" t="n">
        <v>11520.6666666667</v>
      </c>
      <c r="CT73" t="n">
        <v>11591.3333333333</v>
      </c>
      <c r="CU73" t="n">
        <v>11672.3333333333</v>
      </c>
      <c r="CV73" t="n">
        <v>11710.3333333333</v>
      </c>
      <c r="CW73" t="n">
        <v>11752</v>
      </c>
      <c r="CX73" t="n">
        <v>11791.3333333333</v>
      </c>
      <c r="CY73" t="n">
        <v>11828.6666666667</v>
      </c>
      <c r="CZ73" t="n">
        <v>11868</v>
      </c>
      <c r="DA73" t="n">
        <v>11923</v>
      </c>
      <c r="DB73" t="n">
        <v>11966</v>
      </c>
      <c r="DC73" t="n">
        <v>12017.3333333333</v>
      </c>
      <c r="DD73" t="n">
        <v>12067</v>
      </c>
      <c r="DE73" t="n">
        <v>12139</v>
      </c>
      <c r="DF73" t="n">
        <v>12185.6666666667</v>
      </c>
      <c r="DG73" t="n">
        <v>12229.6666666667</v>
      </c>
      <c r="DH73" t="n">
        <v>12296</v>
      </c>
      <c r="DI73" t="n">
        <v>12380</v>
      </c>
      <c r="DJ73" t="n">
        <v>12437.3333333333</v>
      </c>
      <c r="DK73" t="n">
        <v>12501.3333333333</v>
      </c>
      <c r="DL73" t="n">
        <v>12553.3333333333</v>
      </c>
      <c r="DM73" t="n">
        <v>12616.3333333333</v>
      </c>
      <c r="DN73" t="n">
        <v>12694.6666666667</v>
      </c>
      <c r="DO73" t="n">
        <v>12783.3333333333</v>
      </c>
      <c r="DP73" t="n">
        <v>12887.3333333333</v>
      </c>
      <c r="DQ73" t="n">
        <v>12972.3333333333</v>
      </c>
      <c r="DR73" t="n">
        <v>13050.3333333333</v>
      </c>
      <c r="DS73" t="n">
        <v>13113</v>
      </c>
      <c r="DT73" t="n">
        <v>13168</v>
      </c>
      <c r="DU73" t="n">
        <v>13220.6666666667</v>
      </c>
      <c r="DV73" t="n">
        <v>13310</v>
      </c>
      <c r="DW73" t="n">
        <v>13410.6666666667</v>
      </c>
      <c r="DX73" t="n">
        <v>13500.6666666667</v>
      </c>
      <c r="DY73" t="n">
        <v>13583.6666666667</v>
      </c>
      <c r="DZ73" t="n">
        <v>13639</v>
      </c>
      <c r="EA73" t="n">
        <v>13699.3333333333</v>
      </c>
      <c r="EB73" t="n">
        <v>13744.6666666667</v>
      </c>
      <c r="EC73" t="n">
        <v>13775</v>
      </c>
      <c r="ED73" t="n">
        <v>13801</v>
      </c>
      <c r="EE73" t="n">
        <v>13820</v>
      </c>
      <c r="EF73" t="n">
        <v>13832.3333333333</v>
      </c>
      <c r="EG73" t="n">
        <v>13824.3333333333</v>
      </c>
      <c r="EH73" t="n">
        <v>13859</v>
      </c>
      <c r="EI73" t="n">
        <v>13898</v>
      </c>
      <c r="EJ73" t="n">
        <v>13909.3333333333</v>
      </c>
      <c r="EK73" t="n">
        <v>13958.6666666667</v>
      </c>
      <c r="EL73" t="n">
        <v>13994.6666666667</v>
      </c>
      <c r="EM73" t="n">
        <v>14012</v>
      </c>
      <c r="EN73" t="n">
        <v>14085.3333333333</v>
      </c>
      <c r="EO73" t="n">
        <v>14072.3333333333</v>
      </c>
      <c r="EP73" t="n">
        <v>14098</v>
      </c>
      <c r="EQ73" t="n">
        <v>14119.6666666667</v>
      </c>
      <c r="ER73" t="n">
        <v>14201</v>
      </c>
      <c r="ES73" t="n">
        <v>14251.3333333333</v>
      </c>
      <c r="ET73" t="n">
        <v>14287.3333333333</v>
      </c>
      <c r="EU73" t="n">
        <v>14336</v>
      </c>
      <c r="EV73" t="n">
        <v>14369.3333333333</v>
      </c>
      <c r="EW73" t="n">
        <v>14455</v>
      </c>
      <c r="EX73" t="n">
        <v>14521.6666666667</v>
      </c>
      <c r="EY73" t="n">
        <v>14560.3333333333</v>
      </c>
      <c r="EZ73" t="n">
        <v>14594</v>
      </c>
      <c r="FA73" t="n">
        <v>14591</v>
      </c>
      <c r="FB73" t="n">
        <v>14587</v>
      </c>
      <c r="FC73" t="n">
        <v>14576.3333333333</v>
      </c>
      <c r="FD73" t="n">
        <v>14532</v>
      </c>
      <c r="FE73" t="n">
        <v>14521</v>
      </c>
      <c r="FF73" t="n">
        <v>14466</v>
      </c>
      <c r="FG73" t="n">
        <v>14434</v>
      </c>
      <c r="FH73" t="n">
        <v>14327.6666666667</v>
      </c>
      <c r="FI73" t="n">
        <v>14279</v>
      </c>
      <c r="FJ73" t="n">
        <v>14232.6666666667</v>
      </c>
      <c r="FK73" t="n">
        <v>14207.6666666667</v>
      </c>
      <c r="FL73" t="n">
        <v>14094</v>
      </c>
      <c r="FM73" t="n">
        <v>14080.6666666667</v>
      </c>
      <c r="FN73" t="n">
        <v>14067.6666666667</v>
      </c>
      <c r="FO73" t="n">
        <v>14044.3333333333</v>
      </c>
      <c r="FP73" t="n">
        <v>14034.3333333333</v>
      </c>
      <c r="FQ73" t="n">
        <v>14026.3333333333</v>
      </c>
      <c r="FR73" t="n">
        <v>14029.3333333333</v>
      </c>
      <c r="FS73" t="n">
        <v>14033</v>
      </c>
      <c r="FT73" t="n">
        <v>14031</v>
      </c>
      <c r="FU73" t="n">
        <v>14033.6666666667</v>
      </c>
      <c r="FV73" t="n">
        <v>14037.6666666667</v>
      </c>
      <c r="FW73" t="n">
        <v>14077</v>
      </c>
      <c r="FX73" t="n">
        <v>14120</v>
      </c>
      <c r="FY73" t="n">
        <v>14140</v>
      </c>
      <c r="FZ73" t="n">
        <v>14155</v>
      </c>
      <c r="GA73" t="n">
        <v>14181.6666666667</v>
      </c>
      <c r="GB73" t="n">
        <v>14214</v>
      </c>
      <c r="GC73" t="n">
        <v>14223.6666666667</v>
      </c>
      <c r="GD73" t="n">
        <v>14277</v>
      </c>
      <c r="GE73" t="n">
        <v>14297.6666666667</v>
      </c>
      <c r="GF73" t="n">
        <v>14369</v>
      </c>
      <c r="GG73" t="n">
        <v>14351</v>
      </c>
      <c r="GH73" t="n">
        <v>14352.3333333333</v>
      </c>
      <c r="GI73" t="n">
        <v>14369</v>
      </c>
      <c r="GJ73" t="n">
        <v>14373</v>
      </c>
      <c r="GK73" t="n">
        <v>14421.6666666667</v>
      </c>
      <c r="GL73" t="n">
        <v>14457.3333333333</v>
      </c>
      <c r="GM73" t="n">
        <v>14484.6666666667</v>
      </c>
      <c r="GN73" t="n">
        <v>14480.3333333333</v>
      </c>
      <c r="GO73" t="n">
        <v>14505.6666666667</v>
      </c>
      <c r="GP73" t="n">
        <v>14542.3333333333</v>
      </c>
      <c r="GQ73" t="n">
        <v>14594.6666666667</v>
      </c>
      <c r="GR73" t="n">
        <v>14564</v>
      </c>
      <c r="GS73" t="n">
        <v>14617</v>
      </c>
      <c r="GT73" t="n">
        <v>14681.3333333333</v>
      </c>
      <c r="GU73" t="n">
        <v>13613</v>
      </c>
      <c r="GV73" t="n">
        <v>13655</v>
      </c>
      <c r="GW73" t="n">
        <v>13721.6666666667</v>
      </c>
      <c r="GX73" t="n">
        <v>13750</v>
      </c>
      <c r="GY73" t="n">
        <v>13864.3333333333</v>
      </c>
      <c r="GZ73" t="n">
        <v>14034</v>
      </c>
      <c r="HA73" t="n">
        <v>14047</v>
      </c>
      <c r="HB73" t="n">
        <v>14101.3333333333</v>
      </c>
      <c r="HC73" t="n">
        <v>14150</v>
      </c>
      <c r="HD73" t="n">
        <v>14271</v>
      </c>
      <c r="HE73" t="n">
        <v>14334</v>
      </c>
      <c r="HF73" t="n">
        <v>14434.3333333333</v>
      </c>
      <c r="HG73" t="n">
        <v>14517.3333333333</v>
      </c>
      <c r="HH73" t="n">
        <v>14615</v>
      </c>
      <c r="HI73" t="n">
        <v>14728</v>
      </c>
      <c r="HJ73" t="n">
        <v>14837</v>
      </c>
      <c r="HK73" t="n">
        <v>14899</v>
      </c>
      <c r="HL73" t="n">
        <v>14968.3333333333</v>
      </c>
      <c r="HM73" t="n">
        <v>15023.3333333333</v>
      </c>
      <c r="HN73" t="n">
        <v>15070.3333333333</v>
      </c>
      <c r="HO73" t="n">
        <v>15108.6666666667</v>
      </c>
    </row>
    <row r="74">
      <c r="A74" s="78" t="s">
        <v>2586</v>
      </c>
      <c r="B74" s="78" t="n">
        <v>23545.6666666667</v>
      </c>
      <c r="C74" s="78" t="n">
        <v>24037</v>
      </c>
      <c r="D74" s="78" t="n">
        <v>25485.6666666667</v>
      </c>
      <c r="E74" s="78" t="n">
        <v>25754.6666666667</v>
      </c>
      <c r="F74" s="78" t="n">
        <v>25713</v>
      </c>
      <c r="G74" s="78" t="n">
        <v>25998.6666666667</v>
      </c>
      <c r="H74" s="78" t="n">
        <v>25691</v>
      </c>
      <c r="I74" s="78" t="n">
        <v>26178.6666666667</v>
      </c>
      <c r="J74" s="78" t="n">
        <v>25519</v>
      </c>
      <c r="K74" s="78" t="n">
        <v>24875</v>
      </c>
      <c r="L74" s="78" t="n">
        <v>25641</v>
      </c>
      <c r="M74" s="78" t="n">
        <v>27114.3333333333</v>
      </c>
      <c r="N74" s="78" t="n">
        <v>27472.6666666667</v>
      </c>
      <c r="O74" t="n">
        <v>27079.3333333333</v>
      </c>
      <c r="P74" t="n">
        <v>27510</v>
      </c>
      <c r="Q74" t="n">
        <v>28620</v>
      </c>
      <c r="R74" t="n">
        <v>30923.6666666667</v>
      </c>
      <c r="S74" t="n">
        <v>33400.6666666667</v>
      </c>
      <c r="T74" t="n">
        <v>33701.6666666667</v>
      </c>
      <c r="U74" t="n">
        <v>33884</v>
      </c>
      <c r="V74" t="n">
        <v>37820.3333333333</v>
      </c>
      <c r="W74" t="n">
        <v>35429.6666666667</v>
      </c>
      <c r="X74" t="n">
        <v>36988.3333333333</v>
      </c>
      <c r="Y74" t="n">
        <v>39554</v>
      </c>
      <c r="Z74" t="n">
        <v>42554</v>
      </c>
      <c r="AA74" t="n">
        <v>38830.6666666667</v>
      </c>
      <c r="AB74" t="n">
        <v>36130</v>
      </c>
      <c r="AC74" t="n">
        <v>34359.6666666667</v>
      </c>
      <c r="AD74" t="n">
        <v>36034</v>
      </c>
      <c r="AE74" t="n">
        <v>37037.6666666667</v>
      </c>
      <c r="AF74" t="n">
        <v>35666.3333333333</v>
      </c>
      <c r="AG74" t="n">
        <v>35160</v>
      </c>
      <c r="AH74" t="n">
        <v>34095.3333333333</v>
      </c>
      <c r="AI74" t="n">
        <v>41889.6666666667</v>
      </c>
      <c r="AJ74" t="n">
        <v>43760.6666666667</v>
      </c>
      <c r="AK74" t="n">
        <v>45015.3333333333</v>
      </c>
      <c r="AL74" t="n">
        <v>40794</v>
      </c>
      <c r="AM74" t="n">
        <v>45875.3333333333</v>
      </c>
      <c r="AN74" t="n">
        <v>49343.6666666667</v>
      </c>
      <c r="AO74" t="n">
        <v>52609</v>
      </c>
      <c r="AP74" t="n">
        <v>55934.3333333333</v>
      </c>
      <c r="AQ74" t="n">
        <v>54112</v>
      </c>
      <c r="AR74" t="n">
        <v>52797</v>
      </c>
      <c r="AS74" t="n">
        <v>54381</v>
      </c>
      <c r="AT74" t="n">
        <v>60484</v>
      </c>
      <c r="AU74" t="n">
        <v>53862</v>
      </c>
      <c r="AV74" t="n">
        <v>52044</v>
      </c>
      <c r="AW74" t="n">
        <v>54313.6666666667</v>
      </c>
      <c r="AX74" t="n">
        <v>51944</v>
      </c>
      <c r="AY74" t="n">
        <v>52182.6666666667</v>
      </c>
      <c r="AZ74" t="n">
        <v>52486.3333333333</v>
      </c>
      <c r="BA74" t="n">
        <v>54765.3333333333</v>
      </c>
      <c r="BB74" t="n">
        <v>52678.3333333333</v>
      </c>
      <c r="BC74" t="n">
        <v>51386</v>
      </c>
      <c r="BD74" t="n">
        <v>53662.3333333333</v>
      </c>
      <c r="BE74" t="n">
        <v>53249</v>
      </c>
      <c r="BF74" t="n">
        <v>55752.3333333333</v>
      </c>
      <c r="BG74" t="n">
        <v>57382.6666666667</v>
      </c>
      <c r="BH74" t="n">
        <v>59910.3333333333</v>
      </c>
      <c r="BI74" t="n">
        <v>60890.6666666667</v>
      </c>
      <c r="BJ74" t="n">
        <v>62514.6666666667</v>
      </c>
      <c r="BK74" t="n">
        <v>65739.3333333333</v>
      </c>
      <c r="BL74" t="n">
        <v>67220</v>
      </c>
      <c r="BM74" t="n">
        <v>66558.3333333333</v>
      </c>
      <c r="BN74" t="n">
        <v>70815.3333333333</v>
      </c>
      <c r="BO74" t="n">
        <v>72215.3333333333</v>
      </c>
      <c r="BP74" t="n">
        <v>73843.3333333333</v>
      </c>
      <c r="BQ74" t="n">
        <v>71122.6666666667</v>
      </c>
      <c r="BR74" t="n">
        <v>75290</v>
      </c>
      <c r="BS74" t="n">
        <v>75025.6666666667</v>
      </c>
      <c r="BT74" t="n">
        <v>77047</v>
      </c>
      <c r="BU74" t="n">
        <v>78058</v>
      </c>
      <c r="BV74" t="n">
        <v>79349.6666666667</v>
      </c>
      <c r="BW74" t="n">
        <v>83348</v>
      </c>
      <c r="BX74" t="n">
        <v>82022.6666666667</v>
      </c>
      <c r="BY74" t="n">
        <v>84604</v>
      </c>
      <c r="BZ74" t="n">
        <v>83566.6666666667</v>
      </c>
      <c r="CA74" t="n">
        <v>85684</v>
      </c>
      <c r="CB74" t="n">
        <v>85730.3333333333</v>
      </c>
      <c r="CC74" t="n">
        <v>89358.3333333333</v>
      </c>
      <c r="CD74" t="n">
        <v>94388.3333333333</v>
      </c>
      <c r="CE74" t="n">
        <v>93807</v>
      </c>
      <c r="CF74" t="n">
        <v>94972</v>
      </c>
      <c r="CG74" t="n">
        <v>98807.6666666667</v>
      </c>
      <c r="CH74" t="n">
        <v>95253.6666666667</v>
      </c>
      <c r="CI74" t="n">
        <v>96128.6666666667</v>
      </c>
      <c r="CJ74" t="n">
        <v>97326.3333333333</v>
      </c>
      <c r="CK74" t="n">
        <v>99221</v>
      </c>
      <c r="CL74" t="n">
        <v>106368.666666667</v>
      </c>
      <c r="CM74" t="n">
        <v>103446</v>
      </c>
      <c r="CN74" t="n">
        <v>99580.3333333333</v>
      </c>
      <c r="CO74" t="n">
        <v>98022.3333333333</v>
      </c>
      <c r="CP74" t="n">
        <v>102495</v>
      </c>
      <c r="CQ74" t="n">
        <v>111962</v>
      </c>
      <c r="CR74" t="n">
        <v>116124.666666667</v>
      </c>
      <c r="CS74" t="n">
        <v>118029</v>
      </c>
      <c r="CT74" t="n">
        <v>111803</v>
      </c>
      <c r="CU74" t="n">
        <v>113545</v>
      </c>
      <c r="CV74" t="n">
        <v>118942</v>
      </c>
      <c r="CW74" t="n">
        <v>117294.333333333</v>
      </c>
      <c r="CX74" t="n">
        <v>116848.666666667</v>
      </c>
      <c r="CY74" t="n">
        <v>124434.333333333</v>
      </c>
      <c r="CZ74" t="n">
        <v>125240</v>
      </c>
      <c r="DA74" t="n">
        <v>127572.666666667</v>
      </c>
      <c r="DB74" t="n">
        <v>126179.333333333</v>
      </c>
      <c r="DC74" t="n">
        <v>131672</v>
      </c>
      <c r="DD74" t="n">
        <v>131615</v>
      </c>
      <c r="DE74" t="n">
        <v>135638.666666667</v>
      </c>
      <c r="DF74" t="n">
        <v>135471.666666667</v>
      </c>
      <c r="DG74" t="n">
        <v>139479.333333333</v>
      </c>
      <c r="DH74" t="n">
        <v>141385.333333333</v>
      </c>
      <c r="DI74" t="n">
        <v>140102.666666667</v>
      </c>
      <c r="DJ74" t="n">
        <v>133975</v>
      </c>
      <c r="DK74" t="n">
        <v>137818</v>
      </c>
      <c r="DL74" t="n">
        <v>143529.333333333</v>
      </c>
      <c r="DM74" t="n">
        <v>144434.666666667</v>
      </c>
      <c r="DN74" t="n">
        <v>150497</v>
      </c>
      <c r="DO74" t="n">
        <v>152515.333333333</v>
      </c>
      <c r="DP74" t="n">
        <v>155465.333333333</v>
      </c>
      <c r="DQ74" t="n">
        <v>163365.333333333</v>
      </c>
      <c r="DR74" t="n">
        <v>168776.333333333</v>
      </c>
      <c r="DS74" t="n">
        <v>165200.666666667</v>
      </c>
      <c r="DT74" t="n">
        <v>166145</v>
      </c>
      <c r="DU74" t="n">
        <v>170616.666666667</v>
      </c>
      <c r="DV74" t="n">
        <v>176411.333333333</v>
      </c>
      <c r="DW74" t="n">
        <v>189275.666666667</v>
      </c>
      <c r="DX74" t="n">
        <v>187116</v>
      </c>
      <c r="DY74" t="n">
        <v>193037.666666667</v>
      </c>
      <c r="DZ74" t="n">
        <v>198023.333333333</v>
      </c>
      <c r="EA74" t="n">
        <v>194794</v>
      </c>
      <c r="EB74" t="n">
        <v>196443.666666667</v>
      </c>
      <c r="EC74" t="n">
        <v>199770.666666667</v>
      </c>
      <c r="ED74" t="n">
        <v>197410.666666667</v>
      </c>
      <c r="EE74" t="n">
        <v>195858</v>
      </c>
      <c r="EF74" t="n">
        <v>200686</v>
      </c>
      <c r="EG74" t="n">
        <v>199340</v>
      </c>
      <c r="EH74" t="n">
        <v>197322.333333333</v>
      </c>
      <c r="EI74" t="n">
        <v>202356.333333333</v>
      </c>
      <c r="EJ74" t="n">
        <v>202328</v>
      </c>
      <c r="EK74" t="n">
        <v>204931</v>
      </c>
      <c r="EL74" t="n">
        <v>207202</v>
      </c>
      <c r="EM74" t="n">
        <v>215946</v>
      </c>
      <c r="EN74" t="n">
        <v>219407.666666667</v>
      </c>
      <c r="EO74" t="n">
        <v>222763.666666667</v>
      </c>
      <c r="EP74" t="n">
        <v>230117.666666667</v>
      </c>
      <c r="EQ74" t="n">
        <v>238436</v>
      </c>
      <c r="ER74" t="n">
        <v>238965</v>
      </c>
      <c r="ES74" t="n">
        <v>242956.333333333</v>
      </c>
      <c r="ET74" t="n">
        <v>258254.333333333</v>
      </c>
      <c r="EU74" t="n">
        <v>266203.666666667</v>
      </c>
      <c r="EV74" t="n">
        <v>271640.333333333</v>
      </c>
      <c r="EW74" t="n">
        <v>276454.666666667</v>
      </c>
      <c r="EX74" t="n">
        <v>278038.333333333</v>
      </c>
      <c r="EY74" t="n">
        <v>283074.333333333</v>
      </c>
      <c r="EZ74" t="n">
        <v>287093.666666667</v>
      </c>
      <c r="FA74" t="n">
        <v>288334</v>
      </c>
      <c r="FB74" t="n">
        <v>289591.333333333</v>
      </c>
      <c r="FC74" t="n">
        <v>292223.666666667</v>
      </c>
      <c r="FD74" t="n">
        <v>287368</v>
      </c>
      <c r="FE74" t="n">
        <v>274301</v>
      </c>
      <c r="FF74" t="n">
        <v>268022</v>
      </c>
      <c r="FG74" t="n">
        <v>274526.666666667</v>
      </c>
      <c r="FH74" t="n">
        <v>277232.333333333</v>
      </c>
      <c r="FI74" t="n">
        <v>269906.333333333</v>
      </c>
      <c r="FJ74" t="n">
        <v>258077</v>
      </c>
      <c r="FK74" t="n">
        <v>251739</v>
      </c>
      <c r="FL74" t="n">
        <v>253215.333333333</v>
      </c>
      <c r="FM74" t="n">
        <v>258046</v>
      </c>
      <c r="FN74" t="n">
        <v>254528.333333333</v>
      </c>
      <c r="FO74" t="n">
        <v>254598.666666667</v>
      </c>
      <c r="FP74" t="n">
        <v>252248.666666667</v>
      </c>
      <c r="FQ74" t="n">
        <v>246424.333333333</v>
      </c>
      <c r="FR74" t="n">
        <v>242924.333333333</v>
      </c>
      <c r="FS74" t="n">
        <v>245991.666666667</v>
      </c>
      <c r="FT74" t="n">
        <v>249225</v>
      </c>
      <c r="FU74" t="n">
        <v>247543.333333333</v>
      </c>
      <c r="FV74" t="n">
        <v>242281</v>
      </c>
      <c r="FW74" t="n">
        <v>251080</v>
      </c>
      <c r="FX74" t="n">
        <v>258128</v>
      </c>
      <c r="FY74" t="n">
        <v>260687.666666667</v>
      </c>
      <c r="FZ74" t="n">
        <v>259584</v>
      </c>
      <c r="GA74" t="n">
        <v>273165.333333333</v>
      </c>
      <c r="GB74" t="n">
        <v>279160.666666667</v>
      </c>
      <c r="GC74" t="n">
        <v>269714.666666667</v>
      </c>
      <c r="GD74" t="n">
        <v>278853</v>
      </c>
      <c r="GE74" t="n">
        <v>273154</v>
      </c>
      <c r="GF74" t="n">
        <v>272552.666666667</v>
      </c>
      <c r="GG74" t="n">
        <v>276613</v>
      </c>
      <c r="GH74" t="n">
        <v>272767.666666667</v>
      </c>
      <c r="GI74" t="n">
        <v>272875</v>
      </c>
      <c r="GJ74" t="n">
        <v>275357.666666667</v>
      </c>
      <c r="GK74" t="n">
        <v>281739</v>
      </c>
      <c r="GL74" t="n">
        <v>280550</v>
      </c>
      <c r="GM74" t="n">
        <v>290391.333333333</v>
      </c>
      <c r="GN74" t="n">
        <v>293454</v>
      </c>
      <c r="GO74" t="n">
        <v>286493.666666667</v>
      </c>
      <c r="GP74" t="n">
        <v>300642.333333333</v>
      </c>
      <c r="GQ74" t="n">
        <v>320820.333333333</v>
      </c>
      <c r="GR74" t="n">
        <v>324029.666666667</v>
      </c>
      <c r="GS74" t="n">
        <v>324382</v>
      </c>
      <c r="GT74" t="n">
        <v>343616.666666667</v>
      </c>
      <c r="GU74" t="n">
        <v>342816</v>
      </c>
      <c r="GV74" t="n">
        <v>335700</v>
      </c>
      <c r="GW74" t="n">
        <v>341450.333333333</v>
      </c>
      <c r="GX74" t="n">
        <v>338111.333333333</v>
      </c>
      <c r="GY74" t="n">
        <v>334562.666666667</v>
      </c>
      <c r="GZ74" t="n">
        <v>330245.333333333</v>
      </c>
      <c r="HA74" t="n">
        <v>329422</v>
      </c>
      <c r="HB74" t="n">
        <v>339538.666666667</v>
      </c>
      <c r="HC74" t="n">
        <v>347441.333333333</v>
      </c>
      <c r="HD74" t="n">
        <v>362214.333333333</v>
      </c>
      <c r="HE74" t="n">
        <v>368624.333333333</v>
      </c>
      <c r="HF74" t="n">
        <v>388408.333333333</v>
      </c>
      <c r="HG74" t="n">
        <v>415585.333333333</v>
      </c>
      <c r="HH74" t="n">
        <v>429322</v>
      </c>
      <c r="HI74" t="n">
        <v>451322.666666667</v>
      </c>
      <c r="HJ74" t="n">
        <v>455254</v>
      </c>
      <c r="HK74" t="n">
        <v>457983.666666667</v>
      </c>
      <c r="HL74" t="n">
        <v>467739</v>
      </c>
      <c r="HM74" t="n">
        <v>471235</v>
      </c>
      <c r="HN74" t="n">
        <v>468903.333333333</v>
      </c>
      <c r="HO74" t="n">
        <v>475663.666666667</v>
      </c>
    </row>
    <row r="75">
      <c r="A75" s="78" t="s">
        <v>2587</v>
      </c>
      <c r="B75" s="78" t="n">
        <v>0.0144276850123595</v>
      </c>
      <c r="C75" s="78" t="n">
        <v>0.0144276850123595</v>
      </c>
      <c r="D75" s="78" t="n">
        <v>0.00820528121736541</v>
      </c>
      <c r="E75" s="78" t="n">
        <v>0.0130709282825294</v>
      </c>
      <c r="F75" s="78" t="n">
        <v>0.015141925118068</v>
      </c>
      <c r="G75" s="78" t="n">
        <v>0.013429256594724</v>
      </c>
      <c r="H75" s="78" t="n">
        <v>0.0100804543303361</v>
      </c>
      <c r="I75" s="78" t="n">
        <v>0.00829311718127723</v>
      </c>
      <c r="J75" s="78" t="n">
        <v>0.0160315985130111</v>
      </c>
      <c r="K75" s="78" t="n">
        <v>0.00612851589297958</v>
      </c>
      <c r="L75" s="78" t="n">
        <v>0.00904586572116917</v>
      </c>
      <c r="M75" s="78" t="n">
        <v>0.0113523740877557</v>
      </c>
      <c r="N75" s="78" t="n">
        <v>0.012694877505568</v>
      </c>
      <c r="O75" s="78" t="n">
        <v>0.0165383769518364</v>
      </c>
      <c r="P75" t="n">
        <v>0.0191250919475574</v>
      </c>
      <c r="Q75" t="n">
        <v>0.0173226340593553</v>
      </c>
      <c r="R75" t="n">
        <v>0.0202412253244857</v>
      </c>
      <c r="S75" t="n">
        <v>0.0222122228585453</v>
      </c>
      <c r="T75" t="n">
        <v>0.0308135579655049</v>
      </c>
      <c r="U75" t="n">
        <v>0.0303583213634069</v>
      </c>
      <c r="V75" t="n">
        <v>0.0226065332881202</v>
      </c>
      <c r="W75" t="n">
        <v>0.0144799381010281</v>
      </c>
      <c r="X75" t="n">
        <v>0.0176872230696594</v>
      </c>
      <c r="Y75" t="n">
        <v>0.0167017593947396</v>
      </c>
      <c r="Z75" t="n">
        <v>0.0109164940854365</v>
      </c>
      <c r="AA75" t="n">
        <v>0.01</v>
      </c>
      <c r="AB75" t="n">
        <v>0.0127544004400439</v>
      </c>
      <c r="AC75" t="n">
        <v>0.0170066872602601</v>
      </c>
      <c r="AD75" t="n">
        <v>0.0161214953271027</v>
      </c>
      <c r="AE75" t="n">
        <v>0.0158328679827875</v>
      </c>
      <c r="AF75" t="n">
        <v>0.013775262732417</v>
      </c>
      <c r="AG75" t="n">
        <v>0.0167139804152978</v>
      </c>
      <c r="AH75" t="n">
        <v>0.0163764705882352</v>
      </c>
      <c r="AI75" t="n">
        <v>0.0199401179121523</v>
      </c>
      <c r="AJ75" t="n">
        <v>0.0176436764216323</v>
      </c>
      <c r="AK75" t="n">
        <v>0.0197763635282222</v>
      </c>
      <c r="AL75" t="n">
        <v>0.0186637893324779</v>
      </c>
      <c r="AM75" t="n">
        <v>0.0241619192121612</v>
      </c>
      <c r="AN75" t="n">
        <v>0.0208805031446542</v>
      </c>
      <c r="AO75" t="n">
        <v>0.0182355840315427</v>
      </c>
      <c r="AP75" t="n">
        <v>0.0218618909325587</v>
      </c>
      <c r="AQ75" t="n">
        <v>0.0237362174679614</v>
      </c>
      <c r="AR75" t="n">
        <v>0.0222861990077887</v>
      </c>
      <c r="AS75" t="n">
        <v>0.0265275333165702</v>
      </c>
      <c r="AT75" t="n">
        <v>0.0265033680342925</v>
      </c>
      <c r="AU75" t="n">
        <v>0.0187796788126091</v>
      </c>
      <c r="AV75" t="n">
        <v>0.0194406708202557</v>
      </c>
      <c r="AW75" t="n">
        <v>0.016519621358331</v>
      </c>
      <c r="AX75" t="n">
        <v>0.0143299505006442</v>
      </c>
      <c r="AY75" t="n">
        <v>0.0132807451478485</v>
      </c>
      <c r="AZ75" t="n">
        <v>0.0138763661953247</v>
      </c>
      <c r="BA75" t="n">
        <v>0.0101292729481173</v>
      </c>
      <c r="BB75" t="n">
        <v>0.0079878035687444</v>
      </c>
      <c r="BC75" t="n">
        <v>0.00741324585135161</v>
      </c>
      <c r="BD75" t="n">
        <v>0.0106362732866718</v>
      </c>
      <c r="BE75" t="n">
        <v>0.00746955684813999</v>
      </c>
      <c r="BF75" t="n">
        <v>0.00986480031567338</v>
      </c>
      <c r="BG75" t="n">
        <v>0.0089869617077285</v>
      </c>
      <c r="BH75" t="n">
        <v>0.00902920734565749</v>
      </c>
      <c r="BI75" t="n">
        <v>0.00698905183210119</v>
      </c>
      <c r="BJ75" t="n">
        <v>0.0102503410093879</v>
      </c>
      <c r="BK75" t="n">
        <v>0.00589718642654313</v>
      </c>
      <c r="BL75" t="n">
        <v>0.00665219107777348</v>
      </c>
      <c r="BM75" t="n">
        <v>0.00519638410102563</v>
      </c>
      <c r="BN75" t="n">
        <v>0.00493542975303352</v>
      </c>
      <c r="BO75" t="n">
        <v>0.00349412792390558</v>
      </c>
      <c r="BP75" t="n">
        <v>0.0047586807234743</v>
      </c>
      <c r="BQ75" t="n">
        <v>0.0059490575845671</v>
      </c>
      <c r="BR75" t="n">
        <v>0.00581818181818194</v>
      </c>
      <c r="BS75" t="n">
        <v>0.00679301290101608</v>
      </c>
      <c r="BT75" t="n">
        <v>0.00772996163368678</v>
      </c>
      <c r="BU75" t="n">
        <v>0.00750187546886716</v>
      </c>
      <c r="BV75" t="n">
        <v>0.00772524199553248</v>
      </c>
      <c r="BW75" t="n">
        <v>0.00999353468181408</v>
      </c>
      <c r="BX75" t="n">
        <v>0.0122357158533908</v>
      </c>
      <c r="BY75" t="n">
        <v>0.00919685608456056</v>
      </c>
      <c r="BZ75" t="n">
        <v>0.0096322555233288</v>
      </c>
      <c r="CA75" t="n">
        <v>0.0108171371825792</v>
      </c>
      <c r="CB75" t="n">
        <v>0.00742079225290326</v>
      </c>
      <c r="CC75" t="n">
        <v>0.00682629516760991</v>
      </c>
      <c r="CD75" t="n">
        <v>0.010896449141256</v>
      </c>
      <c r="CE75" t="n">
        <v>0.0111896247882697</v>
      </c>
      <c r="CF75" t="n">
        <v>0.00864621580007108</v>
      </c>
      <c r="CG75" t="n">
        <v>0.00763269140441514</v>
      </c>
      <c r="CH75" t="n">
        <v>0.00972247656783254</v>
      </c>
      <c r="CI75" t="n">
        <v>0.00720515737580585</v>
      </c>
      <c r="CJ75" t="n">
        <v>0.00767744892613931</v>
      </c>
      <c r="CK75" t="n">
        <v>0.00581574800591311</v>
      </c>
      <c r="CL75" t="n">
        <v>0.00398934022450126</v>
      </c>
      <c r="CM75" t="n">
        <v>0.00596827643898212</v>
      </c>
      <c r="CN75" t="n">
        <v>0.00479746693745708</v>
      </c>
      <c r="CO75" t="n">
        <v>0.00703452007702965</v>
      </c>
      <c r="CP75" t="n">
        <v>0.00595811932042678</v>
      </c>
      <c r="CQ75" t="n">
        <v>0.00589140953937028</v>
      </c>
      <c r="CR75" t="n">
        <v>0.00502912833648317</v>
      </c>
      <c r="CS75" t="n">
        <v>0.00587421715955183</v>
      </c>
      <c r="CT75" t="n">
        <v>0.00511378559179332</v>
      </c>
      <c r="CU75" t="n">
        <v>0.00478034984167963</v>
      </c>
      <c r="CV75" t="n">
        <v>0.00532362434793243</v>
      </c>
      <c r="CW75" t="n">
        <v>0.00556933517963398</v>
      </c>
      <c r="CX75" t="n">
        <v>0.00570494680931555</v>
      </c>
      <c r="CY75" t="n">
        <v>0.00489015949443283</v>
      </c>
      <c r="CZ75" t="n">
        <v>0.00447705323051584</v>
      </c>
      <c r="DA75" t="n">
        <v>0.00472541887782474</v>
      </c>
      <c r="DB75" t="n">
        <v>0.00461417486387461</v>
      </c>
      <c r="DC75" t="n">
        <v>0.00407608695652173</v>
      </c>
      <c r="DD75" t="n">
        <v>0.00485379772901107</v>
      </c>
      <c r="DE75" t="n">
        <v>0.00423021751222219</v>
      </c>
      <c r="DF75" t="n">
        <v>0.00448933782267136</v>
      </c>
      <c r="DG75" t="n">
        <v>0.00497714575926844</v>
      </c>
      <c r="DH75" t="n">
        <v>0.00297438563054087</v>
      </c>
      <c r="DI75" t="n">
        <v>0.00358459057929283</v>
      </c>
      <c r="DJ75" t="n">
        <v>0.00100411687920476</v>
      </c>
      <c r="DK75" t="n">
        <v>0.0025937549259849</v>
      </c>
      <c r="DL75" t="n">
        <v>0.0038734206163169</v>
      </c>
      <c r="DM75" t="n">
        <v>0.00269096604257157</v>
      </c>
      <c r="DN75" t="n">
        <v>0.00271214358741312</v>
      </c>
      <c r="DO75" t="n">
        <v>0.004517453798768</v>
      </c>
      <c r="DP75" t="n">
        <v>0.00384864803902207</v>
      </c>
      <c r="DQ75" t="n">
        <v>0.00525229261168159</v>
      </c>
      <c r="DR75" t="n">
        <v>0.00666377949455876</v>
      </c>
      <c r="DS75" t="n">
        <v>0.00600904826667392</v>
      </c>
      <c r="DT75" t="n">
        <v>0.00626284642231445</v>
      </c>
      <c r="DU75" t="n">
        <v>0.00542874768661328</v>
      </c>
      <c r="DV75" t="n">
        <v>0.00684473895910886</v>
      </c>
      <c r="DW75" t="n">
        <v>0.00666278455642355</v>
      </c>
      <c r="DX75" t="n">
        <v>0.00302683796327452</v>
      </c>
      <c r="DY75" t="n">
        <v>0.003232296137339</v>
      </c>
      <c r="DZ75" t="n">
        <v>0.00263365463028564</v>
      </c>
      <c r="EA75" t="n">
        <v>0.00396010560281601</v>
      </c>
      <c r="EB75" t="n">
        <v>0.00448900989441525</v>
      </c>
      <c r="EC75" t="n">
        <v>0.00581756640619835</v>
      </c>
      <c r="ED75" t="n">
        <v>0.00537641475950745</v>
      </c>
      <c r="EE75" t="n">
        <v>0.00345179257864592</v>
      </c>
      <c r="EF75" t="n">
        <v>0.00572016782633633</v>
      </c>
      <c r="EG75" t="n">
        <v>0.00580423657446394</v>
      </c>
      <c r="EH75" t="n">
        <v>0.00718766503935186</v>
      </c>
      <c r="EI75" t="n">
        <v>0.0081083500658643</v>
      </c>
      <c r="EJ75" t="n">
        <v>0.00631779257849652</v>
      </c>
      <c r="EK75" t="n">
        <v>0.00772789733116519</v>
      </c>
      <c r="EL75" t="n">
        <v>0.00768114491593264</v>
      </c>
      <c r="EM75" t="n">
        <v>0.00728739913097454</v>
      </c>
      <c r="EN75" t="n">
        <v>0.00946547197949155</v>
      </c>
      <c r="EO75" t="n">
        <v>0.00796044197545931</v>
      </c>
      <c r="EP75" t="n">
        <v>0.00700122339716813</v>
      </c>
      <c r="EQ75" t="n">
        <v>0.00885307030733129</v>
      </c>
      <c r="ER75" t="n">
        <v>0.00733268948742727</v>
      </c>
      <c r="ES75" t="n">
        <v>0.00378760978150217</v>
      </c>
      <c r="ET75" t="n">
        <v>0.0100110841214065</v>
      </c>
      <c r="EU75" t="n">
        <v>0.00637440896620145</v>
      </c>
      <c r="EV75" t="n">
        <v>0.00425749121239893</v>
      </c>
      <c r="EW75" t="n">
        <v>0.00478236761851947</v>
      </c>
      <c r="EX75" t="n">
        <v>0.00433423007058931</v>
      </c>
      <c r="EY75" t="n">
        <v>0.00365159857599107</v>
      </c>
      <c r="EZ75" t="n">
        <v>0.00778986746960486</v>
      </c>
      <c r="FA75" t="n">
        <v>0.00169758151220556</v>
      </c>
      <c r="FB75" t="n">
        <v>0.000282450768831044</v>
      </c>
      <c r="FC75" t="n">
        <v>-0.0013327911809885</v>
      </c>
      <c r="FD75" t="n">
        <v>0.000633355199167518</v>
      </c>
      <c r="FE75" t="n">
        <v>0.00366209281822916</v>
      </c>
      <c r="FF75" t="n">
        <v>0.00247753327777644</v>
      </c>
      <c r="FG75" t="n">
        <v>0.00463951111011252</v>
      </c>
      <c r="FH75" t="n">
        <v>0.00362290480929439</v>
      </c>
      <c r="FI75" t="n">
        <v>0.00573784190295812</v>
      </c>
      <c r="FJ75" t="n">
        <v>0.00487426609061692</v>
      </c>
      <c r="FK75" t="n">
        <v>0.00719876529599839</v>
      </c>
      <c r="FL75" t="n">
        <v>0.00522093188708772</v>
      </c>
      <c r="FM75" t="n">
        <v>0.00120862369337971</v>
      </c>
      <c r="FN75" t="n">
        <v>0.00591619449489422</v>
      </c>
      <c r="FO75" t="n">
        <v>0.00417319855127296</v>
      </c>
      <c r="FP75" t="n">
        <v>0.00622301654805613</v>
      </c>
      <c r="FQ75" t="n">
        <v>0.00438695042746007</v>
      </c>
      <c r="FR75" t="n">
        <v>0.00356880333230336</v>
      </c>
      <c r="FS75" t="n">
        <v>0.00286612033459321</v>
      </c>
      <c r="FT75" t="n">
        <v>0.00545123526049496</v>
      </c>
      <c r="FU75" t="n">
        <v>0.00513743696638547</v>
      </c>
      <c r="FV75" t="n">
        <v>0.00380196277637546</v>
      </c>
      <c r="FW75" t="n">
        <v>0.00524833055091811</v>
      </c>
      <c r="FX75" t="n">
        <v>0.00434904455954244</v>
      </c>
      <c r="FY75" t="n">
        <v>0.000392716148901462</v>
      </c>
      <c r="FZ75" t="n">
        <v>-0.000599173553718968</v>
      </c>
      <c r="GA75" t="n">
        <v>0.00578859233838469</v>
      </c>
      <c r="GB75" t="n">
        <v>0.00240488376395143</v>
      </c>
      <c r="GC75" t="n">
        <v>-0.0000922736220472231</v>
      </c>
      <c r="GD75" t="n">
        <v>-0.000604960677555888</v>
      </c>
      <c r="GE75" t="n">
        <v>0.00656625764353436</v>
      </c>
      <c r="GF75" t="n">
        <v>0.00269091205610139</v>
      </c>
      <c r="GG75" t="n">
        <v>0.00520473305412117</v>
      </c>
      <c r="GH75" t="n">
        <v>0.00510699405363857</v>
      </c>
      <c r="GI75" t="n">
        <v>0.00268641398947578</v>
      </c>
      <c r="GJ75" t="n">
        <v>0.00519788070964111</v>
      </c>
      <c r="GK75" t="n">
        <v>0.00604947391538713</v>
      </c>
      <c r="GL75" t="n">
        <v>0.00642984719190309</v>
      </c>
      <c r="GM75" t="n">
        <v>0.00701975785779085</v>
      </c>
      <c r="GN75" t="n">
        <v>0.00436655570785205</v>
      </c>
      <c r="GO75" t="n">
        <v>0.00408437798530015</v>
      </c>
      <c r="GP75" t="n">
        <v>0.00317460317460316</v>
      </c>
      <c r="GQ75" t="n">
        <v>0.00506135563039534</v>
      </c>
      <c r="GR75" t="n">
        <v>0.00328342400462178</v>
      </c>
      <c r="GS75" t="n">
        <v>0.00333026219816501</v>
      </c>
      <c r="GT75" t="n">
        <v>0.00438097242283075</v>
      </c>
      <c r="GU75" t="n">
        <v>-0.00333330158760403</v>
      </c>
      <c r="GV75" t="n">
        <v>0.00881979149745349</v>
      </c>
      <c r="GW75" t="n">
        <v>0.00681038892151475</v>
      </c>
      <c r="GX75" t="n">
        <v>0.0127195582023274</v>
      </c>
      <c r="GY75" t="n">
        <v>0.0151702354963075</v>
      </c>
      <c r="GZ75" t="n">
        <v>0.0151265579531104</v>
      </c>
      <c r="HA75" t="n">
        <v>0.0171728371690509</v>
      </c>
      <c r="HB75" t="n">
        <v>0.0205962636038144</v>
      </c>
      <c r="HC75" t="n">
        <v>0.0225772837790901</v>
      </c>
      <c r="HD75" t="n">
        <v>0.0111497961956522</v>
      </c>
      <c r="HE75" t="n">
        <v>0.00923803045190774</v>
      </c>
      <c r="HF75" t="n">
        <v>0.00893711565825939</v>
      </c>
      <c r="HG75" t="n">
        <v>0.00463516623091698</v>
      </c>
      <c r="HH75" t="n">
        <v>0.00801254422907993</v>
      </c>
      <c r="HI75" t="n">
        <v>0.0037626745938022</v>
      </c>
      <c r="HJ75" t="n">
        <v>0.00747279852653615</v>
      </c>
      <c r="HK75" t="n">
        <v>0.00623349011017327</v>
      </c>
      <c r="HL75" t="n">
        <v>0.00481023194762376</v>
      </c>
      <c r="HM75" t="n">
        <v>0.00579084457118273</v>
      </c>
      <c r="HN75" t="n">
        <v>0.00927377841134081</v>
      </c>
      <c r="HO75" t="n">
        <v>0.00488068988786949</v>
      </c>
    </row>
    <row r="76">
      <c r="A76" s="78" t="s">
        <v>2588</v>
      </c>
      <c r="B76" s="78" t="n">
        <v>0.0110573955976137</v>
      </c>
      <c r="C76" s="78" t="n">
        <v>0.0110573955976137</v>
      </c>
      <c r="D76" s="78" t="n">
        <v>0.0097665191515337</v>
      </c>
      <c r="E76" s="78" t="n">
        <v>0.0129464510604</v>
      </c>
      <c r="F76" s="78" t="n">
        <v>0.0094987069822956</v>
      </c>
      <c r="G76" s="78" t="n">
        <v>0.0113798709296025</v>
      </c>
      <c r="H76" s="78" t="n">
        <v>0.00983925962006804</v>
      </c>
      <c r="I76" s="78" t="n">
        <v>0.00617403048427545</v>
      </c>
      <c r="J76" s="78" t="n">
        <v>0.0105465004793863</v>
      </c>
      <c r="K76" s="78" t="n">
        <v>0.00578747628083498</v>
      </c>
      <c r="L76" s="78" t="n">
        <v>0.0087727572870484</v>
      </c>
      <c r="M76" s="78" t="n">
        <v>0.00813540302973625</v>
      </c>
      <c r="N76" s="78" t="n">
        <v>0.012104628513125</v>
      </c>
      <c r="O76" s="78" t="n">
        <v>0.0191999266828575</v>
      </c>
      <c r="P76" t="n">
        <v>0.0182087941731857</v>
      </c>
      <c r="Q76" t="n">
        <v>0.0204442089459973</v>
      </c>
      <c r="R76" t="n">
        <v>0.02977066205106</v>
      </c>
      <c r="S76" t="n">
        <v>0.0283217077065301</v>
      </c>
      <c r="T76" t="n">
        <v>0.0269695979078131</v>
      </c>
      <c r="U76" t="n">
        <v>0.0254257520292853</v>
      </c>
      <c r="V76" t="n">
        <v>0.0188196034302122</v>
      </c>
      <c r="W76" t="n">
        <v>0.0122638634978671</v>
      </c>
      <c r="X76" t="n">
        <v>0.0187373015275794</v>
      </c>
      <c r="Y76" t="n">
        <v>0.016767617077855</v>
      </c>
      <c r="Z76" t="n">
        <v>0.011006175081729</v>
      </c>
      <c r="AA76" t="n">
        <v>0.00837135774081132</v>
      </c>
      <c r="AB76" t="n">
        <v>0.0151785078030358</v>
      </c>
      <c r="AC76" t="n">
        <v>0.0157939070616313</v>
      </c>
      <c r="AD76" t="n">
        <v>0.018070624006634</v>
      </c>
      <c r="AE76" t="n">
        <v>0.0171050398778212</v>
      </c>
      <c r="AF76" t="n">
        <v>0.0150488838466416</v>
      </c>
      <c r="AG76" t="n">
        <v>0.0142011834319526</v>
      </c>
      <c r="AH76" t="n">
        <v>0.0164008816284196</v>
      </c>
      <c r="AI76" t="n">
        <v>0.020537024044901</v>
      </c>
      <c r="AJ76" t="n">
        <v>0.0175614024123492</v>
      </c>
      <c r="AK76" t="n">
        <v>0.0188858862547598</v>
      </c>
      <c r="AL76" t="n">
        <v>0.0188372163115222</v>
      </c>
      <c r="AM76" t="n">
        <v>0.0273340433084841</v>
      </c>
      <c r="AN76" t="n">
        <v>0.0248214697074407</v>
      </c>
      <c r="AO76" t="n">
        <v>0.0241921888170833</v>
      </c>
      <c r="AP76" t="n">
        <v>0.0300128940221118</v>
      </c>
      <c r="AQ76" t="n">
        <v>0.0244772939139699</v>
      </c>
      <c r="AR76" t="n">
        <v>0.0233985024958403</v>
      </c>
      <c r="AS76" t="n">
        <v>0.0247434203841075</v>
      </c>
      <c r="AT76" t="n">
        <v>0.025930884029947</v>
      </c>
      <c r="AU76" t="n">
        <v>0.0167697660931763</v>
      </c>
      <c r="AV76" t="n">
        <v>0.0164931793336185</v>
      </c>
      <c r="AW76" t="n">
        <v>0.0153137566632378</v>
      </c>
      <c r="AX76" t="n">
        <v>0.0127109862527921</v>
      </c>
      <c r="AY76" t="n">
        <v>0.00961822688101144</v>
      </c>
      <c r="AZ76" t="n">
        <v>0.0157875771361651</v>
      </c>
      <c r="BA76" t="n">
        <v>0.0110413941422964</v>
      </c>
      <c r="BB76" t="n">
        <v>0.00826736255783866</v>
      </c>
      <c r="BC76" t="n">
        <v>0.0091348036017227</v>
      </c>
      <c r="BD76" t="n">
        <v>0.0131471184102763</v>
      </c>
      <c r="BE76" t="n">
        <v>0.00659462219196727</v>
      </c>
      <c r="BF76" t="n">
        <v>0.0108204066105921</v>
      </c>
      <c r="BG76" t="n">
        <v>0.00968011708132965</v>
      </c>
      <c r="BH76" t="n">
        <v>0.00772368666266332</v>
      </c>
      <c r="BI76" t="n">
        <v>0.00616446800641124</v>
      </c>
      <c r="BJ76" t="n">
        <v>0.0118041089735734</v>
      </c>
      <c r="BK76" t="n">
        <v>0.00809381559825617</v>
      </c>
      <c r="BL76" t="n">
        <v>0.00784863349684661</v>
      </c>
      <c r="BM76" t="n">
        <v>0.00697300196674422</v>
      </c>
      <c r="BN76" t="n">
        <v>0.00708254419191912</v>
      </c>
      <c r="BO76" t="n">
        <v>-0.00105784864928393</v>
      </c>
      <c r="BP76" t="n">
        <v>0.00529484439040639</v>
      </c>
      <c r="BQ76" t="n">
        <v>0.00604724655209421</v>
      </c>
      <c r="BR76" t="n">
        <v>0.0094623155527116</v>
      </c>
      <c r="BS76" t="n">
        <v>0.00966174295537936</v>
      </c>
      <c r="BT76" t="n">
        <v>0.00947416482763863</v>
      </c>
      <c r="BU76" t="n">
        <v>0.00863141231012787</v>
      </c>
      <c r="BV76" t="n">
        <v>0.00790358744394615</v>
      </c>
      <c r="BW76" t="n">
        <v>0.0110486995532322</v>
      </c>
      <c r="BX76" t="n">
        <v>0.0123214580392013</v>
      </c>
      <c r="BY76" t="n">
        <v>0.0101066816395283</v>
      </c>
      <c r="BZ76" t="n">
        <v>0.0114938406641683</v>
      </c>
      <c r="CA76" t="n">
        <v>0.0134727885126751</v>
      </c>
      <c r="CB76" t="n">
        <v>0.00589470001749159</v>
      </c>
      <c r="CC76" t="n">
        <v>0.00785991270627928</v>
      </c>
      <c r="CD76" t="n">
        <v>0.0144930036750115</v>
      </c>
      <c r="CE76" t="n">
        <v>0.00908178710522289</v>
      </c>
      <c r="CF76" t="n">
        <v>0.0127079365614415</v>
      </c>
      <c r="CG76" t="n">
        <v>0.0132308153177891</v>
      </c>
      <c r="CH76" t="n">
        <v>0.00525606911730891</v>
      </c>
      <c r="CI76" t="n">
        <v>0.00545733799549031</v>
      </c>
      <c r="CJ76" t="n">
        <v>0.00679277171086845</v>
      </c>
      <c r="CK76" t="n">
        <v>0.00726345353003843</v>
      </c>
      <c r="CL76" t="n">
        <v>0.00626562399846153</v>
      </c>
      <c r="CM76" t="n">
        <v>0.00664065610319287</v>
      </c>
      <c r="CN76" t="n">
        <v>0.0063753717648547</v>
      </c>
      <c r="CO76" t="n">
        <v>0.00697948597028986</v>
      </c>
      <c r="CP76" t="n">
        <v>0.005963252626485</v>
      </c>
      <c r="CQ76" t="n">
        <v>0.00671932465355907</v>
      </c>
      <c r="CR76" t="n">
        <v>0.00433147331750794</v>
      </c>
      <c r="CS76" t="n">
        <v>0.00577085411710554</v>
      </c>
      <c r="CT76" t="n">
        <v>0.00358608902656754</v>
      </c>
      <c r="CU76" t="n">
        <v>0.00558039108353836</v>
      </c>
      <c r="CV76" t="n">
        <v>0.00716737483555874</v>
      </c>
      <c r="CW76" t="n">
        <v>0.00469920578918126</v>
      </c>
      <c r="CX76" t="n">
        <v>0.00488643156007162</v>
      </c>
      <c r="CY76" t="n">
        <v>0.00582925632370213</v>
      </c>
      <c r="CZ76" t="n">
        <v>0.00408048611008449</v>
      </c>
      <c r="DA76" t="n">
        <v>0.00440256202606193</v>
      </c>
      <c r="DB76" t="n">
        <v>0.00555604421379785</v>
      </c>
      <c r="DC76" t="n">
        <v>0.0066916449200356</v>
      </c>
      <c r="DD76" t="n">
        <v>0.00425766089323987</v>
      </c>
      <c r="DE76" t="n">
        <v>0.00682086926426906</v>
      </c>
      <c r="DF76" t="n">
        <v>0.00441140663716166</v>
      </c>
      <c r="DG76" t="n">
        <v>0.00250973234274965</v>
      </c>
      <c r="DH76" t="n">
        <v>0.00263146665149439</v>
      </c>
      <c r="DI76" t="n">
        <v>0.00314947225059581</v>
      </c>
      <c r="DJ76" t="n">
        <v>0.0000707113562439243</v>
      </c>
      <c r="DK76" t="n">
        <v>0.00181008272643712</v>
      </c>
      <c r="DL76" t="n">
        <v>0.00309134282850798</v>
      </c>
      <c r="DM76" t="n">
        <v>0.00263150488305985</v>
      </c>
      <c r="DN76" t="n">
        <v>0.00197897514351086</v>
      </c>
      <c r="DO76" t="n">
        <v>0.00568707101835009</v>
      </c>
      <c r="DP76" t="n">
        <v>0.00550169925901156</v>
      </c>
      <c r="DQ76" t="n">
        <v>0.00606723829840283</v>
      </c>
      <c r="DR76" t="n">
        <v>0.00812347684809089</v>
      </c>
      <c r="DS76" t="n">
        <v>0.00476652235075603</v>
      </c>
      <c r="DT76" t="n">
        <v>0.00644301870378428</v>
      </c>
      <c r="DU76" t="n">
        <v>0.00564544447745874</v>
      </c>
      <c r="DV76" t="n">
        <v>0.00741337630942795</v>
      </c>
      <c r="DW76" t="n">
        <v>0.00467925131978886</v>
      </c>
      <c r="DX76" t="n">
        <v>0.000504226211801573</v>
      </c>
      <c r="DY76" t="n">
        <v>0.000411135130833795</v>
      </c>
      <c r="DZ76" t="n">
        <v>0.00201505992151874</v>
      </c>
      <c r="EA76" t="n">
        <v>0.00742220575783215</v>
      </c>
      <c r="EB76" t="n">
        <v>0.00517433843325232</v>
      </c>
      <c r="EC76" t="n">
        <v>0.00466428879394809</v>
      </c>
      <c r="ED76" t="n">
        <v>0.00764669163545562</v>
      </c>
      <c r="EE76" t="n">
        <v>0.00100665943936806</v>
      </c>
      <c r="EF76" t="n">
        <v>0.00658827776488491</v>
      </c>
      <c r="EG76" t="n">
        <v>0.00491847373611876</v>
      </c>
      <c r="EH76" t="n">
        <v>0.00771123035548138</v>
      </c>
      <c r="EI76" t="n">
        <v>0.00672889630922557</v>
      </c>
      <c r="EJ76" t="n">
        <v>0.00491243058521995</v>
      </c>
      <c r="EK76" t="n">
        <v>0.00855160342564232</v>
      </c>
      <c r="EL76" t="n">
        <v>0.00581388141665329</v>
      </c>
      <c r="EM76" t="n">
        <v>0.00631023688037669</v>
      </c>
      <c r="EN76" t="n">
        <v>0.010802204531537</v>
      </c>
      <c r="EO76" t="n">
        <v>0.00796054863568063</v>
      </c>
      <c r="EP76" t="n">
        <v>0.0051929942660689</v>
      </c>
      <c r="EQ76" t="n">
        <v>0.00877769938173434</v>
      </c>
      <c r="ER76" t="n">
        <v>0.00719577974038299</v>
      </c>
      <c r="ES76" t="n">
        <v>-0.00164779548504035</v>
      </c>
      <c r="ET76" t="n">
        <v>0.00913678055221512</v>
      </c>
      <c r="EU76" t="n">
        <v>0.00849328831617946</v>
      </c>
      <c r="EV76" t="n">
        <v>0.00565312080070424</v>
      </c>
      <c r="EW76" t="n">
        <v>0.0101598857300835</v>
      </c>
      <c r="EX76" t="n">
        <v>0.00814194813784286</v>
      </c>
      <c r="EY76" t="n">
        <v>0.00973893765270106</v>
      </c>
      <c r="EZ76" t="n">
        <v>0.0106643963750013</v>
      </c>
      <c r="FA76" t="n">
        <v>-0.0159608073508385</v>
      </c>
      <c r="FB76" t="n">
        <v>-0.0067582027686105</v>
      </c>
      <c r="FC76" t="n">
        <v>0.0039804493031379</v>
      </c>
      <c r="FD76" t="n">
        <v>0.00689016400849418</v>
      </c>
      <c r="FE76" t="n">
        <v>0.00771802292970758</v>
      </c>
      <c r="FF76" t="n">
        <v>0.00386285205387971</v>
      </c>
      <c r="FG76" t="n">
        <v>0.0015525023010301</v>
      </c>
      <c r="FH76" t="n">
        <v>0.00191547549187865</v>
      </c>
      <c r="FI76" t="n">
        <v>0.00640954801635529</v>
      </c>
      <c r="FJ76" t="n">
        <v>0.00840013176677279</v>
      </c>
      <c r="FK76" t="n">
        <v>0.0098328523983231</v>
      </c>
      <c r="FL76" t="n">
        <v>0.00462593543099921</v>
      </c>
      <c r="FM76" t="n">
        <v>0.00330589157104977</v>
      </c>
      <c r="FN76" t="n">
        <v>0.00662209146830706</v>
      </c>
      <c r="FO76" t="n">
        <v>0.00241248113588544</v>
      </c>
      <c r="FP76" t="n">
        <v>0.00290497344175744</v>
      </c>
      <c r="FQ76" t="n">
        <v>0.00561340451398062</v>
      </c>
      <c r="FR76" t="n">
        <v>0.00350062023001074</v>
      </c>
      <c r="FS76" t="n">
        <v>0.000513309378895599</v>
      </c>
      <c r="FT76" t="n">
        <v>0.00411483854755623</v>
      </c>
      <c r="FU76" t="n">
        <v>0.00368087924004978</v>
      </c>
      <c r="FV76" t="n">
        <v>0.00459201695513944</v>
      </c>
      <c r="FW76" t="n">
        <v>0.00447795151816011</v>
      </c>
      <c r="FX76" t="n">
        <v>0.00272833036477271</v>
      </c>
      <c r="FY76" t="n">
        <v>-0.00132451691069269</v>
      </c>
      <c r="FZ76" t="n">
        <v>-0.00448259908497406</v>
      </c>
      <c r="GA76" t="n">
        <v>0.00498817503020788</v>
      </c>
      <c r="GB76" t="n">
        <v>0.00259988490628094</v>
      </c>
      <c r="GC76" t="n">
        <v>-0.000768718290370507</v>
      </c>
      <c r="GD76" t="n">
        <v>0.000492358190583575</v>
      </c>
      <c r="GE76" t="n">
        <v>0.0063462445405893</v>
      </c>
      <c r="GF76" t="n">
        <v>0.00345365078394821</v>
      </c>
      <c r="GG76" t="n">
        <v>0.00457886614684866</v>
      </c>
      <c r="GH76" t="n">
        <v>0.00583140469140053</v>
      </c>
      <c r="GI76" t="n">
        <v>0.0020095655319321</v>
      </c>
      <c r="GJ76" t="n">
        <v>0.00352974208816326</v>
      </c>
      <c r="GK76" t="n">
        <v>0.00599544346296832</v>
      </c>
      <c r="GL76" t="n">
        <v>0.00699272915093951</v>
      </c>
      <c r="GM76" t="n">
        <v>0.00524758334977315</v>
      </c>
      <c r="GN76" t="n">
        <v>0.0033558364078814</v>
      </c>
      <c r="GO76" t="n">
        <v>0.00379447258786936</v>
      </c>
      <c r="GP76" t="n">
        <v>0.00203620350343914</v>
      </c>
      <c r="GQ76" t="n">
        <v>0.00559061166152985</v>
      </c>
      <c r="GR76" t="n">
        <v>0.00240751841896625</v>
      </c>
      <c r="GS76" t="n">
        <v>0.00393537496985763</v>
      </c>
      <c r="GT76" t="n">
        <v>0.00308407713075143</v>
      </c>
      <c r="GU76" t="n">
        <v>-0.00398452166583652</v>
      </c>
      <c r="GV76" t="n">
        <v>0.00811632111397453</v>
      </c>
      <c r="GW76" t="n">
        <v>0.00484584859584869</v>
      </c>
      <c r="GX76" t="n">
        <v>0.011287260299981</v>
      </c>
      <c r="GY76" t="n">
        <v>0.0155732241924735</v>
      </c>
      <c r="GZ76" t="n">
        <v>0.013800051761748</v>
      </c>
      <c r="HA76" t="n">
        <v>0.0165024024215681</v>
      </c>
      <c r="HB76" t="n">
        <v>0.0187817850768224</v>
      </c>
      <c r="HC76" t="n">
        <v>0.0183739050050624</v>
      </c>
      <c r="HD76" t="n">
        <v>0.0116017705235494</v>
      </c>
      <c r="HE76" t="n">
        <v>0.00989625173056208</v>
      </c>
      <c r="HF76" t="n">
        <v>0.00971465321734422</v>
      </c>
      <c r="HG76" t="n">
        <v>0.0072242708682535</v>
      </c>
      <c r="HH76" t="n">
        <v>0.00666489158110206</v>
      </c>
      <c r="HI76" t="n">
        <v>0.00410801517568582</v>
      </c>
      <c r="HJ76" t="n">
        <v>0.00845406651300618</v>
      </c>
      <c r="HK76" t="n">
        <v>0.00626902952484354</v>
      </c>
      <c r="HL76" t="n">
        <v>0.00382883796390177</v>
      </c>
      <c r="HM76" t="n">
        <v>0.00590721391225646</v>
      </c>
      <c r="HN76" t="n">
        <v>0.00902167451276537</v>
      </c>
      <c r="HO76" t="n">
        <v>0.00498403675129988</v>
      </c>
    </row>
    <row r="77">
      <c r="A77" s="78" t="s">
        <v>2589</v>
      </c>
      <c r="B77" s="78" t="n">
        <v>0.0132039273219726</v>
      </c>
      <c r="C77" s="78" t="n">
        <v>0.0132039273219726</v>
      </c>
      <c r="D77" s="78" t="n">
        <v>0.017097349075518</v>
      </c>
      <c r="E77" s="78" t="n">
        <v>0.0127032798554454</v>
      </c>
      <c r="F77" s="78" t="n">
        <v>0.031684238983509</v>
      </c>
      <c r="G77" s="78" t="n">
        <v>0.0186573030763588</v>
      </c>
      <c r="H77" s="78" t="n">
        <v>0.0145084117919432</v>
      </c>
      <c r="I77" s="78" t="n">
        <v>0.0204371418428926</v>
      </c>
      <c r="J77" s="78" t="n">
        <v>0.0412980817016202</v>
      </c>
      <c r="K77" s="78" t="n">
        <v>0.0101656087433781</v>
      </c>
      <c r="L77" s="78" t="n">
        <v>0.00822073136161761</v>
      </c>
      <c r="M77" s="78" t="n">
        <v>0.0217432052483599</v>
      </c>
      <c r="N77" s="78" t="n">
        <v>0.0160979636763898</v>
      </c>
      <c r="O77" s="78" t="n">
        <v>0.0173775671406002</v>
      </c>
      <c r="P77" t="n">
        <v>0.0206743566992014</v>
      </c>
      <c r="Q77" t="n">
        <v>0.0213857254629228</v>
      </c>
      <c r="R77" t="n">
        <v>0.0102561920163418</v>
      </c>
      <c r="S77" t="n">
        <v>0.0180715278655377</v>
      </c>
      <c r="T77" t="n">
        <v>0.0292121813968884</v>
      </c>
      <c r="U77" t="n">
        <v>0.0332073651202058</v>
      </c>
      <c r="V77" t="n">
        <v>0.0181712062256809</v>
      </c>
      <c r="W77" t="n">
        <v>0.0144838919249435</v>
      </c>
      <c r="X77" t="n">
        <v>0.0134860242597754</v>
      </c>
      <c r="Y77" t="n">
        <v>0.0229705619982159</v>
      </c>
      <c r="Z77" t="n">
        <v>0.0146064966208852</v>
      </c>
      <c r="AA77" t="n">
        <v>0.0083798882681565</v>
      </c>
      <c r="AB77" t="n">
        <v>0.0114709851551957</v>
      </c>
      <c r="AC77" t="n">
        <v>0.0267195674309189</v>
      </c>
      <c r="AD77" t="n">
        <v>0.0141577183503179</v>
      </c>
      <c r="AE77" t="n">
        <v>0.0113636363636365</v>
      </c>
      <c r="AF77" t="n">
        <v>0.00493448471309965</v>
      </c>
      <c r="AG77" t="n">
        <v>0.0289638698118841</v>
      </c>
      <c r="AH77" t="n">
        <v>0.0114464435416264</v>
      </c>
      <c r="AI77" t="n">
        <v>0.0196372214606777</v>
      </c>
      <c r="AJ77" t="n">
        <v>0.0167265905893388</v>
      </c>
      <c r="AK77" t="n">
        <v>0.017250922509225</v>
      </c>
      <c r="AL77" t="n">
        <v>0.018439587678728</v>
      </c>
      <c r="AM77" t="n">
        <v>0.0151078923154553</v>
      </c>
      <c r="AN77" t="n">
        <v>0.0233333333333332</v>
      </c>
      <c r="AO77" t="n">
        <v>0.0220012572146981</v>
      </c>
      <c r="AP77" t="n">
        <v>0.0197662715276226</v>
      </c>
      <c r="AQ77" t="n">
        <v>0.0386566141192597</v>
      </c>
      <c r="AR77" t="n">
        <v>0.0101359377062162</v>
      </c>
      <c r="AS77" t="n">
        <v>0.0301026940865976</v>
      </c>
      <c r="AT77" t="n">
        <v>0.0199893457801681</v>
      </c>
      <c r="AU77" t="n">
        <v>0.0232535004600958</v>
      </c>
      <c r="AV77" t="n">
        <v>0.0219230021388295</v>
      </c>
      <c r="AW77" t="n">
        <v>0.0191694810445702</v>
      </c>
      <c r="AX77" t="n">
        <v>0.0159619154298516</v>
      </c>
      <c r="AY77" t="n">
        <v>0.0198226754869533</v>
      </c>
      <c r="AZ77" t="n">
        <v>0.00837856708484419</v>
      </c>
      <c r="BA77" t="n">
        <v>0.0118156842599002</v>
      </c>
      <c r="BB77" t="n">
        <v>0.00187637969094934</v>
      </c>
      <c r="BC77" t="n">
        <v>0.00771179905255037</v>
      </c>
      <c r="BD77" t="n">
        <v>0.0110856018366676</v>
      </c>
      <c r="BE77" t="n">
        <v>0.00653085939189491</v>
      </c>
      <c r="BF77" t="n">
        <v>0.0129554829838432</v>
      </c>
      <c r="BG77" t="n">
        <v>0.00996882092179785</v>
      </c>
      <c r="BH77" t="n">
        <v>0.0148686393514923</v>
      </c>
      <c r="BI77" t="n">
        <v>0.0123124676668391</v>
      </c>
      <c r="BJ77" t="n">
        <v>-0.00398609975470154</v>
      </c>
      <c r="BK77" t="n">
        <v>0.00236018471010779</v>
      </c>
      <c r="BL77" t="n">
        <v>0.00534398034398031</v>
      </c>
      <c r="BM77" t="n">
        <v>0.00655791124417027</v>
      </c>
      <c r="BN77" t="n">
        <v>-0.00252918681585501</v>
      </c>
      <c r="BO77" t="n">
        <v>-0.00249503022434994</v>
      </c>
      <c r="BP77" t="n">
        <v>0.00142348754448407</v>
      </c>
      <c r="BQ77" t="n">
        <v>0.00111686465631022</v>
      </c>
      <c r="BR77" t="n">
        <v>-0.00168356997971597</v>
      </c>
      <c r="BS77" t="n">
        <v>0.00473413657882449</v>
      </c>
      <c r="BT77" t="n">
        <v>0.00723963599595545</v>
      </c>
      <c r="BU77" t="n">
        <v>0.00208801798907809</v>
      </c>
      <c r="BV77" t="n">
        <v>0.0136440134636961</v>
      </c>
      <c r="BW77" t="n">
        <v>0.00982349336864785</v>
      </c>
      <c r="BX77" t="n">
        <v>0.00571540418868643</v>
      </c>
      <c r="BY77" t="n">
        <v>0.00805729632945384</v>
      </c>
      <c r="BZ77" t="n">
        <v>0.00741369989960616</v>
      </c>
      <c r="CA77" t="n">
        <v>0.00733997700268296</v>
      </c>
      <c r="CB77" t="n">
        <v>0.00498449479672014</v>
      </c>
      <c r="CC77" t="n">
        <v>0.00357785139611932</v>
      </c>
      <c r="CD77" t="n">
        <v>0.00701701437356173</v>
      </c>
      <c r="CE77" t="n">
        <v>0.0171767879219269</v>
      </c>
      <c r="CF77" t="n">
        <v>0.00134430878588665</v>
      </c>
      <c r="CG77" t="n">
        <v>0.0118986317493013</v>
      </c>
      <c r="CH77" t="n">
        <v>0.0089780637188086</v>
      </c>
      <c r="CI77" t="n">
        <v>0.00491741268440293</v>
      </c>
      <c r="CJ77" t="n">
        <v>0.0128696899085858</v>
      </c>
      <c r="CK77" t="n">
        <v>0.0101047639272316</v>
      </c>
      <c r="CL77" t="n">
        <v>0.00147164456279891</v>
      </c>
      <c r="CM77" t="n">
        <v>0.0036387173521335</v>
      </c>
      <c r="CN77" t="n">
        <v>0.00873263495494236</v>
      </c>
      <c r="CO77" t="n">
        <v>0.00627246336743159</v>
      </c>
      <c r="CP77" t="n">
        <v>0.00250708336910788</v>
      </c>
      <c r="CQ77" t="n">
        <v>0.00438498826673062</v>
      </c>
      <c r="CR77" t="n">
        <v>0.00724798335521926</v>
      </c>
      <c r="CS77" t="n">
        <v>0.00895668958044094</v>
      </c>
      <c r="CT77" t="n">
        <v>0.00459800976657543</v>
      </c>
      <c r="CU77" t="n">
        <v>0.00838553411843312</v>
      </c>
      <c r="CV77" t="n">
        <v>0.00573160832905395</v>
      </c>
      <c r="CW77" t="n">
        <v>0.00821899757877231</v>
      </c>
      <c r="CX77" t="n">
        <v>0.00842971966281114</v>
      </c>
      <c r="CY77" t="n">
        <v>0.00665824261275283</v>
      </c>
      <c r="CZ77" t="n">
        <v>0.0051819308324883</v>
      </c>
      <c r="DA77" t="n">
        <v>0.0138006115816269</v>
      </c>
      <c r="DB77" t="n">
        <v>0.00235301549200129</v>
      </c>
      <c r="DC77" t="n">
        <v>-0.00535669271489791</v>
      </c>
      <c r="DD77" t="n">
        <v>0.00581321675220181</v>
      </c>
      <c r="DE77" t="n">
        <v>0.0034173766516008</v>
      </c>
      <c r="DF77" t="n">
        <v>0.00342143260719441</v>
      </c>
      <c r="DG77" t="n">
        <v>0.0065692745643946</v>
      </c>
      <c r="DH77" t="n">
        <v>0.002315318395127</v>
      </c>
      <c r="DI77" t="n">
        <v>0.00699192285630112</v>
      </c>
      <c r="DJ77" t="n">
        <v>-0.00418757890199206</v>
      </c>
      <c r="DK77" t="n">
        <v>0.00644692495593824</v>
      </c>
      <c r="DL77" t="n">
        <v>0.00652851810319666</v>
      </c>
      <c r="DM77" t="n">
        <v>0.00322019412734265</v>
      </c>
      <c r="DN77" t="n">
        <v>0.00322507035825659</v>
      </c>
      <c r="DO77" t="n">
        <v>0.0084310127829923</v>
      </c>
      <c r="DP77" t="n">
        <v>0.00906726012360326</v>
      </c>
      <c r="DQ77" t="n">
        <v>0.0122939826543083</v>
      </c>
      <c r="DR77" t="n">
        <v>0.00974518261176782</v>
      </c>
      <c r="DS77" t="n">
        <v>0.00383421048795052</v>
      </c>
      <c r="DT77" t="n">
        <v>0.00715986987335904</v>
      </c>
      <c r="DU77" t="n">
        <v>0.0045134032213876</v>
      </c>
      <c r="DV77" t="n">
        <v>0.0017226034279807</v>
      </c>
      <c r="DW77" t="n">
        <v>0.00524490556303925</v>
      </c>
      <c r="DX77" t="n">
        <v>0.00640075269430351</v>
      </c>
      <c r="DY77" t="n">
        <v>0.00648752779863182</v>
      </c>
      <c r="DZ77" t="n">
        <v>0.00647385827879798</v>
      </c>
      <c r="EA77" t="n">
        <v>0.00945256239949654</v>
      </c>
      <c r="EB77" t="n">
        <v>0.00858832818495392</v>
      </c>
      <c r="EC77" t="n">
        <v>0.0185411544958864</v>
      </c>
      <c r="ED77" t="n">
        <v>0.010841277760548</v>
      </c>
      <c r="EE77" t="n">
        <v>0.00712332421796824</v>
      </c>
      <c r="EF77" t="n">
        <v>0.00904647743678733</v>
      </c>
      <c r="EG77" t="n">
        <v>0.00748208238166481</v>
      </c>
      <c r="EH77" t="n">
        <v>0.00850792161767777</v>
      </c>
      <c r="EI77" t="n">
        <v>0.00868160971513454</v>
      </c>
      <c r="EJ77" t="n">
        <v>0.00915762644568829</v>
      </c>
      <c r="EK77" t="n">
        <v>0.00973449081124977</v>
      </c>
      <c r="EL77" t="n">
        <v>0.013160044746666</v>
      </c>
      <c r="EM77" t="n">
        <v>0.00901917971366895</v>
      </c>
      <c r="EN77" t="n">
        <v>0.0104385673711778</v>
      </c>
      <c r="EO77" t="n">
        <v>0.00717918765666448</v>
      </c>
      <c r="EP77" t="n">
        <v>0.00842072198327926</v>
      </c>
      <c r="EQ77" t="n">
        <v>0.00697264852819623</v>
      </c>
      <c r="ER77" t="n">
        <v>0.00740026888436773</v>
      </c>
      <c r="ES77" t="n">
        <v>0.00520827182218664</v>
      </c>
      <c r="ET77" t="n">
        <v>0.00855323448551348</v>
      </c>
      <c r="EU77" t="n">
        <v>0.00799142610843195</v>
      </c>
      <c r="EV77" t="n">
        <v>0.00688794378698221</v>
      </c>
      <c r="EW77" t="n">
        <v>0.00801156971672556</v>
      </c>
      <c r="EX77" t="n">
        <v>0.00843752135000342</v>
      </c>
      <c r="EY77" t="n">
        <v>0.0102412971556971</v>
      </c>
      <c r="EZ77" t="n">
        <v>0.00749972057672976</v>
      </c>
      <c r="FA77" t="n">
        <v>-0.00475921057010686</v>
      </c>
      <c r="FB77" t="n">
        <v>-0.00839352594970577</v>
      </c>
      <c r="FC77" t="n">
        <v>0.000179858136894362</v>
      </c>
      <c r="FD77" t="n">
        <v>0.003057038493959</v>
      </c>
      <c r="FE77" t="n">
        <v>0.00768653288065724</v>
      </c>
      <c r="FF77" t="n">
        <v>0.00637140982731577</v>
      </c>
      <c r="FG77" t="n">
        <v>0.00766799991160805</v>
      </c>
      <c r="FH77" t="n">
        <v>0.00396929824561387</v>
      </c>
      <c r="FI77" t="n">
        <v>0.00813656320307565</v>
      </c>
      <c r="FJ77" t="n">
        <v>0.0089809006900885</v>
      </c>
      <c r="FK77" t="n">
        <v>0.00905127984882337</v>
      </c>
      <c r="FL77" t="n">
        <v>0.00347950073952696</v>
      </c>
      <c r="FM77" t="n">
        <v>-0.00133607617754961</v>
      </c>
      <c r="FN77" t="n">
        <v>0.00346145678487986</v>
      </c>
      <c r="FO77" t="n">
        <v>0.00221149979895463</v>
      </c>
      <c r="FP77" t="n">
        <v>0.00192155413609241</v>
      </c>
      <c r="FQ77" t="n">
        <v>0.00122237794661584</v>
      </c>
      <c r="FR77" t="n">
        <v>-0.000694641785860872</v>
      </c>
      <c r="FS77" t="n">
        <v>0.00163248970478258</v>
      </c>
      <c r="FT77" t="n">
        <v>0.0035120186746862</v>
      </c>
      <c r="FU77" t="n">
        <v>0.0153820361289241</v>
      </c>
      <c r="FV77" t="n">
        <v>-0.00263147032114253</v>
      </c>
      <c r="FW77" t="n">
        <v>0.00422146116359201</v>
      </c>
      <c r="FX77" t="n">
        <v>0.00469827008871082</v>
      </c>
      <c r="FY77" t="n">
        <v>0.00132290053633866</v>
      </c>
      <c r="FZ77" t="n">
        <v>-0.00194588394338502</v>
      </c>
      <c r="GA77" t="n">
        <v>0.0019394163280384</v>
      </c>
      <c r="GB77" t="n">
        <v>0.000911502340205539</v>
      </c>
      <c r="GC77" t="n">
        <v>-0.00121764043794126</v>
      </c>
      <c r="GD77" t="n">
        <v>-0.00110643267664512</v>
      </c>
      <c r="GE77" t="n">
        <v>0.00532291314113409</v>
      </c>
      <c r="GF77" t="n">
        <v>0.00389708432800795</v>
      </c>
      <c r="GG77" t="n">
        <v>0.00494898581358494</v>
      </c>
      <c r="GH77" t="n">
        <v>0.00474259538279509</v>
      </c>
      <c r="GI77" t="n">
        <v>0.00324074074074088</v>
      </c>
      <c r="GJ77" t="n">
        <v>0.00439397283361087</v>
      </c>
      <c r="GK77" t="n">
        <v>0.00717139432680769</v>
      </c>
      <c r="GL77" t="n">
        <v>0.00952022055177615</v>
      </c>
      <c r="GM77" t="n">
        <v>0.00686653961767414</v>
      </c>
      <c r="GN77" t="n">
        <v>0.00517088305023572</v>
      </c>
      <c r="GO77" t="n">
        <v>0.0072893513350869</v>
      </c>
      <c r="GP77" t="n">
        <v>0.00918306384782897</v>
      </c>
      <c r="GQ77" t="n">
        <v>-0.00665514508598208</v>
      </c>
      <c r="GR77" t="n">
        <v>0.000932387488705499</v>
      </c>
      <c r="GS77" t="n">
        <v>0.00363964621486401</v>
      </c>
      <c r="GT77" t="n">
        <v>0.00302363410199979</v>
      </c>
      <c r="GU77" t="n">
        <v>0.00063915440825757</v>
      </c>
      <c r="GV77" t="n">
        <v>0.00546270961837303</v>
      </c>
      <c r="GW77" t="n">
        <v>0.00746212049380857</v>
      </c>
      <c r="GX77" t="n">
        <v>0.00767978315906381</v>
      </c>
      <c r="GY77" t="n">
        <v>0.0107780963677628</v>
      </c>
      <c r="GZ77" t="n">
        <v>0.0118089500383467</v>
      </c>
      <c r="HA77" t="n">
        <v>0.0123743162162901</v>
      </c>
      <c r="HB77" t="n">
        <v>0.0160298044309735</v>
      </c>
      <c r="HC77" t="n">
        <v>0.0182184617296886</v>
      </c>
      <c r="HD77" t="n">
        <v>0.0130705846448969</v>
      </c>
      <c r="HE77" t="n">
        <v>0.0102165530537768</v>
      </c>
      <c r="HF77" t="n">
        <v>0.0105562702882314</v>
      </c>
      <c r="HG77" t="n">
        <v>0.00864176713599196</v>
      </c>
      <c r="HH77" t="n">
        <v>0.00939524386676127</v>
      </c>
      <c r="HI77" t="n">
        <v>0.00944029016470815</v>
      </c>
      <c r="HJ77" t="n">
        <v>0.00876135161075964</v>
      </c>
      <c r="HK77" t="n">
        <v>0.00697748176340007</v>
      </c>
      <c r="HL77" t="n">
        <v>0.00606501110438118</v>
      </c>
      <c r="HM77" t="n">
        <v>0.00659838171076288</v>
      </c>
      <c r="HN77" t="n">
        <v>0.0138997432175954</v>
      </c>
      <c r="HO77" t="n">
        <v>0.0173193541029251</v>
      </c>
    </row>
    <row r="78">
      <c r="A78" s="78" t="s">
        <v>2590</v>
      </c>
      <c r="B78" s="78" t="n">
        <v>0.0211423161880719</v>
      </c>
      <c r="C78" s="78" t="n">
        <v>0.0211423161880719</v>
      </c>
      <c r="D78" s="78" t="n">
        <v>0.0180778739184178</v>
      </c>
      <c r="E78" s="78" t="n">
        <v>0.0189710122932161</v>
      </c>
      <c r="F78" s="78" t="n">
        <v>0.0227137324992552</v>
      </c>
      <c r="G78" s="78" t="n">
        <v>0.0180586907449209</v>
      </c>
      <c r="H78" s="78" t="n">
        <v>0.0140905514626994</v>
      </c>
      <c r="I78" s="78" t="n">
        <v>0.0109324305261673</v>
      </c>
      <c r="J78" s="78" t="n">
        <v>0.0223958696713877</v>
      </c>
      <c r="K78" s="78" t="n">
        <v>0.0118056503343797</v>
      </c>
      <c r="L78" s="78" t="n">
        <v>0.0151750185472448</v>
      </c>
      <c r="M78" s="78" t="n">
        <v>0.013752325272389</v>
      </c>
      <c r="N78" s="78" t="n">
        <v>0.0196605282128579</v>
      </c>
      <c r="O78" s="78" t="n">
        <v>0.0178032007198408</v>
      </c>
      <c r="P78" t="n">
        <v>0.0134503662541046</v>
      </c>
      <c r="Q78" t="n">
        <v>0.01894199015515</v>
      </c>
      <c r="R78" t="n">
        <v>0.0290466581055462</v>
      </c>
      <c r="S78" t="n">
        <v>0.0347634894223914</v>
      </c>
      <c r="T78" t="n">
        <v>0.036467007408258</v>
      </c>
      <c r="U78" t="n">
        <v>0.0294215425531916</v>
      </c>
      <c r="V78" t="n">
        <v>0.0201302545885138</v>
      </c>
      <c r="W78" t="n">
        <v>0.0198385479871261</v>
      </c>
      <c r="X78" t="n">
        <v>0.012778726266232</v>
      </c>
      <c r="Y78" t="n">
        <v>0.0127707396812424</v>
      </c>
      <c r="Z78" t="n">
        <v>0.0112982951679612</v>
      </c>
      <c r="AA78" t="n">
        <v>0.0121197007481295</v>
      </c>
      <c r="AB78" t="n">
        <v>0.0074409895037697</v>
      </c>
      <c r="AC78" t="n">
        <v>0.0119839561729604</v>
      </c>
      <c r="AD78" t="n">
        <v>0.0188505969355697</v>
      </c>
      <c r="AE78" t="n">
        <v>0.0178850989136106</v>
      </c>
      <c r="AF78" t="n">
        <v>0.0170115585384043</v>
      </c>
      <c r="AG78" t="n">
        <v>0.0168644883369231</v>
      </c>
      <c r="AH78" t="n">
        <v>0.0141511559781875</v>
      </c>
      <c r="AI78" t="n">
        <v>0.0167088832600097</v>
      </c>
      <c r="AJ78" t="n">
        <v>0.0152104550024039</v>
      </c>
      <c r="AK78" t="n">
        <v>0.0143367632496663</v>
      </c>
      <c r="AL78" t="n">
        <v>0.0238115449915111</v>
      </c>
      <c r="AM78" t="n">
        <v>0.0228846233572406</v>
      </c>
      <c r="AN78" t="n">
        <v>0.0338831921533662</v>
      </c>
      <c r="AO78" t="n">
        <v>0.019522521463013</v>
      </c>
      <c r="AP78" t="n">
        <v>0.0260314530703272</v>
      </c>
      <c r="AQ78" t="n">
        <v>0.0274696447309248</v>
      </c>
      <c r="AR78" t="n">
        <v>0.0288507130612392</v>
      </c>
      <c r="AS78" t="n">
        <v>0.0272263187748156</v>
      </c>
      <c r="AT78" t="n">
        <v>0.0324751518498068</v>
      </c>
      <c r="AU78" t="n">
        <v>0.0215596483604639</v>
      </c>
      <c r="AV78" t="n">
        <v>0.0135789542569202</v>
      </c>
      <c r="AW78" t="n">
        <v>0.0157859056719503</v>
      </c>
      <c r="AX78" t="n">
        <v>0.0168753575287612</v>
      </c>
      <c r="AY78" t="n">
        <v>0.0160640060005626</v>
      </c>
      <c r="AZ78" t="n">
        <v>0.0156869982467471</v>
      </c>
      <c r="BA78" t="n">
        <v>0.0127191787044609</v>
      </c>
      <c r="BB78" t="n">
        <v>0.00717681887503341</v>
      </c>
      <c r="BC78" t="n">
        <v>0.010985422048039</v>
      </c>
      <c r="BD78" t="n">
        <v>0.00969134533493876</v>
      </c>
      <c r="BE78" t="n">
        <v>0.00759140222797483</v>
      </c>
      <c r="BF78" t="n">
        <v>0.0145199468852837</v>
      </c>
      <c r="BG78" t="n">
        <v>0.0095034855598235</v>
      </c>
      <c r="BH78" t="n">
        <v>0.00932946249894306</v>
      </c>
      <c r="BI78" t="n">
        <v>0.00994135716280353</v>
      </c>
      <c r="BJ78" t="n">
        <v>0.0118066692473595</v>
      </c>
      <c r="BK78" t="n">
        <v>0.00983794714836161</v>
      </c>
      <c r="BL78" t="n">
        <v>0.00828078911049168</v>
      </c>
      <c r="BM78" t="n">
        <v>0.00925950776993467</v>
      </c>
      <c r="BN78" t="n">
        <v>0.00414849484097424</v>
      </c>
      <c r="BO78" t="n">
        <v>0.00442266949152548</v>
      </c>
      <c r="BP78" t="n">
        <v>0.00864819258048355</v>
      </c>
      <c r="BQ78" t="n">
        <v>0.0127042216703699</v>
      </c>
      <c r="BR78" t="n">
        <v>0.014300095506053</v>
      </c>
      <c r="BS78" t="n">
        <v>0.0122407430970861</v>
      </c>
      <c r="BT78" t="n">
        <v>0.0119670152855993</v>
      </c>
      <c r="BU78" t="n">
        <v>0.00593759316307252</v>
      </c>
      <c r="BV78" t="n">
        <v>0.00513694401224951</v>
      </c>
      <c r="BW78" t="n">
        <v>0.00975453942357296</v>
      </c>
      <c r="BX78" t="n">
        <v>0.0084436441502822</v>
      </c>
      <c r="BY78" t="n">
        <v>0.011461525468716</v>
      </c>
      <c r="BZ78" t="n">
        <v>0.013144711102629</v>
      </c>
      <c r="CA78" t="n">
        <v>0.0135863806541241</v>
      </c>
      <c r="CB78" t="n">
        <v>0.00938530873948817</v>
      </c>
      <c r="CC78" t="n">
        <v>0.0129113924050632</v>
      </c>
      <c r="CD78" t="n">
        <v>0.0141555520210856</v>
      </c>
      <c r="CE78" t="n">
        <v>0.0103060447192724</v>
      </c>
      <c r="CF78" t="n">
        <v>0.0135938262296535</v>
      </c>
      <c r="CG78" t="n">
        <v>0.0157525105563698</v>
      </c>
      <c r="CH78" t="n">
        <v>0.00420014215865772</v>
      </c>
      <c r="CI78" t="n">
        <v>0.00604864656170911</v>
      </c>
      <c r="CJ78" t="n">
        <v>0.00822957530274593</v>
      </c>
      <c r="CK78" t="n">
        <v>0.0087333474307465</v>
      </c>
      <c r="CL78" t="n">
        <v>0.00712743433327034</v>
      </c>
      <c r="CM78" t="n">
        <v>0.0119476302479029</v>
      </c>
      <c r="CN78" t="n">
        <v>0.00736367937141336</v>
      </c>
      <c r="CO78" t="n">
        <v>0.00684022460438993</v>
      </c>
      <c r="CP78" t="n">
        <v>0.00582032042182101</v>
      </c>
      <c r="CQ78" t="n">
        <v>0.00588745287013337</v>
      </c>
      <c r="CR78" t="n">
        <v>0.00284631882779762</v>
      </c>
      <c r="CS78" t="n">
        <v>0.00503687713617551</v>
      </c>
      <c r="CT78" t="n">
        <v>0.00817373665055787</v>
      </c>
      <c r="CU78" t="n">
        <v>0.00554306229534074</v>
      </c>
      <c r="CV78" t="n">
        <v>0.00874938695438932</v>
      </c>
      <c r="CW78" t="n">
        <v>0.00847902607883944</v>
      </c>
      <c r="CX78" t="n">
        <v>0.005573018107488</v>
      </c>
      <c r="CY78" t="n">
        <v>0.00759406282361064</v>
      </c>
      <c r="CZ78" t="n">
        <v>0.00411099691675232</v>
      </c>
      <c r="DA78" t="n">
        <v>0.00382880321467827</v>
      </c>
      <c r="DB78" t="n">
        <v>0.00998867069486398</v>
      </c>
      <c r="DC78" t="n">
        <v>0.001346071154817</v>
      </c>
      <c r="DD78" t="n">
        <v>0.00631056178936173</v>
      </c>
      <c r="DE78" t="n">
        <v>0.00718009610567916</v>
      </c>
      <c r="DF78" t="n">
        <v>0.00663154404450506</v>
      </c>
      <c r="DG78" t="n">
        <v>0.00323902938915932</v>
      </c>
      <c r="DH78" t="n">
        <v>0.00434124363861876</v>
      </c>
      <c r="DI78" t="n">
        <v>0.00784584370062302</v>
      </c>
      <c r="DJ78" t="n">
        <v>0.0013335015227145</v>
      </c>
      <c r="DK78" t="n">
        <v>0.00442708801986802</v>
      </c>
      <c r="DL78" t="n">
        <v>0.00748929460878278</v>
      </c>
      <c r="DM78" t="n">
        <v>0.00835837883018264</v>
      </c>
      <c r="DN78" t="n">
        <v>0.00765418599319223</v>
      </c>
      <c r="DO78" t="n">
        <v>0.0135468626936204</v>
      </c>
      <c r="DP78" t="n">
        <v>0.0120015886995113</v>
      </c>
      <c r="DQ78" t="n">
        <v>0.0114838577571497</v>
      </c>
      <c r="DR78" t="n">
        <v>0.0127705518160501</v>
      </c>
      <c r="DS78" t="n">
        <v>0.0106273111903255</v>
      </c>
      <c r="DT78" t="n">
        <v>0.0107463080168777</v>
      </c>
      <c r="DU78" t="n">
        <v>0.0124910312438851</v>
      </c>
      <c r="DV78" t="n">
        <v>0.0119503945885004</v>
      </c>
      <c r="DW78" t="n">
        <v>0.00389928698752229</v>
      </c>
      <c r="DX78" t="n">
        <v>0.00259999682927226</v>
      </c>
      <c r="DY78" t="n">
        <v>0.00192912825540392</v>
      </c>
      <c r="DZ78" t="n">
        <v>0.005886716222401</v>
      </c>
      <c r="EA78" t="n">
        <v>0.00902158905485151</v>
      </c>
      <c r="EB78" t="n">
        <v>0.00726158821974465</v>
      </c>
      <c r="EC78" t="n">
        <v>0.0084442248911667</v>
      </c>
      <c r="ED78" t="n">
        <v>0.0142518178339073</v>
      </c>
      <c r="EE78" t="n">
        <v>0.000769741608307228</v>
      </c>
      <c r="EF78" t="n">
        <v>0.00663580014176479</v>
      </c>
      <c r="EG78" t="n">
        <v>0.0078805039926888</v>
      </c>
      <c r="EH78" t="n">
        <v>0.0127540023486392</v>
      </c>
      <c r="EI78" t="n">
        <v>0.0143400214293055</v>
      </c>
      <c r="EJ78" t="n">
        <v>0.0161486369161312</v>
      </c>
      <c r="EK78" t="n">
        <v>0.017301777170198</v>
      </c>
      <c r="EL78" t="n">
        <v>0.00905667772505225</v>
      </c>
      <c r="EM78" t="n">
        <v>0.0128180229170713</v>
      </c>
      <c r="EN78" t="n">
        <v>0.0160252020271197</v>
      </c>
      <c r="EO78" t="n">
        <v>0.0163251550283094</v>
      </c>
      <c r="EP78" t="n">
        <v>0.00714939449005847</v>
      </c>
      <c r="EQ78" t="n">
        <v>0.0154484393520347</v>
      </c>
      <c r="ER78" t="n">
        <v>0.0101552468775534</v>
      </c>
      <c r="ES78" t="n">
        <v>0.0105538864494261</v>
      </c>
      <c r="ET78" t="n">
        <v>0.0191340143314529</v>
      </c>
      <c r="EU78" t="n">
        <v>0.0108335203331089</v>
      </c>
      <c r="EV78" t="n">
        <v>0.0109517408088009</v>
      </c>
      <c r="EW78" t="n">
        <v>0.0143343377535958</v>
      </c>
      <c r="EX78" t="n">
        <v>0.0161162292834292</v>
      </c>
      <c r="EY78" t="n">
        <v>0.0140023199109911</v>
      </c>
      <c r="EZ78" t="n">
        <v>0.0135171415564557</v>
      </c>
      <c r="FA78" t="n">
        <v>-0.012012392458567</v>
      </c>
      <c r="FB78" t="n">
        <v>-0.0128695327800056</v>
      </c>
      <c r="FC78" t="n">
        <v>0.00230278696268305</v>
      </c>
      <c r="FD78" t="n">
        <v>0.00520765832106029</v>
      </c>
      <c r="FE78" t="n">
        <v>0.00720841098491509</v>
      </c>
      <c r="FF78" t="n">
        <v>0.00997300190848582</v>
      </c>
      <c r="FG78" t="n">
        <v>0.00672896334788975</v>
      </c>
      <c r="FH78" t="n">
        <v>0.00527622949881534</v>
      </c>
      <c r="FI78" t="n">
        <v>0.00841359837875988</v>
      </c>
      <c r="FJ78" t="n">
        <v>0.010172400167094</v>
      </c>
      <c r="FK78" t="n">
        <v>0.0121599570825044</v>
      </c>
      <c r="FL78" t="n">
        <v>0.00511251959983228</v>
      </c>
      <c r="FM78" t="n">
        <v>-0.00123043120021982</v>
      </c>
      <c r="FN78" t="n">
        <v>0.0121214787764126</v>
      </c>
      <c r="FO78" t="n">
        <v>0.0000978101396511555</v>
      </c>
      <c r="FP78" t="n">
        <v>0.0059549682691471</v>
      </c>
      <c r="FQ78" t="n">
        <v>0.0122499243831828</v>
      </c>
      <c r="FR78" t="n">
        <v>0.01140802083111</v>
      </c>
      <c r="FS78" t="n">
        <v>0.00510683197045636</v>
      </c>
      <c r="FT78" t="n">
        <v>0.00791526259985931</v>
      </c>
      <c r="FU78" t="n">
        <v>0.00578046722839609</v>
      </c>
      <c r="FV78" t="n">
        <v>0.00799436666390529</v>
      </c>
      <c r="FW78" t="n">
        <v>0.00310252722416271</v>
      </c>
      <c r="FX78" t="n">
        <v>0.00531533561377273</v>
      </c>
      <c r="FY78" t="n">
        <v>-0.000876111694053661</v>
      </c>
      <c r="FZ78" t="n">
        <v>-0.00918684680091764</v>
      </c>
      <c r="GA78" t="n">
        <v>0.0062671084858088</v>
      </c>
      <c r="GB78" t="n">
        <v>0.000634057044680558</v>
      </c>
      <c r="GC78" t="n">
        <v>-0.00386325310439983</v>
      </c>
      <c r="GD78" t="n">
        <v>-0.00802322837473191</v>
      </c>
      <c r="GE78" t="n">
        <v>0.0075606350519728</v>
      </c>
      <c r="GF78" t="n">
        <v>0.00314116777531415</v>
      </c>
      <c r="GG78" t="n">
        <v>0.00487096047972813</v>
      </c>
      <c r="GH78" t="n">
        <v>0.00922625715391368</v>
      </c>
      <c r="GI78" t="n">
        <v>0.00180618340329364</v>
      </c>
      <c r="GJ78" t="n">
        <v>0.00887362388324275</v>
      </c>
      <c r="GK78" t="n">
        <v>0.0128189768779201</v>
      </c>
      <c r="GL78" t="n">
        <v>0.0129228767447362</v>
      </c>
      <c r="GM78" t="n">
        <v>0.0101986200722077</v>
      </c>
      <c r="GN78" t="n">
        <v>0.00897819992871396</v>
      </c>
      <c r="GO78" t="n">
        <v>0.00437277422927473</v>
      </c>
      <c r="GP78" t="n">
        <v>-0.00485755297204293</v>
      </c>
      <c r="GQ78" t="n">
        <v>0.00751771965687853</v>
      </c>
      <c r="GR78" t="n">
        <v>0.00392517516331203</v>
      </c>
      <c r="GS78" t="n">
        <v>0.00584585454305064</v>
      </c>
      <c r="GT78" t="n">
        <v>0.0129100707941336</v>
      </c>
      <c r="GU78" t="n">
        <v>-0.00130699567115622</v>
      </c>
      <c r="GV78" t="n">
        <v>0.0120011137924634</v>
      </c>
      <c r="GW78" t="n">
        <v>0.0122623425935267</v>
      </c>
      <c r="GX78" t="n">
        <v>0.0221890006342302</v>
      </c>
      <c r="GY78" t="n">
        <v>0.0197218553612424</v>
      </c>
      <c r="GZ78" t="n">
        <v>0.0160721115399325</v>
      </c>
      <c r="HA78" t="n">
        <v>0.0197616623749926</v>
      </c>
      <c r="HB78" t="n">
        <v>0.0231370015855306</v>
      </c>
      <c r="HC78" t="n">
        <v>0.0339534769311503</v>
      </c>
      <c r="HD78" t="n">
        <v>0.00143534598975426</v>
      </c>
      <c r="HE78" t="n">
        <v>0.00282698383788782</v>
      </c>
      <c r="HF78" t="n">
        <v>-0.00525900189513584</v>
      </c>
      <c r="HG78" t="n">
        <v>-0.00931938336482141</v>
      </c>
      <c r="HH78" t="n">
        <v>0.00994391025641028</v>
      </c>
      <c r="HI78" t="n">
        <v>-0.000277687419173112</v>
      </c>
      <c r="HJ78" t="n">
        <v>0.00951541990063953</v>
      </c>
      <c r="HK78" t="n">
        <v>0.00404858299595134</v>
      </c>
      <c r="HL78" t="n">
        <v>0.00591919824616349</v>
      </c>
      <c r="HM78" t="n">
        <v>0.00442105918615154</v>
      </c>
      <c r="HN78" t="n">
        <v>0.00967886922290062</v>
      </c>
      <c r="HO78" t="n">
        <v>0.00258647816843571</v>
      </c>
    </row>
    <row r="79">
      <c r="A79" s="78" t="s">
        <v>2591</v>
      </c>
      <c r="B79" s="78" t="n">
        <v>0.0198894115705208</v>
      </c>
      <c r="C79" s="78" t="n">
        <v>0.0198894115705208</v>
      </c>
      <c r="D79" s="78" t="n">
        <v>0.0176403948859039</v>
      </c>
      <c r="E79" s="78" t="n">
        <v>0.0168575063613232</v>
      </c>
      <c r="F79" s="78" t="n">
        <v>0.0245542696277761</v>
      </c>
      <c r="G79" s="78" t="n">
        <v>0.0187757594260418</v>
      </c>
      <c r="H79" s="78" t="n">
        <v>0.0150584357207071</v>
      </c>
      <c r="I79" s="78" t="n">
        <v>0.00907816074987089</v>
      </c>
      <c r="J79" s="78" t="n">
        <v>0.0252340550029255</v>
      </c>
      <c r="K79" s="78" t="n">
        <v>0.0131269173146893</v>
      </c>
      <c r="L79" s="78" t="n">
        <v>0.0155622843461729</v>
      </c>
      <c r="M79" s="78" t="n">
        <v>0.0124115933989739</v>
      </c>
      <c r="N79" s="78" t="n">
        <v>0.0197246763920278</v>
      </c>
      <c r="O79" s="78" t="n">
        <v>0.0169252468265162</v>
      </c>
      <c r="P79" t="n">
        <v>0.0115580212667592</v>
      </c>
      <c r="Q79" t="n">
        <v>0.016779838077827</v>
      </c>
      <c r="R79" t="n">
        <v>0.0242727798112117</v>
      </c>
      <c r="S79" t="n">
        <v>0.0268948655256722</v>
      </c>
      <c r="T79" t="n">
        <v>0.0287545787545787</v>
      </c>
      <c r="U79" t="n">
        <v>0.0261705536763399</v>
      </c>
      <c r="V79" t="n">
        <v>0.0199514226231783</v>
      </c>
      <c r="W79" t="n">
        <v>0.0240970686624711</v>
      </c>
      <c r="X79" t="n">
        <v>0.0153914295205402</v>
      </c>
      <c r="Y79" t="n">
        <v>0.0145583424209379</v>
      </c>
      <c r="Z79" t="n">
        <v>0.0130058580104262</v>
      </c>
      <c r="AA79" t="n">
        <v>0.0130510902435141</v>
      </c>
      <c r="AB79" t="n">
        <v>0.00874574495941349</v>
      </c>
      <c r="AC79" t="n">
        <v>0.0132385006749038</v>
      </c>
      <c r="AD79" t="n">
        <v>0.0202900035866169</v>
      </c>
      <c r="AE79" t="n">
        <v>0.0198865063024156</v>
      </c>
      <c r="AF79" t="n">
        <v>0.0178738490324486</v>
      </c>
      <c r="AG79" t="n">
        <v>0.0183339783281733</v>
      </c>
      <c r="AH79" t="n">
        <v>0.0145361265498076</v>
      </c>
      <c r="AI79" t="n">
        <v>0.0160603080957062</v>
      </c>
      <c r="AJ79" t="n">
        <v>0.0142857142857145</v>
      </c>
      <c r="AK79" t="n">
        <v>0.013402998636983</v>
      </c>
      <c r="AL79" t="n">
        <v>0.0245684824030488</v>
      </c>
      <c r="AM79" t="n">
        <v>0.021835207631383</v>
      </c>
      <c r="AN79" t="n">
        <v>0.035157588215142</v>
      </c>
      <c r="AO79" t="n">
        <v>0.0171679146154802</v>
      </c>
      <c r="AP79" t="n">
        <v>0.0257035952497153</v>
      </c>
      <c r="AQ79" t="n">
        <v>0.0271609833465505</v>
      </c>
      <c r="AR79" t="n">
        <v>0.0277938621887666</v>
      </c>
      <c r="AS79" t="n">
        <v>0.0265915492957747</v>
      </c>
      <c r="AT79" t="n">
        <v>0.0335491896242637</v>
      </c>
      <c r="AU79" t="n">
        <v>0.0208849557522124</v>
      </c>
      <c r="AV79" t="n">
        <v>0.0119625520110958</v>
      </c>
      <c r="AW79" t="n">
        <v>0.0153503512078121</v>
      </c>
      <c r="AX79" t="n">
        <v>0.0175142577531806</v>
      </c>
      <c r="AY79" t="n">
        <v>0.0159525072963651</v>
      </c>
      <c r="AZ79" t="n">
        <v>0.0166160676394738</v>
      </c>
      <c r="BA79" t="n">
        <v>0.014995825573181</v>
      </c>
      <c r="BB79" t="n">
        <v>0.00860514410452717</v>
      </c>
      <c r="BC79" t="n">
        <v>0.0136444904488568</v>
      </c>
      <c r="BD79" t="n">
        <v>0.0116969922020052</v>
      </c>
      <c r="BE79" t="n">
        <v>0.00939010215941738</v>
      </c>
      <c r="BF79" t="n">
        <v>0.0175146207690677</v>
      </c>
      <c r="BG79" t="n">
        <v>0.0108996694362549</v>
      </c>
      <c r="BH79" t="n">
        <v>0.010752688172043</v>
      </c>
      <c r="BI79" t="n">
        <v>0.0118041387350627</v>
      </c>
      <c r="BJ79" t="n">
        <v>0.0132219501656343</v>
      </c>
      <c r="BK79" t="n">
        <v>0.0114288963438904</v>
      </c>
      <c r="BL79" t="n">
        <v>0.00927591634809977</v>
      </c>
      <c r="BM79" t="n">
        <v>0.0100818804656604</v>
      </c>
      <c r="BN79" t="n">
        <v>0.00363957207455612</v>
      </c>
      <c r="BO79" t="n">
        <v>0.00302197802197801</v>
      </c>
      <c r="BP79" t="n">
        <v>0.00854560394412496</v>
      </c>
      <c r="BQ79" t="n">
        <v>0.0131714735755799</v>
      </c>
      <c r="BR79" t="n">
        <v>0.0162167957755917</v>
      </c>
      <c r="BS79" t="n">
        <v>0.013135682633467</v>
      </c>
      <c r="BT79" t="n">
        <v>0.0127050247331426</v>
      </c>
      <c r="BU79" t="n">
        <v>0.00611856650727538</v>
      </c>
      <c r="BV79" t="n">
        <v>0.00442048242027782</v>
      </c>
      <c r="BW79" t="n">
        <v>0.0107863339184411</v>
      </c>
      <c r="BX79" t="n">
        <v>0.00890947071703629</v>
      </c>
      <c r="BY79" t="n">
        <v>0.012946840621648</v>
      </c>
      <c r="BZ79" t="n">
        <v>0.0151701718957789</v>
      </c>
      <c r="CA79" t="n">
        <v>0.0148949590024743</v>
      </c>
      <c r="CB79" t="n">
        <v>0.00984797781814706</v>
      </c>
      <c r="CC79" t="n">
        <v>0.0146989206589661</v>
      </c>
      <c r="CD79" t="n">
        <v>0.0158389512234949</v>
      </c>
      <c r="CE79" t="n">
        <v>0.0106778726922017</v>
      </c>
      <c r="CF79" t="n">
        <v>0.0145184377343059</v>
      </c>
      <c r="CG79" t="n">
        <v>0.0189465197527545</v>
      </c>
      <c r="CH79" t="n">
        <v>0.00474746142687588</v>
      </c>
      <c r="CI79" t="n">
        <v>0.00627816423852656</v>
      </c>
      <c r="CJ79" t="n">
        <v>0.00954327079846085</v>
      </c>
      <c r="CK79" t="n">
        <v>0.0113910422049959</v>
      </c>
      <c r="CL79" t="n">
        <v>0.00941046221976194</v>
      </c>
      <c r="CM79" t="n">
        <v>0.0136044377886988</v>
      </c>
      <c r="CN79" t="n">
        <v>0.00855252205759949</v>
      </c>
      <c r="CO79" t="n">
        <v>0.00732457135783116</v>
      </c>
      <c r="CP79" t="n">
        <v>0.00546884601204356</v>
      </c>
      <c r="CQ79" t="n">
        <v>0.00590763714885201</v>
      </c>
      <c r="CR79" t="n">
        <v>0.00326049535227524</v>
      </c>
      <c r="CS79" t="n">
        <v>0.00510698425514744</v>
      </c>
      <c r="CT79" t="n">
        <v>0.00837467113851353</v>
      </c>
      <c r="CU79" t="n">
        <v>0.00581557458673565</v>
      </c>
      <c r="CV79" t="n">
        <v>0.00873232743257679</v>
      </c>
      <c r="CW79" t="n">
        <v>0.00853895530298576</v>
      </c>
      <c r="CX79" t="n">
        <v>0.00459340573786449</v>
      </c>
      <c r="CY79" t="n">
        <v>0.00769171155112969</v>
      </c>
      <c r="CZ79" t="n">
        <v>0.00378766030262812</v>
      </c>
      <c r="DA79" t="n">
        <v>0.00339028501379102</v>
      </c>
      <c r="DB79" t="n">
        <v>0.0110146034170089</v>
      </c>
      <c r="DC79" t="n">
        <v>0.00141610966353234</v>
      </c>
      <c r="DD79" t="n">
        <v>0.00661802138129985</v>
      </c>
      <c r="DE79" t="n">
        <v>0.00811043680227774</v>
      </c>
      <c r="DF79" t="n">
        <v>0.00685605990226867</v>
      </c>
      <c r="DG79" t="n">
        <v>0.00239896659900363</v>
      </c>
      <c r="DH79" t="n">
        <v>0.00476804123711339</v>
      </c>
      <c r="DI79" t="n">
        <v>0.00817164110738555</v>
      </c>
      <c r="DJ79" t="n">
        <v>0.00158109950022722</v>
      </c>
      <c r="DK79" t="n">
        <v>0.00531644650892726</v>
      </c>
      <c r="DL79" t="n">
        <v>0.00779713022290407</v>
      </c>
      <c r="DM79" t="n">
        <v>0.00900836362985125</v>
      </c>
      <c r="DN79" t="n">
        <v>0.00853745118920823</v>
      </c>
      <c r="DO79" t="n">
        <v>0.0149944562749689</v>
      </c>
      <c r="DP79" t="n">
        <v>0.0138539697952247</v>
      </c>
      <c r="DQ79" t="n">
        <v>0.0121938705705296</v>
      </c>
      <c r="DR79" t="n">
        <v>0.0139562389118866</v>
      </c>
      <c r="DS79" t="n">
        <v>0.0104480845178383</v>
      </c>
      <c r="DT79" t="n">
        <v>0.0117418120650419</v>
      </c>
      <c r="DU79" t="n">
        <v>0.014083129584352</v>
      </c>
      <c r="DV79" t="n">
        <v>0.0133571221911468</v>
      </c>
      <c r="DW79" t="n">
        <v>0.00421920850186375</v>
      </c>
      <c r="DX79" t="n">
        <v>0.00247982183190931</v>
      </c>
      <c r="DY79" t="n">
        <v>0.0011029180059241</v>
      </c>
      <c r="DZ79" t="n">
        <v>0.00624822940602487</v>
      </c>
      <c r="EA79" t="n">
        <v>0.00988503949323527</v>
      </c>
      <c r="EB79" t="n">
        <v>0.0082549909396441</v>
      </c>
      <c r="EC79" t="n">
        <v>0.0100614439324116</v>
      </c>
      <c r="ED79" t="n">
        <v>0.0157250399209186</v>
      </c>
      <c r="EE79" t="n">
        <v>0.000703708694545391</v>
      </c>
      <c r="EF79" t="n">
        <v>0.00791489616374408</v>
      </c>
      <c r="EG79" t="n">
        <v>0.00912936985081281</v>
      </c>
      <c r="EH79" t="n">
        <v>0.0142247719917623</v>
      </c>
      <c r="EI79" t="n">
        <v>0.0133870944348558</v>
      </c>
      <c r="EJ79" t="n">
        <v>0.0135823672534707</v>
      </c>
      <c r="EK79" t="n">
        <v>0.0157302418842402</v>
      </c>
      <c r="EL79" t="n">
        <v>0.00920300835499699</v>
      </c>
      <c r="EM79" t="n">
        <v>0.0114195192506372</v>
      </c>
      <c r="EN79" t="n">
        <v>0.0145456526476355</v>
      </c>
      <c r="EO79" t="n">
        <v>0.0169011437469795</v>
      </c>
      <c r="EP79" t="n">
        <v>0.00737944053543838</v>
      </c>
      <c r="EQ79" t="n">
        <v>0.0138513956231163</v>
      </c>
      <c r="ER79" t="n">
        <v>0.00925459175100496</v>
      </c>
      <c r="ES79" t="n">
        <v>0.00746641394413627</v>
      </c>
      <c r="ET79" t="n">
        <v>0.0176569292960111</v>
      </c>
      <c r="EU79" t="n">
        <v>0.0109174942227219</v>
      </c>
      <c r="EV79" t="n">
        <v>0.0112567806348776</v>
      </c>
      <c r="EW79" t="n">
        <v>0.0149560117302052</v>
      </c>
      <c r="EX79" t="n">
        <v>0.0177333140710778</v>
      </c>
      <c r="EY79" t="n">
        <v>0.0155434898328541</v>
      </c>
      <c r="EZ79" t="n">
        <v>0.0136632071845406</v>
      </c>
      <c r="FA79" t="n">
        <v>-0.0192360728075015</v>
      </c>
      <c r="FB79" t="n">
        <v>-0.0174692442882249</v>
      </c>
      <c r="FC79" t="n">
        <v>0.0050680308613269</v>
      </c>
      <c r="FD79" t="n">
        <v>0.00868492240520147</v>
      </c>
      <c r="FE79" t="n">
        <v>0.00912769361061438</v>
      </c>
      <c r="FF79" t="n">
        <v>0.0116094740768369</v>
      </c>
      <c r="FG79" t="n">
        <v>0.00727059040420341</v>
      </c>
      <c r="FH79" t="n">
        <v>0.00575389789405056</v>
      </c>
      <c r="FI79" t="n">
        <v>0.00931507472532478</v>
      </c>
      <c r="FJ79" t="n">
        <v>0.0111109859027958</v>
      </c>
      <c r="FK79" t="n">
        <v>0.0126160464520155</v>
      </c>
      <c r="FL79" t="n">
        <v>0.00373105581175226</v>
      </c>
      <c r="FM79" t="n">
        <v>-0.00362946555845511</v>
      </c>
      <c r="FN79" t="n">
        <v>0.0132061144309814</v>
      </c>
      <c r="FO79" t="n">
        <v>-0.00160752495465255</v>
      </c>
      <c r="FP79" t="n">
        <v>0.00607056212534962</v>
      </c>
      <c r="FQ79" t="n">
        <v>0.0145225299263601</v>
      </c>
      <c r="FR79" t="n">
        <v>0.0129929652526115</v>
      </c>
      <c r="FS79" t="n">
        <v>0.00514525615799832</v>
      </c>
      <c r="FT79" t="n">
        <v>0.00845825307763159</v>
      </c>
      <c r="FU79" t="n">
        <v>0.00543929579804026</v>
      </c>
      <c r="FV79" t="n">
        <v>0.00849679950443938</v>
      </c>
      <c r="FW79" t="n">
        <v>0.00283570324416726</v>
      </c>
      <c r="FX79" t="n">
        <v>0.00545120457329529</v>
      </c>
      <c r="FY79" t="n">
        <v>-0.00141125347736915</v>
      </c>
      <c r="FZ79" t="n">
        <v>-0.0110619693965737</v>
      </c>
      <c r="GA79" t="n">
        <v>0.0067237603709378</v>
      </c>
      <c r="GB79" t="n">
        <v>0.000163397024131706</v>
      </c>
      <c r="GC79" t="n">
        <v>-0.00456415859174775</v>
      </c>
      <c r="GD79" t="n">
        <v>-0.00924197353574718</v>
      </c>
      <c r="GE79" t="n">
        <v>0.00746461812421706</v>
      </c>
      <c r="GF79" t="n">
        <v>0.00368924057136977</v>
      </c>
      <c r="GG79" t="n">
        <v>0.00489408102878097</v>
      </c>
      <c r="GH79" t="n">
        <v>0.00986275688508043</v>
      </c>
      <c r="GI79" t="n">
        <v>0.00103919689249876</v>
      </c>
      <c r="GJ79" t="n">
        <v>0.00897014654598971</v>
      </c>
      <c r="GK79" t="n">
        <v>0.0144943461062053</v>
      </c>
      <c r="GL79" t="n">
        <v>0.0137457044673539</v>
      </c>
      <c r="GM79" t="n">
        <v>0.00959642562284491</v>
      </c>
      <c r="GN79" t="n">
        <v>0.00951483024349886</v>
      </c>
      <c r="GO79" t="n">
        <v>0.00306865398543832</v>
      </c>
      <c r="GP79" t="n">
        <v>-0.00682159347863265</v>
      </c>
      <c r="GQ79" t="n">
        <v>0.00682061682099944</v>
      </c>
      <c r="GR79" t="n">
        <v>0.00383851628043974</v>
      </c>
      <c r="GS79" t="n">
        <v>0.00675797185124893</v>
      </c>
      <c r="GT79" t="n">
        <v>0.0152866960617484</v>
      </c>
      <c r="GU79" t="n">
        <v>-0.000777828192567886</v>
      </c>
      <c r="GV79" t="n">
        <v>0.0124734730189324</v>
      </c>
      <c r="GW79" t="n">
        <v>0.0138391835613931</v>
      </c>
      <c r="GX79" t="n">
        <v>0.0237977014814883</v>
      </c>
      <c r="GY79" t="n">
        <v>0.0189501159581316</v>
      </c>
      <c r="GZ79" t="n">
        <v>0.014902381611742</v>
      </c>
      <c r="HA79" t="n">
        <v>0.0177191875437011</v>
      </c>
      <c r="HB79" t="n">
        <v>0.0217926804745627</v>
      </c>
      <c r="HC79" t="n">
        <v>0.0341361016129165</v>
      </c>
      <c r="HD79" t="n">
        <v>-0.00294966538742114</v>
      </c>
      <c r="HE79" t="n">
        <v>0.000548733935615164</v>
      </c>
      <c r="HF79" t="n">
        <v>-0.00902132530024724</v>
      </c>
      <c r="HG79" t="n">
        <v>-0.0115176695166749</v>
      </c>
      <c r="HH79" t="n">
        <v>0.011822268382532</v>
      </c>
      <c r="HI79" t="n">
        <v>-0.00106656829645779</v>
      </c>
      <c r="HJ79" t="n">
        <v>0.0103800394971341</v>
      </c>
      <c r="HK79" t="n">
        <v>0.00483080272368297</v>
      </c>
      <c r="HL79" t="n">
        <v>0.00542433994638913</v>
      </c>
      <c r="HM79" t="n">
        <v>0.00473445376829473</v>
      </c>
      <c r="HN79" t="n">
        <v>0.0102461743180307</v>
      </c>
      <c r="HO79" t="n">
        <v>0.00230893200272742</v>
      </c>
    </row>
    <row r="80">
      <c r="A80" s="78" t="s">
        <v>2592</v>
      </c>
      <c r="B80" s="78" t="n">
        <v>0.0251540041067762</v>
      </c>
      <c r="C80" s="78" t="n">
        <v>0.0251540041067762</v>
      </c>
      <c r="D80" s="78" t="n">
        <v>0.0193415122684026</v>
      </c>
      <c r="E80" s="78" t="n">
        <v>0.0254221676389317</v>
      </c>
      <c r="F80" s="78" t="n">
        <v>0.0168273549314328</v>
      </c>
      <c r="G80" s="78" t="n">
        <v>0.0159599528857479</v>
      </c>
      <c r="H80" s="78" t="n">
        <v>0.0108979189612195</v>
      </c>
      <c r="I80" s="78" t="n">
        <v>0.0173175067377715</v>
      </c>
      <c r="J80" s="78" t="n">
        <v>0.0127952201116059</v>
      </c>
      <c r="K80" s="78" t="n">
        <v>0.00701246660730193</v>
      </c>
      <c r="L80" s="78" t="n">
        <v>0.0138720017685419</v>
      </c>
      <c r="M80" s="78" t="n">
        <v>0.0186971926955575</v>
      </c>
      <c r="N80" s="78" t="n">
        <v>0.0192636986301369</v>
      </c>
      <c r="O80" s="78" t="n">
        <v>0.021052078958421</v>
      </c>
      <c r="P80" t="n">
        <v>0.0203609440074037</v>
      </c>
      <c r="Q80" t="n">
        <v>0.0268581506676746</v>
      </c>
      <c r="R80" t="n">
        <v>0.0463735400922565</v>
      </c>
      <c r="S80" t="n">
        <v>0.0628429395488439</v>
      </c>
      <c r="T80" t="n">
        <v>0.0638926885231434</v>
      </c>
      <c r="U80" t="n">
        <v>0.0415577951972128</v>
      </c>
      <c r="V80" t="n">
        <v>0.0213037072432605</v>
      </c>
      <c r="W80" t="n">
        <v>0.00491266375545862</v>
      </c>
      <c r="X80" t="n">
        <v>0.00318150073717693</v>
      </c>
      <c r="Y80" t="n">
        <v>0.00607209158415833</v>
      </c>
      <c r="Z80" t="n">
        <v>0.0049206166147695</v>
      </c>
      <c r="AA80" t="n">
        <v>0.00856891473164767</v>
      </c>
      <c r="AB80" t="n">
        <v>0.00219988621278211</v>
      </c>
      <c r="AC80" t="n">
        <v>0.00677440108995953</v>
      </c>
      <c r="AD80" t="n">
        <v>0.0129313585444704</v>
      </c>
      <c r="AE80" t="n">
        <v>0.00987159504193569</v>
      </c>
      <c r="AF80" t="n">
        <v>0.0134499485521093</v>
      </c>
      <c r="AG80" t="n">
        <v>0.0106969323373705</v>
      </c>
      <c r="AH80" t="n">
        <v>0.0124134467046964</v>
      </c>
      <c r="AI80" t="n">
        <v>0.0196321627272404</v>
      </c>
      <c r="AJ80" t="n">
        <v>0.0191498974733257</v>
      </c>
      <c r="AK80" t="n">
        <v>0.0178693220570181</v>
      </c>
      <c r="AL80" t="n">
        <v>0.0206043956043958</v>
      </c>
      <c r="AM80" t="n">
        <v>0.0271476873584349</v>
      </c>
      <c r="AN80" t="n">
        <v>0.0292106104186642</v>
      </c>
      <c r="AO80" t="n">
        <v>0.0283815675071419</v>
      </c>
      <c r="AP80" t="n">
        <v>0.0272963343197052</v>
      </c>
      <c r="AQ80" t="n">
        <v>0.0287167127153021</v>
      </c>
      <c r="AR80" t="n">
        <v>0.0328580816594759</v>
      </c>
      <c r="AS80" t="n">
        <v>0.0295997123018616</v>
      </c>
      <c r="AT80" t="n">
        <v>0.0283188693946641</v>
      </c>
      <c r="AU80" t="n">
        <v>0.023907193060382</v>
      </c>
      <c r="AV80" t="n">
        <v>0.0204909666224353</v>
      </c>
      <c r="AW80" t="n">
        <v>0.0178040059013278</v>
      </c>
      <c r="AX80" t="n">
        <v>0.0140284499914012</v>
      </c>
      <c r="AY80" t="n">
        <v>0.0167417744827252</v>
      </c>
      <c r="AZ80" t="n">
        <v>0.0117955439056356</v>
      </c>
      <c r="BA80" t="n">
        <v>0.00254357041921804</v>
      </c>
      <c r="BB80" t="n">
        <v>0.000916181168953312</v>
      </c>
      <c r="BC80" t="n">
        <v>-0.00133780834135244</v>
      </c>
      <c r="BD80" t="n">
        <v>0.000564042303172752</v>
      </c>
      <c r="BE80" t="n">
        <v>-0.000281862169399183</v>
      </c>
      <c r="BF80" t="n">
        <v>0.00108077627931014</v>
      </c>
      <c r="BG80" t="n">
        <v>0.00354393541119036</v>
      </c>
      <c r="BH80" t="n">
        <v>0.00322739072475975</v>
      </c>
      <c r="BI80" t="n">
        <v>0.00202811385411583</v>
      </c>
      <c r="BJ80" t="n">
        <v>0.00556020844965555</v>
      </c>
      <c r="BK80" t="n">
        <v>0.00310020128172495</v>
      </c>
      <c r="BL80" t="n">
        <v>0.00408238577392339</v>
      </c>
      <c r="BM80" t="n">
        <v>0.00597234345568975</v>
      </c>
      <c r="BN80" t="n">
        <v>0.00621089646983619</v>
      </c>
      <c r="BO80" t="n">
        <v>0.0103027277265919</v>
      </c>
      <c r="BP80" t="n">
        <v>0.00909703504043113</v>
      </c>
      <c r="BQ80" t="n">
        <v>0.0108180300500835</v>
      </c>
      <c r="BR80" t="n">
        <v>0.00640813899715931</v>
      </c>
      <c r="BS80" t="n">
        <v>0.00842413898735295</v>
      </c>
      <c r="BT80" t="n">
        <v>0.00889621802243568</v>
      </c>
      <c r="BU80" t="n">
        <v>0.00529066391380084</v>
      </c>
      <c r="BV80" t="n">
        <v>0.0080439851956442</v>
      </c>
      <c r="BW80" t="n">
        <v>0.00551794392920057</v>
      </c>
      <c r="BX80" t="n">
        <v>0.0064585575888052</v>
      </c>
      <c r="BY80" t="n">
        <v>0.00526370976197965</v>
      </c>
      <c r="BZ80" t="n">
        <v>0.00483978638184235</v>
      </c>
      <c r="CA80" t="n">
        <v>0.00811742235509039</v>
      </c>
      <c r="CB80" t="n">
        <v>0.00741366173109004</v>
      </c>
      <c r="CC80" t="n">
        <v>0.00553976982358595</v>
      </c>
      <c r="CD80" t="n">
        <v>0.00719658467168127</v>
      </c>
      <c r="CE80" t="n">
        <v>0.00882044243500735</v>
      </c>
      <c r="CF80" t="n">
        <v>0.00970368740121241</v>
      </c>
      <c r="CG80" t="n">
        <v>0.00267506836285802</v>
      </c>
      <c r="CH80" t="n">
        <v>0.00195648307345708</v>
      </c>
      <c r="CI80" t="n">
        <v>0.00514792899408278</v>
      </c>
      <c r="CJ80" t="n">
        <v>0.00266870744294656</v>
      </c>
      <c r="CK80" t="n">
        <v>-0.00250503943480052</v>
      </c>
      <c r="CL80" t="n">
        <v>-0.00260942926092333</v>
      </c>
      <c r="CM80" t="n">
        <v>0.00472106381304593</v>
      </c>
      <c r="CN80" t="n">
        <v>0.00205576004385621</v>
      </c>
      <c r="CO80" t="n">
        <v>0.00455247064340281</v>
      </c>
      <c r="CP80" t="n">
        <v>0.00742988291126934</v>
      </c>
      <c r="CQ80" t="n">
        <v>0.00583056606687782</v>
      </c>
      <c r="CR80" t="n">
        <v>0.00101731352451151</v>
      </c>
      <c r="CS80" t="n">
        <v>0.00467872140515047</v>
      </c>
      <c r="CT80" t="n">
        <v>0.00729077202023087</v>
      </c>
      <c r="CU80" t="n">
        <v>0.00433901131174563</v>
      </c>
      <c r="CV80" t="n">
        <v>0.00875372599328372</v>
      </c>
      <c r="CW80" t="n">
        <v>0.00832242378904069</v>
      </c>
      <c r="CX80" t="n">
        <v>0.00997867012890663</v>
      </c>
      <c r="CY80" t="n">
        <v>0.00716213982700675</v>
      </c>
      <c r="CZ80" t="n">
        <v>0.00550662801086732</v>
      </c>
      <c r="DA80" t="n">
        <v>0.00576661528697064</v>
      </c>
      <c r="DB80" t="n">
        <v>0.00537295133692739</v>
      </c>
      <c r="DC80" t="n">
        <v>0.00109395455605177</v>
      </c>
      <c r="DD80" t="n">
        <v>0.00498011536670129</v>
      </c>
      <c r="DE80" t="n">
        <v>0.00322638146167553</v>
      </c>
      <c r="DF80" t="n">
        <v>0.00565021943462263</v>
      </c>
      <c r="DG80" t="n">
        <v>0.00681990847894842</v>
      </c>
      <c r="DH80" t="n">
        <v>0.00254452926208648</v>
      </c>
      <c r="DI80" t="n">
        <v>0.00642394538771218</v>
      </c>
      <c r="DJ80" t="n">
        <v>0.000347844235351502</v>
      </c>
      <c r="DK80" t="n">
        <v>0.000608515743171445</v>
      </c>
      <c r="DL80" t="n">
        <v>0.00618571031415072</v>
      </c>
      <c r="DM80" t="n">
        <v>0.0056296193962837</v>
      </c>
      <c r="DN80" t="n">
        <v>0.00401827111309538</v>
      </c>
      <c r="DO80" t="n">
        <v>0.00740576041595409</v>
      </c>
      <c r="DP80" t="n">
        <v>0.00422743247143509</v>
      </c>
      <c r="DQ80" t="n">
        <v>0.00852071005917177</v>
      </c>
      <c r="DR80" t="n">
        <v>0.00791229423006001</v>
      </c>
      <c r="DS80" t="n">
        <v>0.0113927419086586</v>
      </c>
      <c r="DT80" t="n">
        <v>0.0065448685270757</v>
      </c>
      <c r="DU80" t="n">
        <v>0.00588148801646815</v>
      </c>
      <c r="DV80" t="n">
        <v>0.00617193717617615</v>
      </c>
      <c r="DW80" t="n">
        <v>0.00256662738704416</v>
      </c>
      <c r="DX80" t="n">
        <v>0.00313969214915955</v>
      </c>
      <c r="DY80" t="n">
        <v>0.00537694814053902</v>
      </c>
      <c r="DZ80" t="n">
        <v>0.00439030620390168</v>
      </c>
      <c r="EA80" t="n">
        <v>0.00543607839397264</v>
      </c>
      <c r="EB80" t="n">
        <v>0.00306695122915168</v>
      </c>
      <c r="EC80" t="n">
        <v>0.00173367586565587</v>
      </c>
      <c r="ED80" t="n">
        <v>0.00829150867697726</v>
      </c>
      <c r="EE80" t="n">
        <v>0.00104547014948664</v>
      </c>
      <c r="EF80" t="n">
        <v>0.00126260658114186</v>
      </c>
      <c r="EG80" t="n">
        <v>0.00277111809944897</v>
      </c>
      <c r="EH80" t="n">
        <v>0.00650499906849644</v>
      </c>
      <c r="EI80" t="n">
        <v>0.0183708411099628</v>
      </c>
      <c r="EJ80" t="n">
        <v>0.0269304171336826</v>
      </c>
      <c r="EK80" t="n">
        <v>0.0240117994100295</v>
      </c>
      <c r="EL80" t="n">
        <v>0.00845480209713667</v>
      </c>
      <c r="EM80" t="n">
        <v>0.0188102549453688</v>
      </c>
      <c r="EN80" t="n">
        <v>0.0222761173106041</v>
      </c>
      <c r="EO80" t="n">
        <v>0.0139465997449293</v>
      </c>
      <c r="EP80" t="n">
        <v>0.00620790391950021</v>
      </c>
      <c r="EQ80" t="n">
        <v>0.0220438996196084</v>
      </c>
      <c r="ER80" t="n">
        <v>0.0139142785749042</v>
      </c>
      <c r="ES80" t="n">
        <v>0.0234515857059474</v>
      </c>
      <c r="ET80" t="n">
        <v>0.0252335145685207</v>
      </c>
      <c r="EU80" t="n">
        <v>0.0104581303928597</v>
      </c>
      <c r="EV80" t="n">
        <v>0.00962808906288237</v>
      </c>
      <c r="EW80" t="n">
        <v>0.0117658463290802</v>
      </c>
      <c r="EX80" t="n">
        <v>0.00948525713190729</v>
      </c>
      <c r="EY80" t="n">
        <v>0.0076877446909478</v>
      </c>
      <c r="EZ80" t="n">
        <v>0.0129270762203018</v>
      </c>
      <c r="FA80" t="n">
        <v>0.0183179134315867</v>
      </c>
      <c r="FB80" t="n">
        <v>0.0062434369721045</v>
      </c>
      <c r="FC80" t="n">
        <v>-0.00877959142004792</v>
      </c>
      <c r="FD80" t="n">
        <v>-0.00901756594381198</v>
      </c>
      <c r="FE80" t="n">
        <v>-0.000773698857927996</v>
      </c>
      <c r="FF80" t="n">
        <v>0.00283138795793381</v>
      </c>
      <c r="FG80" t="n">
        <v>0.00435609334485743</v>
      </c>
      <c r="FH80" t="n">
        <v>0.00314389636616075</v>
      </c>
      <c r="FI80" t="n">
        <v>0.00449517883491346</v>
      </c>
      <c r="FJ80" t="n">
        <v>0.00603507173764517</v>
      </c>
      <c r="FK80" t="n">
        <v>0.0101075268817203</v>
      </c>
      <c r="FL80" t="n">
        <v>0.0113062088903331</v>
      </c>
      <c r="FM80" t="n">
        <v>0.0093959136639632</v>
      </c>
      <c r="FN80" t="n">
        <v>0.00744237102085643</v>
      </c>
      <c r="FO80" t="n">
        <v>0.00783412146701812</v>
      </c>
      <c r="FP80" t="n">
        <v>0.00545963652875225</v>
      </c>
      <c r="FQ80" t="n">
        <v>0.0019461947054904</v>
      </c>
      <c r="FR80" t="n">
        <v>0.00395994977624681</v>
      </c>
      <c r="FS80" t="n">
        <v>0.00495980844877719</v>
      </c>
      <c r="FT80" t="n">
        <v>0.00535015316541876</v>
      </c>
      <c r="FU80" t="n">
        <v>0.00743765803700835</v>
      </c>
      <c r="FV80" t="n">
        <v>0.00555543886916898</v>
      </c>
      <c r="FW80" t="n">
        <v>0.00442815218640003</v>
      </c>
      <c r="FX80" t="n">
        <v>0.00462698206394596</v>
      </c>
      <c r="FY80" t="n">
        <v>0.00164562202442542</v>
      </c>
      <c r="FZ80" t="n">
        <v>-0.000382314345054091</v>
      </c>
      <c r="GA80" t="n">
        <v>0.00419672944532867</v>
      </c>
      <c r="GB80" t="n">
        <v>0.00277926462716693</v>
      </c>
      <c r="GC80" t="n">
        <v>-0.000667227822373828</v>
      </c>
      <c r="GD80" t="n">
        <v>-0.00246525530800279</v>
      </c>
      <c r="GE80" t="n">
        <v>0.00804217766931314</v>
      </c>
      <c r="GF80" t="n">
        <v>0.000602692708439712</v>
      </c>
      <c r="GG80" t="n">
        <v>0.00476759262095094</v>
      </c>
      <c r="GH80" t="n">
        <v>0.00640113798008524</v>
      </c>
      <c r="GI80" t="n">
        <v>0.00524987380111042</v>
      </c>
      <c r="GJ80" t="n">
        <v>0.00845636235814018</v>
      </c>
      <c r="GK80" t="n">
        <v>0.00553718679042348</v>
      </c>
      <c r="GL80" t="n">
        <v>0.00933959274225504</v>
      </c>
      <c r="GM80" t="n">
        <v>0.0127856659241887</v>
      </c>
      <c r="GN80" t="n">
        <v>0.00661731935590137</v>
      </c>
      <c r="GO80" t="n">
        <v>0.0100869130003753</v>
      </c>
      <c r="GP80" t="n">
        <v>0.003773405116966</v>
      </c>
      <c r="GQ80" t="n">
        <v>0.010508728795056</v>
      </c>
      <c r="GR80" t="n">
        <v>0.00435893581842794</v>
      </c>
      <c r="GS80" t="n">
        <v>0.00189875785692895</v>
      </c>
      <c r="GT80" t="n">
        <v>0.00252065537039647</v>
      </c>
      <c r="GU80" t="n">
        <v>-0.00360385528705132</v>
      </c>
      <c r="GV80" t="n">
        <v>0.00980392156862742</v>
      </c>
      <c r="GW80" t="n">
        <v>0.00504410117819099</v>
      </c>
      <c r="GX80" t="n">
        <v>0.014595918668042</v>
      </c>
      <c r="GY80" t="n">
        <v>0.0231355001497588</v>
      </c>
      <c r="GZ80" t="n">
        <v>0.0216010503344393</v>
      </c>
      <c r="HA80" t="n">
        <v>0.0297843888121847</v>
      </c>
      <c r="HB80" t="n">
        <v>0.0297324417535902</v>
      </c>
      <c r="HC80" t="n">
        <v>0.0329520050443428</v>
      </c>
      <c r="HD80" t="n">
        <v>0.0230694223131256</v>
      </c>
      <c r="HE80" t="n">
        <v>0.0135140370861133</v>
      </c>
      <c r="HF80" t="n">
        <v>0.0123016934898124</v>
      </c>
      <c r="HG80" t="n">
        <v>0.000528684933989831</v>
      </c>
      <c r="HH80" t="n">
        <v>0.00146443830487497</v>
      </c>
      <c r="HI80" t="n">
        <v>0.00300750746223666</v>
      </c>
      <c r="HJ80" t="n">
        <v>0.00589928381942939</v>
      </c>
      <c r="HK80" t="n">
        <v>0.000829274123658852</v>
      </c>
      <c r="HL80" t="n">
        <v>0.00794249158349691</v>
      </c>
      <c r="HM80" t="n">
        <v>0.00317714234930788</v>
      </c>
      <c r="HN80" t="n">
        <v>0.00734555870540987</v>
      </c>
      <c r="HO80" t="n">
        <v>0.00370829088830416</v>
      </c>
    </row>
    <row r="81">
      <c r="A81" s="78" t="s">
        <v>2593</v>
      </c>
      <c r="B81" s="78" t="n">
        <v>545.1</v>
      </c>
      <c r="C81" s="78" t="n">
        <v>549</v>
      </c>
      <c r="D81" s="78" t="n">
        <v>555.7</v>
      </c>
      <c r="E81" s="78" t="n">
        <v>556.3</v>
      </c>
      <c r="F81" s="78" t="n">
        <v>570.5</v>
      </c>
      <c r="G81" s="78" t="n">
        <v>580.4</v>
      </c>
      <c r="H81" s="78" t="n">
        <v>588.8</v>
      </c>
      <c r="I81" s="78" t="n">
        <v>598.4</v>
      </c>
      <c r="J81" s="78" t="n">
        <v>618.5</v>
      </c>
      <c r="K81" s="78" t="n">
        <v>630.4</v>
      </c>
      <c r="L81" s="78" t="n">
        <v>642.3</v>
      </c>
      <c r="M81" s="78" t="n">
        <v>664</v>
      </c>
      <c r="N81" s="78" t="n">
        <v>683.4</v>
      </c>
      <c r="O81" s="78" t="n">
        <v>700.2</v>
      </c>
      <c r="P81" t="n">
        <v>716.2</v>
      </c>
      <c r="Q81" t="n">
        <v>735.4</v>
      </c>
      <c r="R81" t="n">
        <v>748.2</v>
      </c>
      <c r="S81" t="n">
        <v>765.3</v>
      </c>
      <c r="T81" t="n">
        <v>783.2</v>
      </c>
      <c r="U81" t="n">
        <v>792.5</v>
      </c>
      <c r="V81" t="n">
        <v>792</v>
      </c>
      <c r="W81" t="n">
        <v>800.4</v>
      </c>
      <c r="X81" t="n">
        <v>821.3</v>
      </c>
      <c r="Y81" t="n">
        <v>845.8</v>
      </c>
      <c r="Z81" t="n">
        <v>871.3</v>
      </c>
      <c r="AA81" t="n">
        <v>889.4</v>
      </c>
      <c r="AB81" t="n">
        <v>908.5</v>
      </c>
      <c r="AC81" t="n">
        <v>930</v>
      </c>
      <c r="AD81" t="n">
        <v>950.1</v>
      </c>
      <c r="AE81" t="n">
        <v>981</v>
      </c>
      <c r="AF81" t="n">
        <v>1007.6</v>
      </c>
      <c r="AG81" t="n">
        <v>1038.2</v>
      </c>
      <c r="AH81" t="n">
        <v>1063.9</v>
      </c>
      <c r="AI81" t="n">
        <v>1106.1</v>
      </c>
      <c r="AJ81" t="n">
        <v>1138.1</v>
      </c>
      <c r="AK81" t="n">
        <v>1174.5</v>
      </c>
      <c r="AL81" t="n">
        <v>1208.6</v>
      </c>
      <c r="AM81" t="n">
        <v>1234.5</v>
      </c>
      <c r="AN81" t="n">
        <v>1269.5</v>
      </c>
      <c r="AO81" t="n">
        <v>1301</v>
      </c>
      <c r="AP81" t="n">
        <v>1333.9</v>
      </c>
      <c r="AQ81" t="n">
        <v>1354</v>
      </c>
      <c r="AR81" t="n">
        <v>1377.4</v>
      </c>
      <c r="AS81" t="n">
        <v>1428.8</v>
      </c>
      <c r="AT81" t="n">
        <v>1467.8</v>
      </c>
      <c r="AU81" t="n">
        <v>1496.8</v>
      </c>
      <c r="AV81" t="n">
        <v>1530.7</v>
      </c>
      <c r="AW81" t="n">
        <v>1550.7</v>
      </c>
      <c r="AX81" t="n">
        <v>1567.7</v>
      </c>
      <c r="AY81" t="n">
        <v>1581.9</v>
      </c>
      <c r="AZ81" t="n">
        <v>1596.6</v>
      </c>
      <c r="BA81" t="n">
        <v>1604.5</v>
      </c>
      <c r="BB81" t="n">
        <v>1622.6</v>
      </c>
      <c r="BC81" t="n">
        <v>1654.8</v>
      </c>
      <c r="BD81" t="n">
        <v>1691.6</v>
      </c>
      <c r="BE81" t="n">
        <v>1741.7</v>
      </c>
      <c r="BF81" t="n">
        <v>1784.2</v>
      </c>
      <c r="BG81" t="n">
        <v>1828.4</v>
      </c>
      <c r="BH81" t="n">
        <v>1867.3</v>
      </c>
      <c r="BI81" t="n">
        <v>1900.7</v>
      </c>
      <c r="BJ81" t="n">
        <v>1932.4</v>
      </c>
      <c r="BK81" t="n">
        <v>1963.8</v>
      </c>
      <c r="BL81" t="n">
        <v>1997.6</v>
      </c>
      <c r="BM81" t="n">
        <v>2037.2</v>
      </c>
      <c r="BN81" t="n">
        <v>2065.5</v>
      </c>
      <c r="BO81" t="n">
        <v>2083.6</v>
      </c>
      <c r="BP81" t="n">
        <v>2113.1</v>
      </c>
      <c r="BQ81" t="n">
        <v>2154.2</v>
      </c>
      <c r="BR81" t="n">
        <v>2194.3</v>
      </c>
      <c r="BS81" t="n">
        <v>2231.4</v>
      </c>
      <c r="BT81" t="n">
        <v>2272</v>
      </c>
      <c r="BU81" t="n">
        <v>2332.8</v>
      </c>
      <c r="BV81" t="n">
        <v>2367.1</v>
      </c>
      <c r="BW81" t="n">
        <v>2422.5</v>
      </c>
      <c r="BX81" t="n">
        <v>2463.6</v>
      </c>
      <c r="BY81" t="n">
        <v>2509.5</v>
      </c>
      <c r="BZ81" t="n">
        <v>2541.9</v>
      </c>
      <c r="CA81" t="n">
        <v>2564.7</v>
      </c>
      <c r="CB81" t="n">
        <v>2593.5</v>
      </c>
      <c r="CC81" t="n">
        <v>2637.3</v>
      </c>
      <c r="CD81" t="n">
        <v>2686.6</v>
      </c>
      <c r="CE81" t="n">
        <v>2741</v>
      </c>
      <c r="CF81" t="n">
        <v>2771.6</v>
      </c>
      <c r="CG81" t="n">
        <v>2774.8</v>
      </c>
      <c r="CH81" t="n">
        <v>2774.1</v>
      </c>
      <c r="CI81" t="n">
        <v>2802.8</v>
      </c>
      <c r="CJ81" t="n">
        <v>2830.9</v>
      </c>
      <c r="CK81" t="n">
        <v>2861.2</v>
      </c>
      <c r="CL81" t="n">
        <v>2915.9</v>
      </c>
      <c r="CM81" t="n">
        <v>2955</v>
      </c>
      <c r="CN81" t="n">
        <v>2979.4</v>
      </c>
      <c r="CO81" t="n">
        <v>3023.8</v>
      </c>
      <c r="CP81" t="n">
        <v>3019</v>
      </c>
      <c r="CQ81" t="n">
        <v>3069.8</v>
      </c>
      <c r="CR81" t="n">
        <v>3096.9</v>
      </c>
      <c r="CS81" t="n">
        <v>3144.9</v>
      </c>
      <c r="CT81" t="n">
        <v>3156.6</v>
      </c>
      <c r="CU81" t="n">
        <v>3227.4</v>
      </c>
      <c r="CV81" t="n">
        <v>3262.7</v>
      </c>
      <c r="CW81" t="n">
        <v>3315.7</v>
      </c>
      <c r="CX81" t="n">
        <v>3362.1</v>
      </c>
      <c r="CY81" t="n">
        <v>3399.3</v>
      </c>
      <c r="CZ81" t="n">
        <v>3443</v>
      </c>
      <c r="DA81" t="n">
        <v>3484.1</v>
      </c>
      <c r="DB81" t="n">
        <v>3528.3</v>
      </c>
      <c r="DC81" t="n">
        <v>3594</v>
      </c>
      <c r="DD81" t="n">
        <v>3651.3</v>
      </c>
      <c r="DE81" t="n">
        <v>3708.7</v>
      </c>
      <c r="DF81" t="n">
        <v>3780.5</v>
      </c>
      <c r="DG81" t="n">
        <v>3840</v>
      </c>
      <c r="DH81" t="n">
        <v>3907.4</v>
      </c>
      <c r="DI81" t="n">
        <v>3997.1</v>
      </c>
      <c r="DJ81" t="n">
        <v>4079.3</v>
      </c>
      <c r="DK81" t="n">
        <v>4149.9</v>
      </c>
      <c r="DL81" t="n">
        <v>4222</v>
      </c>
      <c r="DM81" t="n">
        <v>4293.5</v>
      </c>
      <c r="DN81" t="n">
        <v>4372.7</v>
      </c>
      <c r="DO81" t="n">
        <v>4416.9</v>
      </c>
      <c r="DP81" t="n">
        <v>4480.2</v>
      </c>
      <c r="DQ81" t="n">
        <v>4591</v>
      </c>
      <c r="DR81" t="n">
        <v>4758.7</v>
      </c>
      <c r="DS81" t="n">
        <v>4786.6</v>
      </c>
      <c r="DT81" t="n">
        <v>4878.8</v>
      </c>
      <c r="DU81" t="n">
        <v>4905.7</v>
      </c>
      <c r="DV81" t="n">
        <v>4987.2</v>
      </c>
      <c r="DW81" t="n">
        <v>4969.3</v>
      </c>
      <c r="DX81" t="n">
        <v>4944.1</v>
      </c>
      <c r="DY81" t="n">
        <v>4946</v>
      </c>
      <c r="DZ81" t="n">
        <v>4953.9</v>
      </c>
      <c r="EA81" t="n">
        <v>5006.4</v>
      </c>
      <c r="EB81" t="n">
        <v>5020.5</v>
      </c>
      <c r="EC81" t="n">
        <v>5035.5</v>
      </c>
      <c r="ED81" t="n">
        <v>5035.7</v>
      </c>
      <c r="EE81" t="n">
        <v>5109.8</v>
      </c>
      <c r="EF81" t="n">
        <v>5177.4</v>
      </c>
      <c r="EG81" t="n">
        <v>5264.9</v>
      </c>
      <c r="EH81" t="n">
        <v>5284</v>
      </c>
      <c r="EI81" t="n">
        <v>5390.8</v>
      </c>
      <c r="EJ81" t="n">
        <v>5502.5</v>
      </c>
      <c r="EK81" t="n">
        <v>5546.1</v>
      </c>
      <c r="EL81" t="n">
        <v>5586.1</v>
      </c>
      <c r="EM81" t="n">
        <v>5649.4</v>
      </c>
      <c r="EN81" t="n">
        <v>5749.8</v>
      </c>
      <c r="EO81" t="n">
        <v>5826.7</v>
      </c>
      <c r="EP81" t="n">
        <v>5983.1</v>
      </c>
      <c r="EQ81" t="n">
        <v>6024.2</v>
      </c>
      <c r="ER81" t="n">
        <v>6073</v>
      </c>
      <c r="ES81" t="n">
        <v>6193</v>
      </c>
      <c r="ET81" t="n">
        <v>6354.7</v>
      </c>
      <c r="EU81" t="n">
        <v>6381.4</v>
      </c>
      <c r="EV81" t="n">
        <v>6407.7</v>
      </c>
      <c r="EW81" t="n">
        <v>6485.3</v>
      </c>
      <c r="EX81" t="n">
        <v>6552.3</v>
      </c>
      <c r="EY81" t="n">
        <v>6544.1</v>
      </c>
      <c r="EZ81" t="n">
        <v>6558</v>
      </c>
      <c r="FA81" t="n">
        <v>6529.4</v>
      </c>
      <c r="FB81" t="n">
        <v>6234.6</v>
      </c>
      <c r="FC81" t="n">
        <v>6262.8</v>
      </c>
      <c r="FD81" t="n">
        <v>6245.2</v>
      </c>
      <c r="FE81" t="n">
        <v>6286.6</v>
      </c>
      <c r="FF81" t="n">
        <v>6240.2</v>
      </c>
      <c r="FG81" t="n">
        <v>6368.2</v>
      </c>
      <c r="FH81" t="n">
        <v>6430.5</v>
      </c>
      <c r="FI81" t="n">
        <v>6481.4</v>
      </c>
      <c r="FJ81" t="n">
        <v>6584.9</v>
      </c>
      <c r="FK81" t="n">
        <v>6615.9</v>
      </c>
      <c r="FL81" t="n">
        <v>6689.7</v>
      </c>
      <c r="FM81" t="n">
        <v>6645.7</v>
      </c>
      <c r="FN81" t="n">
        <v>6844.2</v>
      </c>
      <c r="FO81" t="n">
        <v>6884.3</v>
      </c>
      <c r="FP81" t="n">
        <v>6914.2</v>
      </c>
      <c r="FQ81" t="n">
        <v>7101.8</v>
      </c>
      <c r="FR81" t="n">
        <v>7052.2</v>
      </c>
      <c r="FS81" t="n">
        <v>7111.5</v>
      </c>
      <c r="FT81" t="n">
        <v>7121.5</v>
      </c>
      <c r="FU81" t="n">
        <v>7205.1</v>
      </c>
      <c r="FV81" t="n">
        <v>7367.7</v>
      </c>
      <c r="FW81" t="n">
        <v>7418.9</v>
      </c>
      <c r="FX81" t="n">
        <v>7512.6</v>
      </c>
      <c r="FY81" t="n">
        <v>7643.9</v>
      </c>
      <c r="FZ81" t="n">
        <v>7755.9</v>
      </c>
      <c r="GA81" t="n">
        <v>7840.7</v>
      </c>
      <c r="GB81" t="n">
        <v>7913.3</v>
      </c>
      <c r="GC81" t="n">
        <v>7968.5</v>
      </c>
      <c r="GD81" t="n">
        <v>8003.5</v>
      </c>
      <c r="GE81" t="n">
        <v>8050.2</v>
      </c>
      <c r="GF81" t="n">
        <v>8130.4</v>
      </c>
      <c r="GG81" t="n">
        <v>8224.9</v>
      </c>
      <c r="GH81" t="n">
        <v>8321.3</v>
      </c>
      <c r="GI81" t="n">
        <v>8412.8</v>
      </c>
      <c r="GJ81" t="n">
        <v>8529.1</v>
      </c>
      <c r="GK81" t="n">
        <v>8676.9</v>
      </c>
      <c r="GL81" t="n">
        <v>8772.7</v>
      </c>
      <c r="GM81" t="n">
        <v>8853.5</v>
      </c>
      <c r="GN81" t="n">
        <v>8979.5</v>
      </c>
      <c r="GO81" t="n">
        <v>9034.7</v>
      </c>
      <c r="GP81" t="n">
        <v>9233.3</v>
      </c>
      <c r="GQ81" t="n">
        <v>9285</v>
      </c>
      <c r="GR81" t="n">
        <v>9341</v>
      </c>
      <c r="GS81" t="n">
        <v>9488.8</v>
      </c>
      <c r="GT81" t="n">
        <v>9636.5</v>
      </c>
      <c r="GU81" t="n">
        <v>9005.3</v>
      </c>
      <c r="GV81" t="n">
        <v>9441.8</v>
      </c>
      <c r="GW81" t="n">
        <v>9809.5</v>
      </c>
      <c r="GX81" t="n">
        <v>9889.8</v>
      </c>
      <c r="GY81" t="n">
        <v>10182.5</v>
      </c>
      <c r="GZ81" t="n">
        <v>10462.8</v>
      </c>
      <c r="HA81" t="n">
        <v>10772</v>
      </c>
      <c r="HB81" t="n">
        <v>10909.7</v>
      </c>
      <c r="HC81" t="n">
        <v>11012.9</v>
      </c>
      <c r="HD81" t="n">
        <v>11296.3</v>
      </c>
      <c r="HE81" t="n">
        <v>11343.1</v>
      </c>
      <c r="HF81" t="n">
        <v>11499.3</v>
      </c>
      <c r="HG81" t="n">
        <v>11660.4</v>
      </c>
      <c r="HH81" t="n">
        <v>11843.5</v>
      </c>
      <c r="HI81" t="n">
        <v>11975.4</v>
      </c>
      <c r="HJ81" t="n">
        <v>12270.7</v>
      </c>
      <c r="HK81" t="n">
        <v>12363.5</v>
      </c>
      <c r="HL81" t="n">
        <v>12425.1</v>
      </c>
      <c r="HM81" t="n">
        <v>12627.8</v>
      </c>
      <c r="HN81" t="n">
        <v>12788.7</v>
      </c>
      <c r="HO81" t="n">
        <v>12940.7</v>
      </c>
    </row>
    <row r="82">
      <c r="A82" s="78" t="s">
        <v>2594</v>
      </c>
      <c r="B82" s="78" t="n">
        <v>77.1</v>
      </c>
      <c r="C82" s="78" t="n">
        <v>76.7</v>
      </c>
      <c r="D82" s="78" t="n">
        <v>78.5</v>
      </c>
      <c r="E82" s="78" t="n">
        <v>78.9</v>
      </c>
      <c r="F82" s="78" t="n">
        <v>80.3</v>
      </c>
      <c r="G82" s="78" t="n">
        <v>82.8</v>
      </c>
      <c r="H82" s="78" t="n">
        <v>84.6</v>
      </c>
      <c r="I82" s="78" t="n">
        <v>87.9</v>
      </c>
      <c r="J82" s="78" t="n">
        <v>87.9</v>
      </c>
      <c r="K82" s="78" t="n">
        <v>91.3</v>
      </c>
      <c r="L82" s="78" t="n">
        <v>95.5</v>
      </c>
      <c r="M82" s="78" t="n">
        <v>105.6</v>
      </c>
      <c r="N82" s="78" t="n">
        <v>104.1</v>
      </c>
      <c r="O82" s="78" t="n">
        <v>109.9</v>
      </c>
      <c r="P82" t="n">
        <v>113.8</v>
      </c>
      <c r="Q82" t="n">
        <v>122.2</v>
      </c>
      <c r="R82" t="n">
        <v>115.7</v>
      </c>
      <c r="S82" t="n">
        <v>108.6</v>
      </c>
      <c r="T82" t="n">
        <v>111</v>
      </c>
      <c r="U82" t="n">
        <v>113.5</v>
      </c>
      <c r="V82" t="n">
        <v>112.7</v>
      </c>
      <c r="W82" t="n">
        <v>114.3</v>
      </c>
      <c r="X82" t="n">
        <v>120.7</v>
      </c>
      <c r="Y82" t="n">
        <v>125.2</v>
      </c>
      <c r="Z82" t="n">
        <v>126.4</v>
      </c>
      <c r="AA82" t="n">
        <v>128.6</v>
      </c>
      <c r="AB82" t="n">
        <v>132.7</v>
      </c>
      <c r="AC82" t="n">
        <v>136.2</v>
      </c>
      <c r="AD82" t="n">
        <v>138.6</v>
      </c>
      <c r="AE82" t="n">
        <v>140.5</v>
      </c>
      <c r="AF82" t="n">
        <v>142.4</v>
      </c>
      <c r="AG82" t="n">
        <v>156.5</v>
      </c>
      <c r="AH82" t="n">
        <v>158.5</v>
      </c>
      <c r="AI82" t="n">
        <v>166.1</v>
      </c>
      <c r="AJ82" t="n">
        <v>168.3</v>
      </c>
      <c r="AK82" t="n">
        <v>170.9</v>
      </c>
      <c r="AL82" t="n">
        <v>180.1</v>
      </c>
      <c r="AM82" t="n">
        <v>179.2</v>
      </c>
      <c r="AN82" t="n">
        <v>180.7</v>
      </c>
      <c r="AO82" t="n">
        <v>177.8</v>
      </c>
      <c r="AP82" t="n">
        <v>167.6</v>
      </c>
      <c r="AQ82" t="n">
        <v>160.3</v>
      </c>
      <c r="AR82" t="n">
        <v>173.4</v>
      </c>
      <c r="AS82" t="n">
        <v>185</v>
      </c>
      <c r="AT82" t="n">
        <v>188.2</v>
      </c>
      <c r="AU82" t="n">
        <v>176.4</v>
      </c>
      <c r="AV82" t="n">
        <v>182.3</v>
      </c>
      <c r="AW82" t="n">
        <v>171.8</v>
      </c>
      <c r="AX82" t="n">
        <v>165.2</v>
      </c>
      <c r="AY82" t="n">
        <v>169.4</v>
      </c>
      <c r="AZ82" t="n">
        <v>170.7</v>
      </c>
      <c r="BA82" t="n">
        <v>179.5</v>
      </c>
      <c r="BB82" t="n">
        <v>183.3</v>
      </c>
      <c r="BC82" t="n">
        <v>182.6</v>
      </c>
      <c r="BD82" t="n">
        <v>183.8</v>
      </c>
      <c r="BE82" t="n">
        <v>195.3</v>
      </c>
      <c r="BF82" t="n">
        <v>221.9</v>
      </c>
      <c r="BG82" t="n">
        <v>231.8</v>
      </c>
      <c r="BH82" t="n">
        <v>232.4</v>
      </c>
      <c r="BI82" t="n">
        <v>226.9</v>
      </c>
      <c r="BJ82" t="n">
        <v>240.7</v>
      </c>
      <c r="BK82" t="n">
        <v>238.5</v>
      </c>
      <c r="BL82" t="n">
        <v>240.7</v>
      </c>
      <c r="BM82" t="n">
        <v>244.3</v>
      </c>
      <c r="BN82" t="n">
        <v>245.6</v>
      </c>
      <c r="BO82" t="n">
        <v>251.6</v>
      </c>
      <c r="BP82" t="n">
        <v>264.4</v>
      </c>
      <c r="BQ82" t="n">
        <v>264.2</v>
      </c>
      <c r="BR82" t="n">
        <v>275.4</v>
      </c>
      <c r="BS82" t="n">
        <v>282.3</v>
      </c>
      <c r="BT82" t="n">
        <v>289.5</v>
      </c>
      <c r="BU82" t="n">
        <v>298.6</v>
      </c>
      <c r="BV82" t="n">
        <v>319.2</v>
      </c>
      <c r="BW82" t="n">
        <v>322.5</v>
      </c>
      <c r="BX82" t="n">
        <v>333.6</v>
      </c>
      <c r="BY82" t="n">
        <v>326.8</v>
      </c>
      <c r="BZ82" t="n">
        <v>348.1</v>
      </c>
      <c r="CA82" t="n">
        <v>339.5</v>
      </c>
      <c r="CB82" t="n">
        <v>337.2</v>
      </c>
      <c r="CC82" t="n">
        <v>339.7</v>
      </c>
      <c r="CD82" t="n">
        <v>345.6</v>
      </c>
      <c r="CE82" t="n">
        <v>351.1</v>
      </c>
      <c r="CF82" t="n">
        <v>358.9</v>
      </c>
      <c r="CG82" t="n">
        <v>357</v>
      </c>
      <c r="CH82" t="n">
        <v>347.5</v>
      </c>
      <c r="CI82" t="n">
        <v>353</v>
      </c>
      <c r="CJ82" t="n">
        <v>353.6</v>
      </c>
      <c r="CK82" t="n">
        <v>362.6</v>
      </c>
      <c r="CL82" t="n">
        <v>378.7</v>
      </c>
      <c r="CM82" t="n">
        <v>395.2</v>
      </c>
      <c r="CN82" t="n">
        <v>407.9</v>
      </c>
      <c r="CO82" t="n">
        <v>418.8</v>
      </c>
      <c r="CP82" t="n">
        <v>418.9</v>
      </c>
      <c r="CQ82" t="n">
        <v>429.6</v>
      </c>
      <c r="CR82" t="n">
        <v>423.4</v>
      </c>
      <c r="CS82" t="n">
        <v>440</v>
      </c>
      <c r="CT82" t="n">
        <v>450.2</v>
      </c>
      <c r="CU82" t="n">
        <v>454.1</v>
      </c>
      <c r="CV82" t="n">
        <v>456.8</v>
      </c>
      <c r="CW82" t="n">
        <v>465.5</v>
      </c>
      <c r="CX82" t="n">
        <v>467.4</v>
      </c>
      <c r="CY82" t="n">
        <v>472</v>
      </c>
      <c r="CZ82" t="n">
        <v>484.5</v>
      </c>
      <c r="DA82" t="n">
        <v>501</v>
      </c>
      <c r="DB82" t="n">
        <v>523.3</v>
      </c>
      <c r="DC82" t="n">
        <v>547.5</v>
      </c>
      <c r="DD82" t="n">
        <v>547.5</v>
      </c>
      <c r="DE82" t="n">
        <v>556.8</v>
      </c>
      <c r="DF82" t="n">
        <v>575.6</v>
      </c>
      <c r="DG82" t="n">
        <v>575.1</v>
      </c>
      <c r="DH82" t="n">
        <v>588.5</v>
      </c>
      <c r="DI82" t="n">
        <v>596.6</v>
      </c>
      <c r="DJ82" t="n">
        <v>617.4</v>
      </c>
      <c r="DK82" t="n">
        <v>630.2</v>
      </c>
      <c r="DL82" t="n">
        <v>645.4</v>
      </c>
      <c r="DM82" t="n">
        <v>668.1</v>
      </c>
      <c r="DN82" t="n">
        <v>682.4</v>
      </c>
      <c r="DO82" t="n">
        <v>690.2</v>
      </c>
      <c r="DP82" t="n">
        <v>699.5</v>
      </c>
      <c r="DQ82" t="n">
        <v>713.3</v>
      </c>
      <c r="DR82" t="n">
        <v>720.6</v>
      </c>
      <c r="DS82" t="n">
        <v>750.7</v>
      </c>
      <c r="DT82" t="n">
        <v>760.3</v>
      </c>
      <c r="DU82" t="n">
        <v>782.7</v>
      </c>
      <c r="DV82" t="n">
        <v>810</v>
      </c>
      <c r="DW82" t="n">
        <v>827.8</v>
      </c>
      <c r="DX82" t="n">
        <v>845.6</v>
      </c>
      <c r="DY82" t="n">
        <v>840.9</v>
      </c>
      <c r="DZ82" t="n">
        <v>859.7</v>
      </c>
      <c r="EA82" t="n">
        <v>864.4</v>
      </c>
      <c r="EB82" t="n">
        <v>873</v>
      </c>
      <c r="EC82" t="n">
        <v>883.4</v>
      </c>
      <c r="ED82" t="n">
        <v>876.3</v>
      </c>
      <c r="EE82" t="n">
        <v>892.4</v>
      </c>
      <c r="EF82" t="n">
        <v>905.3</v>
      </c>
      <c r="EG82" t="n">
        <v>916.1</v>
      </c>
      <c r="EH82" t="n">
        <v>946.6</v>
      </c>
      <c r="EI82" t="n">
        <v>963</v>
      </c>
      <c r="EJ82" t="n">
        <v>964.2</v>
      </c>
      <c r="EK82" t="n">
        <v>977.8</v>
      </c>
      <c r="EL82" t="n">
        <v>957.1</v>
      </c>
      <c r="EM82" t="n">
        <v>963.9</v>
      </c>
      <c r="EN82" t="n">
        <v>988</v>
      </c>
      <c r="EO82" t="n">
        <v>1007.5</v>
      </c>
      <c r="EP82" t="n">
        <v>1049.5</v>
      </c>
      <c r="EQ82" t="n">
        <v>1052</v>
      </c>
      <c r="ER82" t="n">
        <v>1048.8</v>
      </c>
      <c r="ES82" t="n">
        <v>1053.2</v>
      </c>
      <c r="ET82" t="n">
        <v>1017.2</v>
      </c>
      <c r="EU82" t="n">
        <v>998.5</v>
      </c>
      <c r="EV82" t="n">
        <v>987.1</v>
      </c>
      <c r="EW82" t="n">
        <v>978.8</v>
      </c>
      <c r="EX82" t="n">
        <v>965</v>
      </c>
      <c r="EY82" t="n">
        <v>967.5</v>
      </c>
      <c r="EZ82" t="n">
        <v>957.2</v>
      </c>
      <c r="FA82" t="n">
        <v>951.5</v>
      </c>
      <c r="FB82" t="n">
        <v>913.8</v>
      </c>
      <c r="FC82" t="n">
        <v>902</v>
      </c>
      <c r="FD82" t="n">
        <v>935</v>
      </c>
      <c r="FE82" t="n">
        <v>1001.7</v>
      </c>
      <c r="FF82" t="n">
        <v>1057.1</v>
      </c>
      <c r="FG82" t="n">
        <v>1103.5</v>
      </c>
      <c r="FH82" t="n">
        <v>1129</v>
      </c>
      <c r="FI82" t="n">
        <v>1144.4</v>
      </c>
      <c r="FJ82" t="n">
        <v>1181.2</v>
      </c>
      <c r="FK82" t="n">
        <v>1211.9</v>
      </c>
      <c r="FL82" t="n">
        <v>1252.1</v>
      </c>
      <c r="FM82" t="n">
        <v>1268.2</v>
      </c>
      <c r="FN82" t="n">
        <v>1297.7</v>
      </c>
      <c r="FO82" t="n">
        <v>1308.7</v>
      </c>
      <c r="FP82" t="n">
        <v>1286.8</v>
      </c>
      <c r="FQ82" t="n">
        <v>1306.6</v>
      </c>
      <c r="FR82" t="n">
        <v>1339.6</v>
      </c>
      <c r="FS82" t="n">
        <v>1364.1</v>
      </c>
      <c r="FT82" t="n">
        <v>1363.1</v>
      </c>
      <c r="FU82" t="n">
        <v>1340.1</v>
      </c>
      <c r="FV82" t="n">
        <v>1349.4</v>
      </c>
      <c r="FW82" t="n">
        <v>1376.7</v>
      </c>
      <c r="FX82" t="n">
        <v>1381.9</v>
      </c>
      <c r="FY82" t="n">
        <v>1371.7</v>
      </c>
      <c r="FZ82" t="n">
        <v>1356.1</v>
      </c>
      <c r="GA82" t="n">
        <v>1339.9</v>
      </c>
      <c r="GB82" t="n">
        <v>1352.3</v>
      </c>
      <c r="GC82" t="n">
        <v>1342.5</v>
      </c>
      <c r="GD82" t="n">
        <v>1335.9</v>
      </c>
      <c r="GE82" t="n">
        <v>1334</v>
      </c>
      <c r="GF82" t="n">
        <v>1355.9</v>
      </c>
      <c r="GG82" t="n">
        <v>1371.1</v>
      </c>
      <c r="GH82" t="n">
        <v>1409.4</v>
      </c>
      <c r="GI82" t="n">
        <v>1419.7</v>
      </c>
      <c r="GJ82" t="n">
        <v>1423.9</v>
      </c>
      <c r="GK82" t="n">
        <v>1461.5</v>
      </c>
      <c r="GL82" t="n">
        <v>1472.2</v>
      </c>
      <c r="GM82" t="n">
        <v>1479.6</v>
      </c>
      <c r="GN82" t="n">
        <v>1499.9</v>
      </c>
      <c r="GO82" t="n">
        <v>1529.7</v>
      </c>
      <c r="GP82" t="n">
        <v>1534</v>
      </c>
      <c r="GQ82" t="n">
        <v>1535.6</v>
      </c>
      <c r="GR82" t="n">
        <v>1570.9</v>
      </c>
      <c r="GS82" t="n">
        <v>1582.7</v>
      </c>
      <c r="GT82" t="n">
        <v>1577.7</v>
      </c>
      <c r="GU82" t="n">
        <v>1424.4</v>
      </c>
      <c r="GV82" t="n">
        <v>1705.8</v>
      </c>
      <c r="GW82" t="n">
        <v>1668.1</v>
      </c>
      <c r="GX82" t="n">
        <v>1697.5</v>
      </c>
      <c r="GY82" t="n">
        <v>1845.5</v>
      </c>
      <c r="GZ82" t="n">
        <v>1867.1</v>
      </c>
      <c r="HA82" t="n">
        <v>1850.8</v>
      </c>
      <c r="HB82" t="n">
        <v>1833.3</v>
      </c>
      <c r="HC82" t="n">
        <v>1850.1</v>
      </c>
      <c r="HD82" t="n">
        <v>1895.3</v>
      </c>
      <c r="HE82" t="n">
        <v>1915.5</v>
      </c>
      <c r="HF82" t="n">
        <v>1934.7</v>
      </c>
      <c r="HG82" t="n">
        <v>1936.6</v>
      </c>
      <c r="HH82" t="n">
        <v>1954.6</v>
      </c>
      <c r="HI82" t="n">
        <v>1970.1</v>
      </c>
      <c r="HJ82" t="n">
        <v>1972.1</v>
      </c>
      <c r="HK82" t="n">
        <v>2002.3</v>
      </c>
      <c r="HL82" t="n">
        <v>2013.5</v>
      </c>
      <c r="HM82" t="n">
        <v>2035.5</v>
      </c>
      <c r="HN82" t="n">
        <v>2053.2</v>
      </c>
      <c r="HO82" t="n">
        <v>2063</v>
      </c>
    </row>
    <row r="83">
      <c r="A83" s="78" t="s">
        <v>2595</v>
      </c>
      <c r="B83" s="78" t="n">
        <v>20.4</v>
      </c>
      <c r="C83" s="78" t="n">
        <v>20.2</v>
      </c>
      <c r="D83" s="78" t="n">
        <v>20.9</v>
      </c>
      <c r="E83" s="78" t="n">
        <v>21.2</v>
      </c>
      <c r="F83" s="78" t="n">
        <v>21.1</v>
      </c>
      <c r="G83" s="78" t="n">
        <v>21.7</v>
      </c>
      <c r="H83" s="78" t="n">
        <v>22</v>
      </c>
      <c r="I83" s="78" t="n">
        <v>22.5</v>
      </c>
      <c r="J83" s="78" t="n">
        <v>23.1</v>
      </c>
      <c r="K83" s="78" t="n">
        <v>20.2</v>
      </c>
      <c r="L83" s="78" t="n">
        <v>23.9</v>
      </c>
      <c r="M83" s="78" t="n">
        <v>23.8</v>
      </c>
      <c r="N83" s="78" t="n">
        <v>23.5</v>
      </c>
      <c r="O83" s="78" t="n">
        <v>23.3</v>
      </c>
      <c r="P83" t="n">
        <v>22.3</v>
      </c>
      <c r="Q83" t="n">
        <v>23.3</v>
      </c>
      <c r="R83" t="n">
        <v>23.5</v>
      </c>
      <c r="S83" t="n">
        <v>22.9</v>
      </c>
      <c r="T83" t="n">
        <v>23.3</v>
      </c>
      <c r="U83" t="n">
        <v>23</v>
      </c>
      <c r="V83" t="n">
        <v>22.7</v>
      </c>
      <c r="W83" t="n">
        <v>22.4</v>
      </c>
      <c r="X83" t="n">
        <v>22.2</v>
      </c>
      <c r="Y83" t="n">
        <v>21.9</v>
      </c>
      <c r="Z83" t="n">
        <v>21.6</v>
      </c>
      <c r="AA83" t="n">
        <v>20.5</v>
      </c>
      <c r="AB83" t="n">
        <v>20</v>
      </c>
      <c r="AC83" t="n">
        <v>19.1</v>
      </c>
      <c r="AD83" t="n">
        <v>16.4</v>
      </c>
      <c r="AE83" t="n">
        <v>16.3</v>
      </c>
      <c r="AF83" t="n">
        <v>15.6</v>
      </c>
      <c r="AG83" t="n">
        <v>15.1</v>
      </c>
      <c r="AH83" t="n">
        <v>15.9</v>
      </c>
      <c r="AI83" t="n">
        <v>15.6</v>
      </c>
      <c r="AJ83" t="n">
        <v>17.1</v>
      </c>
      <c r="AK83" t="n">
        <v>17.5</v>
      </c>
      <c r="AL83" t="n">
        <v>17.3</v>
      </c>
      <c r="AM83" t="n">
        <v>15.6</v>
      </c>
      <c r="AN83" t="n">
        <v>15.4</v>
      </c>
      <c r="AO83" t="n">
        <v>16.1</v>
      </c>
      <c r="AP83" t="n">
        <v>15.8</v>
      </c>
      <c r="AQ83" t="n">
        <v>17.1</v>
      </c>
      <c r="AR83" t="n">
        <v>19.9</v>
      </c>
      <c r="AS83" t="n">
        <v>23.2</v>
      </c>
      <c r="AT83" t="n">
        <v>24</v>
      </c>
      <c r="AU83" t="n">
        <v>23.3</v>
      </c>
      <c r="AV83" t="n">
        <v>23.1</v>
      </c>
      <c r="AW83" t="n">
        <v>24.7</v>
      </c>
      <c r="AX83" t="n">
        <v>23.5</v>
      </c>
      <c r="AY83" t="n">
        <v>21.1</v>
      </c>
      <c r="AZ83" t="n">
        <v>24.4</v>
      </c>
      <c r="BA83" t="n">
        <v>26.3</v>
      </c>
      <c r="BB83" t="n">
        <v>25.8</v>
      </c>
      <c r="BC83" t="n">
        <v>24.7</v>
      </c>
      <c r="BD83" t="n">
        <v>23.7</v>
      </c>
      <c r="BE83" t="n">
        <v>23.5</v>
      </c>
      <c r="BF83" t="n">
        <v>23.2</v>
      </c>
      <c r="BG83" t="n">
        <v>21.7</v>
      </c>
      <c r="BH83" t="n">
        <v>24.4</v>
      </c>
      <c r="BI83" t="n">
        <v>29.3</v>
      </c>
      <c r="BJ83" t="n">
        <v>26.9</v>
      </c>
      <c r="BK83" t="n">
        <v>25.3</v>
      </c>
      <c r="BL83" t="n">
        <v>27.1</v>
      </c>
      <c r="BM83" t="n">
        <v>25.6</v>
      </c>
      <c r="BN83" t="n">
        <v>22</v>
      </c>
      <c r="BO83" t="n">
        <v>21.1</v>
      </c>
      <c r="BP83" t="n">
        <v>16.6</v>
      </c>
      <c r="BQ83" t="n">
        <v>13.4</v>
      </c>
      <c r="BR83" t="n">
        <v>14.5</v>
      </c>
      <c r="BS83" t="n">
        <v>14.1</v>
      </c>
      <c r="BT83" t="n">
        <v>17.5</v>
      </c>
      <c r="BU83" t="n">
        <v>20.3</v>
      </c>
      <c r="BV83" t="n">
        <v>21.1</v>
      </c>
      <c r="BW83" t="n">
        <v>20.3</v>
      </c>
      <c r="BX83" t="n">
        <v>21.2</v>
      </c>
      <c r="BY83" t="n">
        <v>27.4</v>
      </c>
      <c r="BZ83" t="n">
        <v>23.1</v>
      </c>
      <c r="CA83" t="n">
        <v>21.2</v>
      </c>
      <c r="CB83" t="n">
        <v>20</v>
      </c>
      <c r="CC83" t="n">
        <v>21.8</v>
      </c>
      <c r="CD83" t="n">
        <v>23.1</v>
      </c>
      <c r="CE83" t="n">
        <v>26.7</v>
      </c>
      <c r="CF83" t="n">
        <v>31.6</v>
      </c>
      <c r="CG83" t="n">
        <v>31.3</v>
      </c>
      <c r="CH83" t="n">
        <v>33</v>
      </c>
      <c r="CI83" t="n">
        <v>35.5</v>
      </c>
      <c r="CJ83" t="n">
        <v>39.4</v>
      </c>
      <c r="CK83" t="n">
        <v>46.4</v>
      </c>
      <c r="CL83" t="n">
        <v>50</v>
      </c>
      <c r="CM83" t="n">
        <v>57.3</v>
      </c>
      <c r="CN83" t="n">
        <v>64.3</v>
      </c>
      <c r="CO83" t="n">
        <v>70.7</v>
      </c>
      <c r="CP83" t="n">
        <v>80.7</v>
      </c>
      <c r="CQ83" t="n">
        <v>86.9</v>
      </c>
      <c r="CR83" t="n">
        <v>92.5</v>
      </c>
      <c r="CS83" t="n">
        <v>100.2</v>
      </c>
      <c r="CT83" t="n">
        <v>109</v>
      </c>
      <c r="CU83" t="n">
        <v>113.5</v>
      </c>
      <c r="CV83" t="n">
        <v>116.3</v>
      </c>
      <c r="CW83" t="n">
        <v>115.9</v>
      </c>
      <c r="CX83" t="n">
        <v>118.3</v>
      </c>
      <c r="CY83" t="n">
        <v>121.6</v>
      </c>
      <c r="CZ83" t="n">
        <v>125.7</v>
      </c>
      <c r="DA83" t="n">
        <v>134</v>
      </c>
      <c r="DB83" t="n">
        <v>139.5</v>
      </c>
      <c r="DC83" t="n">
        <v>141.6</v>
      </c>
      <c r="DD83" t="n">
        <v>143.7</v>
      </c>
      <c r="DE83" t="n">
        <v>145.3</v>
      </c>
      <c r="DF83" t="n">
        <v>144.2</v>
      </c>
      <c r="DG83" t="n">
        <v>144.6</v>
      </c>
      <c r="DH83" t="n">
        <v>147.4</v>
      </c>
      <c r="DI83" t="n">
        <v>152.1</v>
      </c>
      <c r="DJ83" t="n">
        <v>156.8</v>
      </c>
      <c r="DK83" t="n">
        <v>162.6</v>
      </c>
      <c r="DL83" t="n">
        <v>168</v>
      </c>
      <c r="DM83" t="n">
        <v>173.4</v>
      </c>
      <c r="DN83" t="n">
        <v>176.1</v>
      </c>
      <c r="DO83" t="n">
        <v>179.6</v>
      </c>
      <c r="DP83" t="n">
        <v>179.4</v>
      </c>
      <c r="DQ83" t="n">
        <v>178.9</v>
      </c>
      <c r="DR83" t="n">
        <v>179.8</v>
      </c>
      <c r="DS83" t="n">
        <v>180.2</v>
      </c>
      <c r="DT83" t="n">
        <v>182.9</v>
      </c>
      <c r="DU83" t="n">
        <v>191</v>
      </c>
      <c r="DV83" t="n">
        <v>197.1</v>
      </c>
      <c r="DW83" t="n">
        <v>202.6</v>
      </c>
      <c r="DX83" t="n">
        <v>204.8</v>
      </c>
      <c r="DY83" t="n">
        <v>205.1</v>
      </c>
      <c r="DZ83" t="n">
        <v>207.3</v>
      </c>
      <c r="EA83" t="n">
        <v>208.9</v>
      </c>
      <c r="EB83" t="n">
        <v>207.7</v>
      </c>
      <c r="EC83" t="n">
        <v>209.9</v>
      </c>
      <c r="ED83" t="n">
        <v>218.7</v>
      </c>
      <c r="EE83" t="n">
        <v>223.2</v>
      </c>
      <c r="EF83" t="n">
        <v>227.5</v>
      </c>
      <c r="EG83" t="n">
        <v>239</v>
      </c>
      <c r="EH83" t="n">
        <v>243</v>
      </c>
      <c r="EI83" t="n">
        <v>243.4</v>
      </c>
      <c r="EJ83" t="n">
        <v>241.8</v>
      </c>
      <c r="EK83" t="n">
        <v>242.9</v>
      </c>
      <c r="EL83" t="n">
        <v>233.7</v>
      </c>
      <c r="EM83" t="n">
        <v>231.2</v>
      </c>
      <c r="EN83" t="n">
        <v>213.6</v>
      </c>
      <c r="EO83" t="n">
        <v>206</v>
      </c>
      <c r="EP83" t="n">
        <v>194.5</v>
      </c>
      <c r="EQ83" t="n">
        <v>183.4</v>
      </c>
      <c r="ER83" t="n">
        <v>177.8</v>
      </c>
      <c r="ES83" t="n">
        <v>168.7</v>
      </c>
      <c r="ET83" t="n">
        <v>162.5</v>
      </c>
      <c r="EU83" t="n">
        <v>180.3</v>
      </c>
      <c r="EV83" t="n">
        <v>193.6</v>
      </c>
      <c r="EW83" t="n">
        <v>208.7</v>
      </c>
      <c r="EX83" t="n">
        <v>249.2</v>
      </c>
      <c r="EY83" t="n">
        <v>281</v>
      </c>
      <c r="EZ83" t="n">
        <v>305.2</v>
      </c>
      <c r="FA83" t="n">
        <v>325.6</v>
      </c>
      <c r="FB83" t="n">
        <v>326.5</v>
      </c>
      <c r="FC83" t="n">
        <v>335.9</v>
      </c>
      <c r="FD83" t="n">
        <v>355.9</v>
      </c>
      <c r="FE83" t="n">
        <v>372</v>
      </c>
      <c r="FF83" t="n">
        <v>404.9</v>
      </c>
      <c r="FG83" t="n">
        <v>428.9</v>
      </c>
      <c r="FH83" t="n">
        <v>442.6</v>
      </c>
      <c r="FI83" t="n">
        <v>458.3</v>
      </c>
      <c r="FJ83" t="n">
        <v>489.1</v>
      </c>
      <c r="FK83" t="n">
        <v>501.4</v>
      </c>
      <c r="FL83" t="n">
        <v>510.1</v>
      </c>
      <c r="FM83" t="n">
        <v>525.6</v>
      </c>
      <c r="FN83" t="n">
        <v>526.8</v>
      </c>
      <c r="FO83" t="n">
        <v>532.5</v>
      </c>
      <c r="FP83" t="n">
        <v>536.1</v>
      </c>
      <c r="FQ83" t="n">
        <v>542.6</v>
      </c>
      <c r="FR83" t="n">
        <v>562.3</v>
      </c>
      <c r="FS83" t="n">
        <v>576.3</v>
      </c>
      <c r="FT83" t="n">
        <v>588.6</v>
      </c>
      <c r="FU83" t="n">
        <v>587.6</v>
      </c>
      <c r="FV83" t="n">
        <v>595</v>
      </c>
      <c r="FW83" t="n">
        <v>599.1</v>
      </c>
      <c r="FX83" t="n">
        <v>600.3</v>
      </c>
      <c r="FY83" t="n">
        <v>599.7</v>
      </c>
      <c r="FZ83" t="n">
        <v>588.8</v>
      </c>
      <c r="GA83" t="n">
        <v>603.1</v>
      </c>
      <c r="GB83" t="n">
        <v>606.4</v>
      </c>
      <c r="GC83" t="n">
        <v>607.2</v>
      </c>
      <c r="GD83" t="n">
        <v>612</v>
      </c>
      <c r="GE83" t="n">
        <v>619.1</v>
      </c>
      <c r="GF83" t="n">
        <v>619.9</v>
      </c>
      <c r="GG83" t="n">
        <v>623.9</v>
      </c>
      <c r="GH83" t="n">
        <v>633.9</v>
      </c>
      <c r="GI83" t="n">
        <v>634.3</v>
      </c>
      <c r="GJ83" t="n">
        <v>643.8</v>
      </c>
      <c r="GK83" t="n">
        <v>656.2</v>
      </c>
      <c r="GL83" t="n">
        <v>663.5</v>
      </c>
      <c r="GM83" t="n">
        <v>669</v>
      </c>
      <c r="GN83" t="n">
        <v>679.8</v>
      </c>
      <c r="GO83" t="n">
        <v>673.6</v>
      </c>
      <c r="GP83" t="n">
        <v>674.4</v>
      </c>
      <c r="GQ83" t="n">
        <v>682.8</v>
      </c>
      <c r="GR83" t="n">
        <v>690.2</v>
      </c>
      <c r="GS83" t="n">
        <v>706.3</v>
      </c>
      <c r="GT83" t="n">
        <v>729.3</v>
      </c>
      <c r="GU83" t="n">
        <v>731.2</v>
      </c>
      <c r="GV83" t="n">
        <v>744.6</v>
      </c>
      <c r="GW83" t="n">
        <v>747.4</v>
      </c>
      <c r="GX83" t="n">
        <v>745.6</v>
      </c>
      <c r="GY83" t="n">
        <v>761.6</v>
      </c>
      <c r="GZ83" t="n">
        <v>781.2</v>
      </c>
      <c r="HA83" t="n">
        <v>800.7</v>
      </c>
      <c r="HB83" t="n">
        <v>814.3</v>
      </c>
      <c r="HC83" t="n">
        <v>858.2</v>
      </c>
      <c r="HD83" t="n">
        <v>889.5</v>
      </c>
      <c r="HE83" t="n">
        <v>919.1</v>
      </c>
      <c r="HF83" t="n">
        <v>963.6</v>
      </c>
      <c r="HG83" t="n">
        <v>984.1</v>
      </c>
      <c r="HH83" t="n">
        <v>995</v>
      </c>
      <c r="HI83" t="n">
        <v>1013.6</v>
      </c>
      <c r="HJ83" t="n">
        <v>1046.1</v>
      </c>
      <c r="HK83" t="n">
        <v>1053.4</v>
      </c>
      <c r="HL83" t="n">
        <v>1055.7</v>
      </c>
      <c r="HM83" t="n">
        <v>1072.2</v>
      </c>
      <c r="HN83" t="n">
        <v>1091.8</v>
      </c>
      <c r="HO83" t="n">
        <v>1091.9</v>
      </c>
    </row>
    <row r="84">
      <c r="A84" s="78" t="s">
        <v>2596</v>
      </c>
      <c r="B84" s="78" t="n">
        <v>109.2</v>
      </c>
      <c r="C84" s="78" t="n">
        <v>113.1</v>
      </c>
      <c r="D84" s="78" t="n">
        <v>117.5</v>
      </c>
      <c r="E84" s="78" t="n">
        <v>120</v>
      </c>
      <c r="F84" s="78" t="n">
        <v>122.8</v>
      </c>
      <c r="G84" s="78" t="n">
        <v>124.2</v>
      </c>
      <c r="H84" s="78" t="n">
        <v>126.1</v>
      </c>
      <c r="I84" s="78" t="n">
        <v>127.4</v>
      </c>
      <c r="J84" s="78" t="n">
        <v>131</v>
      </c>
      <c r="K84" s="78" t="n">
        <v>134.1</v>
      </c>
      <c r="L84" s="78" t="n">
        <v>138.4</v>
      </c>
      <c r="M84" s="78" t="n">
        <v>142.8</v>
      </c>
      <c r="N84" s="78" t="n">
        <v>146.6</v>
      </c>
      <c r="O84" s="78" t="n">
        <v>151.6</v>
      </c>
      <c r="P84" t="n">
        <v>158.8</v>
      </c>
      <c r="Q84" t="n">
        <v>164.6</v>
      </c>
      <c r="R84" t="n">
        <v>170.5</v>
      </c>
      <c r="S84" t="n">
        <v>177.6</v>
      </c>
      <c r="T84" t="n">
        <v>183.9</v>
      </c>
      <c r="U84" t="n">
        <v>190.4</v>
      </c>
      <c r="V84" t="n">
        <v>196.4</v>
      </c>
      <c r="W84" t="n">
        <v>198.5</v>
      </c>
      <c r="X84" t="n">
        <v>202.5</v>
      </c>
      <c r="Y84" t="n">
        <v>206.5</v>
      </c>
      <c r="Z84" t="n">
        <v>210.5</v>
      </c>
      <c r="AA84" t="n">
        <v>217.1</v>
      </c>
      <c r="AB84" t="n">
        <v>222.8</v>
      </c>
      <c r="AC84" t="n">
        <v>229.7</v>
      </c>
      <c r="AD84" t="n">
        <v>238.8</v>
      </c>
      <c r="AE84" t="n">
        <v>246.6</v>
      </c>
      <c r="AF84" t="n">
        <v>255.4</v>
      </c>
      <c r="AG84" t="n">
        <v>265.5</v>
      </c>
      <c r="AH84" t="n">
        <v>273.3</v>
      </c>
      <c r="AI84" t="n">
        <v>281.3</v>
      </c>
      <c r="AJ84" t="n">
        <v>289.8</v>
      </c>
      <c r="AK84" t="n">
        <v>298.9</v>
      </c>
      <c r="AL84" t="n">
        <v>308.6</v>
      </c>
      <c r="AM84" t="n">
        <v>318.6</v>
      </c>
      <c r="AN84" t="n">
        <v>330.4</v>
      </c>
      <c r="AO84" t="n">
        <v>351</v>
      </c>
      <c r="AP84" t="n">
        <v>378.8</v>
      </c>
      <c r="AQ84" t="n">
        <v>392.5</v>
      </c>
      <c r="AR84" t="n">
        <v>397.7</v>
      </c>
      <c r="AS84" t="n">
        <v>421.8</v>
      </c>
      <c r="AT84" t="n">
        <v>439.6</v>
      </c>
      <c r="AU84" t="n">
        <v>467.3</v>
      </c>
      <c r="AV84" t="n">
        <v>506.4</v>
      </c>
      <c r="AW84" t="n">
        <v>522.4</v>
      </c>
      <c r="AX84" t="n">
        <v>541</v>
      </c>
      <c r="AY84" t="n">
        <v>557.2</v>
      </c>
      <c r="AZ84" t="n">
        <v>558.8</v>
      </c>
      <c r="BA84" t="n">
        <v>562.5</v>
      </c>
      <c r="BB84" t="n">
        <v>575.1</v>
      </c>
      <c r="BC84" t="n">
        <v>585.8</v>
      </c>
      <c r="BD84" t="n">
        <v>610.2</v>
      </c>
      <c r="BE84" t="n">
        <v>629.8</v>
      </c>
      <c r="BF84" t="n">
        <v>642.8</v>
      </c>
      <c r="BG84" t="n">
        <v>667.2</v>
      </c>
      <c r="BH84" t="n">
        <v>693.7</v>
      </c>
      <c r="BI84" t="n">
        <v>703.2</v>
      </c>
      <c r="BJ84" t="n">
        <v>714.7</v>
      </c>
      <c r="BK84" t="n">
        <v>721.2</v>
      </c>
      <c r="BL84" t="n">
        <v>722.7</v>
      </c>
      <c r="BM84" t="n">
        <v>738.6</v>
      </c>
      <c r="BN84" t="n">
        <v>763.4</v>
      </c>
      <c r="BO84" t="n">
        <v>770.6</v>
      </c>
      <c r="BP84" t="n">
        <v>768.1</v>
      </c>
      <c r="BQ84" t="n">
        <v>763</v>
      </c>
      <c r="BR84" t="n">
        <v>758.1</v>
      </c>
      <c r="BS84" t="n">
        <v>764.7</v>
      </c>
      <c r="BT84" t="n">
        <v>780.5</v>
      </c>
      <c r="BU84" t="n">
        <v>801.9</v>
      </c>
      <c r="BV84" t="n">
        <v>816.5</v>
      </c>
      <c r="BW84" t="n">
        <v>830.3</v>
      </c>
      <c r="BX84" t="n">
        <v>859</v>
      </c>
      <c r="BY84" t="n">
        <v>886.3</v>
      </c>
      <c r="BZ84" t="n">
        <v>930.1</v>
      </c>
      <c r="CA84" t="n">
        <v>956.6</v>
      </c>
      <c r="CB84" t="n">
        <v>970.4</v>
      </c>
      <c r="CC84" t="n">
        <v>981.9</v>
      </c>
      <c r="CD84" t="n">
        <v>996.1</v>
      </c>
      <c r="CE84" t="n">
        <v>1001.4</v>
      </c>
      <c r="CF84" t="n">
        <v>1010.4</v>
      </c>
      <c r="CG84" t="n">
        <v>1011.5</v>
      </c>
      <c r="CH84" t="n">
        <v>1009.2</v>
      </c>
      <c r="CI84" t="n">
        <v>1010.5</v>
      </c>
      <c r="CJ84" t="n">
        <v>1012</v>
      </c>
      <c r="CK84" t="n">
        <v>1003.1</v>
      </c>
      <c r="CL84" t="n">
        <v>996.3</v>
      </c>
      <c r="CM84" t="n">
        <v>997.3</v>
      </c>
      <c r="CN84" t="n">
        <v>992.5</v>
      </c>
      <c r="CO84" t="n">
        <v>995.7</v>
      </c>
      <c r="CP84" t="n">
        <v>1002.7</v>
      </c>
      <c r="CQ84" t="n">
        <v>1002.4</v>
      </c>
      <c r="CR84" t="n">
        <v>1001.2</v>
      </c>
      <c r="CS84" t="n">
        <v>1001.5</v>
      </c>
      <c r="CT84" t="n">
        <v>1009.5</v>
      </c>
      <c r="CU84" t="n">
        <v>1029.5</v>
      </c>
      <c r="CV84" t="n">
        <v>1051.6</v>
      </c>
      <c r="CW84" t="n">
        <v>1084</v>
      </c>
      <c r="CX84" t="n">
        <v>1105.6</v>
      </c>
      <c r="CY84" t="n">
        <v>1123.3</v>
      </c>
      <c r="CZ84" t="n">
        <v>1136.1</v>
      </c>
      <c r="DA84" t="n">
        <v>1149.2</v>
      </c>
      <c r="DB84" t="n">
        <v>1160.5</v>
      </c>
      <c r="DC84" t="n">
        <v>1177.3</v>
      </c>
      <c r="DD84" t="n">
        <v>1197.7</v>
      </c>
      <c r="DE84" t="n">
        <v>1219.9</v>
      </c>
      <c r="DF84" t="n">
        <v>1234.2</v>
      </c>
      <c r="DG84" t="n">
        <v>1255.5</v>
      </c>
      <c r="DH84" t="n">
        <v>1276</v>
      </c>
      <c r="DI84" t="n">
        <v>1300.4</v>
      </c>
      <c r="DJ84" t="n">
        <v>1335.9</v>
      </c>
      <c r="DK84" t="n">
        <v>1361.9</v>
      </c>
      <c r="DL84" t="n">
        <v>1367.1</v>
      </c>
      <c r="DM84" t="n">
        <v>1345.1</v>
      </c>
      <c r="DN84" t="n">
        <v>1326.7</v>
      </c>
      <c r="DO84" t="n">
        <v>1321</v>
      </c>
      <c r="DP84" t="n">
        <v>1337.2</v>
      </c>
      <c r="DQ84" t="n">
        <v>1359.8</v>
      </c>
      <c r="DR84" t="n">
        <v>1398.1</v>
      </c>
      <c r="DS84" t="n">
        <v>1441.8</v>
      </c>
      <c r="DT84" t="n">
        <v>1478.2</v>
      </c>
      <c r="DU84" t="n">
        <v>1504.5</v>
      </c>
      <c r="DV84" t="n">
        <v>1494.8</v>
      </c>
      <c r="DW84" t="n">
        <v>1486.8</v>
      </c>
      <c r="DX84" t="n">
        <v>1462.4</v>
      </c>
      <c r="DY84" t="n">
        <v>1403.7</v>
      </c>
      <c r="DZ84" t="n">
        <v>1388</v>
      </c>
      <c r="EA84" t="n">
        <v>1398.7</v>
      </c>
      <c r="EB84" t="n">
        <v>1401.3</v>
      </c>
      <c r="EC84" t="n">
        <v>1422.5</v>
      </c>
      <c r="ED84" t="n">
        <v>1437.6</v>
      </c>
      <c r="EE84" t="n">
        <v>1419.2</v>
      </c>
      <c r="EF84" t="n">
        <v>1434</v>
      </c>
      <c r="EG84" t="n">
        <v>1451.5</v>
      </c>
      <c r="EH84" t="n">
        <v>1452.2</v>
      </c>
      <c r="EI84" t="n">
        <v>1467.5</v>
      </c>
      <c r="EJ84" t="n">
        <v>1477.8</v>
      </c>
      <c r="EK84" t="n">
        <v>1597.3</v>
      </c>
      <c r="EL84" t="n">
        <v>1545.5</v>
      </c>
      <c r="EM84" t="n">
        <v>1611.1</v>
      </c>
      <c r="EN84" t="n">
        <v>1648.9</v>
      </c>
      <c r="EO84" t="n">
        <v>1740</v>
      </c>
      <c r="EP84" t="n">
        <v>1805.5</v>
      </c>
      <c r="EQ84" t="n">
        <v>1909.5</v>
      </c>
      <c r="ER84" t="n">
        <v>1931.4</v>
      </c>
      <c r="ES84" t="n">
        <v>1949.7</v>
      </c>
      <c r="ET84" t="n">
        <v>1997.6</v>
      </c>
      <c r="EU84" t="n">
        <v>2125</v>
      </c>
      <c r="EV84" t="n">
        <v>2143.4</v>
      </c>
      <c r="EW84" t="n">
        <v>2155.3</v>
      </c>
      <c r="EX84" t="n">
        <v>2181.1</v>
      </c>
      <c r="EY84" t="n">
        <v>2148.7</v>
      </c>
      <c r="EZ84" t="n">
        <v>2175.2</v>
      </c>
      <c r="FA84" t="n">
        <v>2101</v>
      </c>
      <c r="FB84" t="n">
        <v>1982.2</v>
      </c>
      <c r="FC84" t="n">
        <v>1865.1</v>
      </c>
      <c r="FD84" t="n">
        <v>1773.6</v>
      </c>
      <c r="FE84" t="n">
        <v>1733</v>
      </c>
      <c r="FF84" t="n">
        <v>1729.5</v>
      </c>
      <c r="FG84" t="n">
        <v>1742.5</v>
      </c>
      <c r="FH84" t="n">
        <v>1735.7</v>
      </c>
      <c r="FI84" t="n">
        <v>1783</v>
      </c>
      <c r="FJ84" t="n">
        <v>1847.8</v>
      </c>
      <c r="FK84" t="n">
        <v>1882.4</v>
      </c>
      <c r="FL84" t="n">
        <v>1913.9</v>
      </c>
      <c r="FM84" t="n">
        <v>1981.8</v>
      </c>
      <c r="FN84" t="n">
        <v>2039.5</v>
      </c>
      <c r="FO84" t="n">
        <v>2088.9</v>
      </c>
      <c r="FP84" t="n">
        <v>2025.8</v>
      </c>
      <c r="FQ84" t="n">
        <v>2260</v>
      </c>
      <c r="FR84" t="n">
        <v>1957.5</v>
      </c>
      <c r="FS84" t="n">
        <v>1963.9</v>
      </c>
      <c r="FT84" t="n">
        <v>1998.1</v>
      </c>
      <c r="FU84" t="n">
        <v>2013.4</v>
      </c>
      <c r="FV84" t="n">
        <v>2067.2</v>
      </c>
      <c r="FW84" t="n">
        <v>2160.8</v>
      </c>
      <c r="FX84" t="n">
        <v>2214</v>
      </c>
      <c r="FY84" t="n">
        <v>2267.6</v>
      </c>
      <c r="FZ84" t="n">
        <v>2322.2</v>
      </c>
      <c r="GA84" t="n">
        <v>2341.2</v>
      </c>
      <c r="GB84" t="n">
        <v>2347.8</v>
      </c>
      <c r="GC84" t="n">
        <v>2367.2</v>
      </c>
      <c r="GD84" t="n">
        <v>2388.1</v>
      </c>
      <c r="GE84" t="n">
        <v>2391.2</v>
      </c>
      <c r="GF84" t="n">
        <v>2421.8</v>
      </c>
      <c r="GG84" t="n">
        <v>2460.5</v>
      </c>
      <c r="GH84" t="n">
        <v>2535.6</v>
      </c>
      <c r="GI84" t="n">
        <v>2612.7</v>
      </c>
      <c r="GJ84" t="n">
        <v>2636.3</v>
      </c>
      <c r="GK84" t="n">
        <v>2659.4</v>
      </c>
      <c r="GL84" t="n">
        <v>2690.3</v>
      </c>
      <c r="GM84" t="n">
        <v>2755.1</v>
      </c>
      <c r="GN84" t="n">
        <v>2808</v>
      </c>
      <c r="GO84" t="n">
        <v>2904.2</v>
      </c>
      <c r="GP84" t="n">
        <v>2920.5</v>
      </c>
      <c r="GQ84" t="n">
        <v>2961.5</v>
      </c>
      <c r="GR84" t="n">
        <v>2962.7</v>
      </c>
      <c r="GS84" t="n">
        <v>2955.4</v>
      </c>
      <c r="GT84" t="n">
        <v>2932.4</v>
      </c>
      <c r="GU84" t="n">
        <v>2874</v>
      </c>
      <c r="GV84" t="n">
        <v>2862.9</v>
      </c>
      <c r="GW84" t="n">
        <v>2980.3</v>
      </c>
      <c r="GX84" t="n">
        <v>3048</v>
      </c>
      <c r="GY84" t="n">
        <v>3158.1</v>
      </c>
      <c r="GZ84" t="n">
        <v>3225.4</v>
      </c>
      <c r="HA84" t="n">
        <v>3291.3</v>
      </c>
      <c r="HB84" t="n">
        <v>3333.6</v>
      </c>
      <c r="HC84" t="n">
        <v>3424.9</v>
      </c>
      <c r="HD84" t="n">
        <v>3509.5</v>
      </c>
      <c r="HE84" t="n">
        <v>3628.2</v>
      </c>
      <c r="HF84" t="n">
        <v>3729.9</v>
      </c>
      <c r="HG84" t="n">
        <v>3806.4</v>
      </c>
      <c r="HH84" t="n">
        <v>3836.2</v>
      </c>
      <c r="HI84" t="n">
        <v>3919.1</v>
      </c>
      <c r="HJ84" t="n">
        <v>3938.9</v>
      </c>
      <c r="HK84" t="n">
        <v>3950.2</v>
      </c>
      <c r="HL84" t="n">
        <v>3938.8</v>
      </c>
      <c r="HM84" t="n">
        <v>3958.3</v>
      </c>
      <c r="HN84" t="n">
        <v>4007.7</v>
      </c>
      <c r="HO84" t="n">
        <v>4006.4</v>
      </c>
    </row>
    <row r="85">
      <c r="A85" s="78" t="s">
        <v>2597</v>
      </c>
      <c r="B85" s="78" t="n">
        <v>77.5</v>
      </c>
      <c r="C85" s="78" t="n">
        <v>81.1</v>
      </c>
      <c r="D85" s="78" t="n">
        <v>81.1</v>
      </c>
      <c r="E85" s="78" t="n">
        <v>76.9</v>
      </c>
      <c r="F85" s="78" t="n">
        <v>89.1</v>
      </c>
      <c r="G85" s="78" t="n">
        <v>90.8</v>
      </c>
      <c r="H85" s="78" t="n">
        <v>93.7</v>
      </c>
      <c r="I85" s="78" t="n">
        <v>97.6</v>
      </c>
      <c r="J85" s="78" t="n">
        <v>102.7</v>
      </c>
      <c r="K85" s="78" t="n">
        <v>104.3</v>
      </c>
      <c r="L85" s="78" t="n">
        <v>108.2</v>
      </c>
      <c r="M85" s="78" t="n">
        <v>115.5</v>
      </c>
      <c r="N85" s="78" t="n">
        <v>121</v>
      </c>
      <c r="O85" t="n">
        <v>117.2</v>
      </c>
      <c r="P85" t="n">
        <v>116.6</v>
      </c>
      <c r="Q85" t="n">
        <v>119.1</v>
      </c>
      <c r="R85" t="n">
        <v>111.1</v>
      </c>
      <c r="S85" t="n">
        <v>110.8</v>
      </c>
      <c r="T85" t="n">
        <v>107.3</v>
      </c>
      <c r="U85" t="n">
        <v>103.8</v>
      </c>
      <c r="V85" t="n">
        <v>103.9</v>
      </c>
      <c r="W85" t="n">
        <v>115.6</v>
      </c>
      <c r="X85" t="n">
        <v>135.4</v>
      </c>
      <c r="Y85" t="n">
        <v>142</v>
      </c>
      <c r="Z85" t="n">
        <v>159.1</v>
      </c>
      <c r="AA85" t="n">
        <v>156.6</v>
      </c>
      <c r="AB85" t="n">
        <v>158.4</v>
      </c>
      <c r="AC85" t="n">
        <v>157.1</v>
      </c>
      <c r="AD85" t="n">
        <v>165</v>
      </c>
      <c r="AE85" t="n">
        <v>185.7</v>
      </c>
      <c r="AF85" t="n">
        <v>199.9</v>
      </c>
      <c r="AG85" t="n">
        <v>196.1</v>
      </c>
      <c r="AH85" t="n">
        <v>187.5</v>
      </c>
      <c r="AI85" t="n">
        <v>220</v>
      </c>
      <c r="AJ85" t="n">
        <v>223.8</v>
      </c>
      <c r="AK85" t="n">
        <v>231.5</v>
      </c>
      <c r="AL85" t="n">
        <v>222.3</v>
      </c>
      <c r="AM85" t="n">
        <v>219.7</v>
      </c>
      <c r="AN85" t="n">
        <v>211.3</v>
      </c>
      <c r="AO85" t="n">
        <v>205.2</v>
      </c>
      <c r="AP85" t="n">
        <v>197.2</v>
      </c>
      <c r="AQ85" t="n">
        <v>169.9</v>
      </c>
      <c r="AR85" t="n">
        <v>179.2</v>
      </c>
      <c r="AS85" t="n">
        <v>204.4</v>
      </c>
      <c r="AT85" t="n">
        <v>213</v>
      </c>
      <c r="AU85" t="n">
        <v>211.8</v>
      </c>
      <c r="AV85" t="n">
        <v>228.6</v>
      </c>
      <c r="AW85" t="n">
        <v>211.4</v>
      </c>
      <c r="AX85" t="n">
        <v>188.2</v>
      </c>
      <c r="AY85" t="n">
        <v>200.5</v>
      </c>
      <c r="AZ85" t="n">
        <v>200.4</v>
      </c>
      <c r="BA85" t="n">
        <v>191.5</v>
      </c>
      <c r="BB85" t="n">
        <v>209.5</v>
      </c>
      <c r="BC85" t="n">
        <v>238.3</v>
      </c>
      <c r="BD85" t="n">
        <v>254.4</v>
      </c>
      <c r="BE85" t="n">
        <v>269.2</v>
      </c>
      <c r="BF85" t="n">
        <v>301.1</v>
      </c>
      <c r="BG85" t="n">
        <v>301.2</v>
      </c>
      <c r="BH85" t="n">
        <v>295.3</v>
      </c>
      <c r="BI85" t="n">
        <v>305.2</v>
      </c>
      <c r="BJ85" t="n">
        <v>311.4</v>
      </c>
      <c r="BK85" t="n">
        <v>310.3</v>
      </c>
      <c r="BL85" t="n">
        <v>331.5</v>
      </c>
      <c r="BM85" t="n">
        <v>306.6</v>
      </c>
      <c r="BN85" t="n">
        <v>296.7</v>
      </c>
      <c r="BO85" t="n">
        <v>286.4</v>
      </c>
      <c r="BP85" t="n">
        <v>275.6</v>
      </c>
      <c r="BQ85" t="n">
        <v>277.7</v>
      </c>
      <c r="BR85" t="n">
        <v>288.4</v>
      </c>
      <c r="BS85" t="n">
        <v>319.7</v>
      </c>
      <c r="BT85" t="n">
        <v>344.2</v>
      </c>
      <c r="BU85" t="n">
        <v>338.9</v>
      </c>
      <c r="BV85" t="n">
        <v>344.1</v>
      </c>
      <c r="BW85" t="n">
        <v>352.3</v>
      </c>
      <c r="BX85" t="n">
        <v>359.3</v>
      </c>
      <c r="BY85" t="n">
        <v>381.4</v>
      </c>
      <c r="BZ85" t="n">
        <v>363.2</v>
      </c>
      <c r="CA85" t="n">
        <v>356.4</v>
      </c>
      <c r="CB85" t="n">
        <v>355</v>
      </c>
      <c r="CC85" t="n">
        <v>331.8</v>
      </c>
      <c r="CD85" t="n">
        <v>344.4</v>
      </c>
      <c r="CE85" t="n">
        <v>361.4</v>
      </c>
      <c r="CF85" t="n">
        <v>337.8</v>
      </c>
      <c r="CG85" t="n">
        <v>329.4</v>
      </c>
      <c r="CH85" t="n">
        <v>367</v>
      </c>
      <c r="CI85" t="n">
        <v>373.1</v>
      </c>
      <c r="CJ85" t="n">
        <v>376.3</v>
      </c>
      <c r="CK85" t="n">
        <v>372.6</v>
      </c>
      <c r="CL85" t="n">
        <v>400.9</v>
      </c>
      <c r="CM85" t="n">
        <v>407.8</v>
      </c>
      <c r="CN85" t="n">
        <v>399.3</v>
      </c>
      <c r="CO85" t="n">
        <v>424.7</v>
      </c>
      <c r="CP85" t="n">
        <v>406.5</v>
      </c>
      <c r="CQ85" t="n">
        <v>444.7</v>
      </c>
      <c r="CR85" t="n">
        <v>452.4</v>
      </c>
      <c r="CS85" t="n">
        <v>511.6</v>
      </c>
      <c r="CT85" t="n">
        <v>517.5</v>
      </c>
      <c r="CU85" t="n">
        <v>539.2</v>
      </c>
      <c r="CV85" t="n">
        <v>571.9</v>
      </c>
      <c r="CW85" t="n">
        <v>595.8</v>
      </c>
      <c r="CX85" t="n">
        <v>588.9</v>
      </c>
      <c r="CY85" t="n">
        <v>605.8</v>
      </c>
      <c r="CZ85" t="n">
        <v>649.9</v>
      </c>
      <c r="DA85" t="n">
        <v>650.3</v>
      </c>
      <c r="DB85" t="n">
        <v>683.8</v>
      </c>
      <c r="DC85" t="n">
        <v>700.2</v>
      </c>
      <c r="DD85" t="n">
        <v>706</v>
      </c>
      <c r="DE85" t="n">
        <v>716.3</v>
      </c>
      <c r="DF85" t="n">
        <v>753.3</v>
      </c>
      <c r="DG85" t="n">
        <v>767.9</v>
      </c>
      <c r="DH85" t="n">
        <v>808.1</v>
      </c>
      <c r="DI85" t="n">
        <v>799.9</v>
      </c>
      <c r="DJ85" t="n">
        <v>728.6</v>
      </c>
      <c r="DK85" t="n">
        <v>729.6</v>
      </c>
      <c r="DL85" t="n">
        <v>749.1</v>
      </c>
      <c r="DM85" t="n">
        <v>722.4</v>
      </c>
      <c r="DN85" t="n">
        <v>761.9</v>
      </c>
      <c r="DO85" t="n">
        <v>754.1</v>
      </c>
      <c r="DP85" t="n">
        <v>737.7</v>
      </c>
      <c r="DQ85" t="n">
        <v>726.5</v>
      </c>
      <c r="DR85" t="n">
        <v>714.8</v>
      </c>
      <c r="DS85" t="n">
        <v>699.1</v>
      </c>
      <c r="DT85" t="n">
        <v>677.6</v>
      </c>
      <c r="DU85" t="n">
        <v>631.5</v>
      </c>
      <c r="DV85" t="n">
        <v>622.6</v>
      </c>
      <c r="DW85" t="n">
        <v>638</v>
      </c>
      <c r="DX85" t="n">
        <v>627.7</v>
      </c>
      <c r="DY85" t="n">
        <v>585.2</v>
      </c>
      <c r="DZ85" t="n">
        <v>711.7</v>
      </c>
      <c r="EA85" t="n">
        <v>756</v>
      </c>
      <c r="EB85" t="n">
        <v>778.5</v>
      </c>
      <c r="EC85" t="n">
        <v>848.2</v>
      </c>
      <c r="ED85" t="n">
        <v>862.8</v>
      </c>
      <c r="EE85" t="n">
        <v>891.4</v>
      </c>
      <c r="EF85" t="n">
        <v>941.8</v>
      </c>
      <c r="EG85" t="n">
        <v>976.6</v>
      </c>
      <c r="EH85" t="n">
        <v>1064.6</v>
      </c>
      <c r="EI85" t="n">
        <v>1113.5</v>
      </c>
      <c r="EJ85" t="n">
        <v>1158.9</v>
      </c>
      <c r="EK85" t="n">
        <v>1164.7</v>
      </c>
      <c r="EL85" t="n">
        <v>1257.9</v>
      </c>
      <c r="EM85" t="n">
        <v>1276.9</v>
      </c>
      <c r="EN85" t="n">
        <v>1287.2</v>
      </c>
      <c r="EO85" t="n">
        <v>1395.3</v>
      </c>
      <c r="EP85" t="n">
        <v>1445.4</v>
      </c>
      <c r="EQ85" t="n">
        <v>1453.1</v>
      </c>
      <c r="ER85" t="n">
        <v>1505.8</v>
      </c>
      <c r="ES85" t="n">
        <v>1421.3</v>
      </c>
      <c r="ET85" t="n">
        <v>1316.3</v>
      </c>
      <c r="EU85" t="n">
        <v>1347.7</v>
      </c>
      <c r="EV85" t="n">
        <v>1229.2</v>
      </c>
      <c r="EW85" t="n">
        <v>1138.9</v>
      </c>
      <c r="EX85" t="n">
        <v>1053.8</v>
      </c>
      <c r="EY85" t="n">
        <v>1027</v>
      </c>
      <c r="EZ85" t="n">
        <v>1008.2</v>
      </c>
      <c r="FA85" t="n">
        <v>732.8</v>
      </c>
      <c r="FB85" t="n">
        <v>953.5</v>
      </c>
      <c r="FC85" t="n">
        <v>1003.3</v>
      </c>
      <c r="FD85" t="n">
        <v>1123.2</v>
      </c>
      <c r="FE85" t="n">
        <v>1227.5</v>
      </c>
      <c r="FF85" t="n">
        <v>1295.5</v>
      </c>
      <c r="FG85" t="n">
        <v>1300</v>
      </c>
      <c r="FH85" t="n">
        <v>1475.5</v>
      </c>
      <c r="FI85" t="n">
        <v>1483.8</v>
      </c>
      <c r="FJ85" t="n">
        <v>1323.4</v>
      </c>
      <c r="FK85" t="n">
        <v>1443.9</v>
      </c>
      <c r="FL85" t="n">
        <v>1447.1</v>
      </c>
      <c r="FM85" t="n">
        <v>1585</v>
      </c>
      <c r="FN85" t="n">
        <v>1660</v>
      </c>
      <c r="FO85" t="n">
        <v>1662.6</v>
      </c>
      <c r="FP85" t="n">
        <v>1644.6</v>
      </c>
      <c r="FQ85" t="n">
        <v>1642.3</v>
      </c>
      <c r="FR85" t="n">
        <v>1672.8</v>
      </c>
      <c r="FS85" t="n">
        <v>1665.6</v>
      </c>
      <c r="FT85" t="n">
        <v>1676.1</v>
      </c>
      <c r="FU85" t="n">
        <v>1714.8</v>
      </c>
      <c r="FV85" t="n">
        <v>1650.3</v>
      </c>
      <c r="FW85" t="n">
        <v>1832.1</v>
      </c>
      <c r="FX85" t="n">
        <v>1864.9</v>
      </c>
      <c r="FY85" t="n">
        <v>1884.5</v>
      </c>
      <c r="FZ85" t="n">
        <v>1847.9</v>
      </c>
      <c r="GA85" t="n">
        <v>1831.7</v>
      </c>
      <c r="GB85" t="n">
        <v>1779</v>
      </c>
      <c r="GC85" t="n">
        <v>1653</v>
      </c>
      <c r="GD85" t="n">
        <v>1757.8</v>
      </c>
      <c r="GE85" t="n">
        <v>1708.7</v>
      </c>
      <c r="GF85" t="n">
        <v>1731</v>
      </c>
      <c r="GG85" t="n">
        <v>1700.1</v>
      </c>
      <c r="GH85" t="n">
        <v>1721.1</v>
      </c>
      <c r="GI85" t="n">
        <v>1723.6</v>
      </c>
      <c r="GJ85" t="n">
        <v>1718</v>
      </c>
      <c r="GK85" t="n">
        <v>1742.7</v>
      </c>
      <c r="GL85" t="n">
        <v>1772.4</v>
      </c>
      <c r="GM85" t="n">
        <v>1846</v>
      </c>
      <c r="GN85" t="n">
        <v>1868.8</v>
      </c>
      <c r="GO85" t="n">
        <v>1891.1</v>
      </c>
      <c r="GP85" t="n">
        <v>1875.4</v>
      </c>
      <c r="GQ85" t="n">
        <v>1906.5</v>
      </c>
      <c r="GR85" t="n">
        <v>1968.1</v>
      </c>
      <c r="GS85" t="n">
        <v>2003.2</v>
      </c>
      <c r="GT85" t="n">
        <v>1752.6</v>
      </c>
      <c r="GU85" t="n">
        <v>1686.1</v>
      </c>
      <c r="GV85" t="n">
        <v>2323.9</v>
      </c>
      <c r="GW85" t="n">
        <v>2101.5</v>
      </c>
      <c r="GX85" t="n">
        <v>2438.7</v>
      </c>
      <c r="GY85" t="n">
        <v>2763.8</v>
      </c>
      <c r="GZ85" t="n">
        <v>2747.4</v>
      </c>
      <c r="HA85" t="n">
        <v>2751.8</v>
      </c>
      <c r="HB85" t="n">
        <v>2738.7</v>
      </c>
      <c r="HC85" t="n">
        <v>2876.9</v>
      </c>
      <c r="HD85" t="n">
        <v>2950.7</v>
      </c>
      <c r="HE85" t="n">
        <v>2921.1</v>
      </c>
      <c r="HF85" t="n">
        <v>2941.2</v>
      </c>
      <c r="HG85" t="n">
        <v>2953.4</v>
      </c>
      <c r="HH85" t="n">
        <v>3079.7</v>
      </c>
      <c r="HI85" t="n">
        <v>3253.6</v>
      </c>
      <c r="HJ85" t="n">
        <v>3186.2</v>
      </c>
      <c r="HK85" t="n">
        <v>3337.4</v>
      </c>
      <c r="HL85" t="n">
        <v>3365.3</v>
      </c>
      <c r="HM85" t="n">
        <v>3487.8</v>
      </c>
      <c r="HN85" t="n">
        <v>3435.2</v>
      </c>
      <c r="HO85" t="n">
        <v>3504.1</v>
      </c>
    </row>
    <row r="86">
      <c r="A86" s="78" t="s">
        <v>2598</v>
      </c>
      <c r="B86" s="78"/>
      <c r="C86" s="78"/>
      <c r="D86" s="78"/>
      <c r="E86" s="78"/>
      <c r="F86" s="78"/>
      <c r="G86" s="78"/>
      <c r="H86" s="78"/>
      <c r="I86" s="78"/>
      <c r="J86" s="78"/>
      <c r="K86" s="78"/>
      <c r="L86" s="78"/>
      <c r="M86" s="78"/>
      <c r="N86" s="78"/>
      <c r="O86" s="78"/>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t="n">
        <v>0</v>
      </c>
      <c r="GY86" t="n">
        <v>21.4</v>
      </c>
      <c r="GZ86" t="n">
        <v>57</v>
      </c>
      <c r="HA86" t="n">
        <v>35.5</v>
      </c>
      <c r="HB86" t="n">
        <v>0</v>
      </c>
      <c r="HC86" t="n">
        <v>0</v>
      </c>
      <c r="HD86" t="n">
        <v>0</v>
      </c>
      <c r="HE86" t="n">
        <v>0</v>
      </c>
      <c r="HF86"/>
      <c r="HG86"/>
      <c r="HH86"/>
      <c r="HI86"/>
      <c r="HJ86"/>
      <c r="HK86"/>
      <c r="HL86"/>
      <c r="HM86"/>
      <c r="HN86"/>
      <c r="HO86"/>
    </row>
    <row r="87">
      <c r="A87" s="78" t="s">
        <v>2599</v>
      </c>
      <c r="B87" s="78"/>
      <c r="C87" s="78"/>
      <c r="D87" s="78"/>
      <c r="E87" s="78"/>
      <c r="F87" s="78"/>
      <c r="G87" s="78"/>
      <c r="H87" s="78"/>
      <c r="I87" s="78"/>
      <c r="J87" s="78"/>
      <c r="K87" s="78"/>
      <c r="L87" s="78"/>
      <c r="M87" s="78"/>
      <c r="N87" s="78"/>
      <c r="O87" s="78"/>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t="n">
        <v>60.3</v>
      </c>
      <c r="GV87" t="n">
        <v>18.5</v>
      </c>
      <c r="GW87" t="n">
        <v>0</v>
      </c>
      <c r="GX87" t="n">
        <v>0.3</v>
      </c>
      <c r="GY87" t="n">
        <v>11.3</v>
      </c>
      <c r="GZ87" t="n">
        <v>10.4</v>
      </c>
      <c r="HA87" t="n">
        <v>5.3</v>
      </c>
      <c r="HB87" t="n">
        <v>2.4</v>
      </c>
      <c r="HC87" t="n">
        <v>0.3</v>
      </c>
      <c r="HD87" t="n">
        <v>0</v>
      </c>
      <c r="HE87" t="n">
        <v>0</v>
      </c>
      <c r="HF87"/>
      <c r="HG87"/>
      <c r="HH87"/>
      <c r="HI87"/>
      <c r="HJ87"/>
      <c r="HK87"/>
      <c r="HL87"/>
      <c r="HM87"/>
      <c r="HN87"/>
      <c r="HO87"/>
    </row>
    <row r="88" ht="19.399999999999999" customHeight="1">
      <c r="A88" s="78" t="s">
        <v>2600</v>
      </c>
      <c r="B88" s="78" t="n">
        <v>27088</v>
      </c>
      <c r="C88" s="78" t="n">
        <v>34148</v>
      </c>
      <c r="D88" s="78" t="n">
        <v>31952</v>
      </c>
      <c r="E88" s="78" t="n">
        <v>32332</v>
      </c>
      <c r="F88" s="78" t="n">
        <v>32820</v>
      </c>
      <c r="G88" s="78" t="n">
        <v>38700</v>
      </c>
      <c r="H88" s="78" t="n">
        <v>37216</v>
      </c>
      <c r="I88" s="78" t="n">
        <v>37732</v>
      </c>
      <c r="J88" s="78" t="n">
        <v>38284</v>
      </c>
      <c r="K88" s="78" t="n">
        <v>38748</v>
      </c>
      <c r="L88" s="78" t="n">
        <v>39284</v>
      </c>
      <c r="M88" s="78" t="n">
        <v>47476</v>
      </c>
      <c r="N88" s="78" t="n">
        <v>49096</v>
      </c>
      <c r="O88" s="78" t="n">
        <v>50332</v>
      </c>
      <c r="P88" t="n">
        <v>51216</v>
      </c>
      <c r="Q88" t="n">
        <v>52016</v>
      </c>
      <c r="R88" t="n">
        <v>52464</v>
      </c>
      <c r="S88" t="n">
        <v>56916</v>
      </c>
      <c r="T88" t="n">
        <v>59804</v>
      </c>
      <c r="U88" t="n">
        <v>61244</v>
      </c>
      <c r="V88" t="n">
        <v>62000</v>
      </c>
      <c r="W88" t="n">
        <v>62888</v>
      </c>
      <c r="X88" t="n">
        <v>69012</v>
      </c>
      <c r="Y88" t="n">
        <v>69680</v>
      </c>
      <c r="Z88" t="n">
        <v>70960</v>
      </c>
      <c r="AA88" t="n">
        <v>71416</v>
      </c>
      <c r="AB88" t="n">
        <v>76996</v>
      </c>
      <c r="AC88" t="n">
        <v>78632</v>
      </c>
      <c r="AD88" t="n">
        <v>79228</v>
      </c>
      <c r="AE88" t="n">
        <v>80364</v>
      </c>
      <c r="AF88" t="n">
        <v>86256</v>
      </c>
      <c r="AG88" t="n">
        <v>87108</v>
      </c>
      <c r="AH88" t="n">
        <v>87776</v>
      </c>
      <c r="AI88" t="n">
        <v>87912</v>
      </c>
      <c r="AJ88" t="n">
        <v>94276</v>
      </c>
      <c r="AK88" t="n">
        <v>95556</v>
      </c>
      <c r="AL88" t="n">
        <v>96528</v>
      </c>
      <c r="AM88" t="n">
        <v>97848</v>
      </c>
      <c r="AN88" t="n">
        <v>107624</v>
      </c>
      <c r="AO88" t="n">
        <v>108324</v>
      </c>
      <c r="AP88" t="n">
        <v>109348</v>
      </c>
      <c r="AQ88" t="n">
        <v>109988</v>
      </c>
      <c r="AR88" t="n">
        <v>126932</v>
      </c>
      <c r="AS88" t="n">
        <v>128076</v>
      </c>
      <c r="AT88" t="n">
        <v>130716</v>
      </c>
      <c r="AU88" t="n">
        <v>131096</v>
      </c>
      <c r="AV88" t="n">
        <v>146284</v>
      </c>
      <c r="AW88" t="n">
        <v>146480</v>
      </c>
      <c r="AX88" t="n">
        <v>146772</v>
      </c>
      <c r="AY88" t="n">
        <v>147528</v>
      </c>
      <c r="AZ88" t="n">
        <v>157636</v>
      </c>
      <c r="BA88" t="n">
        <v>162896</v>
      </c>
      <c r="BB88" t="n">
        <v>162144</v>
      </c>
      <c r="BC88" t="n">
        <v>164008</v>
      </c>
      <c r="BD88" t="n">
        <v>163980</v>
      </c>
      <c r="BE88" t="n">
        <v>167572</v>
      </c>
      <c r="BF88" t="n">
        <v>170936</v>
      </c>
      <c r="BG88" t="n">
        <v>172680</v>
      </c>
      <c r="BH88" t="n">
        <v>172444</v>
      </c>
      <c r="BI88" t="n">
        <v>176048</v>
      </c>
      <c r="BJ88" t="n">
        <v>181540</v>
      </c>
      <c r="BK88" t="n">
        <v>181976</v>
      </c>
      <c r="BL88" t="n">
        <v>185252</v>
      </c>
      <c r="BM88" t="n">
        <v>184332</v>
      </c>
      <c r="BN88" t="n">
        <v>191100</v>
      </c>
      <c r="BO88" t="n">
        <v>192104</v>
      </c>
      <c r="BP88" t="n">
        <v>195880</v>
      </c>
      <c r="BQ88" t="n">
        <v>195440</v>
      </c>
      <c r="BR88" t="n">
        <v>198912</v>
      </c>
      <c r="BS88" t="n">
        <v>201652</v>
      </c>
      <c r="BT88" t="n">
        <v>201436</v>
      </c>
      <c r="BU88" t="n">
        <v>201980</v>
      </c>
      <c r="BV88" t="n">
        <v>213484</v>
      </c>
      <c r="BW88" t="n">
        <v>213536</v>
      </c>
      <c r="BX88" t="n">
        <v>214156</v>
      </c>
      <c r="BY88" t="n">
        <v>214488</v>
      </c>
      <c r="BZ88" t="n">
        <v>225904</v>
      </c>
      <c r="CA88" t="n">
        <v>226768</v>
      </c>
      <c r="CB88" t="n">
        <v>227804</v>
      </c>
      <c r="CC88" t="n">
        <v>229044</v>
      </c>
      <c r="CD88" t="n">
        <v>241024</v>
      </c>
      <c r="CE88" t="n">
        <v>243792</v>
      </c>
      <c r="CF88" t="n">
        <v>244712</v>
      </c>
      <c r="CG88" t="n">
        <v>247012</v>
      </c>
      <c r="CH88" t="n">
        <v>261292</v>
      </c>
      <c r="CI88" t="n">
        <v>263620</v>
      </c>
      <c r="CJ88" t="n">
        <v>265076</v>
      </c>
      <c r="CK88" t="n">
        <v>266828</v>
      </c>
      <c r="CL88" t="n">
        <v>278568</v>
      </c>
      <c r="CM88" t="n">
        <v>281744</v>
      </c>
      <c r="CN88" t="n">
        <v>282848</v>
      </c>
      <c r="CO88" t="n">
        <v>283944</v>
      </c>
      <c r="CP88" t="n">
        <v>295568</v>
      </c>
      <c r="CQ88" t="n">
        <v>297064</v>
      </c>
      <c r="CR88" t="n">
        <v>298552</v>
      </c>
      <c r="CS88" t="n">
        <v>300556</v>
      </c>
      <c r="CT88" t="n">
        <v>308800</v>
      </c>
      <c r="CU88" t="n">
        <v>311776</v>
      </c>
      <c r="CV88" t="n">
        <v>312956</v>
      </c>
      <c r="CW88" t="n">
        <v>315112</v>
      </c>
      <c r="CX88" t="n">
        <v>324784</v>
      </c>
      <c r="CY88" t="n">
        <v>327504</v>
      </c>
      <c r="CZ88" t="n">
        <v>328632</v>
      </c>
      <c r="DA88" t="n">
        <v>329780</v>
      </c>
      <c r="DB88" t="n">
        <v>339100</v>
      </c>
      <c r="DC88" t="n">
        <v>341412</v>
      </c>
      <c r="DD88" t="n">
        <v>342632</v>
      </c>
      <c r="DE88" t="n">
        <v>344876</v>
      </c>
      <c r="DF88" t="n">
        <v>353920</v>
      </c>
      <c r="DG88" t="n">
        <v>355872</v>
      </c>
      <c r="DH88" t="n">
        <v>357524</v>
      </c>
      <c r="DI88" t="n">
        <v>359052</v>
      </c>
      <c r="DJ88" t="n">
        <v>366632</v>
      </c>
      <c r="DK88" t="n">
        <v>368208</v>
      </c>
      <c r="DL88" t="n">
        <v>370704</v>
      </c>
      <c r="DM88" t="n">
        <v>371184</v>
      </c>
      <c r="DN88" t="n">
        <v>376964</v>
      </c>
      <c r="DO88" t="n">
        <v>378944</v>
      </c>
      <c r="DP88" t="n">
        <v>380800</v>
      </c>
      <c r="DQ88" t="n">
        <v>382748</v>
      </c>
      <c r="DR88" t="n">
        <v>392512</v>
      </c>
      <c r="DS88" t="n">
        <v>404664</v>
      </c>
      <c r="DT88" t="n">
        <v>403872</v>
      </c>
      <c r="DU88" t="n">
        <v>404524</v>
      </c>
      <c r="DV88" t="n">
        <v>420812</v>
      </c>
      <c r="DW88" t="n">
        <v>422668</v>
      </c>
      <c r="DX88" t="n">
        <v>428384</v>
      </c>
      <c r="DY88" t="n">
        <v>428472</v>
      </c>
      <c r="DZ88" t="n">
        <v>442872</v>
      </c>
      <c r="EA88" t="n">
        <v>445487</v>
      </c>
      <c r="EB88" t="n">
        <v>448080</v>
      </c>
      <c r="EC88" t="n">
        <v>451196</v>
      </c>
      <c r="ED88" t="n">
        <v>458142</v>
      </c>
      <c r="EE88" t="n">
        <v>463083</v>
      </c>
      <c r="EF88" t="n">
        <v>464765</v>
      </c>
      <c r="EG88" t="n">
        <v>468133</v>
      </c>
      <c r="EH88" t="n">
        <v>479685</v>
      </c>
      <c r="EI88" t="n">
        <v>484798</v>
      </c>
      <c r="EJ88" t="n">
        <v>486184</v>
      </c>
      <c r="EK88" t="n">
        <v>491380</v>
      </c>
      <c r="EL88" t="n">
        <v>506486</v>
      </c>
      <c r="EM88" t="n">
        <v>512872</v>
      </c>
      <c r="EN88" t="n">
        <v>514043</v>
      </c>
      <c r="EO88" t="n">
        <v>517512</v>
      </c>
      <c r="EP88" t="n">
        <v>538042</v>
      </c>
      <c r="EQ88" t="n">
        <v>543660</v>
      </c>
      <c r="ER88" t="n">
        <v>546105</v>
      </c>
      <c r="ES88" t="n">
        <v>548576</v>
      </c>
      <c r="ET88" t="n">
        <v>568277</v>
      </c>
      <c r="EU88" t="n">
        <v>575021</v>
      </c>
      <c r="EV88" t="n">
        <v>578227</v>
      </c>
      <c r="EW88" t="n">
        <v>581089</v>
      </c>
      <c r="EX88" t="n">
        <v>597326</v>
      </c>
      <c r="EY88" t="n">
        <v>602859</v>
      </c>
      <c r="EZ88" t="n">
        <v>608868</v>
      </c>
      <c r="FA88" t="n">
        <v>613115</v>
      </c>
      <c r="FB88" t="n">
        <v>651871</v>
      </c>
      <c r="FC88" t="n">
        <v>662422</v>
      </c>
      <c r="FD88" t="n">
        <v>667932</v>
      </c>
      <c r="FE88" t="n">
        <v>675654</v>
      </c>
      <c r="FF88" t="n">
        <v>678854</v>
      </c>
      <c r="FG88" t="n">
        <v>689251</v>
      </c>
      <c r="FH88" t="n">
        <v>693594</v>
      </c>
      <c r="FI88" t="n">
        <v>698996</v>
      </c>
      <c r="FJ88" t="n">
        <v>703143</v>
      </c>
      <c r="FK88" t="n">
        <v>712039</v>
      </c>
      <c r="FL88" t="n">
        <v>716021</v>
      </c>
      <c r="FM88" t="n">
        <v>721840</v>
      </c>
      <c r="FN88" t="n">
        <v>753212</v>
      </c>
      <c r="FO88" t="n">
        <v>759410</v>
      </c>
      <c r="FP88" t="n">
        <v>765124</v>
      </c>
      <c r="FQ88" t="n">
        <v>770811</v>
      </c>
      <c r="FR88" t="n">
        <v>789992</v>
      </c>
      <c r="FS88" t="n">
        <v>795240</v>
      </c>
      <c r="FT88" t="n">
        <v>802336</v>
      </c>
      <c r="FU88" t="n">
        <v>808608</v>
      </c>
      <c r="FV88" t="n">
        <v>824825</v>
      </c>
      <c r="FW88" t="n">
        <v>831664</v>
      </c>
      <c r="FX88" t="n">
        <v>836478</v>
      </c>
      <c r="FY88" t="n">
        <v>845592</v>
      </c>
      <c r="FZ88" t="n">
        <v>861827</v>
      </c>
      <c r="GA88" t="n">
        <v>868501</v>
      </c>
      <c r="GB88" t="n">
        <v>873921</v>
      </c>
      <c r="GC88" t="n">
        <v>882925</v>
      </c>
      <c r="GD88" t="n">
        <v>886054</v>
      </c>
      <c r="GE88" t="n">
        <v>893200</v>
      </c>
      <c r="GF88" t="n">
        <v>899396</v>
      </c>
      <c r="GG88" t="n">
        <v>907237</v>
      </c>
      <c r="GH88" t="n">
        <v>916306</v>
      </c>
      <c r="GI88" t="n">
        <v>922033</v>
      </c>
      <c r="GJ88" t="n">
        <v>929279</v>
      </c>
      <c r="GK88" t="n">
        <v>936668</v>
      </c>
      <c r="GL88" t="n">
        <v>960613</v>
      </c>
      <c r="GM88" t="n">
        <v>968342</v>
      </c>
      <c r="GN88" t="n">
        <v>976833</v>
      </c>
      <c r="GO88" t="n">
        <v>983861</v>
      </c>
      <c r="GP88" t="n">
        <v>1019190</v>
      </c>
      <c r="GQ88" t="n">
        <v>1026704</v>
      </c>
      <c r="GR88" t="n">
        <v>1034417</v>
      </c>
      <c r="GS88" t="n">
        <v>1042661</v>
      </c>
      <c r="GT88" t="n">
        <v>1068201</v>
      </c>
      <c r="GU88" t="n">
        <v>1075075</v>
      </c>
      <c r="GV88" t="n">
        <v>1080441</v>
      </c>
      <c r="GW88" t="n">
        <v>1087995</v>
      </c>
      <c r="GX88" t="n">
        <v>1105638</v>
      </c>
      <c r="GY88" t="n">
        <v>1109640</v>
      </c>
      <c r="GZ88" t="n">
        <v>1116948</v>
      </c>
      <c r="HA88" t="n">
        <v>1126174</v>
      </c>
      <c r="HB88" t="n">
        <v>1198452</v>
      </c>
      <c r="HC88" t="n">
        <v>1207163</v>
      </c>
      <c r="HD88" t="n">
        <v>1214781</v>
      </c>
      <c r="HE88" t="n">
        <v>1225619</v>
      </c>
      <c r="HF88" t="n">
        <v>1339904</v>
      </c>
      <c r="HG88" t="n">
        <v>1353283</v>
      </c>
      <c r="HH88" t="n">
        <v>1360723</v>
      </c>
      <c r="HI88" t="n">
        <v>1373982</v>
      </c>
      <c r="HJ88" t="n">
        <v>1426547</v>
      </c>
      <c r="HK88" t="n">
        <v>1439730</v>
      </c>
      <c r="HL88" t="n">
        <v>1453137</v>
      </c>
      <c r="HM88" t="n">
        <v>1467916</v>
      </c>
      <c r="HN88" t="n">
        <v>1528789</v>
      </c>
      <c r="HO88" t="n">
        <v>1605981</v>
      </c>
    </row>
    <row r="89">
      <c r="A89" s="78" t="s">
        <v>2601</v>
      </c>
      <c r="B89" s="78"/>
      <c r="C89" s="78"/>
      <c r="D89" s="78"/>
      <c r="E89" s="78"/>
      <c r="F89" s="78"/>
      <c r="G89" s="78"/>
      <c r="H89" s="78"/>
      <c r="I89" s="78"/>
      <c r="J89" s="78"/>
      <c r="K89" s="78"/>
      <c r="L89" s="78"/>
      <c r="M89" s="78"/>
      <c r="N89" s="78"/>
      <c r="O89" s="78"/>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t="n">
        <v>34.4</v>
      </c>
      <c r="GY89" t="n">
        <v>34.4</v>
      </c>
      <c r="GZ89" t="n">
        <v>218.933333333333</v>
      </c>
      <c r="HA89" t="n">
        <v>223.133333333333</v>
      </c>
      <c r="HB89" t="n">
        <v>94.3</v>
      </c>
      <c r="HC89" t="n">
        <v>94.3</v>
      </c>
      <c r="HD89" t="n">
        <v>94.3</v>
      </c>
      <c r="HE89" t="n">
        <v>94.3</v>
      </c>
      <c r="HF89"/>
      <c r="HG89"/>
      <c r="HH89"/>
      <c r="HI89"/>
      <c r="HJ89"/>
      <c r="HK89"/>
      <c r="HL89"/>
      <c r="HM89"/>
      <c r="HN89"/>
      <c r="HO89"/>
    </row>
    <row r="90">
      <c r="A90" s="78" t="s">
        <v>2602</v>
      </c>
      <c r="B90" t="n">
        <v>2.4</v>
      </c>
      <c r="C90" t="n">
        <v>2.4</v>
      </c>
      <c r="D90" t="n">
        <v>2.5</v>
      </c>
      <c r="E90" t="n">
        <v>2.6</v>
      </c>
      <c r="F90" t="n">
        <v>2.6</v>
      </c>
      <c r="G90" t="n">
        <v>2.7</v>
      </c>
      <c r="H90" t="n">
        <v>3.2</v>
      </c>
      <c r="I90" t="n">
        <v>4</v>
      </c>
      <c r="J90" t="n">
        <v>3.1</v>
      </c>
      <c r="K90" t="n">
        <v>2.8</v>
      </c>
      <c r="L90" t="n">
        <v>2.9</v>
      </c>
      <c r="M90" t="n">
        <v>3.1</v>
      </c>
      <c r="N90" t="n">
        <v>3.4</v>
      </c>
      <c r="O90" t="n">
        <v>3.3</v>
      </c>
      <c r="P90" t="n">
        <v>3.2</v>
      </c>
      <c r="Q90" t="n">
        <v>3.2</v>
      </c>
      <c r="R90" t="n">
        <v>3.4</v>
      </c>
      <c r="S90" t="n">
        <v>3.6</v>
      </c>
      <c r="T90" t="n">
        <v>3.8</v>
      </c>
      <c r="U90" t="n">
        <v>3.9</v>
      </c>
      <c r="V90" t="n">
        <v>4.1</v>
      </c>
      <c r="W90" t="n">
        <v>5.2</v>
      </c>
      <c r="X90" t="n">
        <v>6.9</v>
      </c>
      <c r="Y90" t="n">
        <v>7.3</v>
      </c>
      <c r="Z90" t="n">
        <v>4.3</v>
      </c>
      <c r="AA90" t="n">
        <v>4.6</v>
      </c>
      <c r="AB90" t="n">
        <v>4.7</v>
      </c>
      <c r="AC90" t="n">
        <v>4.6</v>
      </c>
      <c r="AD90" t="n">
        <v>5</v>
      </c>
      <c r="AE90" t="n">
        <v>5.3</v>
      </c>
      <c r="AF90" t="n">
        <v>5.8</v>
      </c>
      <c r="AG90" t="n">
        <v>5.5</v>
      </c>
      <c r="AH90" t="n">
        <v>6.4</v>
      </c>
      <c r="AI90" t="n">
        <v>7.1</v>
      </c>
      <c r="AJ90" t="n">
        <v>7.3</v>
      </c>
      <c r="AK90" t="n">
        <v>7.5</v>
      </c>
      <c r="AL90" t="n">
        <v>7.6</v>
      </c>
      <c r="AM90" t="n">
        <v>7.6</v>
      </c>
      <c r="AN90" t="n">
        <v>7.3</v>
      </c>
      <c r="AO90" t="n">
        <v>7.4</v>
      </c>
      <c r="AP90" t="n">
        <v>7.2</v>
      </c>
      <c r="AQ90" t="n">
        <v>6.9</v>
      </c>
      <c r="AR90" t="n">
        <v>7.2</v>
      </c>
      <c r="AS90" t="n">
        <v>7.3</v>
      </c>
      <c r="AT90" t="n">
        <v>7.9</v>
      </c>
      <c r="AU90" t="n">
        <v>8.3</v>
      </c>
      <c r="AV90" t="n">
        <v>8.8</v>
      </c>
      <c r="AW90" t="n">
        <v>9.3</v>
      </c>
      <c r="AX90" t="n">
        <v>9.1</v>
      </c>
      <c r="AY90" t="n">
        <v>8.7</v>
      </c>
      <c r="AZ90" t="n">
        <v>8.3</v>
      </c>
      <c r="BA90" t="n">
        <v>8.3</v>
      </c>
      <c r="BB90" t="n">
        <v>7.6</v>
      </c>
      <c r="BC90" t="n">
        <v>9</v>
      </c>
      <c r="BD90" t="n">
        <v>9.6</v>
      </c>
      <c r="BE90" t="n">
        <v>10.1</v>
      </c>
      <c r="BF90" t="n">
        <v>10.9</v>
      </c>
      <c r="BG90" t="n">
        <v>12.1</v>
      </c>
      <c r="BH90" t="n">
        <v>12.3</v>
      </c>
      <c r="BI90" t="n">
        <v>12.3</v>
      </c>
      <c r="BJ90" t="n">
        <v>12.3</v>
      </c>
      <c r="BK90" t="n">
        <v>11.7</v>
      </c>
      <c r="BL90" t="n">
        <v>12</v>
      </c>
      <c r="BM90" t="n">
        <v>12.7</v>
      </c>
      <c r="BN90" t="n">
        <v>12.8</v>
      </c>
      <c r="BO90" t="n">
        <v>13.4</v>
      </c>
      <c r="BP90" t="n">
        <v>14.3</v>
      </c>
      <c r="BQ90" t="n">
        <v>14.2</v>
      </c>
      <c r="BR90" t="n">
        <v>14.9</v>
      </c>
      <c r="BS90" t="n">
        <v>15.9</v>
      </c>
      <c r="BT90" t="n">
        <v>15.4</v>
      </c>
      <c r="BU90" t="n">
        <v>15.9</v>
      </c>
      <c r="BV90" t="n">
        <v>16.3</v>
      </c>
      <c r="BW90" t="n">
        <v>16.1</v>
      </c>
      <c r="BX90" t="n">
        <v>16.5</v>
      </c>
      <c r="BY90" t="n">
        <v>16.7</v>
      </c>
      <c r="BZ90" t="n">
        <v>17</v>
      </c>
      <c r="CA90" t="n">
        <v>17.5</v>
      </c>
      <c r="CB90" t="n">
        <v>17.7</v>
      </c>
      <c r="CC90" t="n">
        <v>17.6</v>
      </c>
      <c r="CD90" t="n">
        <v>17.7</v>
      </c>
      <c r="CE90" t="n">
        <v>17.8</v>
      </c>
      <c r="CF90" t="n">
        <v>17.5</v>
      </c>
      <c r="CG90" t="n">
        <v>17</v>
      </c>
      <c r="CH90" t="n">
        <v>16.5</v>
      </c>
      <c r="CI90" t="n">
        <v>16.2</v>
      </c>
      <c r="CJ90" t="n">
        <v>16.7</v>
      </c>
      <c r="CK90" t="n">
        <v>17.9</v>
      </c>
      <c r="CL90" t="n">
        <v>17.7</v>
      </c>
      <c r="CM90" t="n">
        <v>18</v>
      </c>
      <c r="CN90" t="n">
        <v>18.7</v>
      </c>
      <c r="CO90" t="n">
        <v>18.9</v>
      </c>
      <c r="CP90" t="n">
        <v>18.7</v>
      </c>
      <c r="CQ90" t="n">
        <v>20.2</v>
      </c>
      <c r="CR90" t="n">
        <v>20.4</v>
      </c>
      <c r="CS90" t="n">
        <v>19.9</v>
      </c>
      <c r="CT90" t="n">
        <v>20.6</v>
      </c>
      <c r="CU90" t="n">
        <v>21.3</v>
      </c>
      <c r="CV90" t="n">
        <v>22</v>
      </c>
      <c r="CW90" t="n">
        <v>21.9</v>
      </c>
      <c r="CX90" t="n">
        <v>20</v>
      </c>
      <c r="CY90" t="n">
        <v>20</v>
      </c>
      <c r="CZ90" t="n">
        <v>19.6</v>
      </c>
      <c r="DA90" t="n">
        <v>19.7</v>
      </c>
      <c r="DB90" t="n">
        <v>20.1</v>
      </c>
      <c r="DC90" t="n">
        <v>19.4</v>
      </c>
      <c r="DD90" t="n">
        <v>19.7</v>
      </c>
      <c r="DE90" t="n">
        <v>17.7</v>
      </c>
      <c r="DF90" t="n">
        <v>19</v>
      </c>
      <c r="DG90" t="n">
        <v>20.4</v>
      </c>
      <c r="DH90" t="n">
        <v>19.8</v>
      </c>
      <c r="DI90" t="n">
        <v>19.3</v>
      </c>
      <c r="DJ90" t="n">
        <v>19.4</v>
      </c>
      <c r="DK90" t="n">
        <v>19.6</v>
      </c>
      <c r="DL90" t="n">
        <v>19.8</v>
      </c>
      <c r="DM90" t="n">
        <v>19.5</v>
      </c>
      <c r="DN90" t="n">
        <v>18.2</v>
      </c>
      <c r="DO90" t="n">
        <v>17.9</v>
      </c>
      <c r="DP90" t="n">
        <v>19.7</v>
      </c>
      <c r="DQ90" t="n">
        <v>20.9</v>
      </c>
      <c r="DR90" t="n">
        <v>20</v>
      </c>
      <c r="DS90" t="n">
        <v>22</v>
      </c>
      <c r="DT90" t="n">
        <v>21.6</v>
      </c>
      <c r="DU90" t="n">
        <v>21</v>
      </c>
      <c r="DV90" t="n">
        <v>21.9</v>
      </c>
      <c r="DW90" t="n">
        <v>20.6</v>
      </c>
      <c r="DX90" t="n">
        <v>19.9</v>
      </c>
      <c r="DY90" t="n">
        <v>20.2</v>
      </c>
      <c r="DZ90" t="n">
        <v>18.9</v>
      </c>
      <c r="EA90" t="n">
        <v>19.8</v>
      </c>
      <c r="EB90" t="n">
        <v>20.6</v>
      </c>
      <c r="EC90" t="n">
        <v>20.5</v>
      </c>
      <c r="ED90" t="n">
        <v>21.7</v>
      </c>
      <c r="EE90" t="n">
        <v>21.3</v>
      </c>
      <c r="EF90" t="n">
        <v>21.5</v>
      </c>
      <c r="EG90" t="n">
        <v>21.4</v>
      </c>
      <c r="EH90" t="n">
        <v>22.4</v>
      </c>
      <c r="EI90" t="n">
        <v>23</v>
      </c>
      <c r="EJ90" t="n">
        <v>23.5</v>
      </c>
      <c r="EK90" t="n">
        <v>24.2</v>
      </c>
      <c r="EL90" t="n">
        <v>25</v>
      </c>
      <c r="EM90" t="n">
        <v>25.4</v>
      </c>
      <c r="EN90" t="n">
        <v>25.5</v>
      </c>
      <c r="EO90" t="n">
        <v>25.4</v>
      </c>
      <c r="EP90" t="n">
        <v>25.9</v>
      </c>
      <c r="EQ90" t="n">
        <v>27.2</v>
      </c>
      <c r="ER90" t="n">
        <v>27.8</v>
      </c>
      <c r="ES90" t="n">
        <v>25.9</v>
      </c>
      <c r="ET90" t="n">
        <v>28.4</v>
      </c>
      <c r="EU90" t="n">
        <v>28.2</v>
      </c>
      <c r="EV90" t="n">
        <v>29</v>
      </c>
      <c r="EW90" t="n">
        <v>29.5</v>
      </c>
      <c r="EX90" t="n">
        <v>29.5</v>
      </c>
      <c r="EY90" t="n">
        <v>29.8</v>
      </c>
      <c r="EZ90" t="n">
        <v>29.3</v>
      </c>
      <c r="FA90" t="n">
        <v>28.4</v>
      </c>
      <c r="FB90" t="n">
        <v>24.4</v>
      </c>
      <c r="FC90" t="n">
        <v>22.3</v>
      </c>
      <c r="FD90" t="n">
        <v>21.3</v>
      </c>
      <c r="FE90" t="n">
        <v>24.3</v>
      </c>
      <c r="FF90" t="n">
        <v>26.2</v>
      </c>
      <c r="FG90" t="n">
        <v>27.9</v>
      </c>
      <c r="FH90" t="n">
        <v>30</v>
      </c>
      <c r="FI90" t="n">
        <v>30.3</v>
      </c>
      <c r="FJ90" t="n">
        <v>30.7</v>
      </c>
      <c r="FK90" t="n">
        <v>32.2</v>
      </c>
      <c r="FL90" t="n">
        <v>32.9</v>
      </c>
      <c r="FM90" t="n">
        <v>31.8</v>
      </c>
      <c r="FN90" t="n">
        <v>32</v>
      </c>
      <c r="FO90" t="n">
        <v>34</v>
      </c>
      <c r="FP90" t="n">
        <v>34.1</v>
      </c>
      <c r="FQ90" t="n">
        <v>33.9</v>
      </c>
      <c r="FR90" t="n">
        <v>35.1</v>
      </c>
      <c r="FS90" t="n">
        <v>34.5</v>
      </c>
      <c r="FT90" t="n">
        <v>35.2</v>
      </c>
      <c r="FU90" t="n">
        <v>37.1</v>
      </c>
      <c r="FV90" t="n">
        <v>36.7</v>
      </c>
      <c r="FW90" t="n">
        <v>36.7</v>
      </c>
      <c r="FX90" t="n">
        <v>37.3</v>
      </c>
      <c r="FY90" t="n">
        <v>38.7</v>
      </c>
      <c r="FZ90" t="n">
        <v>37.6</v>
      </c>
      <c r="GA90" t="n">
        <v>41.4</v>
      </c>
      <c r="GB90" t="n">
        <v>35.2</v>
      </c>
      <c r="GC90" t="n">
        <v>38.3</v>
      </c>
      <c r="GD90" t="n">
        <v>38.9</v>
      </c>
      <c r="GE90" t="n">
        <v>37.4</v>
      </c>
      <c r="GF90" t="n">
        <v>37.2</v>
      </c>
      <c r="GG90" t="n">
        <v>36.6</v>
      </c>
      <c r="GH90" t="n">
        <v>37.4</v>
      </c>
      <c r="GI90" t="n">
        <v>39</v>
      </c>
      <c r="GJ90" t="n">
        <v>38.2</v>
      </c>
      <c r="GK90" t="n">
        <v>39.5</v>
      </c>
      <c r="GL90" t="n">
        <v>41.3</v>
      </c>
      <c r="GM90" t="n">
        <v>46.7</v>
      </c>
      <c r="GN90" t="n">
        <v>53.2</v>
      </c>
      <c r="GO90" t="n">
        <v>71.9</v>
      </c>
      <c r="GP90" t="n">
        <v>75.7</v>
      </c>
      <c r="GQ90" t="n">
        <v>70</v>
      </c>
      <c r="GR90" t="n">
        <v>79.9</v>
      </c>
      <c r="GS90" t="n">
        <v>85.4</v>
      </c>
      <c r="GT90" t="n">
        <v>80.1</v>
      </c>
      <c r="GU90" t="n">
        <v>54.6</v>
      </c>
      <c r="GV90" t="n">
        <v>66.1</v>
      </c>
      <c r="GW90" t="n">
        <v>73.7</v>
      </c>
      <c r="GX90" t="n">
        <v>81.5</v>
      </c>
      <c r="GY90" t="n">
        <v>88.8</v>
      </c>
      <c r="GZ90" t="n">
        <v>88.9</v>
      </c>
      <c r="HA90" t="n">
        <v>97.2</v>
      </c>
      <c r="HB90" t="n">
        <v>108.4</v>
      </c>
      <c r="HC90" t="n">
        <v>109</v>
      </c>
      <c r="HD90" t="n">
        <v>101.3</v>
      </c>
      <c r="HE90" t="n">
        <v>90.6</v>
      </c>
      <c r="HF90" t="n">
        <v>85.3</v>
      </c>
      <c r="HG90" t="n">
        <v>82.3</v>
      </c>
      <c r="HH90" t="n">
        <v>79.3</v>
      </c>
      <c r="HI90" t="n">
        <v>79.5</v>
      </c>
      <c r="HJ90" t="n">
        <v>82.2</v>
      </c>
      <c r="HK90" t="n">
        <v>78.1</v>
      </c>
      <c r="HL90" t="n">
        <v>85.1</v>
      </c>
      <c r="HM90" t="n">
        <v>86.5</v>
      </c>
      <c r="HN90" t="n">
        <v>96.3</v>
      </c>
      <c r="HO90" t="n">
        <v>267</v>
      </c>
    </row>
    <row r="91">
      <c r="A91" t="s">
        <v>2603</v>
      </c>
      <c r="B91" t="n">
        <v>15.4</v>
      </c>
      <c r="C91" t="n">
        <v>15.7</v>
      </c>
      <c r="D91" t="n">
        <v>15.7</v>
      </c>
      <c r="E91" t="n">
        <v>15.6</v>
      </c>
      <c r="F91" t="n">
        <v>16.8</v>
      </c>
      <c r="G91" t="n">
        <v>16</v>
      </c>
      <c r="H91" t="n">
        <v>15.7</v>
      </c>
      <c r="I91" t="n">
        <v>15</v>
      </c>
      <c r="J91" t="n">
        <v>15</v>
      </c>
      <c r="K91" t="n">
        <v>15.5</v>
      </c>
      <c r="L91" t="n">
        <v>15.6</v>
      </c>
      <c r="M91" t="n">
        <v>15.8</v>
      </c>
      <c r="N91" t="n">
        <v>16.1</v>
      </c>
      <c r="O91" t="n">
        <v>16.6</v>
      </c>
      <c r="P91" t="n">
        <v>16.6</v>
      </c>
      <c r="Q91" t="n">
        <v>16.9</v>
      </c>
      <c r="R91" t="n">
        <v>16.4</v>
      </c>
      <c r="S91" t="n">
        <v>16.5</v>
      </c>
      <c r="T91" t="n">
        <v>16.4</v>
      </c>
      <c r="U91" t="n">
        <v>16.3</v>
      </c>
      <c r="V91" t="n">
        <v>15.7</v>
      </c>
      <c r="W91" t="n">
        <v>16.2</v>
      </c>
      <c r="X91" t="n">
        <v>16.4</v>
      </c>
      <c r="Y91" t="n">
        <v>16.6</v>
      </c>
      <c r="Z91" t="n">
        <v>16.5</v>
      </c>
      <c r="AA91" t="n">
        <v>16.8</v>
      </c>
      <c r="AB91" t="n">
        <v>16.9</v>
      </c>
      <c r="AC91" t="n">
        <v>17.1</v>
      </c>
      <c r="AD91" t="n">
        <v>16.9</v>
      </c>
      <c r="AE91" t="n">
        <v>17.2</v>
      </c>
      <c r="AF91" t="n">
        <v>17.4</v>
      </c>
      <c r="AG91" t="n">
        <v>17.7</v>
      </c>
      <c r="AH91" t="n">
        <v>17.5</v>
      </c>
      <c r="AI91" t="n">
        <v>18.3</v>
      </c>
      <c r="AJ91" t="n">
        <v>18.2</v>
      </c>
      <c r="AK91" t="n">
        <v>18.8</v>
      </c>
      <c r="AL91" t="n">
        <v>18.3</v>
      </c>
      <c r="AM91" t="n">
        <v>18.4</v>
      </c>
      <c r="AN91" t="n">
        <v>18.1</v>
      </c>
      <c r="AO91" t="n">
        <v>18.2</v>
      </c>
      <c r="AP91" t="n">
        <v>20.4</v>
      </c>
      <c r="AQ91" t="n">
        <v>26.6</v>
      </c>
      <c r="AR91" t="n">
        <v>28.9</v>
      </c>
      <c r="AS91" t="n">
        <v>30</v>
      </c>
      <c r="AT91" t="n">
        <v>42.8</v>
      </c>
      <c r="AU91" t="n">
        <v>43.5</v>
      </c>
      <c r="AV91" t="n">
        <v>40.3</v>
      </c>
      <c r="AW91" t="n">
        <v>38.8</v>
      </c>
      <c r="AX91" t="n">
        <v>34.4</v>
      </c>
      <c r="AY91" t="n">
        <v>31.3</v>
      </c>
      <c r="AZ91" t="n">
        <v>31.7</v>
      </c>
      <c r="BA91" t="n">
        <v>32</v>
      </c>
      <c r="BB91" t="n">
        <v>33.4</v>
      </c>
      <c r="BC91" t="n">
        <v>36.3</v>
      </c>
      <c r="BD91" t="n">
        <v>35.8</v>
      </c>
      <c r="BE91" t="n">
        <v>35.6</v>
      </c>
      <c r="BF91" t="n">
        <v>36</v>
      </c>
      <c r="BG91" t="n">
        <v>35.3</v>
      </c>
      <c r="BH91" t="n">
        <v>35.2</v>
      </c>
      <c r="BI91" t="n">
        <v>35</v>
      </c>
      <c r="BJ91" t="n">
        <v>34.1</v>
      </c>
      <c r="BK91" t="n">
        <v>34</v>
      </c>
      <c r="BL91" t="n">
        <v>34.8</v>
      </c>
      <c r="BM91" t="n">
        <v>32.8</v>
      </c>
      <c r="BN91" t="n">
        <v>31.7</v>
      </c>
      <c r="BO91" t="n">
        <v>29.5</v>
      </c>
      <c r="BP91" t="n">
        <v>29.5</v>
      </c>
      <c r="BQ91" t="n">
        <v>29.4</v>
      </c>
      <c r="BR91" t="n">
        <v>29.2</v>
      </c>
      <c r="BS91" t="n">
        <v>30</v>
      </c>
      <c r="BT91" t="n">
        <v>31</v>
      </c>
      <c r="BU91" t="n">
        <v>31.5</v>
      </c>
      <c r="BV91" t="n">
        <v>33.2</v>
      </c>
      <c r="BW91" t="n">
        <v>33.2</v>
      </c>
      <c r="BX91" t="n">
        <v>33.8</v>
      </c>
      <c r="BY91" t="n">
        <v>33.5</v>
      </c>
      <c r="BZ91" t="n">
        <v>33.8</v>
      </c>
      <c r="CA91" t="n">
        <v>31.7</v>
      </c>
      <c r="CB91" t="n">
        <v>32.3</v>
      </c>
      <c r="CC91" t="n">
        <v>31.3</v>
      </c>
      <c r="CD91" t="n">
        <v>32.6</v>
      </c>
      <c r="CE91" t="n">
        <v>33</v>
      </c>
      <c r="CF91" t="n">
        <v>33.7</v>
      </c>
      <c r="CG91" t="n">
        <v>34.5</v>
      </c>
      <c r="CH91" t="n">
        <v>43.2</v>
      </c>
      <c r="CI91" t="n">
        <v>45.2</v>
      </c>
      <c r="CJ91" t="n">
        <v>45.1</v>
      </c>
      <c r="CK91" t="n">
        <v>46.3</v>
      </c>
      <c r="CL91" t="n">
        <v>45.9</v>
      </c>
      <c r="CM91" t="n">
        <v>45.1</v>
      </c>
      <c r="CN91" t="n">
        <v>43.2</v>
      </c>
      <c r="CO91" t="n">
        <v>45.7</v>
      </c>
      <c r="CP91" t="n">
        <v>43.5</v>
      </c>
      <c r="CQ91" t="n">
        <v>44.6</v>
      </c>
      <c r="CR91" t="n">
        <v>44.9</v>
      </c>
      <c r="CS91" t="n">
        <v>53.2</v>
      </c>
      <c r="CT91" t="n">
        <v>54.9</v>
      </c>
      <c r="CU91" t="n">
        <v>57.4</v>
      </c>
      <c r="CV91" t="n">
        <v>58.5</v>
      </c>
      <c r="CW91" t="n">
        <v>59.4</v>
      </c>
      <c r="CX91" t="n">
        <v>56.6</v>
      </c>
      <c r="CY91" t="n">
        <v>55.8</v>
      </c>
      <c r="CZ91" t="n">
        <v>55.8</v>
      </c>
      <c r="DA91" t="n">
        <v>54.8</v>
      </c>
      <c r="DB91" t="n">
        <v>52.5</v>
      </c>
      <c r="DC91" t="n">
        <v>51.8</v>
      </c>
      <c r="DD91" t="n">
        <v>52</v>
      </c>
      <c r="DE91" t="n">
        <v>58.2</v>
      </c>
      <c r="DF91" t="n">
        <v>53</v>
      </c>
      <c r="DG91" t="n">
        <v>59.3</v>
      </c>
      <c r="DH91" t="n">
        <v>60.1</v>
      </c>
      <c r="DI91" t="n">
        <v>60.5</v>
      </c>
      <c r="DJ91" t="n">
        <v>59.2</v>
      </c>
      <c r="DK91" t="n">
        <v>59.6</v>
      </c>
      <c r="DL91" t="n">
        <v>60.7</v>
      </c>
      <c r="DM91" t="n">
        <v>61.3</v>
      </c>
      <c r="DN91" t="n">
        <v>62.1</v>
      </c>
      <c r="DO91" t="n">
        <v>62.8</v>
      </c>
      <c r="DP91" t="n">
        <v>63.1</v>
      </c>
      <c r="DQ91" t="n">
        <v>65.1</v>
      </c>
      <c r="DR91" t="n">
        <v>65.2</v>
      </c>
      <c r="DS91" t="n">
        <v>65.4</v>
      </c>
      <c r="DT91" t="n">
        <v>65</v>
      </c>
      <c r="DU91" t="n">
        <v>65</v>
      </c>
      <c r="DV91" t="n">
        <v>64.2</v>
      </c>
      <c r="DW91" t="n">
        <v>64.8</v>
      </c>
      <c r="DX91" t="n">
        <v>62.8</v>
      </c>
      <c r="DY91" t="n">
        <v>62.9</v>
      </c>
      <c r="DZ91" t="n">
        <v>64.8</v>
      </c>
      <c r="EA91" t="n">
        <v>66.5</v>
      </c>
      <c r="EB91" t="n">
        <v>66.4</v>
      </c>
      <c r="EC91" t="n">
        <v>65.7</v>
      </c>
      <c r="ED91" t="n">
        <v>67.4</v>
      </c>
      <c r="EE91" t="n">
        <v>67.7</v>
      </c>
      <c r="EF91" t="n">
        <v>67.1</v>
      </c>
      <c r="EG91" t="n">
        <v>68.7</v>
      </c>
      <c r="EH91" t="n">
        <v>70.7</v>
      </c>
      <c r="EI91" t="n">
        <v>70.8</v>
      </c>
      <c r="EJ91" t="n">
        <v>71.4</v>
      </c>
      <c r="EK91" t="n">
        <v>70.9</v>
      </c>
      <c r="EL91" t="n">
        <v>70.9</v>
      </c>
      <c r="EM91" t="n">
        <v>74.7</v>
      </c>
      <c r="EN91" t="n">
        <v>73.4</v>
      </c>
      <c r="EO91" t="n">
        <v>71.9</v>
      </c>
      <c r="EP91" t="n">
        <v>72</v>
      </c>
      <c r="EQ91" t="n">
        <v>71.2</v>
      </c>
      <c r="ER91" t="n">
        <v>71.4</v>
      </c>
      <c r="ES91" t="n">
        <v>71.3</v>
      </c>
      <c r="ET91" t="n">
        <v>64.4</v>
      </c>
      <c r="EU91" t="n">
        <v>64.4</v>
      </c>
      <c r="EV91" t="n">
        <v>65.3</v>
      </c>
      <c r="EW91" t="n">
        <v>64.9</v>
      </c>
      <c r="EX91" t="n">
        <v>62.7</v>
      </c>
      <c r="EY91" t="n">
        <v>64.5</v>
      </c>
      <c r="EZ91" t="n">
        <v>63.5</v>
      </c>
      <c r="FA91" t="n">
        <v>64.3</v>
      </c>
      <c r="FB91" t="n">
        <v>61.4</v>
      </c>
      <c r="FC91" t="n">
        <v>71</v>
      </c>
      <c r="FD91" t="n">
        <v>69.1</v>
      </c>
      <c r="FE91" t="n">
        <v>67.9</v>
      </c>
      <c r="FF91" t="n">
        <v>65.9</v>
      </c>
      <c r="FG91" t="n">
        <v>67.6</v>
      </c>
      <c r="FH91" t="n">
        <v>67.9</v>
      </c>
      <c r="FI91" t="n">
        <v>67.4</v>
      </c>
      <c r="FJ91" t="n">
        <v>73</v>
      </c>
      <c r="FK91" t="n">
        <v>75.8</v>
      </c>
      <c r="FL91" t="n">
        <v>75.4</v>
      </c>
      <c r="FM91" t="n">
        <v>78.5</v>
      </c>
      <c r="FN91" t="n">
        <v>80.9</v>
      </c>
      <c r="FO91" t="n">
        <v>79.4</v>
      </c>
      <c r="FP91" t="n">
        <v>79.5</v>
      </c>
      <c r="FQ91" t="n">
        <v>82.7</v>
      </c>
      <c r="FR91" t="n">
        <v>86.2</v>
      </c>
      <c r="FS91" t="n">
        <v>88.9</v>
      </c>
      <c r="FT91" t="n">
        <v>90.1</v>
      </c>
      <c r="FU91" t="n">
        <v>90.7</v>
      </c>
      <c r="FV91" t="n">
        <v>98.8</v>
      </c>
      <c r="FW91" t="n">
        <v>97.7</v>
      </c>
      <c r="FX91" t="n">
        <v>98.9</v>
      </c>
      <c r="FY91" t="n">
        <v>97.3</v>
      </c>
      <c r="FZ91" t="n">
        <v>102.4</v>
      </c>
      <c r="GA91" t="n">
        <v>102.5</v>
      </c>
      <c r="GB91" t="n">
        <v>101.4</v>
      </c>
      <c r="GC91" t="n">
        <v>103.9</v>
      </c>
      <c r="GD91" t="n">
        <v>99.4</v>
      </c>
      <c r="GE91" t="n">
        <v>98</v>
      </c>
      <c r="GF91" t="n">
        <v>98.2</v>
      </c>
      <c r="GG91" t="n">
        <v>98.6</v>
      </c>
      <c r="GH91" t="n">
        <v>89</v>
      </c>
      <c r="GI91" t="n">
        <v>91.5</v>
      </c>
      <c r="GJ91" t="n">
        <v>92.4</v>
      </c>
      <c r="GK91" t="n">
        <v>93.9</v>
      </c>
      <c r="GL91" t="n">
        <v>107.5</v>
      </c>
      <c r="GM91" t="n">
        <v>107.8</v>
      </c>
      <c r="GN91" t="n">
        <v>108.9</v>
      </c>
      <c r="GO91" t="n">
        <v>111.5</v>
      </c>
      <c r="GP91" t="n">
        <v>97.8</v>
      </c>
      <c r="GQ91" t="n">
        <v>97.9</v>
      </c>
      <c r="GR91" t="n">
        <v>95.6</v>
      </c>
      <c r="GS91" t="n">
        <v>92.2</v>
      </c>
      <c r="GT91" t="n">
        <v>102.7</v>
      </c>
      <c r="GU91" t="n">
        <v>73.4</v>
      </c>
      <c r="GV91" t="n">
        <v>81.9</v>
      </c>
      <c r="GW91" t="n">
        <v>83.7</v>
      </c>
      <c r="GX91" t="n">
        <v>79.3</v>
      </c>
      <c r="GY91" t="n">
        <v>90.3</v>
      </c>
      <c r="GZ91" t="n">
        <v>93.5</v>
      </c>
      <c r="HA91" t="n">
        <v>97.2</v>
      </c>
      <c r="HB91" t="n">
        <v>97.3</v>
      </c>
      <c r="HC91" t="n">
        <v>98.6</v>
      </c>
      <c r="HD91" t="n">
        <v>97.6</v>
      </c>
      <c r="HE91" t="n">
        <v>98</v>
      </c>
      <c r="HF91" t="n">
        <v>92.9</v>
      </c>
      <c r="HG91" t="n">
        <v>92</v>
      </c>
      <c r="HH91" t="n">
        <v>91.5</v>
      </c>
      <c r="HI91" t="n">
        <v>88.3</v>
      </c>
      <c r="HJ91" t="n">
        <v>93.5</v>
      </c>
      <c r="HK91" t="n">
        <v>92.9</v>
      </c>
      <c r="HL91" t="n">
        <v>94.8</v>
      </c>
      <c r="HM91" t="n">
        <v>94.6</v>
      </c>
      <c r="HN91" t="n">
        <v>93.6</v>
      </c>
      <c r="HO91" t="n">
        <v>95</v>
      </c>
    </row>
    <row r="92">
      <c r="A92" t="s">
        <v>2604</v>
      </c>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t="n">
        <v>0.9</v>
      </c>
      <c r="DK92" t="n">
        <v>0.9</v>
      </c>
      <c r="DL92" t="n">
        <v>0.9</v>
      </c>
      <c r="DM92" t="n">
        <v>0.9</v>
      </c>
      <c r="DN92" t="n">
        <v>1</v>
      </c>
      <c r="DO92" t="n">
        <v>1</v>
      </c>
      <c r="DP92" t="n">
        <v>1</v>
      </c>
      <c r="DQ92" t="n">
        <v>1</v>
      </c>
      <c r="DR92" t="n">
        <v>1</v>
      </c>
      <c r="DS92" t="n">
        <v>1</v>
      </c>
      <c r="DT92" t="n">
        <v>1</v>
      </c>
      <c r="DU92" t="n">
        <v>1</v>
      </c>
      <c r="DV92" t="n">
        <v>1</v>
      </c>
      <c r="DW92" t="n">
        <v>1</v>
      </c>
      <c r="DX92" t="n">
        <v>1</v>
      </c>
      <c r="DY92" t="n">
        <v>1</v>
      </c>
      <c r="DZ92" t="n">
        <v>1</v>
      </c>
      <c r="EA92" t="n">
        <v>1</v>
      </c>
      <c r="EB92" t="n">
        <v>1</v>
      </c>
      <c r="EC92" t="n">
        <v>1</v>
      </c>
      <c r="ED92" t="n">
        <v>1.1</v>
      </c>
      <c r="EE92" t="n">
        <v>1.1</v>
      </c>
      <c r="EF92" t="n">
        <v>1.1</v>
      </c>
      <c r="EG92" t="n">
        <v>1</v>
      </c>
      <c r="EH92" t="n">
        <v>1</v>
      </c>
      <c r="EI92" t="n">
        <v>1</v>
      </c>
      <c r="EJ92" t="n">
        <v>1</v>
      </c>
      <c r="EK92" t="n">
        <v>1.2</v>
      </c>
      <c r="EL92" t="n">
        <v>1.3</v>
      </c>
      <c r="EM92" t="n">
        <v>1.4</v>
      </c>
      <c r="EN92" t="n">
        <v>1.4</v>
      </c>
      <c r="EO92" t="n">
        <v>1.3</v>
      </c>
      <c r="EP92" t="n">
        <v>1.2</v>
      </c>
      <c r="EQ92" t="n">
        <v>1.1</v>
      </c>
      <c r="ER92" t="n">
        <v>1</v>
      </c>
      <c r="ES92" t="n">
        <v>1</v>
      </c>
      <c r="ET92" t="n">
        <v>1.1</v>
      </c>
      <c r="EU92" t="n">
        <v>1.1</v>
      </c>
      <c r="EV92" t="n">
        <v>1.1</v>
      </c>
      <c r="EW92" t="n">
        <v>1.1</v>
      </c>
      <c r="EX92" t="n">
        <v>1</v>
      </c>
      <c r="EY92" t="n">
        <v>1</v>
      </c>
      <c r="EZ92" t="n">
        <v>1</v>
      </c>
      <c r="FA92" t="n">
        <v>1</v>
      </c>
      <c r="FB92" t="n">
        <v>1</v>
      </c>
      <c r="FC92" t="n">
        <v>1</v>
      </c>
      <c r="FD92" t="n">
        <v>1</v>
      </c>
      <c r="FE92" t="n">
        <v>1</v>
      </c>
      <c r="FF92" t="n">
        <v>1</v>
      </c>
      <c r="FG92" t="n">
        <v>1</v>
      </c>
      <c r="FH92" t="n">
        <v>1</v>
      </c>
      <c r="FI92" t="n">
        <v>1</v>
      </c>
      <c r="FJ92" t="n">
        <v>1</v>
      </c>
      <c r="FK92" t="n">
        <v>1</v>
      </c>
      <c r="FL92" t="n">
        <v>1</v>
      </c>
      <c r="FM92" t="n">
        <v>1.1</v>
      </c>
      <c r="FN92" t="n">
        <v>1.1</v>
      </c>
      <c r="FO92" t="n">
        <v>1.1</v>
      </c>
      <c r="FP92" t="n">
        <v>1.1</v>
      </c>
      <c r="FQ92" t="n">
        <v>1.1</v>
      </c>
      <c r="FR92" t="n">
        <v>1</v>
      </c>
      <c r="FS92" t="n">
        <v>1</v>
      </c>
      <c r="FT92" t="n">
        <v>1</v>
      </c>
      <c r="FU92" t="n">
        <v>1.1</v>
      </c>
      <c r="FV92" t="n">
        <v>1.1</v>
      </c>
      <c r="FW92" t="n">
        <v>1.1</v>
      </c>
      <c r="FX92" t="n">
        <v>1.1</v>
      </c>
      <c r="FY92" t="n">
        <v>1.2</v>
      </c>
      <c r="FZ92" t="n">
        <v>1.2</v>
      </c>
      <c r="GA92" t="n">
        <v>1.2</v>
      </c>
      <c r="GB92" t="n">
        <v>1.2</v>
      </c>
      <c r="GC92" t="n">
        <v>1.2</v>
      </c>
      <c r="GD92" t="n">
        <v>1.2</v>
      </c>
      <c r="GE92" t="n">
        <v>1.2</v>
      </c>
      <c r="GF92" t="n">
        <v>1.2</v>
      </c>
      <c r="GG92" t="n">
        <v>1.2</v>
      </c>
      <c r="GH92" t="n">
        <v>1.2</v>
      </c>
      <c r="GI92" t="n">
        <v>1.2</v>
      </c>
      <c r="GJ92" t="n">
        <v>1.2</v>
      </c>
      <c r="GK92" t="n">
        <v>1.2</v>
      </c>
      <c r="GL92" t="n">
        <v>1.2</v>
      </c>
      <c r="GM92" t="n">
        <v>1.2</v>
      </c>
      <c r="GN92" t="n">
        <v>1.3</v>
      </c>
      <c r="GO92" t="n">
        <v>1.3</v>
      </c>
      <c r="GP92" t="n">
        <v>1.3</v>
      </c>
      <c r="GQ92" t="n">
        <v>1.3</v>
      </c>
      <c r="GR92" t="n">
        <v>1.3</v>
      </c>
      <c r="GS92" t="n">
        <v>1.3</v>
      </c>
      <c r="GT92" t="n">
        <v>1.3</v>
      </c>
      <c r="GU92" t="n">
        <v>1.3</v>
      </c>
      <c r="GV92" t="n">
        <v>1.3</v>
      </c>
      <c r="GW92" t="n">
        <v>1.3</v>
      </c>
      <c r="GX92" t="n">
        <v>1.4</v>
      </c>
      <c r="GY92" t="n">
        <v>1.4</v>
      </c>
      <c r="GZ92" t="n">
        <v>1.4</v>
      </c>
      <c r="HA92" t="n">
        <v>1.4</v>
      </c>
      <c r="HB92" t="n">
        <v>1.4</v>
      </c>
      <c r="HC92" t="n">
        <v>1.4</v>
      </c>
      <c r="HD92" t="n">
        <v>1.4</v>
      </c>
      <c r="HE92" t="n">
        <v>1.4</v>
      </c>
      <c r="HF92" t="n">
        <v>1.4</v>
      </c>
      <c r="HG92" t="n">
        <v>1.4</v>
      </c>
      <c r="HH92" t="n">
        <v>1.4</v>
      </c>
      <c r="HI92" t="n">
        <v>1.4</v>
      </c>
      <c r="HJ92" t="n">
        <v>1.4</v>
      </c>
      <c r="HK92" t="n">
        <v>1.4</v>
      </c>
      <c r="HL92" t="n">
        <v>1.4</v>
      </c>
      <c r="HM92" t="n">
        <v>1.4</v>
      </c>
      <c r="HN92" t="n">
        <v>1.4</v>
      </c>
      <c r="HO92" t="n">
        <v>1.4</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15" zoomScaleNormal="115" workbookViewId="0">
      <selection activeCell="D15" sqref="D15"/>
    </sheetView>
  </sheetViews>
  <sheetFormatPr defaultRowHeight="15.0" baseColWidth="10"/>
  <cols>
    <col min="1" max="1" width="32.81640625" hidden="0" customWidth="1"/>
    <col min="2" max="2" width="42.08984375" hidden="0" customWidth="1"/>
  </cols>
  <sheetData>
    <row r="1">
      <c r="A1" s="86" t="s">
        <v>111</v>
      </c>
      <c r="B1" s="86" t="s">
        <v>112</v>
      </c>
      <c r="C1" s="92" t="s">
        <v>676</v>
      </c>
      <c r="D1" s="92" t="s">
        <v>677</v>
      </c>
      <c r="E1" s="92" t="s">
        <v>1803</v>
      </c>
      <c r="F1" s="92" t="s">
        <v>1058</v>
      </c>
      <c r="G1" s="92" t="s">
        <v>1059</v>
      </c>
      <c r="H1" s="92" t="s">
        <v>1060</v>
      </c>
      <c r="I1" s="92" t="s">
        <v>1061</v>
      </c>
      <c r="J1" s="92" t="s">
        <v>1062</v>
      </c>
    </row>
    <row r="2">
      <c r="A2" s="91" t="s">
        <v>1605</v>
      </c>
      <c r="B2" t="s">
        <v>1623</v>
      </c>
      <c r="C2" s="90" t="n">
        <f>Deflators!AE23</f>
        <v>5.9160265843611892E-3</v>
      </c>
      <c r="D2" s="90" t="n">
        <f>Deflators!AF23</f>
        <v>5.9495417545925022E-3</v>
      </c>
      <c r="E2" s="90" t="n">
        <f>Deflators!AG23</f>
        <v>5.3246047022768028E-3</v>
      </c>
      <c r="F2" s="90" t="n">
        <f>Deflators!AH23</f>
        <v>5.0560151008076648E-3</v>
      </c>
      <c r="G2" s="90" t="n">
        <f>Deflators!AI23</f>
        <v>5.0400673136283825E-3</v>
      </c>
      <c r="H2" s="90" t="n">
        <f>Deflators!AJ23</f>
        <v>5.0641944009628403E-3</v>
      </c>
      <c r="I2" s="90" t="n">
        <f>Deflators!AK23</f>
        <v>5.0315604958042215E-3</v>
      </c>
      <c r="J2" s="90" t="n">
        <f>Deflators!AL23</f>
        <v>5.0077163079846887E-3</v>
      </c>
    </row>
    <row r="3">
      <c r="A3" s="85" t="s">
        <v>1619</v>
      </c>
      <c r="B3" t="s">
        <v>1624</v>
      </c>
      <c r="C3" s="90" t="n">
        <f>Deflators!AE24</f>
        <v>6.1258970181228278E-3</v>
      </c>
      <c r="D3" s="90" t="n">
        <f>Deflators!AF24</f>
        <v>5.9761162066749307E-3</v>
      </c>
      <c r="E3" s="90" t="n">
        <f>Deflators!AG24</f>
        <v>5.3360385557714718E-3</v>
      </c>
      <c r="F3" s="90" t="n">
        <f>Deflators!AH24</f>
        <v>5.6496540320822852E-3</v>
      </c>
      <c r="G3" s="90" t="n">
        <f>Deflators!AI24</f>
        <v>5.7657657657657069E-3</v>
      </c>
      <c r="H3" s="90" t="n">
        <f>Deflators!AJ24</f>
        <v>5.9196503336531592E-3</v>
      </c>
      <c r="I3" s="90" t="n">
        <f>Deflators!AK24</f>
        <v>5.5566525119521426E-3</v>
      </c>
      <c r="J3" s="90" t="n">
        <f>Deflators!AL24</f>
        <v>5.4914304880231413E-3</v>
      </c>
    </row>
    <row r="4">
      <c r="A4" s="85" t="s">
        <v>1620</v>
      </c>
      <c r="B4" t="s">
        <v>1625</v>
      </c>
      <c r="C4" s="90" t="n">
        <f>Deflators!AE25</f>
        <v>7.7455120761196206E-3</v>
      </c>
      <c r="D4" s="90" t="n">
        <f>Deflators!AF25</f>
        <v>8.0020266414988495E-3</v>
      </c>
      <c r="E4" s="90" t="n">
        <f>Deflators!AG25</f>
        <v>8.189994905591913E-3</v>
      </c>
      <c r="F4" s="90" t="n">
        <f>Deflators!AH25</f>
        <v>7.7655046872424638E-3</v>
      </c>
      <c r="G4" s="90" t="n">
        <f>Deflators!AI25</f>
        <v>7.6646909789201967E-3</v>
      </c>
      <c r="H4" s="90" t="n">
        <f>Deflators!AJ25</f>
        <v>7.6652640346144274E-3</v>
      </c>
      <c r="I4" s="90" t="n">
        <f>Deflators!AK25</f>
        <v>7.549640626419496E-3</v>
      </c>
      <c r="J4" s="90" t="n">
        <f>Deflators!AL25</f>
        <v>7.4988972991580916E-3</v>
      </c>
    </row>
    <row r="5">
      <c r="A5" s="85" t="s">
        <v>1621</v>
      </c>
      <c r="B5" t="s">
        <v>1626</v>
      </c>
      <c r="C5" s="90" t="n">
        <f>Deflators!AE26</f>
        <v>7.7455120761196206E-3</v>
      </c>
      <c r="D5" s="90" t="n">
        <f>Deflators!AF26</f>
        <v>8.0020266414988495E-3</v>
      </c>
      <c r="E5" s="90" t="n">
        <f>Deflators!AG26</f>
        <v>8.189994905591913E-3</v>
      </c>
      <c r="F5" s="90" t="n">
        <f>Deflators!AH26</f>
        <v>7.7655046872424638E-3</v>
      </c>
      <c r="G5" s="90" t="n">
        <f>Deflators!AI26</f>
        <v>7.6646909789201967E-3</v>
      </c>
      <c r="H5" s="90" t="n">
        <f>Deflators!AJ26</f>
        <v>7.6652640346144274E-3</v>
      </c>
      <c r="I5" s="90" t="n">
        <f>Deflators!AK26</f>
        <v>7.549640626419496E-3</v>
      </c>
      <c r="J5" s="90" t="n">
        <f>Deflators!AL26</f>
        <v>7.4988972991580916E-3</v>
      </c>
    </row>
    <row r="6">
      <c r="A6" s="78" t="s">
        <v>1622</v>
      </c>
      <c r="B6" t="s">
        <v>1627</v>
      </c>
      <c r="C6" s="90" t="n">
        <f>Deflators!AE27</f>
        <v>7.7455120761196206E-3</v>
      </c>
      <c r="D6" s="90" t="n">
        <f>Deflators!AF27</f>
        <v>8.0020266414988495E-3</v>
      </c>
      <c r="E6" s="90" t="n">
        <f>Deflators!AG27</f>
        <v>8.189994905591913E-3</v>
      </c>
      <c r="F6" s="90" t="n">
        <f>Deflators!AH27</f>
        <v>7.7655046872424638E-3</v>
      </c>
      <c r="G6" s="90" t="n">
        <f>Deflators!AI27</f>
        <v>7.6646909789201967E-3</v>
      </c>
      <c r="H6" s="90" t="n">
        <f>Deflators!AJ27</f>
        <v>7.6652640346144274E-3</v>
      </c>
      <c r="I6" s="90" t="n">
        <f>Deflators!AK27</f>
        <v>7.549640626419496E-3</v>
      </c>
      <c r="J6" s="90" t="n">
        <f>Deflators!AL27</f>
        <v>7.4988972991580916E-3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selection activeCell="I18" sqref="I18"/>
    </sheetView>
  </sheetViews>
  <sheetFormatPr defaultRowHeight="15.0" baseColWidth="10"/>
  <cols>
    <col min="2" max="2" width="39.453125" hidden="0" customWidth="1"/>
    <col min="3" max="3" width="20.1796875" hidden="0" customWidth="1"/>
  </cols>
  <sheetData>
    <row r="2">
      <c r="B2" s="93" t="s">
        <v>1975</v>
      </c>
      <c r="C2" s="93"/>
      <c r="D2" s="93"/>
      <c r="E2" s="93"/>
      <c r="F2" s="93"/>
      <c r="G2" s="93"/>
      <c r="H2" s="93"/>
      <c r="I2" s="93"/>
      <c r="J2" s="93"/>
    </row>
    <row r="3">
      <c r="B3" t="str">
        <f>forecast!A1</f>
        <v>name</v>
      </c>
      <c r="C3" t="str">
        <f>forecast!B1</f>
        <v>variable</v>
      </c>
      <c r="D3" t="s">
        <v>676</v>
      </c>
      <c r="E3" t="s">
        <v>677</v>
      </c>
      <c r="F3" t="s">
        <v>1057</v>
      </c>
      <c r="G3" t="s">
        <v>1058</v>
      </c>
      <c r="H3" t="s">
        <v>1059</v>
      </c>
      <c r="I3" t="s">
        <v>1060</v>
      </c>
      <c r="J3" t="s">
        <v>1061</v>
      </c>
    </row>
    <row r="4">
      <c r="B4" t="str">
        <f>forecast!A2</f>
        <v>Consumption Grants</v>
      </c>
      <c r="C4" t="str">
        <f>forecast!B2</f>
        <v>consumption_grants</v>
      </c>
      <c r="D4" s="96" t="n">
        <f>forecast!C2</f>
        <v>158.69862653211933</v>
      </c>
      <c r="E4" s="96" t="n">
        <f>forecast!D2</f>
        <v>154.92704815110517</v>
      </c>
      <c r="F4" s="96" t="n">
        <f>forecast!E2</f>
        <v>155.16843423792824</v>
      </c>
      <c r="G4" s="96" t="n">
        <f>forecast!F2</f>
        <v>152.6091988</v>
      </c>
      <c r="H4" s="96" t="n">
        <f>forecast!G2</f>
        <v>153.85536527340412</v>
      </c>
      <c r="I4" s="96" t="n">
        <f>forecast!H2</f>
        <v>153.10395732514939</v>
      </c>
      <c r="J4" s="96" t="n">
        <f>forecast!I2</f>
        <v>153.35499885544536</v>
      </c>
    </row>
    <row r="5">
      <c r="B5" t="str">
        <f>forecast!A3</f>
        <v>Investment Grants</v>
      </c>
      <c r="C5" t="str">
        <f>forecast!B3</f>
        <v>investment_grants</v>
      </c>
      <c r="D5" s="96" t="n">
        <f>forecast!C3</f>
        <v>5.8262857142857154</v>
      </c>
      <c r="E5" s="96" t="n">
        <f>forecast!D3</f>
        <v>5.8262857142857154</v>
      </c>
      <c r="F5" s="96" t="n">
        <f>forecast!E3</f>
        <v>5.8262857142857154</v>
      </c>
      <c r="G5" s="96" t="n">
        <f>forecast!F3</f>
        <v>5.8262857142857154</v>
      </c>
      <c r="H5" s="96" t="n">
        <f>forecast!G3</f>
        <v>5.8262857142857154</v>
      </c>
      <c r="I5" s="96" t="n">
        <f>forecast!H3</f>
        <v>5.8262857142857154</v>
      </c>
      <c r="J5" s="96" t="n">
        <f>forecast!I3</f>
        <v>5.8262857142857154</v>
      </c>
    </row>
    <row r="6">
      <c r="B6" t="str">
        <f>forecast!A4</f>
        <v>Federal Purchases (NIPA Consistent)</v>
      </c>
      <c r="C6" t="str">
        <f>forecast!B4</f>
        <v>federal_purchases</v>
      </c>
      <c r="D6" s="96" t="n">
        <f>forecast!C4</f>
        <v>187.29991626105615</v>
      </c>
      <c r="E6" s="96" t="n">
        <f>forecast!D4</f>
        <v>188.42245773800178</v>
      </c>
      <c r="F6" s="96" t="n">
        <f>forecast!E4</f>
        <v>191.80943633223424</v>
      </c>
      <c r="G6" s="96" t="n">
        <f>forecast!F4</f>
        <v>193.29970691369655</v>
      </c>
      <c r="H6" s="96" t="n">
        <f>forecast!G4</f>
        <v>194.96416496571939</v>
      </c>
      <c r="I6" s="96" t="n">
        <f>forecast!H4</f>
        <v>195.95122729889573</v>
      </c>
      <c r="J6" s="96" t="n">
        <f>forecast!I4</f>
        <v>196.8802271418852</v>
      </c>
    </row>
    <row r="7">
      <c r="B7" t="str">
        <f>forecast!A5</f>
        <v>State Purchases (NIPA Consistent)</v>
      </c>
      <c r="C7" t="str">
        <f>forecast!B5</f>
        <v>state_purchases</v>
      </c>
      <c r="D7" s="96" t="n">
        <f>forecast!C5</f>
        <v>220.59777539671381</v>
      </c>
      <c r="E7" s="96" t="n">
        <f>forecast!D5</f>
        <v>222.67013486241746</v>
      </c>
      <c r="F7" s="96" t="n">
        <f>forecast!E5</f>
        <v>224.80146546822237</v>
      </c>
      <c r="G7" s="96" t="n">
        <f>forecast!F5</f>
        <v>226.78862049537324</v>
      </c>
      <c r="H7" s="96" t="n">
        <f>forecast!G5</f>
        <v>228.81321771913983</v>
      </c>
      <c r="I7" s="96" t="n">
        <f>forecast!H5</f>
        <v>230.78902206597965</v>
      </c>
      <c r="J7" s="96" t="n">
        <f>forecast!I5</f>
        <v>232.72170014770899</v>
      </c>
    </row>
    <row r="8">
      <c r="B8" t="str">
        <f>forecast!A6</f>
        <v>Non-ARP Subsidies + ARP Provider Relief and PPP</v>
      </c>
      <c r="C8" t="str">
        <f>forecast!B6</f>
        <v>federal_subsidies</v>
      </c>
      <c r="D8" s="96" t="n">
        <f>forecast!C6</f>
        <v>5.8010000000000002</v>
      </c>
      <c r="E8" s="96" t="n">
        <f>forecast!D6</f>
        <v>10.14</v>
      </c>
      <c r="F8" s="96" t="n">
        <f>forecast!E6</f>
        <v>7.99</v>
      </c>
      <c r="G8" s="96" t="n">
        <f>forecast!F6</f>
        <v>7.99</v>
      </c>
      <c r="H8" s="96" t="n">
        <f>forecast!G6</f>
        <v>7.99</v>
      </c>
      <c r="I8" s="96" t="n">
        <f>forecast!H6</f>
        <v>7.99</v>
      </c>
      <c r="J8" s="96" t="n">
        <f>forecast!I6</f>
        <v>7.99</v>
      </c>
    </row>
    <row r="9">
      <c r="B9" t="str">
        <f>forecast!A7</f>
        <v>ARP Subsidies less Provider Relief and PPP</v>
      </c>
      <c r="C9" t="str">
        <f>forecast!B7</f>
        <v>federal_aid_to_small_businesses_arp</v>
      </c>
      <c r="D9" s="96" t="n">
        <f>forecast!C7</f>
        <v>-0.90100000000000025</v>
      </c>
      <c r="E9" s="96" t="n">
        <f>forecast!D7</f>
        <v>-2.1500000000000004</v>
      </c>
      <c r="F9" s="96" t="n">
        <f>forecast!E7</f>
        <v>0</v>
      </c>
      <c r="G9" s="96" t="n">
        <f>forecast!F7</f>
        <v>0</v>
      </c>
      <c r="H9" s="96" t="n">
        <f>forecast!G7</f>
        <v>0</v>
      </c>
      <c r="I9" s="96" t="n">
        <f>forecast!H7</f>
        <v>0</v>
      </c>
      <c r="J9" s="96" t="n">
        <f>forecast!I7</f>
        <v>0</v>
      </c>
    </row>
    <row r="10">
      <c r="B10" t="str">
        <f>forecast!A8</f>
        <v>Federal UI</v>
      </c>
      <c r="C10" t="str">
        <f>forecast!B8</f>
        <v>federal_ui</v>
      </c>
      <c r="D10" s="96" t="n">
        <f>forecast!C8</f>
        <v>0</v>
      </c>
      <c r="E10" s="96" t="n">
        <f>forecast!D8</f>
        <v>0</v>
      </c>
      <c r="F10" s="96" t="n">
        <f>forecast!E8</f>
        <v>0</v>
      </c>
      <c r="G10" s="96" t="n">
        <f>forecast!F8</f>
        <v>0</v>
      </c>
      <c r="H10" s="96" t="n">
        <f>forecast!G8</f>
        <v>0</v>
      </c>
      <c r="I10" s="96" t="n">
        <f>forecast!H8</f>
        <v>0</v>
      </c>
      <c r="J10" s="96" t="n">
        <f>forecast!I8</f>
        <v>0</v>
      </c>
    </row>
    <row r="11">
      <c r="B11" t="str">
        <f>forecast!A9</f>
        <v>State UI</v>
      </c>
      <c r="C11" t="str">
        <f>forecast!B9</f>
        <v>state_ui</v>
      </c>
      <c r="D11" s="96" t="n">
        <f>forecast!C9</f>
        <v>35.700000000000003</v>
      </c>
      <c r="E11" s="96" t="n">
        <f>forecast!D9</f>
        <v>35.700000000000003</v>
      </c>
      <c r="F11" s="96" t="n">
        <f>forecast!E9</f>
        <v>35.700000000000003</v>
      </c>
      <c r="G11" s="96" t="n">
        <f>forecast!F9</f>
        <v>35.700000000000003</v>
      </c>
      <c r="H11" s="96" t="n">
        <f>forecast!G9</f>
        <v>35.700000000000003</v>
      </c>
      <c r="I11" s="96" t="n">
        <f>forecast!H9</f>
        <v>35.700000000000003</v>
      </c>
      <c r="J11" s="96" t="n">
        <f>forecast!I9</f>
        <v>36.700000000000003</v>
      </c>
    </row>
    <row r="12">
      <c r="B12" t="str">
        <f>forecast!A10</f>
        <v>Federal Medicaid</v>
      </c>
      <c r="C12" t="str">
        <f>forecast!B10</f>
        <v>medicaid_grants</v>
      </c>
      <c r="D12" s="96" t="e">
        <f>forecast!C10</f>
        <v>#DIV/0!</v>
      </c>
      <c r="E12" s="96" t="e">
        <f>forecast!D10</f>
        <v>#DIV/0!</v>
      </c>
      <c r="F12" s="96" t="e">
        <f>forecast!E10</f>
        <v>#DIV/0!</v>
      </c>
      <c r="G12" s="96" t="e">
        <f>forecast!F10</f>
        <v>#DIV/0!</v>
      </c>
      <c r="H12" s="96" t="e">
        <f>forecast!G10</f>
        <v>#DIV/0!</v>
      </c>
      <c r="I12" s="96" t="e">
        <f>forecast!H10</f>
        <v>#DIV/0!</v>
      </c>
      <c r="J12" s="96" t="e">
        <f>forecast!I10</f>
        <v>#DIV/0!</v>
      </c>
    </row>
    <row r="13">
      <c r="B13" t="str">
        <f>forecast!A11</f>
        <v>Total Medicaid</v>
      </c>
      <c r="C13" t="str">
        <f>forecast!B11</f>
        <v>medicaid</v>
      </c>
      <c r="D13" s="96" t="e">
        <f>forecast!C11</f>
        <v>#DIV/0!</v>
      </c>
      <c r="E13" s="96" t="e">
        <f>forecast!D11</f>
        <v>#DIV/0!</v>
      </c>
      <c r="F13" s="96" t="e">
        <f>forecast!E11</f>
        <v>#DIV/0!</v>
      </c>
      <c r="G13" s="96" t="e">
        <f>forecast!F11</f>
        <v>#DIV/0!</v>
      </c>
      <c r="H13" s="96" t="e">
        <f>forecast!G11</f>
        <v>#DIV/0!</v>
      </c>
      <c r="I13" s="96" t="e">
        <f>forecast!H11</f>
        <v>#DIV/0!</v>
      </c>
      <c r="J13" s="96" t="e">
        <f>forecast!I11</f>
        <v>#DIV/0!</v>
      </c>
    </row>
    <row r="14">
      <c r="B14" t="str">
        <f>forecast!A12</f>
        <v>Medicare</v>
      </c>
      <c r="C14" t="str">
        <f>forecast!B12</f>
        <v>medicare</v>
      </c>
      <c r="D14" s="96" t="n">
        <f>forecast!C12</f>
        <v>19.444513501822815</v>
      </c>
      <c r="E14" s="96" t="n">
        <f>forecast!D12</f>
        <v>19.73550058158127</v>
      </c>
      <c r="F14" s="96" t="n">
        <f>forecast!E12</f>
        <v>20.030842282018636</v>
      </c>
      <c r="G14" s="96" t="n">
        <f>forecast!F12</f>
        <v>20.330603770018858</v>
      </c>
      <c r="H14" s="96" t="n">
        <f>forecast!G12</f>
        <v>20.634851187688085</v>
      </c>
      <c r="I14" s="96" t="n">
        <f>forecast!H12</f>
        <v>20.946315392672279</v>
      </c>
      <c r="J14" s="96" t="n">
        <f>forecast!I12</f>
        <v>21.262480864949563</v>
      </c>
    </row>
    <row r="15">
      <c r="B15" t="str">
        <f>forecast!A13</f>
        <v>Non-ARP Rebate Checks</v>
      </c>
      <c r="C15" t="str">
        <f>forecast!B13</f>
        <v>rebate_checks</v>
      </c>
      <c r="D15" s="96" t="n">
        <f>forecast!C13</f>
        <v>0</v>
      </c>
      <c r="E15" s="96" t="n">
        <f>forecast!D13</f>
        <v>0</v>
      </c>
      <c r="F15" s="96" t="n">
        <f>forecast!E13</f>
        <v>0</v>
      </c>
      <c r="G15" s="96" t="n">
        <f>forecast!F13</f>
        <v>0</v>
      </c>
      <c r="H15" s="96" t="n">
        <f>forecast!G13</f>
        <v>0</v>
      </c>
      <c r="I15" s="96" t="n">
        <f>forecast!H13</f>
        <v>0</v>
      </c>
      <c r="J15" s="96" t="n">
        <f>forecast!I13</f>
        <v>0</v>
      </c>
    </row>
    <row r="16">
      <c r="B16" t="str">
        <f>forecast!A14</f>
        <v>ARP Rebate Checks</v>
      </c>
      <c r="C16" t="str">
        <f>forecast!B14</f>
        <v>rebate_checks_arp</v>
      </c>
      <c r="D16" s="96" t="n">
        <f>forecast!C14</f>
        <v>0</v>
      </c>
      <c r="E16" s="96" t="n">
        <f>forecast!D14</f>
        <v>0</v>
      </c>
      <c r="F16" s="96" t="n">
        <f>forecast!E14</f>
        <v>0</v>
      </c>
      <c r="G16" s="96" t="n">
        <f>forecast!F14</f>
        <v>0</v>
      </c>
      <c r="H16" s="96" t="n">
        <f>forecast!G14</f>
        <v>0</v>
      </c>
      <c r="I16" s="96" t="n">
        <f>forecast!H14</f>
        <v>0</v>
      </c>
      <c r="J16" s="96" t="n">
        <f>forecast!I14</f>
        <v>0</v>
      </c>
    </row>
    <row r="17">
      <c r="B17" t="str">
        <f>forecast!A15</f>
        <v>ARP Other Vulnerable</v>
      </c>
      <c r="C17" t="str">
        <f>forecast!B15</f>
        <v>federal_other_vulnerable_arp</v>
      </c>
      <c r="D17" s="96" t="n">
        <f>forecast!C15</f>
        <v>2.3719999999999999</v>
      </c>
      <c r="E17" s="96" t="n">
        <f>forecast!D15</f>
        <v>0.49</v>
      </c>
      <c r="F17" s="96" t="n">
        <f>forecast!E15</f>
        <v>0</v>
      </c>
      <c r="G17" s="96" t="n">
        <f>forecast!F15</f>
        <v>0</v>
      </c>
      <c r="H17" s="96" t="n">
        <f>forecast!G15</f>
        <v>0</v>
      </c>
      <c r="I17" s="96" t="n">
        <f>forecast!H15</f>
        <v>0</v>
      </c>
      <c r="J17" s="96" t="n">
        <f>forecast!I15</f>
        <v>0</v>
      </c>
    </row>
    <row r="18">
      <c r="B18" t="str">
        <f>forecast!A16</f>
        <v>ARP Other Direct Aid plus Provider Relief </v>
      </c>
      <c r="C18" t="str">
        <f>forecast!B16</f>
        <v>federal_other_direct_aid_arp</v>
      </c>
      <c r="D18" s="96" t="n">
        <f>forecast!C16</f>
        <v>1.63</v>
      </c>
      <c r="E18" s="96" t="n">
        <f>forecast!D16</f>
        <v>1.671</v>
      </c>
      <c r="F18" s="96" t="n">
        <f>forecast!E16</f>
        <v>0</v>
      </c>
      <c r="G18" s="96" t="n">
        <f>forecast!F16</f>
        <v>0</v>
      </c>
      <c r="H18" s="96" t="n">
        <f>forecast!G16</f>
        <v>0</v>
      </c>
      <c r="I18" s="96" t="n">
        <f>forecast!H16</f>
        <v>0</v>
      </c>
      <c r="J18" s="96" t="n">
        <f>forecast!I16</f>
        <v>0</v>
      </c>
    </row>
    <row r="19">
      <c r="B19" t="str">
        <f>forecast!A17</f>
        <v>Other Federal Social Benefits (including all SNAP)</v>
      </c>
      <c r="C19" t="str">
        <f>forecast!B17</f>
        <v>federal_social_benefits</v>
      </c>
      <c r="D19" s="96" t="n">
        <f>forecast!C17</f>
        <v>109.97340500000004</v>
      </c>
      <c r="E19" s="96" t="n">
        <f>forecast!D17</f>
        <v>98.648187025000027</v>
      </c>
      <c r="F19" s="96" t="n">
        <f>forecast!E17</f>
        <v>113.68425096012503</v>
      </c>
      <c r="G19" s="96" t="n">
        <f>forecast!F17</f>
        <v>125.82977767492565</v>
      </c>
      <c r="H19" s="96" t="n">
        <f>forecast!G17</f>
        <v>139.70267202330029</v>
      </c>
      <c r="I19" s="96" t="n">
        <f>forecast!H17</f>
        <v>145.41993084341678</v>
      </c>
      <c r="J19" s="96" t="n">
        <f>forecast!I17</f>
        <v>162.6991828416339</v>
      </c>
    </row>
    <row r="20">
      <c r="B20" t="str">
        <f>forecast!A18</f>
        <v>State Social Benefits ex Medicaid</v>
      </c>
      <c r="C20" t="str">
        <f>forecast!B18</f>
        <v>state_social_benefits</v>
      </c>
      <c r="D20" s="96" t="n">
        <f>forecast!C18</f>
        <v>-91.163663139575235</v>
      </c>
      <c r="E20" s="96" t="n">
        <f>forecast!D18</f>
        <v>-95.691486953160634</v>
      </c>
      <c r="F20" s="96" t="n">
        <f>forecast!E18</f>
        <v>-100.44419410053094</v>
      </c>
      <c r="G20" s="96" t="n">
        <f>forecast!F18</f>
        <v>-105.43295385767749</v>
      </c>
      <c r="H20" s="96" t="n">
        <f>forecast!G18</f>
        <v>-110.66949024479646</v>
      </c>
      <c r="I20" s="96" t="n">
        <f>forecast!H18</f>
        <v>-116.16610957875801</v>
      </c>
      <c r="J20" s="96" t="n">
        <f>forecast!I18</f>
        <v>-121.93572939402338</v>
      </c>
    </row>
    <row r="21">
      <c r="B21" t="str">
        <f>forecast!A19</f>
        <v>Federal Non-Corporate Taxes</v>
      </c>
      <c r="C21" t="str">
        <f>forecast!B19</f>
        <v>federal_non_corporate_taxes</v>
      </c>
      <c r="D21" s="96" t="n">
        <f>forecast!C19</f>
        <v>255.85120834274557</v>
      </c>
      <c r="E21" s="96" t="n">
        <f>forecast!D19</f>
        <v>316.39728465678081</v>
      </c>
      <c r="F21" s="96" t="n">
        <f>forecast!E19</f>
        <v>65.735740640653447</v>
      </c>
      <c r="G21" s="96" t="n">
        <f>forecast!F19</f>
        <v>67.678536141759167</v>
      </c>
      <c r="H21" s="96" t="n">
        <f>forecast!G19</f>
        <v>69.649207411984236</v>
      </c>
      <c r="I21" s="96" t="n">
        <f>forecast!H19</f>
        <v>71.648110530447653</v>
      </c>
      <c r="J21" s="96" t="n">
        <f>forecast!I19</f>
        <v>3.6309728050395336</v>
      </c>
    </row>
    <row r="22">
      <c r="B22" t="str">
        <f>forecast!A20</f>
        <v>State Non-Corporate Taxes</v>
      </c>
      <c r="C22" t="str">
        <f>forecast!B20</f>
        <v>state_non_corporate_taxes</v>
      </c>
      <c r="D22" s="96" t="n">
        <f>forecast!C20</f>
        <v>148.40803374473339</v>
      </c>
      <c r="E22" s="96" t="n">
        <f>forecast!D20</f>
        <v>150.01111960699666</v>
      </c>
      <c r="F22" s="96" t="n">
        <f>forecast!E20</f>
        <v>151.48284414687353</v>
      </c>
      <c r="G22" s="96" t="n">
        <f>forecast!F20</f>
        <v>153.02682066145346</v>
      </c>
      <c r="H22" s="96" t="n">
        <f>forecast!G20</f>
        <v>154.42279518832558</v>
      </c>
      <c r="I22" s="96" t="n">
        <f>forecast!H20</f>
        <v>155.94978286991093</v>
      </c>
      <c r="J22" s="96" t="n">
        <f>forecast!I20</f>
        <v>157.56567203132539</v>
      </c>
    </row>
    <row r="23">
      <c r="B23" t="str">
        <f>forecast!A21</f>
        <v>Federal Corporate Taxes</v>
      </c>
      <c r="C23" t="str">
        <f>forecast!B21</f>
        <v>federal_corporate_taxes</v>
      </c>
      <c r="D23" s="96" t="n">
        <f>forecast!C21</f>
        <v>-350.55781247494872</v>
      </c>
      <c r="E23" s="96" t="n">
        <f>forecast!D21</f>
        <v>-93.391759745174227</v>
      </c>
      <c r="F23" s="96" t="n">
        <f>forecast!E21</f>
        <v>-92.814703781975751</v>
      </c>
      <c r="G23" s="96" t="n">
        <f>forecast!F21</f>
        <v>-92.241213375155823</v>
      </c>
      <c r="H23" s="96" t="n">
        <f>forecast!G21</f>
        <v>-91.671266493589044</v>
      </c>
      <c r="I23" s="96" t="n">
        <f>forecast!H21</f>
        <v>-91.104841242277558</v>
      </c>
      <c r="J23" s="96" t="n">
        <f>forecast!I21</f>
        <v>-80.541915861509978</v>
      </c>
    </row>
    <row r="24">
      <c r="B24" t="str">
        <f>forecast!A22</f>
        <v>State Corporate Taxes</v>
      </c>
      <c r="C24" s="78" t="str">
        <f>forecast!B22</f>
        <v>state_corporate_taxes</v>
      </c>
      <c r="D24" s="96" t="n">
        <f>forecast!C22</f>
        <v>7.5336169110602595</v>
      </c>
      <c r="E24" s="96" t="n">
        <f>forecast!D22</f>
        <v>7.5298398824095578</v>
      </c>
      <c r="F24" s="96" t="n">
        <f>forecast!E22</f>
        <v>7.5389491868024283</v>
      </c>
      <c r="G24" s="96" t="n">
        <f>forecast!F22</f>
        <v>7.5538351232493142</v>
      </c>
      <c r="H24" s="96" t="n">
        <f>forecast!G22</f>
        <v>7.5462810659479098</v>
      </c>
      <c r="I24" s="96" t="n">
        <f>forecast!H22</f>
        <v>7.5553903703407812</v>
      </c>
      <c r="J24" s="96" t="n">
        <f>forecast!I22</f>
        <v>7.540948790205741</v>
      </c>
    </row>
    <row r="25">
      <c r="B25" s="78" t="str">
        <f>forecast!A23</f>
        <v>Federal Student Loans</v>
      </c>
      <c r="C25" s="78" t="str">
        <f>forecast!B23</f>
        <v>federal_student_loans</v>
      </c>
      <c r="D25" s="96" t="n">
        <f>forecast!C23</f>
        <v>-8.3069939999999995</v>
      </c>
      <c r="E25" s="96" t="n">
        <f>forecast!D23</f>
        <v>-8.2824600000000004</v>
      </c>
      <c r="F25" s="96" t="n">
        <f>forecast!E23</f>
        <v>-8.2824600000000004</v>
      </c>
      <c r="G25" s="96" t="n">
        <f>forecast!F23</f>
        <v>-8.2824600000000004</v>
      </c>
      <c r="H25" s="96" t="n">
        <f>forecast!G23</f>
        <v>-11</v>
      </c>
      <c r="I25" s="96" t="n">
        <f>forecast!H23</f>
        <v>-11</v>
      </c>
      <c r="J25" s="96" t="n">
        <f>forecast!I23</f>
        <v>-11</v>
      </c>
    </row>
    <row r="26">
      <c r="B26" s="78"/>
      <c r="C26" s="78"/>
    </row>
    <row r="27">
      <c r="B27" s="86" t="s">
        <v>1793</v>
      </c>
      <c r="C27" s="78"/>
    </row>
    <row r="28">
      <c r="B28" s="78" t="s">
        <v>1607</v>
      </c>
      <c r="C28" s="78"/>
      <c r="D28" s="99" t="n">
        <f>Deflators!AE45</f>
        <v>2.3874932014508632E-2</v>
      </c>
      <c r="E28" s="99" t="n">
        <f>Deflators!AF45</f>
        <v>2.2011392938697361E-2</v>
      </c>
      <c r="F28" s="99" t="n">
        <f>Deflators!AG45</f>
        <v>2.1469131944638509E-2</v>
      </c>
      <c r="G28" s="99" t="n">
        <f>Deflators!AH45</f>
        <v>2.037795778240481E-2</v>
      </c>
      <c r="H28" s="99" t="n">
        <f>Deflators!AI45</f>
        <v>2.031319568771961E-2</v>
      </c>
      <c r="I28" s="99" t="n">
        <f>Deflators!AJ45</f>
        <v>2.0411174157790368E-2</v>
      </c>
      <c r="J28" s="99" t="n">
        <f>Deflators!AK45</f>
        <v>2.0278651758323107E-2</v>
      </c>
    </row>
    <row r="29">
      <c r="B29" s="78" t="s">
        <v>1608</v>
      </c>
      <c r="C29" s="78"/>
      <c r="D29" s="99" t="n">
        <f>Deflators!AE48</f>
        <v>2.4729668703095779E-2</v>
      </c>
      <c r="E29" s="99" t="n">
        <f>Deflators!AF48</f>
        <v>2.4119603614899725E-2</v>
      </c>
      <c r="F29" s="99" t="n">
        <f>Deflators!AG48</f>
        <v>2.1515602617293128E-2</v>
      </c>
      <c r="G29" s="99" t="n">
        <f>Deflators!AH48</f>
        <v>2.2790850007197161E-2</v>
      </c>
      <c r="H29" s="99" t="n">
        <f>Deflators!AI48</f>
        <v>2.3263295207157642E-2</v>
      </c>
      <c r="I29" s="99" t="n">
        <f>Deflators!AJ48</f>
        <v>2.3889685874715294E-2</v>
      </c>
      <c r="J29" s="99" t="n">
        <f>Deflators!AK48</f>
        <v>2.2412555601408091E-2</v>
      </c>
    </row>
    <row r="30">
      <c r="B30" s="78" t="s">
        <v>1609</v>
      </c>
      <c r="C30" s="78"/>
      <c r="D30" s="99" t="n">
        <f>Deflators!AE49</f>
        <v>3.1343868352262882E-2</v>
      </c>
      <c r="E30" s="99" t="n">
        <f>Deflators!AF49</f>
        <v>3.2394354805230341E-2</v>
      </c>
      <c r="F30" s="99" t="n">
        <f>Deflators!AG49</f>
        <v>3.3164637629816696E-2</v>
      </c>
      <c r="G30" s="99" t="n">
        <f>Deflators!AH49</f>
        <v>3.1425713898589613E-2</v>
      </c>
      <c r="H30" s="99" t="n">
        <f>Deflators!AI49</f>
        <v>3.1013053419121528E-2</v>
      </c>
      <c r="I30" s="99" t="n">
        <f>Deflators!AJ49</f>
        <v>3.1015398756455648E-2</v>
      </c>
      <c r="J30" s="99" t="n">
        <f>Deflators!AK49</f>
        <v>3.0542269425562596E-2</v>
      </c>
    </row>
    <row r="31">
      <c r="B31" s="78" t="s">
        <v>1610</v>
      </c>
      <c r="C31" s="78"/>
      <c r="D31" s="99" t="n">
        <f>Deflators!AE51</f>
        <v>3.1343868352262882E-2</v>
      </c>
      <c r="E31" s="99" t="n">
        <f>Deflators!AF51</f>
        <v>3.2394354805230341E-2</v>
      </c>
      <c r="F31" s="99" t="n">
        <f>Deflators!AG51</f>
        <v>3.3164637629816696E-2</v>
      </c>
      <c r="G31" s="99" t="n">
        <f>Deflators!AH51</f>
        <v>3.1425713898589613E-2</v>
      </c>
      <c r="H31" s="99" t="n">
        <f>Deflators!AI51</f>
        <v>3.1013053419121528E-2</v>
      </c>
      <c r="I31" s="99" t="n">
        <f>Deflators!AJ51</f>
        <v>3.1015398756455648E-2</v>
      </c>
      <c r="J31" s="99" t="n">
        <f>Deflators!AK51</f>
        <v>3.0542269425562596E-2</v>
      </c>
    </row>
    <row r="32">
      <c r="B32" s="78" t="s">
        <v>1611</v>
      </c>
      <c r="C32" s="78"/>
      <c r="D32" s="99" t="n">
        <f>Deflators!AE52</f>
        <v>3.1343868352262882E-2</v>
      </c>
      <c r="E32" s="99" t="n">
        <f>Deflators!AF52</f>
        <v>3.2394354805230341E-2</v>
      </c>
      <c r="F32" s="99" t="n">
        <f>Deflators!AG52</f>
        <v>3.3164637629816696E-2</v>
      </c>
      <c r="G32" s="99" t="n">
        <f>Deflators!AH52</f>
        <v>3.1425713898589613E-2</v>
      </c>
      <c r="H32" s="99" t="n">
        <f>Deflators!AI52</f>
        <v>3.1013053419121528E-2</v>
      </c>
      <c r="I32" s="99" t="n">
        <f>Deflators!AJ52</f>
        <v>3.1015398756455648E-2</v>
      </c>
      <c r="J32" s="99" t="n">
        <f>Deflators!AK52</f>
        <v>3.0542269425562596E-2</v>
      </c>
    </row>
    <row r="34">
      <c r="B34" s="93" t="s">
        <v>1904</v>
      </c>
      <c r="C34" s="93"/>
      <c r="D34" s="93"/>
      <c r="E34" s="93"/>
      <c r="F34" s="93"/>
      <c r="G34" s="93"/>
      <c r="H34" s="93"/>
      <c r="I34" s="93"/>
      <c r="J34" s="93"/>
    </row>
    <row r="35">
      <c r="B35" t="s">
        <v>111</v>
      </c>
      <c r="C35" t="s">
        <v>112</v>
      </c>
      <c r="D35" t="s">
        <v>676</v>
      </c>
      <c r="E35" t="s">
        <v>677</v>
      </c>
      <c r="F35" t="s">
        <v>1057</v>
      </c>
      <c r="G35" t="s">
        <v>1058</v>
      </c>
      <c r="H35" t="s">
        <v>1059</v>
      </c>
      <c r="I35" t="s">
        <v>1060</v>
      </c>
      <c r="J35" t="s">
        <v>1061</v>
      </c>
    </row>
    <row r="36">
      <c r="B36" t="s">
        <v>125</v>
      </c>
      <c r="C36" t="s">
        <v>126</v>
      </c>
      <c r="D36" t="n">
        <v>403.22655010069974</v>
      </c>
      <c r="E36" t="n">
        <v>401.86440476318199</v>
      </c>
      <c r="F36" t="n">
        <v>404.53896501683153</v>
      </c>
      <c r="G36" t="n">
        <v>404.43687879999999</v>
      </c>
      <c r="H36" t="n">
        <v>408.16440578472771</v>
      </c>
      <c r="I36" t="n">
        <v>409.91880820170923</v>
      </c>
      <c r="J36" t="n">
        <v>412.70035086550473</v>
      </c>
    </row>
    <row r="37">
      <c r="B37" t="s">
        <v>92</v>
      </c>
      <c r="C37" t="s">
        <v>127</v>
      </c>
      <c r="D37" t="n">
        <v>75.203000000000003</v>
      </c>
      <c r="E37" t="n">
        <v>75.203000000000003</v>
      </c>
      <c r="F37" t="n">
        <v>75.203000000000003</v>
      </c>
      <c r="G37" t="n">
        <v>75.203000000000003</v>
      </c>
      <c r="H37" t="n">
        <v>75.203000000000003</v>
      </c>
      <c r="I37" t="n">
        <v>75.203000000000003</v>
      </c>
      <c r="J37" t="n">
        <v>75.203000000000003</v>
      </c>
    </row>
    <row r="38">
      <c r="B38" t="s">
        <v>128</v>
      </c>
      <c r="C38" t="s">
        <v>129</v>
      </c>
      <c r="D38" t="n">
        <v>1963.8634270162768</v>
      </c>
      <c r="E38" t="n">
        <v>1975.6334170722771</v>
      </c>
      <c r="F38" t="n">
        <v>2011.1463181033128</v>
      </c>
      <c r="G38" t="n">
        <v>2026.7719945569688</v>
      </c>
      <c r="H38" t="n">
        <v>2044.2240487779352</v>
      </c>
      <c r="I38" t="n">
        <v>2054.5735227926943</v>
      </c>
      <c r="J38" t="n">
        <v>2064.3142042183495</v>
      </c>
    </row>
    <row r="39">
      <c r="B39" t="s">
        <v>130</v>
      </c>
      <c r="C39" t="s">
        <v>131</v>
      </c>
      <c r="D39" t="n">
        <v>3280.7107402320066</v>
      </c>
      <c r="E39" t="n">
        <v>3311.5306881871875</v>
      </c>
      <c r="F39" t="n">
        <v>3343.2276497584216</v>
      </c>
      <c r="G39" t="n">
        <v>3372.7804447870926</v>
      </c>
      <c r="H39" t="n">
        <v>3402.8900768752223</v>
      </c>
      <c r="I39" t="n">
        <v>3432.2740655832567</v>
      </c>
      <c r="J39" t="n">
        <v>3461.0166842644189</v>
      </c>
    </row>
    <row r="40">
      <c r="B40" t="s">
        <v>132</v>
      </c>
      <c r="C40" t="s">
        <v>133</v>
      </c>
      <c r="D40" t="n">
        <v>117.401</v>
      </c>
      <c r="E40" t="n">
        <v>121.74</v>
      </c>
      <c r="F40" t="n">
        <v>119.58999999999999</v>
      </c>
      <c r="G40" t="n">
        <v>119.58999999999999</v>
      </c>
      <c r="H40" t="n">
        <v>119.58999999999999</v>
      </c>
      <c r="I40" t="n">
        <v>119.58999999999999</v>
      </c>
      <c r="J40" t="n">
        <v>119.58999999999999</v>
      </c>
    </row>
    <row r="41">
      <c r="B41" t="s">
        <v>134</v>
      </c>
      <c r="C41" t="s">
        <v>135</v>
      </c>
      <c r="D41" t="n">
        <v>-0.90100000000000025</v>
      </c>
      <c r="E41" t="n">
        <v>-2.1500000000000004</v>
      </c>
      <c r="F41" t="n">
        <v>0</v>
      </c>
      <c r="G41" t="n">
        <v>0</v>
      </c>
      <c r="H41" t="n">
        <v>0</v>
      </c>
      <c r="I41" t="n">
        <v>0</v>
      </c>
      <c r="J41" t="n">
        <v>0</v>
      </c>
    </row>
    <row r="42">
      <c r="B42" t="s">
        <v>136</v>
      </c>
      <c r="C42" t="s">
        <v>137</v>
      </c>
      <c r="D42" t="n">
        <v>0</v>
      </c>
      <c r="E42" t="n">
        <v>0</v>
      </c>
      <c r="F42" t="n">
        <v>0</v>
      </c>
      <c r="G42" t="n">
        <v>0</v>
      </c>
      <c r="H42" t="n">
        <v>0</v>
      </c>
      <c r="I42" t="n">
        <v>0</v>
      </c>
      <c r="J42" t="n">
        <v>0</v>
      </c>
    </row>
    <row r="43">
      <c r="B43" t="s">
        <v>138</v>
      </c>
      <c r="C43" t="s">
        <v>139</v>
      </c>
      <c r="D43" t="n">
        <v>35.700000000000003</v>
      </c>
      <c r="E43" t="n">
        <v>35.700000000000003</v>
      </c>
      <c r="F43" t="n">
        <v>35.700000000000003</v>
      </c>
      <c r="G43" t="n">
        <v>35.700000000000003</v>
      </c>
      <c r="H43" t="n">
        <v>35.700000000000003</v>
      </c>
      <c r="I43" t="n">
        <v>35.700000000000003</v>
      </c>
      <c r="J43" t="n">
        <v>36.700000000000003</v>
      </c>
    </row>
    <row r="44">
      <c r="B44" t="s">
        <v>140</v>
      </c>
      <c r="C44" t="s">
        <v>141</v>
      </c>
      <c r="D44" t="n">
        <v>687.27647550115967</v>
      </c>
      <c r="E44" t="n">
        <v>696.93582719454662</v>
      </c>
      <c r="F44" t="n">
        <v>705.26255480190014</v>
      </c>
      <c r="G44" t="n">
        <v>717.91329963031671</v>
      </c>
      <c r="H44" t="n">
        <v>727.02732439110707</v>
      </c>
      <c r="I44" t="n">
        <v>725.13821376854708</v>
      </c>
      <c r="J44" t="n">
        <v>735.90864725010715</v>
      </c>
    </row>
    <row r="45">
      <c r="B45" t="s">
        <v>142</v>
      </c>
      <c r="C45" t="s">
        <v>143</v>
      </c>
      <c r="D45" t="n">
        <v>999.95898678189383</v>
      </c>
      <c r="E45" t="n">
        <v>1014.1688795114242</v>
      </c>
      <c r="F45" t="n">
        <v>1028.6263410455106</v>
      </c>
      <c r="G45" t="n">
        <v>1043.2899005956497</v>
      </c>
      <c r="H45" t="n">
        <v>1058.1624961874497</v>
      </c>
      <c r="I45" t="n">
        <v>1055.5046787071888</v>
      </c>
      <c r="J45" t="n">
        <v>1071.2571955433457</v>
      </c>
    </row>
    <row r="46">
      <c r="B46" t="s">
        <v>46</v>
      </c>
      <c r="C46" t="s">
        <v>144</v>
      </c>
      <c r="D46" t="n">
        <v>1197.1541359637888</v>
      </c>
      <c r="E46" t="n">
        <v>1215.0695436191259</v>
      </c>
      <c r="F46" t="n">
        <v>1233.2530552903243</v>
      </c>
      <c r="G46" t="n">
        <v>1251.7086831530878</v>
      </c>
      <c r="H46" t="n">
        <v>1270.4404994253166</v>
      </c>
      <c r="I46" t="n">
        <v>1289.616636754057</v>
      </c>
      <c r="J46" t="n">
        <v>1309.0822203362954</v>
      </c>
    </row>
    <row r="47">
      <c r="B47" t="s">
        <v>145</v>
      </c>
      <c r="C47" t="s">
        <v>146</v>
      </c>
      <c r="D47" t="n">
        <v>0</v>
      </c>
      <c r="E47" t="n">
        <v>0</v>
      </c>
      <c r="F47" t="n">
        <v>0</v>
      </c>
      <c r="G47" t="n">
        <v>0</v>
      </c>
      <c r="H47" t="n">
        <v>0</v>
      </c>
      <c r="I47" t="n">
        <v>0</v>
      </c>
      <c r="J47" t="n">
        <v>0</v>
      </c>
    </row>
    <row r="48">
      <c r="B48" t="s">
        <v>147</v>
      </c>
      <c r="C48" t="s">
        <v>148</v>
      </c>
      <c r="D48" t="n">
        <v>0</v>
      </c>
      <c r="E48" t="n">
        <v>0</v>
      </c>
      <c r="F48" t="n">
        <v>0</v>
      </c>
      <c r="G48" t="n">
        <v>0</v>
      </c>
      <c r="H48" t="n">
        <v>0</v>
      </c>
      <c r="I48" t="n">
        <v>0</v>
      </c>
      <c r="J48" t="n">
        <v>0</v>
      </c>
    </row>
    <row r="49">
      <c r="B49" t="s">
        <v>149</v>
      </c>
      <c r="C49" t="s">
        <v>150</v>
      </c>
      <c r="D49" t="n">
        <v>2.3719999999999999</v>
      </c>
      <c r="E49" t="n">
        <v>0.49</v>
      </c>
      <c r="F49" t="n">
        <v>0</v>
      </c>
      <c r="G49" t="n">
        <v>0</v>
      </c>
      <c r="H49" t="n">
        <v>0</v>
      </c>
      <c r="I49" t="n">
        <v>0</v>
      </c>
      <c r="J49" t="n">
        <v>0</v>
      </c>
    </row>
    <row r="50">
      <c r="B50" t="s">
        <v>707</v>
      </c>
      <c r="C50" t="s">
        <v>152</v>
      </c>
      <c r="D50" t="n">
        <v>1.63</v>
      </c>
      <c r="E50" t="n">
        <v>1.671</v>
      </c>
      <c r="F50" t="n">
        <v>0</v>
      </c>
      <c r="G50" t="n">
        <v>0</v>
      </c>
      <c r="H50" t="n">
        <v>0</v>
      </c>
      <c r="I50" t="n">
        <v>0</v>
      </c>
      <c r="J50" t="n">
        <v>0</v>
      </c>
    </row>
    <row r="51">
      <c r="B51" t="s">
        <v>153</v>
      </c>
      <c r="C51" t="s">
        <v>154</v>
      </c>
      <c r="D51" t="n">
        <v>2359.3871549999999</v>
      </c>
      <c r="E51" t="n">
        <v>2351.4927557750002</v>
      </c>
      <c r="F51" t="n">
        <v>2405.1255305538753</v>
      </c>
      <c r="G51" t="n">
        <v>2420.7362699766445</v>
      </c>
      <c r="H51" t="n">
        <v>2438.0917030965275</v>
      </c>
      <c r="I51" t="n">
        <v>2447.3089133820104</v>
      </c>
      <c r="J51" t="n">
        <v>2504.0627755769201</v>
      </c>
    </row>
    <row r="52">
      <c r="B52" t="s">
        <v>155</v>
      </c>
      <c r="C52" t="s">
        <v>156</v>
      </c>
      <c r="D52" t="n">
        <v>234.7446086945757</v>
      </c>
      <c r="E52" t="n">
        <v>238.17619541011769</v>
      </c>
      <c r="F52" t="n">
        <v>241.65794637629688</v>
      </c>
      <c r="G52" t="n">
        <v>245.19059491336728</v>
      </c>
      <c r="H52" t="n">
        <v>248.77488506153966</v>
      </c>
      <c r="I52" t="n">
        <v>252.41157173768991</v>
      </c>
      <c r="J52" t="n">
        <v>256.10142089435828</v>
      </c>
    </row>
    <row r="53">
      <c r="B53" t="s">
        <v>157</v>
      </c>
      <c r="C53" t="s">
        <v>158</v>
      </c>
      <c r="D53" t="n">
        <v>4884.2781359110913</v>
      </c>
      <c r="E53" t="n">
        <v>4968.9296934101849</v>
      </c>
      <c r="F53" t="n">
        <v>4977.9314512572364</v>
      </c>
      <c r="G53" t="n">
        <v>5018.6866160468144</v>
      </c>
      <c r="H53" t="n">
        <v>5059.8310346733906</v>
      </c>
      <c r="I53" t="n">
        <v>5101.3688751467243</v>
      </c>
      <c r="J53" t="n">
        <v>5247.5311088139333</v>
      </c>
    </row>
    <row r="54">
      <c r="B54" t="s">
        <v>159</v>
      </c>
      <c r="C54" t="s">
        <v>160</v>
      </c>
      <c r="D54" t="n">
        <v>2610.4179349654814</v>
      </c>
      <c r="E54" t="n">
        <v>2637.2590525097935</v>
      </c>
      <c r="F54" t="n">
        <v>2661.9450087697264</v>
      </c>
      <c r="G54" t="n">
        <v>2687.6209509421678</v>
      </c>
      <c r="H54" t="n">
        <v>2711.0655175084648</v>
      </c>
      <c r="I54" t="n">
        <v>2736.4520878263743</v>
      </c>
      <c r="J54" t="n">
        <v>2763.2785072824095</v>
      </c>
    </row>
    <row r="55">
      <c r="B55" t="s">
        <v>161</v>
      </c>
      <c r="C55" t="s">
        <v>162</v>
      </c>
      <c r="D55" t="n">
        <v>140.19200586458146</v>
      </c>
      <c r="E55" t="n">
        <v>394.32577705384216</v>
      </c>
      <c r="F55" t="n">
        <v>391.88928756362725</v>
      </c>
      <c r="G55" t="n">
        <v>389.46785283620335</v>
      </c>
      <c r="H55" t="n">
        <v>387.06137985008053</v>
      </c>
      <c r="I55" t="n">
        <v>384.66977615853688</v>
      </c>
      <c r="J55" t="n">
        <v>392.29294988606722</v>
      </c>
    </row>
    <row r="56">
      <c r="B56" t="s">
        <v>163</v>
      </c>
      <c r="C56" s="78" t="s">
        <v>164</v>
      </c>
      <c r="D56" t="n">
        <v>172.4420004657662</v>
      </c>
      <c r="E56" t="n">
        <v>172.35554552864465</v>
      </c>
      <c r="F56" t="n">
        <v>172.5640544946437</v>
      </c>
      <c r="G56" t="n">
        <v>172.90478865859339</v>
      </c>
      <c r="H56" t="n">
        <v>172.73187878435027</v>
      </c>
      <c r="I56" t="n">
        <v>172.94038775034934</v>
      </c>
      <c r="J56" t="n">
        <v>172.60982475547277</v>
      </c>
    </row>
    <row r="57">
      <c r="B57" s="78" t="s">
        <v>1285</v>
      </c>
      <c r="C57" s="78" t="s">
        <v>1284</v>
      </c>
      <c r="D57" t="n">
        <v>-8.3069939999999995</v>
      </c>
      <c r="E57" t="n">
        <v>-8.2824600000000004</v>
      </c>
      <c r="F57" t="n">
        <v>-8.2824600000000004</v>
      </c>
      <c r="G57" t="n">
        <v>-8.2824600000000004</v>
      </c>
      <c r="H57" t="n">
        <v>-11</v>
      </c>
      <c r="I57" t="n">
        <v>-11</v>
      </c>
      <c r="J57" t="n">
        <v>-11</v>
      </c>
    </row>
    <row r="58">
      <c r="B58" s="78"/>
      <c r="C58" s="78"/>
    </row>
    <row r="59">
      <c r="B59" s="86" t="s">
        <v>1793</v>
      </c>
      <c r="C59" s="78"/>
    </row>
    <row r="60">
      <c r="B60" s="78" t="s">
        <v>1607</v>
      </c>
      <c r="C60" s="78"/>
      <c r="D60" s="97" t="n">
        <v>2.3874932014508632E-2</v>
      </c>
      <c r="E60" s="97" t="n">
        <v>2.2011392938697361E-2</v>
      </c>
      <c r="F60" t="n">
        <v>2.1469131944638509E-2</v>
      </c>
      <c r="G60" t="n">
        <v>2.037795778240481E-2</v>
      </c>
      <c r="H60" t="n">
        <v>2.031319568771961E-2</v>
      </c>
      <c r="I60" t="n">
        <v>2.0411174157790368E-2</v>
      </c>
      <c r="J60" t="n">
        <v>2.0278651758323107E-2</v>
      </c>
    </row>
    <row r="61">
      <c r="B61" s="78" t="s">
        <v>1608</v>
      </c>
      <c r="C61" s="78"/>
      <c r="D61" s="97" t="n">
        <v>2.4729668703095779E-2</v>
      </c>
      <c r="E61" s="97" t="n">
        <v>2.4119603614899725E-2</v>
      </c>
      <c r="F61" t="n">
        <v>2.1515602617293128E-2</v>
      </c>
      <c r="G61" t="n">
        <v>2.2790850007197161E-2</v>
      </c>
      <c r="H61" t="n">
        <v>2.3263295207157642E-2</v>
      </c>
      <c r="I61" t="n">
        <v>2.3889685874715294E-2</v>
      </c>
      <c r="J61" t="n">
        <v>2.2412555601408091E-2</v>
      </c>
    </row>
    <row r="62">
      <c r="B62" s="78" t="s">
        <v>1609</v>
      </c>
      <c r="C62" s="78"/>
      <c r="D62" s="97" t="n">
        <v>3.1343868352262882E-2</v>
      </c>
      <c r="E62" s="97" t="n">
        <v>3.2394354805230341E-2</v>
      </c>
      <c r="F62" t="n">
        <v>3.3164637629816696E-2</v>
      </c>
      <c r="G62" t="n">
        <v>3.1425713898589613E-2</v>
      </c>
      <c r="H62" t="n">
        <v>3.1013053419121528E-2</v>
      </c>
      <c r="I62" t="n">
        <v>3.1015398756455648E-2</v>
      </c>
      <c r="J62" t="n">
        <v>3.0542269425562596E-2</v>
      </c>
    </row>
    <row r="63">
      <c r="B63" s="78" t="s">
        <v>1610</v>
      </c>
      <c r="C63" s="78"/>
      <c r="D63" s="97" t="n">
        <v>3.1343868352262882E-2</v>
      </c>
      <c r="E63" s="97" t="n">
        <v>3.2394354805230341E-2</v>
      </c>
      <c r="F63" t="n">
        <v>3.3164637629816696E-2</v>
      </c>
      <c r="G63" t="n">
        <v>3.1425713898589613E-2</v>
      </c>
      <c r="H63" t="n">
        <v>3.1013053419121528E-2</v>
      </c>
      <c r="I63" t="n">
        <v>3.1015398756455648E-2</v>
      </c>
      <c r="J63" t="n">
        <v>3.0542269425562596E-2</v>
      </c>
    </row>
    <row r="64">
      <c r="B64" s="78" t="s">
        <v>1611</v>
      </c>
      <c r="C64" s="78"/>
      <c r="D64" s="97" t="n">
        <v>3.1343868352262882E-2</v>
      </c>
      <c r="E64" s="97" t="n">
        <v>3.2394354805230341E-2</v>
      </c>
      <c r="F64" t="n">
        <v>3.3164637629816696E-2</v>
      </c>
      <c r="G64" t="n">
        <v>3.1425713898589613E-2</v>
      </c>
      <c r="H64" t="n">
        <v>3.1013053419121528E-2</v>
      </c>
      <c r="I64" t="n">
        <v>3.1015398756455648E-2</v>
      </c>
      <c r="J64" t="n">
        <v>3.0542269425562596E-2</v>
      </c>
    </row>
    <row r="66">
      <c r="B66" s="94" t="s">
        <v>165</v>
      </c>
      <c r="C66" s="94"/>
      <c r="D66" s="94"/>
      <c r="E66" s="94"/>
      <c r="F66" s="94"/>
      <c r="G66" s="94"/>
      <c r="H66" s="94"/>
      <c r="I66" s="94"/>
      <c r="J66" s="94"/>
    </row>
    <row r="67">
      <c r="B67" t="s">
        <v>111</v>
      </c>
      <c r="C67" t="s">
        <v>112</v>
      </c>
      <c r="D67" t="s">
        <v>676</v>
      </c>
      <c r="E67" t="s">
        <v>677</v>
      </c>
      <c r="F67" t="s">
        <v>1057</v>
      </c>
      <c r="G67" t="s">
        <v>1058</v>
      </c>
      <c r="H67" t="s">
        <v>1059</v>
      </c>
      <c r="I67" t="s">
        <v>1060</v>
      </c>
      <c r="J67" t="s">
        <v>1061</v>
      </c>
    </row>
    <row r="68">
      <c r="B68" s="78" t="s">
        <v>125</v>
      </c>
      <c r="C68" s="78" t="s">
        <v>126</v>
      </c>
      <c r="D68" s="96" t="n">
        <f t="shared" ref="D68:G68" si="0">D4-D36</f>
        <v>-244.52792356858041</v>
      </c>
      <c r="E68" s="96" t="n">
        <f t="shared" si="0"/>
        <v>-246.93735661207683</v>
      </c>
      <c r="F68" s="96" t="n">
        <f t="shared" si="0"/>
        <v>-249.37053077890329</v>
      </c>
      <c r="G68" s="96" t="n">
        <f t="shared" si="0"/>
        <v>-251.82767999999999</v>
      </c>
      <c r="H68" s="96" t="n">
        <f>H4-H36</f>
        <v>-254.30904051132359</v>
      </c>
      <c r="I68" s="96" t="n">
        <f>I4-I36</f>
        <v>-256.81485087655983</v>
      </c>
      <c r="J68" s="96" t="n">
        <f>J4-J36</f>
        <v>-259.3453520100594</v>
      </c>
    </row>
    <row r="69">
      <c r="B69" s="78" t="s">
        <v>92</v>
      </c>
      <c r="C69" s="78" t="s">
        <v>127</v>
      </c>
      <c r="D69" s="96" t="n">
        <f t="shared" ref="D69:G69" si="1">D5-D37</f>
        <v>-69.376714285714286</v>
      </c>
      <c r="E69" s="96" t="n">
        <f t="shared" si="1"/>
        <v>-69.376714285714286</v>
      </c>
      <c r="F69" s="96" t="n">
        <f t="shared" si="1"/>
        <v>-69.376714285714286</v>
      </c>
      <c r="G69" s="96" t="n">
        <f t="shared" si="1"/>
        <v>-69.376714285714286</v>
      </c>
      <c r="H69" s="96" t="n">
        <f t="shared" ref="H69:I69" si="2">H5-H37</f>
        <v>-69.376714285714286</v>
      </c>
      <c r="I69" s="96" t="n">
        <f t="shared" si="2"/>
        <v>-69.376714285714286</v>
      </c>
      <c r="J69" s="96" t="n">
        <f t="shared" ref="J69" si="3">J5-J37</f>
        <v>-69.376714285714286</v>
      </c>
    </row>
    <row r="70">
      <c r="B70" s="78" t="s">
        <v>128</v>
      </c>
      <c r="C70" s="78" t="s">
        <v>129</v>
      </c>
      <c r="D70" s="96" t="n">
        <f t="shared" ref="D70:G70" si="4">D6-D38</f>
        <v>-1776.5635107552207</v>
      </c>
      <c r="E70" s="96" t="n">
        <f t="shared" si="4"/>
        <v>-1787.2109593342752</v>
      </c>
      <c r="F70" s="96" t="n">
        <f t="shared" si="4"/>
        <v>-1819.3368817710784</v>
      </c>
      <c r="G70" s="96" t="n">
        <f t="shared" si="4"/>
        <v>-1833.4722876432722</v>
      </c>
      <c r="H70" s="96" t="n">
        <f t="shared" ref="H70:I70" si="5">H6-H38</f>
        <v>-1849.2598838122158</v>
      </c>
      <c r="I70" s="96" t="n">
        <f t="shared" si="5"/>
        <v>-1858.6222954937987</v>
      </c>
      <c r="J70" s="96" t="n">
        <f t="shared" ref="J70" si="6">J6-J38</f>
        <v>-1867.4339770764643</v>
      </c>
    </row>
    <row r="71">
      <c r="B71" s="78" t="s">
        <v>130</v>
      </c>
      <c r="C71" s="78" t="s">
        <v>131</v>
      </c>
      <c r="D71" s="96" t="n">
        <f t="shared" ref="D71:G71" si="7">D7-D39</f>
        <v>-3060.1129648352926</v>
      </c>
      <c r="E71" s="96" t="n">
        <f t="shared" si="7"/>
        <v>-3088.8605533247701</v>
      </c>
      <c r="F71" s="96" t="n">
        <f t="shared" si="7"/>
        <v>-3118.4261842901992</v>
      </c>
      <c r="G71" s="96" t="n">
        <f t="shared" si="7"/>
        <v>-3145.9918242917192</v>
      </c>
      <c r="H71" s="96" t="n">
        <f t="shared" ref="H71:I71" si="8">H7-H39</f>
        <v>-3174.0768591560827</v>
      </c>
      <c r="I71" s="96" t="n">
        <f t="shared" si="8"/>
        <v>-3201.4850435172771</v>
      </c>
      <c r="J71" s="96" t="n">
        <f t="shared" ref="J71" si="9">J7-J39</f>
        <v>-3228.2949841167101</v>
      </c>
    </row>
    <row r="72">
      <c r="B72" s="78" t="s">
        <v>132</v>
      </c>
      <c r="C72" s="78" t="s">
        <v>133</v>
      </c>
      <c r="D72" s="96" t="n">
        <f t="shared" ref="D72:G72" si="10">D8-D40</f>
        <v>-111.6</v>
      </c>
      <c r="E72" s="96" t="n">
        <f t="shared" si="10"/>
        <v>-111.6</v>
      </c>
      <c r="F72" s="96" t="n">
        <f t="shared" si="10"/>
        <v>-111.6</v>
      </c>
      <c r="G72" s="96" t="n">
        <f t="shared" si="10"/>
        <v>-111.6</v>
      </c>
      <c r="H72" s="96" t="n">
        <f t="shared" ref="H72:I72" si="11">H8-H40</f>
        <v>-111.6</v>
      </c>
      <c r="I72" s="96" t="n">
        <f t="shared" si="11"/>
        <v>-111.6</v>
      </c>
      <c r="J72" s="96" t="n">
        <f t="shared" ref="J72" si="12">J8-J40</f>
        <v>-111.6</v>
      </c>
    </row>
    <row r="73">
      <c r="B73" s="78" t="s">
        <v>134</v>
      </c>
      <c r="C73" s="78" t="s">
        <v>135</v>
      </c>
      <c r="D73" s="96" t="n">
        <f t="shared" ref="D73:G73" si="13">D9-D41</f>
        <v>0</v>
      </c>
      <c r="E73" s="96" t="n">
        <f t="shared" si="13"/>
        <v>0</v>
      </c>
      <c r="F73" s="96" t="n">
        <f t="shared" si="13"/>
        <v>0</v>
      </c>
      <c r="G73" s="96" t="n">
        <f t="shared" si="13"/>
        <v>0</v>
      </c>
      <c r="H73" s="96" t="n">
        <f t="shared" ref="H73:I73" si="14">H9-H41</f>
        <v>0</v>
      </c>
      <c r="I73" s="96" t="n">
        <f t="shared" si="14"/>
        <v>0</v>
      </c>
      <c r="J73" s="96" t="n">
        <f t="shared" ref="J73" si="15">J9-J41</f>
        <v>0</v>
      </c>
    </row>
    <row r="74">
      <c r="B74" s="78" t="s">
        <v>136</v>
      </c>
      <c r="C74" s="78" t="s">
        <v>137</v>
      </c>
      <c r="D74" s="96" t="n">
        <f t="shared" ref="D74:G74" si="16">D10-D42</f>
        <v>0</v>
      </c>
      <c r="E74" s="96" t="n">
        <f t="shared" si="16"/>
        <v>0</v>
      </c>
      <c r="F74" s="96" t="n">
        <f t="shared" si="16"/>
        <v>0</v>
      </c>
      <c r="G74" s="96" t="n">
        <f t="shared" si="16"/>
        <v>0</v>
      </c>
      <c r="H74" s="96" t="n">
        <f t="shared" ref="H74:I74" si="17">H10-H42</f>
        <v>0</v>
      </c>
      <c r="I74" s="96" t="n">
        <f t="shared" si="17"/>
        <v>0</v>
      </c>
      <c r="J74" s="96" t="n">
        <f t="shared" ref="J74" si="18">J10-J42</f>
        <v>0</v>
      </c>
    </row>
    <row r="75">
      <c r="B75" s="78" t="s">
        <v>138</v>
      </c>
      <c r="C75" s="78" t="s">
        <v>139</v>
      </c>
      <c r="D75" s="96" t="n">
        <f t="shared" ref="D75:G75" si="19">D11-D43</f>
        <v>0</v>
      </c>
      <c r="E75" s="96" t="n">
        <f t="shared" si="19"/>
        <v>0</v>
      </c>
      <c r="F75" s="96" t="n">
        <f t="shared" si="19"/>
        <v>0</v>
      </c>
      <c r="G75" s="96" t="n">
        <f t="shared" si="19"/>
        <v>0</v>
      </c>
      <c r="H75" s="96" t="n">
        <f t="shared" ref="H75:I75" si="20">H11-H43</f>
        <v>0</v>
      </c>
      <c r="I75" s="96" t="n">
        <f t="shared" si="20"/>
        <v>0</v>
      </c>
      <c r="J75" s="96" t="n">
        <f t="shared" ref="J75" si="21">J11-J43</f>
        <v>0</v>
      </c>
    </row>
    <row r="76">
      <c r="B76" s="78" t="s">
        <v>140</v>
      </c>
      <c r="C76" s="78" t="s">
        <v>141</v>
      </c>
      <c r="D76" s="96" t="e">
        <f t="shared" ref="D76:G76" si="22">D12-D44</f>
        <v>#DIV/0!</v>
      </c>
      <c r="E76" s="96" t="e">
        <f>E12-E44</f>
        <v>#DIV/0!</v>
      </c>
      <c r="F76" s="96" t="e">
        <f t="shared" si="22"/>
        <v>#DIV/0!</v>
      </c>
      <c r="G76" s="96" t="e">
        <f t="shared" si="22"/>
        <v>#DIV/0!</v>
      </c>
      <c r="H76" s="96" t="e">
        <f t="shared" ref="H76:I76" si="23">H12-H44</f>
        <v>#DIV/0!</v>
      </c>
      <c r="I76" s="96" t="e">
        <f t="shared" si="23"/>
        <v>#DIV/0!</v>
      </c>
      <c r="J76" s="96" t="e">
        <f t="shared" ref="J76" si="24">J12-J44</f>
        <v>#DIV/0!</v>
      </c>
    </row>
    <row r="77">
      <c r="B77" s="78" t="s">
        <v>142</v>
      </c>
      <c r="C77" s="78" t="s">
        <v>143</v>
      </c>
      <c r="D77" s="96" t="e">
        <f t="shared" ref="D77:G77" si="25">D13-D45</f>
        <v>#DIV/0!</v>
      </c>
      <c r="E77" s="96" t="e">
        <f t="shared" si="25"/>
        <v>#DIV/0!</v>
      </c>
      <c r="F77" s="96" t="e">
        <f t="shared" si="25"/>
        <v>#DIV/0!</v>
      </c>
      <c r="G77" s="96" t="e">
        <f t="shared" si="25"/>
        <v>#DIV/0!</v>
      </c>
      <c r="H77" s="96" t="e">
        <f t="shared" ref="H77:I77" si="26">H13-H45</f>
        <v>#DIV/0!</v>
      </c>
      <c r="I77" s="96" t="e">
        <f t="shared" si="26"/>
        <v>#DIV/0!</v>
      </c>
      <c r="J77" s="96" t="e">
        <f t="shared" ref="J77" si="27">J13-J45</f>
        <v>#DIV/0!</v>
      </c>
    </row>
    <row r="78">
      <c r="B78" s="78" t="s">
        <v>46</v>
      </c>
      <c r="C78" s="78" t="s">
        <v>144</v>
      </c>
      <c r="D78" s="96" t="n">
        <f t="shared" ref="D78:G78" si="28">D14-D46</f>
        <v>-1177.7096224619661</v>
      </c>
      <c r="E78" s="96" t="n">
        <f t="shared" si="28"/>
        <v>-1195.3340430375447</v>
      </c>
      <c r="F78" s="96" t="n">
        <f t="shared" si="28"/>
        <v>-1213.2222130083055</v>
      </c>
      <c r="G78" s="96" t="n">
        <f t="shared" si="28"/>
        <v>-1231.378079383069</v>
      </c>
      <c r="H78" s="96" t="n">
        <f t="shared" ref="H78:I78" si="29">H14-H46</f>
        <v>-1249.8056482376285</v>
      </c>
      <c r="I78" s="96" t="n">
        <f t="shared" si="29"/>
        <v>-1268.6703213613848</v>
      </c>
      <c r="J78" s="96" t="n">
        <f t="shared" ref="J78" si="30">J14-J46</f>
        <v>-1287.8197394713459</v>
      </c>
    </row>
    <row r="79">
      <c r="B79" s="78" t="s">
        <v>145</v>
      </c>
      <c r="C79" s="78" t="s">
        <v>146</v>
      </c>
      <c r="D79" s="96" t="n">
        <f t="shared" ref="D79:G79" si="31">D15-D47</f>
        <v>0</v>
      </c>
      <c r="E79" s="96" t="n">
        <f t="shared" si="31"/>
        <v>0</v>
      </c>
      <c r="F79" s="96" t="n">
        <f t="shared" si="31"/>
        <v>0</v>
      </c>
      <c r="G79" s="96" t="n">
        <f t="shared" si="31"/>
        <v>0</v>
      </c>
      <c r="H79" s="96" t="n">
        <f t="shared" ref="H79:I79" si="32">H15-H47</f>
        <v>0</v>
      </c>
      <c r="I79" s="96" t="n">
        <f t="shared" si="32"/>
        <v>0</v>
      </c>
      <c r="J79" s="96" t="n">
        <f t="shared" ref="J79" si="33">J15-J47</f>
        <v>0</v>
      </c>
    </row>
    <row r="80">
      <c r="B80" s="78" t="s">
        <v>147</v>
      </c>
      <c r="C80" s="78" t="s">
        <v>148</v>
      </c>
      <c r="D80" s="96" t="n">
        <f t="shared" ref="D80:G80" si="34">D16-D48</f>
        <v>0</v>
      </c>
      <c r="E80" s="96" t="n">
        <f t="shared" si="34"/>
        <v>0</v>
      </c>
      <c r="F80" s="96" t="n">
        <f t="shared" si="34"/>
        <v>0</v>
      </c>
      <c r="G80" s="96" t="n">
        <f t="shared" si="34"/>
        <v>0</v>
      </c>
      <c r="H80" s="96" t="n">
        <f t="shared" ref="H80:I80" si="35">H16-H48</f>
        <v>0</v>
      </c>
      <c r="I80" s="96" t="n">
        <f t="shared" si="35"/>
        <v>0</v>
      </c>
      <c r="J80" s="96" t="n">
        <f t="shared" ref="J80" si="36">J16-J48</f>
        <v>0</v>
      </c>
    </row>
    <row r="81">
      <c r="B81" s="78" t="s">
        <v>149</v>
      </c>
      <c r="C81" s="78" t="s">
        <v>150</v>
      </c>
      <c r="D81" s="96" t="n">
        <f t="shared" ref="D81:G81" si="37">D17-D49</f>
        <v>0</v>
      </c>
      <c r="E81" s="96" t="n">
        <f t="shared" si="37"/>
        <v>0</v>
      </c>
      <c r="F81" s="96" t="n">
        <f t="shared" si="37"/>
        <v>0</v>
      </c>
      <c r="G81" s="96" t="n">
        <f t="shared" si="37"/>
        <v>0</v>
      </c>
      <c r="H81" s="96" t="n">
        <f t="shared" ref="H81:I81" si="38">H17-H49</f>
        <v>0</v>
      </c>
      <c r="I81" s="96" t="n">
        <f t="shared" si="38"/>
        <v>0</v>
      </c>
      <c r="J81" s="96" t="n">
        <f t="shared" ref="J81" si="39">J17-J49</f>
        <v>0</v>
      </c>
    </row>
    <row r="82">
      <c r="B82" s="78" t="s">
        <v>732</v>
      </c>
      <c r="C82" s="78" t="s">
        <v>152</v>
      </c>
      <c r="D82" s="96" t="n">
        <f t="shared" ref="D82:G82" si="40">D18-D50</f>
        <v>0</v>
      </c>
      <c r="E82" s="96" t="n">
        <f t="shared" si="40"/>
        <v>0</v>
      </c>
      <c r="F82" s="96" t="n">
        <f t="shared" si="40"/>
        <v>0</v>
      </c>
      <c r="G82" s="96" t="n">
        <f t="shared" si="40"/>
        <v>0</v>
      </c>
      <c r="H82" s="96" t="n">
        <f t="shared" ref="H82:I82" si="41">H18-H50</f>
        <v>0</v>
      </c>
      <c r="I82" s="96" t="n">
        <f t="shared" si="41"/>
        <v>0</v>
      </c>
      <c r="J82" s="96" t="n">
        <f t="shared" ref="J82" si="42">J18-J50</f>
        <v>0</v>
      </c>
    </row>
    <row r="83">
      <c r="B83" s="78" t="s">
        <v>153</v>
      </c>
      <c r="C83" s="78" t="s">
        <v>154</v>
      </c>
      <c r="D83" s="96" t="n">
        <f t="shared" ref="D83:G83" si="43">D19-D51</f>
        <v>-2249.4137499999997</v>
      </c>
      <c r="E83" s="96" t="n">
        <f>E19-E51</f>
        <v>-2252.8445687500002</v>
      </c>
      <c r="F83" s="96" t="n">
        <f t="shared" si="43"/>
        <v>-2291.4412795937501</v>
      </c>
      <c r="G83" s="96" t="n">
        <f t="shared" si="43"/>
        <v>-2294.906492301719</v>
      </c>
      <c r="H83" s="96" t="n">
        <f t="shared" ref="H83:I83" si="44">H19-H51</f>
        <v>-2298.3890310732272</v>
      </c>
      <c r="I83" s="96" t="n">
        <f t="shared" si="44"/>
        <v>-2301.8889825385936</v>
      </c>
      <c r="J83" s="96" t="n">
        <f t="shared" ref="J83" si="45">J19-J51</f>
        <v>-2341.3635927352861</v>
      </c>
    </row>
    <row r="84">
      <c r="B84" s="78" t="s">
        <v>155</v>
      </c>
      <c r="C84" s="78" t="s">
        <v>156</v>
      </c>
      <c r="D84" s="96" t="n">
        <f t="shared" ref="D84:G84" si="46">D20-D52</f>
        <v>-325.90827183415092</v>
      </c>
      <c r="E84" s="96" t="n">
        <f t="shared" si="46"/>
        <v>-333.86768236327833</v>
      </c>
      <c r="F84" s="96" t="n">
        <f t="shared" si="46"/>
        <v>-342.1021404768278</v>
      </c>
      <c r="G84" s="96" t="n">
        <f t="shared" si="46"/>
        <v>-350.62354877104474</v>
      </c>
      <c r="H84" s="96" t="n">
        <f t="shared" ref="H84:I84" si="47">H20-H52</f>
        <v>-359.44437530633616</v>
      </c>
      <c r="I84" s="96" t="n">
        <f t="shared" si="47"/>
        <v>-368.57768131644792</v>
      </c>
      <c r="J84" s="96" t="n">
        <f t="shared" ref="J84" si="48">J20-J52</f>
        <v>-378.03715028838167</v>
      </c>
    </row>
    <row r="85">
      <c r="B85" s="78" t="s">
        <v>157</v>
      </c>
      <c r="C85" s="78" t="s">
        <v>158</v>
      </c>
      <c r="D85" s="96" t="n">
        <f t="shared" ref="D85:G85" si="49">D21-D53</f>
        <v>-4628.4269275683455</v>
      </c>
      <c r="E85" s="96" t="n">
        <f t="shared" si="49"/>
        <v>-4652.5324087534045</v>
      </c>
      <c r="F85" s="96" t="n">
        <f t="shared" si="49"/>
        <v>-4912.1957106165828</v>
      </c>
      <c r="G85" s="96" t="n">
        <f t="shared" si="49"/>
        <v>-4951.0080799050556</v>
      </c>
      <c r="H85" s="96" t="n">
        <f t="shared" ref="H85:I85" si="50">H21-H53</f>
        <v>-4990.1818272614064</v>
      </c>
      <c r="I85" s="96" t="n">
        <f t="shared" si="50"/>
        <v>-5029.7207646162769</v>
      </c>
      <c r="J85" s="96" t="n">
        <f t="shared" ref="J85" si="51">J21-J53</f>
        <v>-5243.9001360088942</v>
      </c>
    </row>
    <row r="86">
      <c r="B86" s="78" t="s">
        <v>159</v>
      </c>
      <c r="C86" s="78" t="s">
        <v>160</v>
      </c>
      <c r="D86" s="96" t="n">
        <f t="shared" ref="D86:G86" si="52">D22-D54</f>
        <v>-2462.0099012207479</v>
      </c>
      <c r="E86" s="96" t="n">
        <f t="shared" si="52"/>
        <v>-2487.2479329027969</v>
      </c>
      <c r="F86" s="96" t="n">
        <f t="shared" si="52"/>
        <v>-2510.4621646228529</v>
      </c>
      <c r="G86" s="96" t="n">
        <f t="shared" si="52"/>
        <v>-2534.5941302807146</v>
      </c>
      <c r="H86" s="96" t="n">
        <f t="shared" ref="H86:I86" si="53">H22-H54</f>
        <v>-2556.6427223201395</v>
      </c>
      <c r="I86" s="96" t="n">
        <f t="shared" si="53"/>
        <v>-2580.5023049564634</v>
      </c>
      <c r="J86" s="96" t="n">
        <f t="shared" ref="J86" si="54">J22-J54</f>
        <v>-2605.712835251084</v>
      </c>
    </row>
    <row r="87">
      <c r="B87" s="78" t="s">
        <v>161</v>
      </c>
      <c r="C87" s="78" t="s">
        <v>162</v>
      </c>
      <c r="D87" s="96" t="n">
        <f t="shared" ref="D87:G87" si="55">D23-D55</f>
        <v>-490.74981833953018</v>
      </c>
      <c r="E87" s="96" t="n">
        <f t="shared" si="55"/>
        <v>-487.71753679901639</v>
      </c>
      <c r="F87" s="96" t="n">
        <f t="shared" si="55"/>
        <v>-484.70399134560301</v>
      </c>
      <c r="G87" s="96" t="n">
        <f t="shared" si="55"/>
        <v>-481.70906621135919</v>
      </c>
      <c r="H87" s="96" t="n">
        <f t="shared" ref="H87:I87" si="56">H23-H55</f>
        <v>-478.73264634366956</v>
      </c>
      <c r="I87" s="96" t="n">
        <f t="shared" si="56"/>
        <v>-475.77461740081446</v>
      </c>
      <c r="J87" s="96" t="n">
        <f t="shared" ref="J87" si="57">J23-J55</f>
        <v>-472.83486574757717</v>
      </c>
    </row>
    <row r="88">
      <c r="B88" s="78" t="s">
        <v>163</v>
      </c>
      <c r="C88" s="78" t="s">
        <v>164</v>
      </c>
      <c r="D88" s="96" t="n">
        <f t="shared" ref="D88:G88" si="58">D24-D56</f>
        <v>-164.90838355470595</v>
      </c>
      <c r="E88" s="96" t="n">
        <f t="shared" si="58"/>
        <v>-164.82570564623509</v>
      </c>
      <c r="F88" s="96" t="n">
        <f t="shared" si="58"/>
        <v>-165.02510530784127</v>
      </c>
      <c r="G88" s="96" t="n">
        <f t="shared" si="58"/>
        <v>-165.35095353534408</v>
      </c>
      <c r="H88" s="96" t="n">
        <f t="shared" ref="H88:I88" si="59">H24-H56</f>
        <v>-165.18559771840236</v>
      </c>
      <c r="I88" s="96" t="n">
        <f t="shared" si="59"/>
        <v>-165.38499738000857</v>
      </c>
      <c r="J88" s="96" t="n">
        <f t="shared" ref="J88" si="60">J24-J56</f>
        <v>-165.06887596526704</v>
      </c>
    </row>
    <row r="89">
      <c r="B89" s="78" t="s">
        <v>1285</v>
      </c>
      <c r="C89" s="78" t="s">
        <v>1284</v>
      </c>
      <c r="D89" s="96" t="n">
        <f t="shared" ref="D89:G89" si="61">D25-D57</f>
        <v>0</v>
      </c>
      <c r="E89" s="96" t="n">
        <f t="shared" si="61"/>
        <v>0</v>
      </c>
      <c r="F89" s="96" t="n">
        <f t="shared" si="61"/>
        <v>0</v>
      </c>
      <c r="G89" s="96" t="n">
        <f t="shared" si="61"/>
        <v>0</v>
      </c>
      <c r="H89" s="96" t="n">
        <f t="shared" ref="H89:I89" si="62">H25-H57</f>
        <v>0</v>
      </c>
      <c r="I89" s="96" t="n">
        <f t="shared" si="62"/>
        <v>0</v>
      </c>
      <c r="J89" s="96" t="n">
        <f t="shared" ref="J89" si="63">J25-J57</f>
        <v>0</v>
      </c>
    </row>
    <row r="90">
      <c r="B90" s="78"/>
      <c r="C90" s="78"/>
      <c r="D90" s="96"/>
      <c r="E90" s="96"/>
      <c r="F90" s="96"/>
      <c r="G90" s="96"/>
      <c r="H90" s="96"/>
      <c r="I90" s="96"/>
      <c r="J90" s="96"/>
    </row>
    <row r="91">
      <c r="B91" s="78"/>
      <c r="C91" s="78"/>
      <c r="D91" s="96"/>
      <c r="E91" s="96"/>
      <c r="F91" s="96"/>
      <c r="G91" s="96"/>
      <c r="H91" s="96"/>
      <c r="I91" s="96"/>
      <c r="J91" s="96"/>
    </row>
    <row r="92">
      <c r="B92" s="86" t="s">
        <v>1793</v>
      </c>
      <c r="C92" s="78"/>
      <c r="D92" s="96"/>
      <c r="E92" s="96"/>
      <c r="F92" s="96"/>
      <c r="G92" s="96"/>
      <c r="H92" s="96"/>
      <c r="I92" s="96"/>
    </row>
    <row r="93">
      <c r="B93" s="78" t="s">
        <v>1607</v>
      </c>
      <c r="C93" s="78" t="s">
        <v>1794</v>
      </c>
      <c r="D93" s="95" t="n">
        <f t="shared" ref="D93:E93" si="64">D28-D60</f>
        <v>0</v>
      </c>
      <c r="E93" s="95" t="n">
        <f t="shared" si="64"/>
        <v>0</v>
      </c>
      <c r="F93" s="95" t="n">
        <f t="shared" ref="F93:G93" si="65">F28-F60</f>
        <v>0</v>
      </c>
      <c r="G93" s="95" t="n">
        <f t="shared" si="65"/>
        <v>0</v>
      </c>
      <c r="H93" s="95" t="n">
        <f t="shared" ref="H93:I93" si="66">H28-H60</f>
        <v>0</v>
      </c>
      <c r="I93" s="95" t="n">
        <f t="shared" si="66"/>
        <v>0</v>
      </c>
      <c r="J93" s="95" t="n">
        <f t="shared" ref="J93" si="67">J28-J60</f>
        <v>0</v>
      </c>
    </row>
    <row r="94">
      <c r="B94" s="78" t="s">
        <v>1608</v>
      </c>
      <c r="C94" s="78"/>
      <c r="D94" s="95" t="n">
        <f t="shared" ref="D94:E94" si="68">D29-D61</f>
        <v>0</v>
      </c>
      <c r="E94" s="95" t="n">
        <f t="shared" si="68"/>
        <v>0</v>
      </c>
      <c r="F94" s="95" t="n">
        <f t="shared" ref="F94:G94" si="69">F29-F61</f>
        <v>0</v>
      </c>
      <c r="G94" s="95" t="n">
        <f t="shared" si="69"/>
        <v>0</v>
      </c>
      <c r="H94" s="95" t="n">
        <f t="shared" ref="H94:I94" si="70">H29-H61</f>
        <v>0</v>
      </c>
      <c r="I94" s="95" t="n">
        <f t="shared" si="70"/>
        <v>0</v>
      </c>
      <c r="J94" s="95" t="n">
        <f t="shared" ref="J94" si="71">J29-J61</f>
        <v>0</v>
      </c>
    </row>
    <row r="95">
      <c r="B95" s="78" t="s">
        <v>1609</v>
      </c>
      <c r="C95" s="78"/>
      <c r="D95" s="95" t="n">
        <f t="shared" ref="D95:E95" si="72">D30-D62</f>
        <v>0</v>
      </c>
      <c r="E95" s="95" t="n">
        <f t="shared" si="72"/>
        <v>0</v>
      </c>
      <c r="F95" s="95" t="n">
        <f t="shared" ref="F95:G95" si="73">F30-F62</f>
        <v>0</v>
      </c>
      <c r="G95" s="95" t="n">
        <f t="shared" si="73"/>
        <v>0</v>
      </c>
      <c r="H95" s="95" t="n">
        <f t="shared" ref="H95:I95" si="74">H30-H62</f>
        <v>0</v>
      </c>
      <c r="I95" s="95" t="n">
        <f t="shared" si="74"/>
        <v>0</v>
      </c>
      <c r="J95" s="95" t="n">
        <f t="shared" ref="J95" si="75">J30-J62</f>
        <v>0</v>
      </c>
    </row>
    <row r="96">
      <c r="B96" s="78" t="s">
        <v>1610</v>
      </c>
      <c r="C96" s="78"/>
      <c r="D96" s="95" t="n">
        <f t="shared" ref="D96:E96" si="76">D31-D63</f>
        <v>0</v>
      </c>
      <c r="E96" s="95" t="n">
        <f t="shared" si="76"/>
        <v>0</v>
      </c>
      <c r="F96" s="95" t="n">
        <f t="shared" ref="F96:G96" si="77">F31-F63</f>
        <v>0</v>
      </c>
      <c r="G96" s="95" t="n">
        <f t="shared" si="77"/>
        <v>0</v>
      </c>
      <c r="H96" s="95" t="n">
        <f t="shared" ref="H96:I96" si="78">H31-H63</f>
        <v>0</v>
      </c>
      <c r="I96" s="95" t="n">
        <f t="shared" si="78"/>
        <v>0</v>
      </c>
      <c r="J96" s="95" t="n">
        <f t="shared" ref="J96" si="79">J31-J63</f>
        <v>0</v>
      </c>
    </row>
    <row r="97">
      <c r="B97" s="78" t="s">
        <v>1611</v>
      </c>
      <c r="C97" s="78"/>
      <c r="D97" s="95" t="n">
        <f t="shared" ref="D97:E97" si="80">D32-D64</f>
        <v>0</v>
      </c>
      <c r="E97" s="95" t="n">
        <f t="shared" si="80"/>
        <v>0</v>
      </c>
      <c r="F97" s="95" t="n">
        <f t="shared" ref="F97:G97" si="81">F32-F64</f>
        <v>0</v>
      </c>
      <c r="G97" s="95" t="n">
        <f t="shared" si="81"/>
        <v>0</v>
      </c>
      <c r="H97" s="95" t="n">
        <f t="shared" ref="H97:I97" si="82">H32-H64</f>
        <v>0</v>
      </c>
      <c r="I97" s="95" t="n">
        <f t="shared" si="82"/>
        <v>0</v>
      </c>
      <c r="J97" s="95" t="n">
        <f t="shared" ref="J97" si="83">J32-J64</f>
        <v>0</v>
      </c>
    </row>
    <row r="99">
      <c r="B99" s="93" t="s">
        <v>166</v>
      </c>
      <c r="C99" s="93"/>
      <c r="D99" s="93"/>
      <c r="E99" s="93"/>
      <c r="F99" s="93"/>
      <c r="G99" s="93"/>
      <c r="H99" s="93"/>
      <c r="I99" s="93"/>
      <c r="J99" s="93"/>
    </row>
    <row r="100">
      <c r="B100" t="s">
        <v>111</v>
      </c>
      <c r="C100" t="s">
        <v>112</v>
      </c>
      <c r="D100" t="s">
        <v>676</v>
      </c>
      <c r="E100" t="s">
        <v>677</v>
      </c>
      <c r="F100" t="s">
        <v>1057</v>
      </c>
      <c r="G100" t="s">
        <v>1058</v>
      </c>
      <c r="H100" t="s">
        <v>1059</v>
      </c>
      <c r="I100" t="s">
        <v>1060</v>
      </c>
      <c r="J100" t="s">
        <v>1061</v>
      </c>
    </row>
    <row r="101">
      <c r="B101" t="s">
        <v>125</v>
      </c>
      <c r="C101" t="s">
        <v>126</v>
      </c>
      <c r="D101" s="98" t="n">
        <f t="shared" ref="D101:F101" si="84">(D4/D36-1)</f>
        <v>-0.60642813204515744</v>
      </c>
      <c r="E101" s="98" t="n">
        <f t="shared" si="84"/>
        <v>-0.61447929621334985</v>
      </c>
      <c r="F101" s="98" t="n">
        <f t="shared" si="84"/>
        <v>-0.61643142526092087</v>
      </c>
      <c r="G101" s="98" t="n">
        <f t="shared" ref="G101:H122" si="85">(G4/G36-1)</f>
        <v>-0.62266250483189123</v>
      </c>
      <c r="H101" s="98" t="n">
        <f t="shared" si="85"/>
        <v>-0.62305540832840323</v>
      </c>
      <c r="I101" s="98" t="n">
        <f t="shared" ref="I101:J101" si="86">(I4/I36-1)</f>
        <v>-0.6265017504397814</v>
      </c>
      <c r="J101" s="98" t="n">
        <f t="shared" si="86"/>
        <v>-0.62841078633969383</v>
      </c>
    </row>
    <row r="102">
      <c r="B102" t="s">
        <v>92</v>
      </c>
      <c r="C102" t="s">
        <v>127</v>
      </c>
      <c r="D102" s="98" t="n">
        <f t="shared" ref="D102:F102" si="87">(D5/D37-1)</f>
        <v>-0.92252588707517369</v>
      </c>
      <c r="E102" s="98" t="n">
        <f t="shared" si="87"/>
        <v>-0.92252588707517369</v>
      </c>
      <c r="F102" s="98" t="n">
        <f t="shared" si="87"/>
        <v>-0.92252588707517369</v>
      </c>
      <c r="G102" s="98" t="n">
        <f t="shared" si="85"/>
        <v>-0.92252588707517369</v>
      </c>
      <c r="H102" s="98" t="n">
        <f t="shared" si="85"/>
        <v>-0.92252588707517369</v>
      </c>
      <c r="I102" s="98" t="n">
        <f t="shared" ref="I102:J102" si="88">(I5/I37-1)</f>
        <v>-0.92252588707517369</v>
      </c>
      <c r="J102" s="98" t="n">
        <f t="shared" si="88"/>
        <v>-0.92252588707517369</v>
      </c>
    </row>
    <row r="103">
      <c r="B103" t="s">
        <v>128</v>
      </c>
      <c r="C103" t="s">
        <v>129</v>
      </c>
      <c r="D103" s="98" t="n">
        <f t="shared" ref="D103:F103" si="89">(D6/D38-1)</f>
        <v>-0.90462681178109039</v>
      </c>
      <c r="E103" s="98" t="n">
        <f t="shared" si="89"/>
        <v>-0.90462681178109039</v>
      </c>
      <c r="F103" s="98" t="n">
        <f t="shared" si="89"/>
        <v>-0.90462681178109039</v>
      </c>
      <c r="G103" s="98" t="n">
        <f t="shared" si="85"/>
        <v>-0.90462681178109039</v>
      </c>
      <c r="H103" s="98" t="n">
        <f t="shared" si="85"/>
        <v>-0.90462681178109039</v>
      </c>
      <c r="I103" s="98" t="n">
        <f t="shared" ref="I103:J103" si="90">(I6/I38-1)</f>
        <v>-0.90462681178109039</v>
      </c>
      <c r="J103" s="98" t="n">
        <f t="shared" si="90"/>
        <v>-0.90462681178109039</v>
      </c>
    </row>
    <row r="104">
      <c r="B104" t="s">
        <v>130</v>
      </c>
      <c r="C104" t="s">
        <v>131</v>
      </c>
      <c r="D104" s="98" t="n">
        <f t="shared" ref="D104:F104" si="91">(D7/D39-1)</f>
        <v>-0.93275915103045215</v>
      </c>
      <c r="E104" s="98" t="n">
        <f t="shared" si="91"/>
        <v>-0.93275915103045215</v>
      </c>
      <c r="F104" s="98" t="n">
        <f t="shared" si="91"/>
        <v>-0.93275915103045215</v>
      </c>
      <c r="G104" s="98" t="n">
        <f t="shared" si="85"/>
        <v>-0.93275915103045215</v>
      </c>
      <c r="H104" s="98" t="n">
        <f t="shared" si="85"/>
        <v>-0.93275915103045215</v>
      </c>
      <c r="I104" s="98" t="n">
        <f t="shared" ref="I104:J104" si="92">(I7/I39-1)</f>
        <v>-0.93275915103045215</v>
      </c>
      <c r="J104" s="98" t="n">
        <f t="shared" si="92"/>
        <v>-0.93275915103045215</v>
      </c>
    </row>
    <row r="105">
      <c r="B105" t="s">
        <v>132</v>
      </c>
      <c r="C105" t="s">
        <v>133</v>
      </c>
      <c r="D105" s="98" t="n">
        <f t="shared" ref="D105:F105" si="93">(D8/D40-1)</f>
        <v>-0.95058815512644701</v>
      </c>
      <c r="E105" s="98" t="n">
        <f t="shared" si="93"/>
        <v>-0.91670773780187287</v>
      </c>
      <c r="F105" s="98" t="n">
        <f t="shared" si="93"/>
        <v>-0.93318839367840123</v>
      </c>
      <c r="G105" s="98" t="n">
        <f t="shared" si="85"/>
        <v>-0.93318839367840123</v>
      </c>
      <c r="H105" s="98" t="n">
        <f t="shared" si="85"/>
        <v>-0.93318839367840123</v>
      </c>
      <c r="I105" s="98" t="n">
        <f t="shared" ref="I105:J105" si="94">(I8/I40-1)</f>
        <v>-0.93318839367840123</v>
      </c>
      <c r="J105" s="98" t="n">
        <f t="shared" si="94"/>
        <v>-0.93318839367840123</v>
      </c>
    </row>
    <row r="106">
      <c r="B106" t="s">
        <v>134</v>
      </c>
      <c r="C106" t="s">
        <v>135</v>
      </c>
      <c r="D106" s="98" t="n">
        <f t="shared" ref="D106:F106" si="95">(D9/D41-1)</f>
        <v>0</v>
      </c>
      <c r="E106" s="98" t="n">
        <f t="shared" si="95"/>
        <v>0</v>
      </c>
      <c r="F106" s="98" t="e">
        <f t="shared" si="95"/>
        <v>#DIV/0!</v>
      </c>
      <c r="G106" s="98" t="e">
        <f t="shared" si="85"/>
        <v>#DIV/0!</v>
      </c>
      <c r="H106" s="98" t="e">
        <f t="shared" si="85"/>
        <v>#DIV/0!</v>
      </c>
      <c r="I106" s="98" t="e">
        <f t="shared" ref="I106:J106" si="96">(I9/I41-1)</f>
        <v>#DIV/0!</v>
      </c>
      <c r="J106" s="98" t="e">
        <f t="shared" si="96"/>
        <v>#DIV/0!</v>
      </c>
    </row>
    <row r="107">
      <c r="B107" t="s">
        <v>136</v>
      </c>
      <c r="C107" t="s">
        <v>137</v>
      </c>
      <c r="D107" s="98" t="e">
        <f t="shared" ref="D107:F107" si="97">(D10/D42-1)</f>
        <v>#DIV/0!</v>
      </c>
      <c r="E107" s="98" t="e">
        <f t="shared" si="97"/>
        <v>#DIV/0!</v>
      </c>
      <c r="F107" s="98" t="e">
        <f t="shared" si="97"/>
        <v>#DIV/0!</v>
      </c>
      <c r="G107" s="98" t="e">
        <f t="shared" si="85"/>
        <v>#DIV/0!</v>
      </c>
      <c r="H107" s="98" t="e">
        <f t="shared" si="85"/>
        <v>#DIV/0!</v>
      </c>
      <c r="I107" s="98" t="e">
        <f t="shared" ref="I107:J107" si="98">(I10/I42-1)</f>
        <v>#DIV/0!</v>
      </c>
      <c r="J107" s="98" t="e">
        <f t="shared" si="98"/>
        <v>#DIV/0!</v>
      </c>
    </row>
    <row r="108">
      <c r="B108" t="s">
        <v>138</v>
      </c>
      <c r="C108" t="s">
        <v>139</v>
      </c>
      <c r="D108" s="98" t="n">
        <f t="shared" ref="D108:F108" si="99">(D11/D43-1)</f>
        <v>0</v>
      </c>
      <c r="E108" s="98" t="n">
        <f t="shared" si="99"/>
        <v>0</v>
      </c>
      <c r="F108" s="98" t="n">
        <f t="shared" si="99"/>
        <v>0</v>
      </c>
      <c r="G108" s="98" t="n">
        <f t="shared" si="85"/>
        <v>0</v>
      </c>
      <c r="H108" s="98" t="n">
        <f t="shared" si="85"/>
        <v>0</v>
      </c>
      <c r="I108" s="98" t="n">
        <f t="shared" ref="I108:J108" si="100">(I11/I43-1)</f>
        <v>0</v>
      </c>
      <c r="J108" s="98" t="n">
        <f t="shared" si="100"/>
        <v>0</v>
      </c>
    </row>
    <row r="109">
      <c r="B109" t="s">
        <v>140</v>
      </c>
      <c r="C109" t="s">
        <v>141</v>
      </c>
      <c r="D109" s="98" t="e">
        <f t="shared" ref="D109:F109" si="101">(D12/D44-1)</f>
        <v>#DIV/0!</v>
      </c>
      <c r="E109" s="98" t="e">
        <f t="shared" si="101"/>
        <v>#DIV/0!</v>
      </c>
      <c r="F109" s="98" t="e">
        <f t="shared" si="101"/>
        <v>#DIV/0!</v>
      </c>
      <c r="G109" s="98" t="e">
        <f t="shared" si="85"/>
        <v>#DIV/0!</v>
      </c>
      <c r="H109" s="98" t="e">
        <f t="shared" si="85"/>
        <v>#DIV/0!</v>
      </c>
      <c r="I109" s="98" t="e">
        <f t="shared" ref="I109:J109" si="102">(I12/I44-1)</f>
        <v>#DIV/0!</v>
      </c>
      <c r="J109" s="98" t="e">
        <f t="shared" si="102"/>
        <v>#DIV/0!</v>
      </c>
    </row>
    <row r="110">
      <c r="B110" t="s">
        <v>142</v>
      </c>
      <c r="C110" t="s">
        <v>143</v>
      </c>
      <c r="D110" s="98" t="e">
        <f t="shared" ref="D110:F110" si="103">(D13/D45-1)</f>
        <v>#DIV/0!</v>
      </c>
      <c r="E110" s="98" t="e">
        <f t="shared" si="103"/>
        <v>#DIV/0!</v>
      </c>
      <c r="F110" s="98" t="e">
        <f t="shared" si="103"/>
        <v>#DIV/0!</v>
      </c>
      <c r="G110" s="98" t="e">
        <f t="shared" si="85"/>
        <v>#DIV/0!</v>
      </c>
      <c r="H110" s="98" t="e">
        <f t="shared" si="85"/>
        <v>#DIV/0!</v>
      </c>
      <c r="I110" s="98" t="e">
        <f t="shared" ref="I110:J110" si="104">(I13/I45-1)</f>
        <v>#DIV/0!</v>
      </c>
      <c r="J110" s="98" t="e">
        <f t="shared" si="104"/>
        <v>#DIV/0!</v>
      </c>
    </row>
    <row r="111">
      <c r="B111" t="s">
        <v>46</v>
      </c>
      <c r="C111" t="s">
        <v>144</v>
      </c>
      <c r="D111" s="98" t="n">
        <f t="shared" ref="D111:F111" si="105">(D14/D46-1)</f>
        <v>-0.98375771931308686</v>
      </c>
      <c r="E111" s="98" t="n">
        <f t="shared" si="105"/>
        <v>-0.98375771931308686</v>
      </c>
      <c r="F111" s="98" t="n">
        <f t="shared" si="105"/>
        <v>-0.98375771931308686</v>
      </c>
      <c r="G111" s="98" t="n">
        <f t="shared" si="85"/>
        <v>-0.98375771931308686</v>
      </c>
      <c r="H111" s="98" t="n">
        <f t="shared" si="85"/>
        <v>-0.98375771931308686</v>
      </c>
      <c r="I111" s="98" t="n">
        <f t="shared" ref="I111:J111" si="106">(I14/I46-1)</f>
        <v>-0.98375771931308686</v>
      </c>
      <c r="J111" s="98" t="n">
        <f t="shared" si="106"/>
        <v>-0.98375771931308686</v>
      </c>
    </row>
    <row r="112">
      <c r="B112" t="s">
        <v>145</v>
      </c>
      <c r="C112" t="s">
        <v>146</v>
      </c>
      <c r="D112" s="98" t="e">
        <f t="shared" ref="D112:F112" si="107">(D15/D47-1)</f>
        <v>#DIV/0!</v>
      </c>
      <c r="E112" s="98" t="e">
        <f t="shared" si="107"/>
        <v>#DIV/0!</v>
      </c>
      <c r="F112" s="98" t="e">
        <f t="shared" si="107"/>
        <v>#DIV/0!</v>
      </c>
      <c r="G112" s="98" t="e">
        <f t="shared" si="85"/>
        <v>#DIV/0!</v>
      </c>
      <c r="H112" s="98" t="e">
        <f t="shared" si="85"/>
        <v>#DIV/0!</v>
      </c>
      <c r="I112" s="98" t="e">
        <f t="shared" ref="I112:J112" si="108">(I15/I47-1)</f>
        <v>#DIV/0!</v>
      </c>
      <c r="J112" s="98" t="e">
        <f t="shared" si="108"/>
        <v>#DIV/0!</v>
      </c>
    </row>
    <row r="113">
      <c r="B113" t="s">
        <v>147</v>
      </c>
      <c r="C113" t="s">
        <v>148</v>
      </c>
      <c r="D113" s="98" t="e">
        <f t="shared" ref="D113:F113" si="109">(D16/D48-1)</f>
        <v>#DIV/0!</v>
      </c>
      <c r="E113" s="98" t="e">
        <f t="shared" si="109"/>
        <v>#DIV/0!</v>
      </c>
      <c r="F113" s="98" t="e">
        <f t="shared" si="109"/>
        <v>#DIV/0!</v>
      </c>
      <c r="G113" s="98" t="e">
        <f t="shared" si="85"/>
        <v>#DIV/0!</v>
      </c>
      <c r="H113" s="98" t="e">
        <f t="shared" si="85"/>
        <v>#DIV/0!</v>
      </c>
      <c r="I113" s="98" t="e">
        <f t="shared" ref="I113:J113" si="110">(I16/I48-1)</f>
        <v>#DIV/0!</v>
      </c>
      <c r="J113" s="98" t="e">
        <f t="shared" si="110"/>
        <v>#DIV/0!</v>
      </c>
    </row>
    <row r="114">
      <c r="B114" t="s">
        <v>149</v>
      </c>
      <c r="C114" t="s">
        <v>150</v>
      </c>
      <c r="D114" s="98" t="n">
        <f t="shared" ref="D114:F114" si="111">(D17/D49-1)</f>
        <v>0</v>
      </c>
      <c r="E114" s="98" t="n">
        <f t="shared" si="111"/>
        <v>0</v>
      </c>
      <c r="F114" s="98" t="e">
        <f t="shared" si="111"/>
        <v>#DIV/0!</v>
      </c>
      <c r="G114" s="98" t="e">
        <f t="shared" si="85"/>
        <v>#DIV/0!</v>
      </c>
      <c r="H114" s="98" t="e">
        <f t="shared" si="85"/>
        <v>#DIV/0!</v>
      </c>
      <c r="I114" s="98" t="e">
        <f t="shared" ref="I114:J114" si="112">(I17/I49-1)</f>
        <v>#DIV/0!</v>
      </c>
      <c r="J114" s="98" t="e">
        <f t="shared" si="112"/>
        <v>#DIV/0!</v>
      </c>
    </row>
    <row r="115">
      <c r="B115" t="s">
        <v>151</v>
      </c>
      <c r="C115" t="s">
        <v>152</v>
      </c>
      <c r="D115" s="98" t="n">
        <f t="shared" ref="D115:F115" si="113">(D18/D50-1)</f>
        <v>0</v>
      </c>
      <c r="E115" s="98" t="n">
        <f t="shared" si="113"/>
        <v>0</v>
      </c>
      <c r="F115" s="98" t="e">
        <f t="shared" si="113"/>
        <v>#DIV/0!</v>
      </c>
      <c r="G115" s="98" t="e">
        <f t="shared" si="85"/>
        <v>#DIV/0!</v>
      </c>
      <c r="H115" s="98" t="e">
        <f t="shared" si="85"/>
        <v>#DIV/0!</v>
      </c>
      <c r="I115" s="98" t="e">
        <f t="shared" ref="I115:J115" si="114">(I18/I50-1)</f>
        <v>#DIV/0!</v>
      </c>
      <c r="J115" s="98" t="e">
        <f t="shared" si="114"/>
        <v>#DIV/0!</v>
      </c>
    </row>
    <row r="116">
      <c r="B116" t="s">
        <v>153</v>
      </c>
      <c r="C116" t="s">
        <v>154</v>
      </c>
      <c r="D116" s="98" t="n">
        <f t="shared" ref="D116:F116" si="115">(D19/D51-1)</f>
        <v>-0.95338899562670543</v>
      </c>
      <c r="E116" s="98" t="n">
        <f t="shared" si="115"/>
        <v>-0.9580486961812954</v>
      </c>
      <c r="F116" s="98" t="n">
        <f t="shared" si="115"/>
        <v>-0.95273250833857948</v>
      </c>
      <c r="G116" s="98" t="n">
        <f t="shared" si="85"/>
        <v>-0.94802003868180995</v>
      </c>
      <c r="H116" s="98" t="n">
        <f t="shared" si="85"/>
        <v>-0.94269999284855888</v>
      </c>
      <c r="I116" s="98" t="n">
        <f t="shared" ref="I116:J116" si="116">(I19/I51-1)</f>
        <v>-0.94057965872299443</v>
      </c>
      <c r="J116" s="98" t="n">
        <f t="shared" si="116"/>
        <v>-0.93502591691050996</v>
      </c>
    </row>
    <row r="117">
      <c r="B117" t="s">
        <v>155</v>
      </c>
      <c r="C117" t="s">
        <v>156</v>
      </c>
      <c r="D117" s="98" t="n">
        <f t="shared" ref="D117:F117" si="117">(D20/D52-1)</f>
        <v>-1.38835253191347</v>
      </c>
      <c r="E117" s="98" t="n">
        <f t="shared" si="117"/>
        <v>-1.4017676358814475</v>
      </c>
      <c r="F117" s="98" t="n">
        <f t="shared" si="117"/>
        <v>-1.4156461461611718</v>
      </c>
      <c r="G117" s="98" t="n">
        <f t="shared" si="85"/>
        <v>-1.4300040704861861</v>
      </c>
      <c r="H117" s="98" t="n">
        <f t="shared" si="85"/>
        <v>-1.4448579695551667</v>
      </c>
      <c r="I117" s="98" t="n">
        <f t="shared" ref="I117:J117" si="118">(I20/I52-1)</f>
        <v>-1.4602249761333432</v>
      </c>
      <c r="J117" s="98" t="n">
        <f t="shared" si="118"/>
        <v>-1.4761228148137522</v>
      </c>
    </row>
    <row r="118">
      <c r="B118" t="s">
        <v>157</v>
      </c>
      <c r="C118" t="s">
        <v>158</v>
      </c>
      <c r="D118" s="98" t="n">
        <f t="shared" ref="D118:F118" si="119">(D21/D53-1)</f>
        <v>-0.94761739581093285</v>
      </c>
      <c r="E118" s="98" t="n">
        <f t="shared" si="119"/>
        <v>-0.93632486185578589</v>
      </c>
      <c r="F118" s="98" t="n">
        <f t="shared" si="119"/>
        <v>-0.98679456692316425</v>
      </c>
      <c r="G118" s="98" t="n">
        <f t="shared" si="85"/>
        <v>-0.98651469172724138</v>
      </c>
      <c r="H118" s="98" t="n">
        <f t="shared" si="85"/>
        <v>-0.98623487485358685</v>
      </c>
      <c r="I118" s="98" t="n">
        <f t="shared" ref="I118:J118" si="120">(I21/I53-1)</f>
        <v>-0.9859551206187992</v>
      </c>
      <c r="J118" s="98" t="n">
        <f t="shared" si="120"/>
        <v>-0.99930806073756462</v>
      </c>
    </row>
    <row r="119">
      <c r="B119" t="s">
        <v>159</v>
      </c>
      <c r="C119" t="s">
        <v>160</v>
      </c>
      <c r="D119" s="98" t="n">
        <f t="shared" ref="D119:F119" si="121">(D22/D54-1)</f>
        <v>-0.94314778803927579</v>
      </c>
      <c r="E119" s="98" t="n">
        <f t="shared" si="121"/>
        <v>-0.94311854974419906</v>
      </c>
      <c r="F119" s="98" t="n">
        <f t="shared" si="121"/>
        <v>-0.94309317298147921</v>
      </c>
      <c r="G119" s="98" t="n">
        <f t="shared" si="85"/>
        <v>-0.94306235013988537</v>
      </c>
      <c r="H119" s="98" t="n">
        <f t="shared" si="85"/>
        <v>-0.94303981434936179</v>
      </c>
      <c r="I119" s="98" t="n">
        <f t="shared" ref="I119:J119" si="122">(I22/I54-1)</f>
        <v>-0.94301022716104432</v>
      </c>
      <c r="J119" s="98" t="n">
        <f t="shared" si="122"/>
        <v>-0.94297872197244215</v>
      </c>
    </row>
    <row r="120">
      <c r="B120" t="s">
        <v>161</v>
      </c>
      <c r="C120" t="s">
        <v>162</v>
      </c>
      <c r="D120" s="98" t="n">
        <f t="shared" ref="D120:F120" si="123">(D23/D55-1)</f>
        <v>-3.5005549375873128</v>
      </c>
      <c r="E120" s="98" t="n">
        <f t="shared" si="123"/>
        <v>-1.2368390939160498</v>
      </c>
      <c r="F120" s="98" t="n">
        <f t="shared" si="123"/>
        <v>-1.2368390939160498</v>
      </c>
      <c r="G120" s="98" t="n">
        <f t="shared" si="85"/>
        <v>-1.2368390939160498</v>
      </c>
      <c r="H120" s="98" t="n">
        <f t="shared" si="85"/>
        <v>-1.2368390939160498</v>
      </c>
      <c r="I120" s="98" t="n">
        <f t="shared" ref="I120:J120" si="124">(I23/I55-1)</f>
        <v>-1.2368390939160498</v>
      </c>
      <c r="J120" s="98" t="n">
        <f t="shared" si="124"/>
        <v>-1.2053106380955905</v>
      </c>
    </row>
    <row r="121">
      <c r="B121" t="s">
        <v>163</v>
      </c>
      <c r="C121" t="s">
        <v>164</v>
      </c>
      <c r="D121" s="98" t="n">
        <f t="shared" ref="D121:F121" si="125">(D24/D56-1)</f>
        <v>-0.95631216936296293</v>
      </c>
      <c r="E121" s="98" t="n">
        <f t="shared" si="125"/>
        <v>-0.95631216936296293</v>
      </c>
      <c r="F121" s="98" t="n">
        <f t="shared" si="125"/>
        <v>-0.95631216936296293</v>
      </c>
      <c r="G121" s="98" t="n">
        <f t="shared" si="85"/>
        <v>-0.95631216936296293</v>
      </c>
      <c r="H121" s="98" t="n">
        <f t="shared" si="85"/>
        <v>-0.95631216936296293</v>
      </c>
      <c r="I121" s="98" t="n">
        <f t="shared" ref="I121:J121" si="126">(I24/I56-1)</f>
        <v>-0.95631216936296293</v>
      </c>
      <c r="J121" s="98" t="n">
        <f t="shared" si="126"/>
        <v>-0.95631216936296293</v>
      </c>
    </row>
    <row r="122">
      <c r="B122" s="78" t="s">
        <v>1285</v>
      </c>
      <c r="C122" s="78" t="s">
        <v>1284</v>
      </c>
      <c r="D122" s="98" t="n">
        <f t="shared" ref="D122:F122" si="127">(D25/D57-1)</f>
        <v>0</v>
      </c>
      <c r="E122" s="98" t="n">
        <f t="shared" si="127"/>
        <v>0</v>
      </c>
      <c r="F122" s="98" t="n">
        <f t="shared" si="127"/>
        <v>0</v>
      </c>
      <c r="G122" s="98" t="n">
        <f t="shared" si="85"/>
        <v>0</v>
      </c>
      <c r="H122" s="98" t="n">
        <f t="shared" si="85"/>
        <v>0</v>
      </c>
      <c r="I122" s="98" t="n">
        <f t="shared" ref="I122:J122" si="128">(I25/I57-1)</f>
        <v>0</v>
      </c>
      <c r="J122" s="98" t="n">
        <f t="shared" si="128"/>
        <v>0</v>
      </c>
    </row>
    <row r="123">
      <c r="B123" s="78"/>
    </row>
    <row r="124">
      <c r="B124" s="86" t="s">
        <v>1793</v>
      </c>
    </row>
    <row r="125">
      <c r="B125" s="78" t="s">
        <v>1607</v>
      </c>
      <c r="D125" s="98" t="n">
        <f t="shared" ref="D125:F125" si="129">(D28/D60-1)</f>
        <v>0</v>
      </c>
      <c r="E125" s="98" t="n">
        <f t="shared" si="129"/>
        <v>0</v>
      </c>
      <c r="F125" s="98" t="n">
        <f t="shared" si="129"/>
        <v>0</v>
      </c>
      <c r="G125" s="98" t="n">
        <f t="shared" ref="G125:H129" si="130">(G28/G60-1)</f>
        <v>0</v>
      </c>
      <c r="H125" s="98" t="n">
        <f t="shared" si="130"/>
        <v>0</v>
      </c>
      <c r="I125" s="98" t="n">
        <f t="shared" ref="I125:J125" si="131">(I28/I60-1)</f>
        <v>0</v>
      </c>
      <c r="J125" s="98" t="n">
        <f t="shared" si="131"/>
        <v>0</v>
      </c>
    </row>
    <row r="126">
      <c r="B126" s="78" t="s">
        <v>1608</v>
      </c>
      <c r="D126" s="98" t="n">
        <f t="shared" ref="D126:F126" si="132">(D29/D61-1)</f>
        <v>0</v>
      </c>
      <c r="E126" s="98" t="n">
        <f t="shared" si="132"/>
        <v>0</v>
      </c>
      <c r="F126" s="98" t="n">
        <f t="shared" si="132"/>
        <v>0</v>
      </c>
      <c r="G126" s="98" t="n">
        <f t="shared" si="130"/>
        <v>0</v>
      </c>
      <c r="H126" s="98" t="n">
        <f t="shared" si="130"/>
        <v>0</v>
      </c>
      <c r="I126" s="98" t="n">
        <f t="shared" ref="I126:J126" si="133">(I29/I61-1)</f>
        <v>0</v>
      </c>
      <c r="J126" s="98" t="n">
        <f t="shared" si="133"/>
        <v>0</v>
      </c>
    </row>
    <row r="127">
      <c r="B127" s="78" t="s">
        <v>1609</v>
      </c>
      <c r="D127" s="98" t="n">
        <f t="shared" ref="D127:F127" si="134">(D30/D62-1)</f>
        <v>0</v>
      </c>
      <c r="E127" s="98" t="n">
        <f t="shared" si="134"/>
        <v>0</v>
      </c>
      <c r="F127" s="98" t="n">
        <f t="shared" si="134"/>
        <v>0</v>
      </c>
      <c r="G127" s="98" t="n">
        <f t="shared" si="130"/>
        <v>0</v>
      </c>
      <c r="H127" s="98" t="n">
        <f t="shared" si="130"/>
        <v>0</v>
      </c>
      <c r="I127" s="98" t="n">
        <f t="shared" ref="I127:J127" si="135">(I30/I62-1)</f>
        <v>0</v>
      </c>
      <c r="J127" s="98" t="n">
        <f t="shared" si="135"/>
        <v>0</v>
      </c>
    </row>
    <row r="128">
      <c r="B128" s="78" t="s">
        <v>1610</v>
      </c>
      <c r="D128" s="98" t="n">
        <f t="shared" ref="D128:F128" si="136">(D31/D63-1)</f>
        <v>0</v>
      </c>
      <c r="E128" s="98" t="n">
        <f t="shared" si="136"/>
        <v>0</v>
      </c>
      <c r="F128" s="98" t="n">
        <f t="shared" si="136"/>
        <v>0</v>
      </c>
      <c r="G128" s="98" t="n">
        <f t="shared" si="130"/>
        <v>0</v>
      </c>
      <c r="H128" s="98" t="n">
        <f t="shared" si="130"/>
        <v>0</v>
      </c>
      <c r="I128" s="98" t="n">
        <f t="shared" ref="I128:J128" si="137">(I31/I63-1)</f>
        <v>0</v>
      </c>
      <c r="J128" s="98" t="n">
        <f t="shared" si="137"/>
        <v>0</v>
      </c>
    </row>
    <row r="129">
      <c r="B129" s="78" t="s">
        <v>1611</v>
      </c>
      <c r="D129" s="98" t="n">
        <f t="shared" ref="D129:F129" si="138">(D32/D64-1)</f>
        <v>0</v>
      </c>
      <c r="E129" s="98" t="n">
        <f t="shared" si="138"/>
        <v>0</v>
      </c>
      <c r="F129" s="98" t="n">
        <f t="shared" si="138"/>
        <v>0</v>
      </c>
      <c r="G129" s="98" t="n">
        <f t="shared" si="130"/>
        <v>0</v>
      </c>
      <c r="H129" s="98" t="n">
        <f t="shared" si="130"/>
        <v>0</v>
      </c>
      <c r="I129" s="98" t="n">
        <f t="shared" ref="I129:J129" si="139">(I32/I64-1)</f>
        <v>0</v>
      </c>
      <c r="J129" s="98" t="n">
        <f t="shared" si="139"/>
        <v>0</v>
      </c>
    </row>
  </sheetData>
  <mergeCells count="4">
    <mergeCell ref="B2:J2"/>
    <mergeCell ref="B34:J34"/>
    <mergeCell ref="B66:J66"/>
    <mergeCell ref="B99:J99"/>
  </mergeCells>
  <conditionalFormatting sqref="D68:J91 D92:I97 J93:J97 D101:J122 D125:J129">
    <cfRule type="cellIs" dxfId="69" priority="3" operator="lessThan">
      <formula>0</formula>
    </cfRule>
    <cfRule type="cellIs" dxfId="68" priority="4" operator="greaterThan">
      <formula>0</formula>
    </cfRule>
  </conditionalFormatting>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2" ySplit="7" topLeftCell="X71" activePane="bottomRight" state="frozen"/>
      <selection pane="topRight" activeCell="C1" sqref="C1"/>
      <selection pane="bottomLeft" activeCell="A8" sqref="A8"/>
      <selection pane="bottomRight" activeCell="AL85" sqref="AL85"/>
    </sheetView>
  </sheetViews>
  <sheetFormatPr defaultRowHeight="15.0" baseColWidth="10"/>
  <cols>
    <col min="1" max="1" width="9" hidden="0" customWidth="1"/>
    <col min="2" max="2" width="65" hidden="0" customWidth="1"/>
    <col min="3" max="3" width="11.54296875" hidden="0" customWidth="1"/>
    <col min="4" max="4" width="11.54296875" hidden="0" customWidth="1"/>
    <col min="5" max="5" width="11.54296875" hidden="0" customWidth="1"/>
    <col min="6" max="6" width="11.54296875" hidden="0" customWidth="1"/>
    <col min="7" max="7" width="11.54296875" hidden="0" customWidth="1"/>
    <col min="8" max="8" width="11.54296875" hidden="0" customWidth="1"/>
    <col min="9" max="9" width="11.54296875" hidden="0" customWidth="1"/>
    <col min="10" max="10" width="11.54296875" hidden="0" customWidth="1"/>
    <col min="11" max="11" width="11.54296875" hidden="0" customWidth="1"/>
    <col min="12" max="12" width="11.54296875" hidden="0" customWidth="1"/>
    <col min="13" max="13" width="11.54296875" hidden="0" customWidth="1"/>
    <col min="14" max="14" width="11.54296875" hidden="0" customWidth="1"/>
    <col min="15" max="15" width="11.54296875" hidden="0" customWidth="1"/>
    <col min="16" max="16" width="11.54296875" hidden="0" customWidth="1"/>
    <col min="17" max="17" width="11.54296875" hidden="0" customWidth="1"/>
    <col min="18" max="18" width="11.54296875" hidden="0" customWidth="1"/>
    <col min="19" max="19" width="11.54296875" hidden="0" customWidth="1"/>
    <col min="20" max="20" width="11.54296875" hidden="0" customWidth="1"/>
    <col min="21" max="21" width="11.54296875" hidden="0" customWidth="1"/>
    <col min="22" max="22" width="11.54296875" hidden="0" customWidth="1"/>
    <col min="23" max="23" width="11.54296875" hidden="0" customWidth="1"/>
    <col min="24" max="24" width="11.54296875" hidden="0" customWidth="1"/>
    <col min="25" max="25" width="11.54296875" hidden="0" customWidth="1"/>
    <col min="26" max="26" width="11.54296875" hidden="0" customWidth="1"/>
    <col min="27" max="27" width="11.54296875" hidden="0" customWidth="1"/>
    <col min="28" max="28" width="11.54296875" hidden="0" customWidth="1"/>
    <col min="29" max="29" width="11.54296875" hidden="0" customWidth="1"/>
    <col min="30" max="30" width="11.54296875" hidden="0" customWidth="1"/>
    <col min="31" max="31" width="11.54296875" hidden="0" customWidth="1"/>
  </cols>
  <sheetData>
    <row r="2" ht="21" customHeight="1">
      <c r="A2" s="128" t="s">
        <v>1709</v>
      </c>
      <c r="B2" s="128"/>
      <c r="C2" s="128"/>
      <c r="D2" s="128"/>
      <c r="E2" s="128"/>
      <c r="F2" s="128"/>
      <c r="G2" s="128"/>
      <c r="H2" s="128"/>
      <c r="I2" s="128"/>
      <c r="J2" s="128"/>
      <c r="K2" s="128"/>
      <c r="L2" s="117"/>
      <c r="M2" s="146"/>
      <c r="N2" s="106"/>
      <c r="O2" s="117"/>
      <c r="P2" s="146"/>
      <c r="Q2" s="106"/>
      <c r="R2" s="117"/>
      <c r="S2" s="146"/>
      <c r="T2" s="106"/>
      <c r="U2" s="117"/>
      <c r="V2" s="146"/>
      <c r="W2" s="106"/>
      <c r="X2" s="117"/>
      <c r="Y2" s="146"/>
      <c r="Z2" s="106"/>
      <c r="AA2" s="117"/>
      <c r="AB2" s="146"/>
      <c r="AC2" s="106"/>
      <c r="AD2" s="117"/>
      <c r="AE2" s="146"/>
      <c r="AF2" s="157"/>
      <c r="AG2" s="200"/>
      <c r="AH2" s="201"/>
      <c r="AI2" s="156"/>
      <c r="AJ2" s="200"/>
      <c r="AK2" s="201"/>
      <c r="AL2" s="197"/>
    </row>
    <row r="3">
      <c r="A3" s="86" t="s">
        <v>787</v>
      </c>
      <c r="B3" s="86"/>
      <c r="C3" s="86"/>
      <c r="D3" s="86"/>
      <c r="E3" s="86"/>
      <c r="F3" s="86"/>
      <c r="G3" s="86"/>
      <c r="H3" s="86"/>
      <c r="I3" s="86"/>
      <c r="J3" s="86"/>
      <c r="K3" s="86"/>
      <c r="L3" s="118"/>
      <c r="M3" s="149"/>
      <c r="N3" s="157"/>
      <c r="O3" s="118"/>
      <c r="P3" s="149"/>
      <c r="Q3" s="157"/>
      <c r="R3" s="118"/>
      <c r="S3" s="149"/>
      <c r="T3" s="157"/>
      <c r="U3" s="118"/>
      <c r="V3" s="149"/>
      <c r="W3" s="157"/>
      <c r="X3" s="118"/>
      <c r="Y3" s="149"/>
      <c r="Z3" s="157"/>
      <c r="AA3" s="118"/>
      <c r="AB3" s="149"/>
      <c r="AC3" s="157"/>
      <c r="AD3" s="118"/>
      <c r="AE3" s="149"/>
      <c r="AF3" s="157"/>
      <c r="AG3" s="200"/>
      <c r="AH3" s="201"/>
      <c r="AI3" s="156"/>
      <c r="AJ3" s="200"/>
      <c r="AK3" s="201"/>
      <c r="AL3" s="197"/>
    </row>
    <row r="4" ht="15" customHeight="1">
      <c r="A4" s="129"/>
      <c r="B4" s="129"/>
      <c r="C4" s="129"/>
      <c r="D4" s="87"/>
      <c r="E4" s="87"/>
      <c r="F4" s="87"/>
      <c r="G4" s="87"/>
      <c r="H4" s="87"/>
      <c r="I4" s="87"/>
      <c r="J4" s="87"/>
      <c r="K4" s="87"/>
      <c r="L4" s="119"/>
      <c r="M4" s="152"/>
      <c r="N4" s="108"/>
      <c r="O4" s="119"/>
      <c r="P4" s="152"/>
      <c r="Q4" s="108"/>
      <c r="R4" s="119"/>
      <c r="S4" s="152"/>
      <c r="T4" s="108"/>
      <c r="U4" s="119"/>
      <c r="V4" s="152"/>
      <c r="W4" s="108"/>
      <c r="X4" s="119"/>
      <c r="Y4" s="152"/>
      <c r="Z4" s="108"/>
      <c r="AA4" s="119"/>
      <c r="AB4" s="152"/>
      <c r="AC4" s="108"/>
      <c r="AD4" s="119"/>
      <c r="AE4" s="152"/>
      <c r="AF4" s="197"/>
      <c r="AG4" s="200"/>
      <c r="AH4" s="201"/>
      <c r="AI4" s="156"/>
      <c r="AJ4" s="200"/>
      <c r="AK4" s="201"/>
      <c r="AL4" s="197"/>
    </row>
    <row r="5">
      <c r="A5" s="130" t="s">
        <v>725</v>
      </c>
      <c r="B5" s="133"/>
      <c r="C5" s="137" t="s">
        <v>799</v>
      </c>
      <c r="D5" s="137" t="s">
        <v>799</v>
      </c>
      <c r="E5" s="137" t="s">
        <v>799</v>
      </c>
      <c r="F5" s="137" t="s">
        <v>799</v>
      </c>
      <c r="G5" s="137" t="s">
        <v>799</v>
      </c>
      <c r="H5" s="137" t="s">
        <v>799</v>
      </c>
      <c r="I5" s="137" t="s">
        <v>799</v>
      </c>
      <c r="J5" s="138" t="s">
        <v>799</v>
      </c>
      <c r="K5" s="219"/>
      <c r="L5" s="120"/>
      <c r="M5" s="166"/>
      <c r="N5" s="109"/>
      <c r="O5" s="120"/>
      <c r="P5" s="166"/>
      <c r="Q5" s="109"/>
      <c r="R5" s="120"/>
      <c r="S5" s="166"/>
      <c r="T5" s="109"/>
      <c r="U5" s="120"/>
      <c r="V5" s="166"/>
      <c r="W5" s="109"/>
      <c r="X5" s="120"/>
      <c r="Y5" s="166"/>
      <c r="Z5" s="109"/>
      <c r="AA5" s="120"/>
      <c r="AB5" s="166"/>
      <c r="AC5" s="109"/>
      <c r="AD5" s="120"/>
      <c r="AE5" s="166"/>
      <c r="AF5" s="197"/>
      <c r="AG5" s="200"/>
      <c r="AH5" s="201"/>
      <c r="AI5" s="156"/>
      <c r="AJ5" s="200"/>
      <c r="AK5" s="201"/>
      <c r="AL5" s="197"/>
    </row>
    <row r="6">
      <c r="A6" s="131" t="s">
        <v>725</v>
      </c>
      <c r="B6" s="134"/>
      <c r="C6" s="139" t="n">
        <v>2022</v>
      </c>
      <c r="D6" s="140"/>
      <c r="E6" s="140"/>
      <c r="F6" s="140"/>
      <c r="G6" s="140"/>
      <c r="H6" s="141"/>
      <c r="I6" s="139" t="n">
        <v>2023</v>
      </c>
      <c r="J6" s="140" t="n">
        <v>2023</v>
      </c>
      <c r="K6" s="141" t="n">
        <v>2023</v>
      </c>
      <c r="L6" s="121"/>
      <c r="M6" s="170"/>
      <c r="N6" s="110"/>
      <c r="O6" s="121"/>
      <c r="P6" s="170"/>
      <c r="Q6" s="110"/>
      <c r="R6" s="121"/>
      <c r="S6" s="170"/>
      <c r="T6" s="110"/>
      <c r="U6" s="121"/>
      <c r="V6" s="170"/>
      <c r="W6" s="110"/>
      <c r="X6" s="121"/>
      <c r="Y6" s="170"/>
      <c r="Z6" s="110"/>
      <c r="AA6" s="121"/>
      <c r="AB6" s="170"/>
      <c r="AC6" s="110"/>
      <c r="AD6" s="121"/>
      <c r="AE6" s="170"/>
      <c r="AF6" s="197"/>
      <c r="AG6" s="200"/>
      <c r="AH6" s="201"/>
      <c r="AI6" s="156"/>
      <c r="AJ6" s="200"/>
      <c r="AK6" s="201"/>
      <c r="AL6" s="197"/>
    </row>
    <row r="7" ht="32.5" customHeight="1">
      <c r="A7" s="132" t="s">
        <v>725</v>
      </c>
      <c r="B7" s="136"/>
      <c r="C7" s="222" t="s">
        <v>1651</v>
      </c>
      <c r="D7" s="222" t="s">
        <v>1728</v>
      </c>
      <c r="E7" s="222" t="s">
        <v>1729</v>
      </c>
      <c r="F7" s="222" t="s">
        <v>1733</v>
      </c>
      <c r="G7" s="222" t="s">
        <v>1734</v>
      </c>
      <c r="H7" s="222" t="s">
        <v>1735</v>
      </c>
      <c r="I7" s="222" t="s">
        <v>167</v>
      </c>
      <c r="J7" s="222" t="s">
        <v>168</v>
      </c>
      <c r="K7" s="222" t="s">
        <v>1783</v>
      </c>
      <c r="L7" s="182" t="s">
        <v>1791</v>
      </c>
      <c r="M7" s="193" t="s">
        <v>1792</v>
      </c>
      <c r="N7" s="206" t="s">
        <v>1797</v>
      </c>
      <c r="O7" s="182" t="s">
        <v>1798</v>
      </c>
      <c r="P7" s="193" t="s">
        <v>1728</v>
      </c>
      <c r="Q7" s="206" t="s">
        <v>1729</v>
      </c>
      <c r="R7" s="182" t="s">
        <v>1733</v>
      </c>
      <c r="S7" s="193" t="s">
        <v>1826</v>
      </c>
      <c r="T7" s="206" t="s">
        <v>1822</v>
      </c>
      <c r="U7" s="182" t="s">
        <v>167</v>
      </c>
      <c r="V7" s="193" t="s">
        <v>168</v>
      </c>
      <c r="W7" s="206" t="s">
        <v>1783</v>
      </c>
      <c r="X7" s="182" t="s">
        <v>1858</v>
      </c>
      <c r="Y7" s="193" t="s">
        <v>814</v>
      </c>
      <c r="Z7" s="206" t="s">
        <v>1797</v>
      </c>
      <c r="AA7" s="182" t="s">
        <v>1798</v>
      </c>
      <c r="AB7" s="193" t="s">
        <v>1728</v>
      </c>
      <c r="AC7" s="206" t="s">
        <v>1729</v>
      </c>
      <c r="AD7" s="120" t="s">
        <v>1859</v>
      </c>
      <c r="AE7" s="166" t="s">
        <v>1888</v>
      </c>
      <c r="AF7" s="197" t="s">
        <v>1889</v>
      </c>
      <c r="AG7" s="200" t="s">
        <v>1880</v>
      </c>
      <c r="AH7" s="201" t="s">
        <v>1881</v>
      </c>
      <c r="AI7" s="197" t="s">
        <v>1890</v>
      </c>
      <c r="AJ7" s="200" t="s">
        <v>1891</v>
      </c>
      <c r="AK7" s="201" t="s">
        <v>1905</v>
      </c>
      <c r="AL7" s="197" t="s">
        <v>1906</v>
      </c>
    </row>
    <row r="8">
      <c r="A8" s="215" t="n">
        <v>1</v>
      </c>
      <c r="B8" s="191" t="s">
        <v>172</v>
      </c>
      <c r="C8" s="223" t="n">
        <v>21852.3</v>
      </c>
      <c r="D8" s="223" t="n">
        <v>21975.8</v>
      </c>
      <c r="E8" s="224" t="n">
        <v>22080.400000000001</v>
      </c>
      <c r="F8" s="224" t="n">
        <v>22201.9</v>
      </c>
      <c r="G8" s="224" t="n">
        <v>22240.1</v>
      </c>
      <c r="H8" s="224" t="n">
        <v>22281.9</v>
      </c>
      <c r="I8" s="223" t="n">
        <v>22525.3</v>
      </c>
      <c r="J8" s="224" t="n">
        <v>22648.400000000001</v>
      </c>
      <c r="K8" s="223" t="n">
        <v>22757.9</v>
      </c>
      <c r="L8" s="186" t="n">
        <v>22806.1</v>
      </c>
      <c r="M8" s="194" t="n">
        <v>22876.6</v>
      </c>
      <c r="N8" s="238" t="n">
        <v>22921.4</v>
      </c>
      <c r="O8" s="167" t="n">
        <v>22986.400000000001</v>
      </c>
      <c r="P8" s="194" t="n">
        <v>23094.5</v>
      </c>
      <c r="Q8" s="238" t="n">
        <v>23176.2</v>
      </c>
      <c r="R8" s="186" t="n">
        <v>23189.4</v>
      </c>
      <c r="S8" s="194" t="n">
        <v>23241.5</v>
      </c>
      <c r="T8" s="150" t="n">
        <v>23311.599999999999</v>
      </c>
      <c r="U8" s="167" t="n">
        <v>24226.7</v>
      </c>
      <c r="V8" s="194" t="n">
        <v>24330.9</v>
      </c>
      <c r="W8" s="150" t="n">
        <v>24474.9</v>
      </c>
      <c r="X8" s="186" t="n">
        <v>24511.1</v>
      </c>
      <c r="Y8" s="194" t="n">
        <v>24584.2</v>
      </c>
      <c r="Z8" s="150" t="n">
        <v>24626.7</v>
      </c>
      <c r="AA8" s="186" t="n">
        <v>24669.3</v>
      </c>
      <c r="AB8" s="194" t="n">
        <v>24701.3</v>
      </c>
      <c r="AC8" s="207" t="n">
        <v>24779.7</v>
      </c>
      <c r="AD8" s="187" t="n">
        <v>24950.6</v>
      </c>
      <c r="AE8" s="195" t="n">
        <v>25037.1</v>
      </c>
      <c r="AF8" s="157" t="n">
        <v>25139.1</v>
      </c>
      <c r="AG8" s="118" t="n">
        <v>25274.9</v>
      </c>
      <c r="AH8" s="149" t="n">
        <v>25456</v>
      </c>
      <c r="AI8" s="157" t="n">
        <v>25619.3</v>
      </c>
      <c r="AJ8" s="200" t="n">
        <v>25823.5</v>
      </c>
      <c r="AK8" s="201" t="n">
        <v>25722.7</v>
      </c>
      <c r="AL8" s="197" t="n">
        <v>25794.1</v>
      </c>
    </row>
    <row r="9">
      <c r="A9" s="216" t="n">
        <v>2</v>
      </c>
      <c r="B9" s="102" t="s">
        <v>1652</v>
      </c>
      <c r="C9" s="225" t="n">
        <v>13654.1</v>
      </c>
      <c r="D9" s="225" t="n">
        <v>13754.9</v>
      </c>
      <c r="E9" s="226" t="n">
        <v>13856.1</v>
      </c>
      <c r="F9" s="226" t="n">
        <v>13828.8</v>
      </c>
      <c r="G9" s="226" t="n">
        <v>13822.8</v>
      </c>
      <c r="H9" s="226" t="n">
        <v>13832.7</v>
      </c>
      <c r="I9" s="225" t="n">
        <v>13885.2</v>
      </c>
      <c r="J9" s="226" t="n">
        <v>13968.7</v>
      </c>
      <c r="K9" s="225" t="n">
        <v>14041.7</v>
      </c>
      <c r="L9" s="187" t="n">
        <v>14092.7</v>
      </c>
      <c r="M9" s="195" t="n">
        <v>14151.1</v>
      </c>
      <c r="N9" s="240" t="n">
        <v>14218.6</v>
      </c>
      <c r="O9" s="168" t="n">
        <v>14296.4</v>
      </c>
      <c r="P9" s="195" t="n">
        <v>14372.7</v>
      </c>
      <c r="Q9" s="240" t="n">
        <v>14437.1</v>
      </c>
      <c r="R9" s="187" t="n">
        <v>14416.2</v>
      </c>
      <c r="S9" s="195" t="n">
        <v>14436.6</v>
      </c>
      <c r="T9" s="151" t="n">
        <v>14491.6</v>
      </c>
      <c r="U9" s="168" t="n">
        <v>14686.6</v>
      </c>
      <c r="V9" s="195" t="n">
        <v>14836.5</v>
      </c>
      <c r="W9" s="151" t="n">
        <v>14948.1</v>
      </c>
      <c r="X9" s="187" t="n">
        <v>14914.1</v>
      </c>
      <c r="Y9" s="195" t="n">
        <v>14955.1</v>
      </c>
      <c r="Z9" s="151" t="n">
        <v>14967.6</v>
      </c>
      <c r="AA9" s="187" t="n">
        <v>14987</v>
      </c>
      <c r="AB9" s="195" t="n">
        <v>15038.4</v>
      </c>
      <c r="AC9" s="208" t="n">
        <v>15082.8</v>
      </c>
      <c r="AD9" s="187" t="n">
        <v>15184.8</v>
      </c>
      <c r="AE9" s="195" t="n">
        <v>15283.5</v>
      </c>
      <c r="AF9" s="157" t="n">
        <v>15354.2</v>
      </c>
      <c r="AG9" s="118" t="n">
        <v>15400.3</v>
      </c>
      <c r="AH9" s="149" t="n">
        <v>15473.1</v>
      </c>
      <c r="AI9" s="157" t="n">
        <v>15554.5</v>
      </c>
      <c r="AJ9" s="200" t="n">
        <v>15621.9</v>
      </c>
      <c r="AK9" s="201" t="n">
        <v>15677.7</v>
      </c>
      <c r="AL9" s="197" t="n">
        <v>15705.8</v>
      </c>
    </row>
    <row r="10">
      <c r="A10" s="216" t="n">
        <v>3</v>
      </c>
      <c r="B10" s="103" t="s">
        <v>1653</v>
      </c>
      <c r="C10" s="225" t="n">
        <v>11271.8</v>
      </c>
      <c r="D10" s="225" t="n">
        <v>11360.7</v>
      </c>
      <c r="E10" s="226" t="n">
        <v>11450.6</v>
      </c>
      <c r="F10" s="226" t="n">
        <v>11420.4</v>
      </c>
      <c r="G10" s="226" t="n">
        <v>11408.7</v>
      </c>
      <c r="H10" s="226" t="n">
        <v>11412.7</v>
      </c>
      <c r="I10" s="225" t="n">
        <v>11494.7</v>
      </c>
      <c r="J10" s="226" t="n">
        <v>11568.5</v>
      </c>
      <c r="K10" s="225" t="n">
        <v>11633.1</v>
      </c>
      <c r="L10" s="187" t="n">
        <v>11680.1</v>
      </c>
      <c r="M10" s="195" t="n">
        <v>11730.8</v>
      </c>
      <c r="N10" s="240" t="n">
        <v>11788.9</v>
      </c>
      <c r="O10" s="168" t="n">
        <v>11855.6</v>
      </c>
      <c r="P10" s="195" t="n">
        <v>11921.2</v>
      </c>
      <c r="Q10" s="240" t="n">
        <v>11975.7</v>
      </c>
      <c r="R10" s="187" t="n">
        <v>11950.9</v>
      </c>
      <c r="S10" s="195" t="n">
        <v>11965.4</v>
      </c>
      <c r="T10" s="151" t="n">
        <v>12011.8</v>
      </c>
      <c r="U10" s="168" t="n">
        <v>12129</v>
      </c>
      <c r="V10" s="195" t="n">
        <v>12263.3</v>
      </c>
      <c r="W10" s="151" t="n">
        <v>12360.5</v>
      </c>
      <c r="X10" s="187" t="n">
        <v>12321.5</v>
      </c>
      <c r="Y10" s="195" t="n">
        <v>12352.2</v>
      </c>
      <c r="Z10" s="151" t="n">
        <v>12355.3</v>
      </c>
      <c r="AA10" s="187" t="n">
        <v>12365.5</v>
      </c>
      <c r="AB10" s="195" t="n">
        <v>12406.1</v>
      </c>
      <c r="AC10" s="208" t="n">
        <v>12440.6</v>
      </c>
      <c r="AD10" s="187" t="n">
        <v>12528.7</v>
      </c>
      <c r="AE10" s="195" t="n">
        <v>12614.8</v>
      </c>
      <c r="AF10" s="157" t="n">
        <v>12675.1</v>
      </c>
      <c r="AG10" s="118" t="n">
        <v>12705.8</v>
      </c>
      <c r="AH10" s="149" t="n">
        <v>12764.2</v>
      </c>
      <c r="AI10" s="157" t="n">
        <v>12831</v>
      </c>
      <c r="AJ10" s="200" t="n">
        <v>12884.9</v>
      </c>
      <c r="AK10" s="201" t="n">
        <v>12928.1</v>
      </c>
      <c r="AL10" s="197" t="n">
        <v>12945.3</v>
      </c>
    </row>
    <row r="11">
      <c r="A11" s="216" t="n">
        <v>4</v>
      </c>
      <c r="B11" s="107" t="s">
        <v>1654</v>
      </c>
      <c r="C11" s="227" t="n">
        <v>9656.4</v>
      </c>
      <c r="D11" s="227" t="n">
        <v>9735.9</v>
      </c>
      <c r="E11" s="228" t="n">
        <v>9819.5</v>
      </c>
      <c r="F11" s="228" t="n">
        <v>9785.7999999999993</v>
      </c>
      <c r="G11" s="228" t="n">
        <v>9763.9</v>
      </c>
      <c r="H11" s="228" t="n">
        <v>9762.2999999999993</v>
      </c>
      <c r="I11" s="227" t="n">
        <v>9818.2999999999993</v>
      </c>
      <c r="J11" s="228" t="n">
        <v>9882.7999999999993</v>
      </c>
      <c r="K11" s="227" t="n">
        <v>9937.7000000000007</v>
      </c>
      <c r="L11" s="188" t="n">
        <v>9976.9</v>
      </c>
      <c r="M11" s="196" t="n">
        <v>10019.799999999999</v>
      </c>
      <c r="N11" s="241" t="n">
        <v>10070.4</v>
      </c>
      <c r="O11" s="169" t="n">
        <v>10117.4</v>
      </c>
      <c r="P11" s="196" t="n">
        <v>10167.9</v>
      </c>
      <c r="Q11" s="241" t="n">
        <v>10207.1</v>
      </c>
      <c r="R11" s="188" t="n">
        <v>10171.700000000001</v>
      </c>
      <c r="S11" s="196" t="n">
        <v>10179.4</v>
      </c>
      <c r="T11" s="158" t="n">
        <v>10214.799999999999</v>
      </c>
      <c r="U11" s="169" t="n">
        <v>10325.4</v>
      </c>
      <c r="V11" s="196" t="n">
        <v>10447.5</v>
      </c>
      <c r="W11" s="158" t="n">
        <v>10531.2</v>
      </c>
      <c r="X11" s="188" t="n">
        <v>10485.8</v>
      </c>
      <c r="Y11" s="196" t="n">
        <v>10509.4</v>
      </c>
      <c r="Z11" s="158" t="n">
        <v>10504</v>
      </c>
      <c r="AA11" s="188" t="n">
        <v>10506.5</v>
      </c>
      <c r="AB11" s="196" t="n">
        <v>10539.4</v>
      </c>
      <c r="AC11" s="209" t="n">
        <v>10566.5</v>
      </c>
      <c r="AD11" s="188" t="n">
        <v>10642.4</v>
      </c>
      <c r="AE11" s="196" t="n">
        <v>10721</v>
      </c>
      <c r="AF11" s="197" t="n">
        <v>10772.2</v>
      </c>
      <c r="AG11" s="200" t="n">
        <v>10794</v>
      </c>
      <c r="AH11" s="201" t="n">
        <v>10846.4</v>
      </c>
      <c r="AI11" s="197" t="n">
        <v>10906.7</v>
      </c>
      <c r="AJ11" s="200" t="n">
        <v>10949.6</v>
      </c>
      <c r="AK11" s="201" t="n">
        <v>10986.5</v>
      </c>
      <c r="AL11" s="197" t="n">
        <v>10992.9</v>
      </c>
    </row>
    <row r="12">
      <c r="A12" s="216" t="n">
        <v>5</v>
      </c>
      <c r="B12" s="104" t="s">
        <v>1655</v>
      </c>
      <c r="C12" s="227" t="n">
        <v>1767.7</v>
      </c>
      <c r="D12" s="227" t="n">
        <v>1780.1</v>
      </c>
      <c r="E12" s="228" t="n">
        <v>1797.4</v>
      </c>
      <c r="F12" s="228" t="n">
        <v>1795.8</v>
      </c>
      <c r="G12" s="228" t="n">
        <v>1793.7</v>
      </c>
      <c r="H12" s="228" t="n">
        <v>1789.6</v>
      </c>
      <c r="I12" s="227" t="n">
        <v>1804.5</v>
      </c>
      <c r="J12" s="228" t="n">
        <v>1806.7</v>
      </c>
      <c r="K12" s="227" t="n">
        <v>1818.5</v>
      </c>
      <c r="L12" s="188" t="n">
        <v>1828.4</v>
      </c>
      <c r="M12" s="196" t="n">
        <v>1836.7</v>
      </c>
      <c r="N12" s="241" t="n">
        <v>1847.2</v>
      </c>
      <c r="O12" s="169" t="n">
        <v>1859</v>
      </c>
      <c r="P12" s="196" t="n">
        <v>1867.1</v>
      </c>
      <c r="Q12" s="241" t="n">
        <v>1876.1</v>
      </c>
      <c r="R12" s="188" t="n">
        <v>1875.9</v>
      </c>
      <c r="S12" s="196" t="n">
        <v>1879.8</v>
      </c>
      <c r="T12" s="158" t="n">
        <v>1881.1</v>
      </c>
      <c r="U12" s="169" t="n">
        <v>1904</v>
      </c>
      <c r="V12" s="196" t="n">
        <v>1929.1</v>
      </c>
      <c r="W12" s="158" t="n">
        <v>1951.7</v>
      </c>
      <c r="X12" s="188" t="n">
        <v>1920.1</v>
      </c>
      <c r="Y12" s="196" t="n">
        <v>1907.4</v>
      </c>
      <c r="Z12" s="158" t="n">
        <v>1904.4</v>
      </c>
      <c r="AA12" s="188" t="n">
        <v>1910.1</v>
      </c>
      <c r="AB12" s="196" t="n">
        <v>1920.6</v>
      </c>
      <c r="AC12" s="209" t="n">
        <v>1929.1</v>
      </c>
      <c r="AD12" s="188" t="n">
        <v>1926.8</v>
      </c>
      <c r="AE12" s="196" t="n">
        <v>1937.7</v>
      </c>
      <c r="AF12" s="197" t="n">
        <v>1945.4</v>
      </c>
      <c r="AG12" s="200" t="n">
        <v>1949.2</v>
      </c>
      <c r="AH12" s="201" t="n">
        <v>1961.7</v>
      </c>
      <c r="AI12" s="197" t="n">
        <v>1975.1</v>
      </c>
      <c r="AJ12" s="200" t="n">
        <v>1973.4</v>
      </c>
      <c r="AK12" s="201" t="n">
        <v>1980</v>
      </c>
      <c r="AL12" s="197" t="n">
        <v>1984.5</v>
      </c>
    </row>
    <row r="13">
      <c r="A13" s="216" t="n">
        <v>6</v>
      </c>
      <c r="B13" s="116" t="s">
        <v>1656</v>
      </c>
      <c r="C13" s="227" t="n">
        <v>1046.3</v>
      </c>
      <c r="D13" s="227" t="n">
        <v>1054.4000000000001</v>
      </c>
      <c r="E13" s="228" t="n">
        <v>1064.8</v>
      </c>
      <c r="F13" s="228" t="n">
        <v>1061.4000000000001</v>
      </c>
      <c r="G13" s="228" t="n">
        <v>1055.5</v>
      </c>
      <c r="H13" s="228" t="n">
        <v>1046.9000000000001</v>
      </c>
      <c r="I13" s="227" t="n">
        <v>1066</v>
      </c>
      <c r="J13" s="228" t="n">
        <v>1064.3</v>
      </c>
      <c r="K13" s="227" t="n">
        <v>1071.2</v>
      </c>
      <c r="L13" s="188" t="n">
        <v>1077.3</v>
      </c>
      <c r="M13" s="196" t="n">
        <v>1079.5</v>
      </c>
      <c r="N13" s="241" t="n">
        <v>1088.5999999999999</v>
      </c>
      <c r="O13" s="169" t="n">
        <v>1096.9000000000001</v>
      </c>
      <c r="P13" s="196" t="n">
        <v>1102.2</v>
      </c>
      <c r="Q13" s="241" t="n">
        <v>1108.5999999999999</v>
      </c>
      <c r="R13" s="188" t="n">
        <v>1103.3</v>
      </c>
      <c r="S13" s="196" t="n">
        <v>1103.3</v>
      </c>
      <c r="T13" s="158" t="n">
        <v>1101</v>
      </c>
      <c r="U13" s="169" t="n">
        <v>1108.9000000000001</v>
      </c>
      <c r="V13" s="196" t="n">
        <v>1124</v>
      </c>
      <c r="W13" s="158" t="n">
        <v>1136.7</v>
      </c>
      <c r="X13" s="188" t="n">
        <v>1112.5</v>
      </c>
      <c r="Y13" s="196" t="n">
        <v>1106.2</v>
      </c>
      <c r="Z13" s="158" t="n">
        <v>1102.7</v>
      </c>
      <c r="AA13" s="188" t="n">
        <v>1108.0999999999999</v>
      </c>
      <c r="AB13" s="196" t="n">
        <v>1112.9000000000001</v>
      </c>
      <c r="AC13" s="209" t="n">
        <v>1115.4000000000001</v>
      </c>
      <c r="AD13" s="188" t="n">
        <v>1107.2</v>
      </c>
      <c r="AE13" s="196" t="n">
        <v>1113.0999999999999</v>
      </c>
      <c r="AF13" s="197" t="n">
        <v>1117</v>
      </c>
      <c r="AG13" s="200" t="n">
        <v>1119.4000000000001</v>
      </c>
      <c r="AH13" s="201" t="n">
        <v>1131.2</v>
      </c>
      <c r="AI13" s="197" t="n">
        <v>1144.3</v>
      </c>
      <c r="AJ13" s="200" t="n">
        <v>1138.0999999999999</v>
      </c>
      <c r="AK13" s="201" t="n">
        <v>1144</v>
      </c>
      <c r="AL13" s="197" t="n">
        <v>1143.5</v>
      </c>
    </row>
    <row r="14">
      <c r="A14" s="216" t="n">
        <v>7</v>
      </c>
      <c r="B14" s="104" t="s">
        <v>1657</v>
      </c>
      <c r="C14" s="227" t="n">
        <v>7888.7</v>
      </c>
      <c r="D14" s="227" t="n">
        <v>7955.8</v>
      </c>
      <c r="E14" s="228" t="n">
        <v>8022.1</v>
      </c>
      <c r="F14" s="228" t="n">
        <v>7990</v>
      </c>
      <c r="G14" s="228" t="n">
        <v>7970.1</v>
      </c>
      <c r="H14" s="228" t="n">
        <v>7972.7</v>
      </c>
      <c r="I14" s="227" t="n">
        <v>8013.8</v>
      </c>
      <c r="J14" s="228" t="n">
        <v>8076.2</v>
      </c>
      <c r="K14" s="227" t="n">
        <v>8119.2</v>
      </c>
      <c r="L14" s="188" t="n">
        <v>8148.5</v>
      </c>
      <c r="M14" s="196" t="n">
        <v>8183.1</v>
      </c>
      <c r="N14" s="241" t="n">
        <v>8223.2000000000007</v>
      </c>
      <c r="O14" s="169" t="n">
        <v>8258.4</v>
      </c>
      <c r="P14" s="196" t="n">
        <v>8300.7999999999993</v>
      </c>
      <c r="Q14" s="241" t="n">
        <v>8331</v>
      </c>
      <c r="R14" s="188" t="n">
        <v>8295.7000000000007</v>
      </c>
      <c r="S14" s="196" t="n">
        <v>8299.6</v>
      </c>
      <c r="T14" s="158" t="n">
        <v>8333.7000000000007</v>
      </c>
      <c r="U14" s="169" t="n">
        <v>8421.4</v>
      </c>
      <c r="V14" s="196" t="n">
        <v>8518.5</v>
      </c>
      <c r="W14" s="158" t="n">
        <v>8579.5</v>
      </c>
      <c r="X14" s="188" t="n">
        <v>8565.7000000000007</v>
      </c>
      <c r="Y14" s="196" t="n">
        <v>8601.9</v>
      </c>
      <c r="Z14" s="158" t="n">
        <v>8599.6</v>
      </c>
      <c r="AA14" s="188" t="n">
        <v>8596.5</v>
      </c>
      <c r="AB14" s="196" t="n">
        <v>8618.7999999999993</v>
      </c>
      <c r="AC14" s="209" t="n">
        <v>8637.4</v>
      </c>
      <c r="AD14" s="188" t="n">
        <v>8715.5</v>
      </c>
      <c r="AE14" s="196" t="n">
        <v>8783.2999999999993</v>
      </c>
      <c r="AF14" s="197" t="n">
        <v>8826.7999999999993</v>
      </c>
      <c r="AG14" s="200" t="n">
        <v>8844.9</v>
      </c>
      <c r="AH14" s="201" t="n">
        <v>8884.7000000000007</v>
      </c>
      <c r="AI14" s="197" t="n">
        <v>8931.6</v>
      </c>
      <c r="AJ14" s="200" t="n">
        <v>8976.2999999999993</v>
      </c>
      <c r="AK14" s="201" t="n">
        <v>9006.5</v>
      </c>
      <c r="AL14" s="197" t="n">
        <v>9008.4</v>
      </c>
    </row>
    <row r="15">
      <c r="A15" s="216" t="n">
        <v>8</v>
      </c>
      <c r="B15" s="122" t="s">
        <v>1658</v>
      </c>
      <c r="C15" s="227" t="n">
        <v>1734</v>
      </c>
      <c r="D15" s="227" t="n">
        <v>1748.4</v>
      </c>
      <c r="E15" s="228" t="n">
        <v>1762.3</v>
      </c>
      <c r="F15" s="228" t="n">
        <v>1757.7</v>
      </c>
      <c r="G15" s="228" t="n">
        <v>1749.7</v>
      </c>
      <c r="H15" s="228" t="n">
        <v>1745.6</v>
      </c>
      <c r="I15" s="227" t="n">
        <v>1778.8</v>
      </c>
      <c r="J15" s="228" t="n">
        <v>1795.8</v>
      </c>
      <c r="K15" s="227" t="n">
        <v>1796</v>
      </c>
      <c r="L15" s="188" t="n">
        <v>1797.8</v>
      </c>
      <c r="M15" s="196" t="n">
        <v>1793.1</v>
      </c>
      <c r="N15" s="241" t="n">
        <v>1804.5</v>
      </c>
      <c r="O15" s="169" t="n">
        <v>1816.7</v>
      </c>
      <c r="P15" s="196" t="n">
        <v>1828</v>
      </c>
      <c r="Q15" s="241" t="n">
        <v>1837.3</v>
      </c>
      <c r="R15" s="188" t="n">
        <v>1825.7</v>
      </c>
      <c r="S15" s="196" t="n">
        <v>1822.5</v>
      </c>
      <c r="T15" s="158" t="n">
        <v>1833.5</v>
      </c>
      <c r="U15" s="169" t="n">
        <v>1842.8</v>
      </c>
      <c r="V15" s="196" t="n">
        <v>1865</v>
      </c>
      <c r="W15" s="158" t="n">
        <v>1867.7</v>
      </c>
      <c r="X15" s="188" t="n">
        <v>1863.4</v>
      </c>
      <c r="Y15" s="196" t="n">
        <v>1873.4</v>
      </c>
      <c r="Z15" s="158" t="n">
        <v>1874.4</v>
      </c>
      <c r="AA15" s="188" t="n">
        <v>1866</v>
      </c>
      <c r="AB15" s="196" t="n">
        <v>1870.2</v>
      </c>
      <c r="AC15" s="209" t="n">
        <v>1867.4</v>
      </c>
      <c r="AD15" s="188" t="n">
        <v>1882.5</v>
      </c>
      <c r="AE15" s="196" t="n">
        <v>1880.7</v>
      </c>
      <c r="AF15" s="197" t="n">
        <v>1892.2</v>
      </c>
      <c r="AG15" s="200" t="n">
        <v>1894.4</v>
      </c>
      <c r="AH15" s="201" t="n">
        <v>1910.4</v>
      </c>
      <c r="AI15" s="197" t="n">
        <v>1915.6</v>
      </c>
      <c r="AJ15" s="200" t="n">
        <v>1928.2</v>
      </c>
      <c r="AK15" s="201" t="n">
        <v>1930.7</v>
      </c>
      <c r="AL15" s="197" t="n">
        <v>1928</v>
      </c>
    </row>
    <row r="16">
      <c r="A16" s="216" t="n">
        <v>9</v>
      </c>
      <c r="B16" s="122" t="s">
        <v>1659</v>
      </c>
      <c r="C16" s="227" t="n">
        <v>6154.8</v>
      </c>
      <c r="D16" s="227" t="n">
        <v>6207.4</v>
      </c>
      <c r="E16" s="228" t="n">
        <v>6259.8</v>
      </c>
      <c r="F16" s="228" t="n">
        <v>6232.2</v>
      </c>
      <c r="G16" s="228" t="n">
        <v>6220.4</v>
      </c>
      <c r="H16" s="228" t="n">
        <v>6227.2</v>
      </c>
      <c r="I16" s="227" t="n">
        <v>6235</v>
      </c>
      <c r="J16" s="228" t="n">
        <v>6280.4</v>
      </c>
      <c r="K16" s="227" t="n">
        <v>6323.1</v>
      </c>
      <c r="L16" s="188" t="n">
        <v>6350.7</v>
      </c>
      <c r="M16" s="196" t="n">
        <v>6390</v>
      </c>
      <c r="N16" s="241" t="n">
        <v>6418.7</v>
      </c>
      <c r="O16" s="169" t="n">
        <v>6441.7</v>
      </c>
      <c r="P16" s="196" t="n">
        <v>6472.8</v>
      </c>
      <c r="Q16" s="241" t="n">
        <v>6493.8</v>
      </c>
      <c r="R16" s="188" t="n">
        <v>6470.1</v>
      </c>
      <c r="S16" s="196" t="n">
        <v>6477.1</v>
      </c>
      <c r="T16" s="158" t="n">
        <v>6500.2</v>
      </c>
      <c r="U16" s="169" t="n">
        <v>6578.6</v>
      </c>
      <c r="V16" s="196" t="n">
        <v>6653.4</v>
      </c>
      <c r="W16" s="158" t="n">
        <v>6711.8</v>
      </c>
      <c r="X16" s="188" t="n">
        <v>6702.3</v>
      </c>
      <c r="Y16" s="196" t="n">
        <v>6728.5</v>
      </c>
      <c r="Z16" s="158" t="n">
        <v>6725.2</v>
      </c>
      <c r="AA16" s="188" t="n">
        <v>6730.5</v>
      </c>
      <c r="AB16" s="196" t="n">
        <v>6748.6</v>
      </c>
      <c r="AC16" s="209" t="n">
        <v>6770.1</v>
      </c>
      <c r="AD16" s="188" t="n">
        <v>6833.1</v>
      </c>
      <c r="AE16" s="196" t="n">
        <v>6902.6</v>
      </c>
      <c r="AF16" s="197" t="n">
        <v>6934.6</v>
      </c>
      <c r="AG16" s="200" t="n">
        <v>6950.5</v>
      </c>
      <c r="AH16" s="201" t="n">
        <v>6974.4</v>
      </c>
      <c r="AI16" s="197" t="n">
        <v>7016</v>
      </c>
      <c r="AJ16" s="200" t="n">
        <v>7048.1</v>
      </c>
      <c r="AK16" s="201" t="n">
        <v>7075.8</v>
      </c>
      <c r="AL16" s="197" t="n">
        <v>7080.4</v>
      </c>
    </row>
    <row r="17" ht="16.399999999999999" customHeight="1">
      <c r="A17" s="216" t="n">
        <v>10</v>
      </c>
      <c r="B17" s="107" t="s">
        <v>1660</v>
      </c>
      <c r="C17" s="227" t="n">
        <v>1615.4</v>
      </c>
      <c r="D17" s="227" t="n">
        <v>1624.8</v>
      </c>
      <c r="E17" s="228" t="n">
        <v>1631.1</v>
      </c>
      <c r="F17" s="228" t="n">
        <v>1634.6</v>
      </c>
      <c r="G17" s="228" t="n">
        <v>1644.8</v>
      </c>
      <c r="H17" s="228" t="n">
        <v>1650.4</v>
      </c>
      <c r="I17" s="227" t="n">
        <v>1676.4</v>
      </c>
      <c r="J17" s="228" t="n">
        <v>1685.7</v>
      </c>
      <c r="K17" s="227" t="n">
        <v>1695.5</v>
      </c>
      <c r="L17" s="188" t="n">
        <v>1703.2</v>
      </c>
      <c r="M17" s="196" t="n">
        <v>1711</v>
      </c>
      <c r="N17" s="241" t="n">
        <v>1718.6</v>
      </c>
      <c r="O17" s="169" t="n">
        <v>1738.2</v>
      </c>
      <c r="P17" s="196" t="n">
        <v>1753.3</v>
      </c>
      <c r="Q17" s="241" t="n">
        <v>1768.6</v>
      </c>
      <c r="R17" s="188" t="n">
        <v>1779.3</v>
      </c>
      <c r="S17" s="196" t="n">
        <v>1786</v>
      </c>
      <c r="T17" s="158" t="n">
        <v>1797</v>
      </c>
      <c r="U17" s="169" t="n">
        <v>1803.6</v>
      </c>
      <c r="V17" s="196" t="n">
        <v>1815.8</v>
      </c>
      <c r="W17" s="158" t="n">
        <v>1829.3</v>
      </c>
      <c r="X17" s="188" t="n">
        <v>1835.7</v>
      </c>
      <c r="Y17" s="196" t="n">
        <v>1842.9</v>
      </c>
      <c r="Z17" s="158" t="n">
        <v>1851.3</v>
      </c>
      <c r="AA17" s="188" t="n">
        <v>1859</v>
      </c>
      <c r="AB17" s="196" t="n">
        <v>1866.6</v>
      </c>
      <c r="AC17" s="209" t="n">
        <v>1874.1</v>
      </c>
      <c r="AD17" s="188" t="n">
        <v>1886.3</v>
      </c>
      <c r="AE17" s="196" t="n">
        <v>1893.8</v>
      </c>
      <c r="AF17" s="197" t="n">
        <v>1902.9</v>
      </c>
      <c r="AG17" s="200" t="n">
        <v>1911.8</v>
      </c>
      <c r="AH17" s="201" t="n">
        <v>1917.8</v>
      </c>
      <c r="AI17" s="197" t="n">
        <v>1924.2</v>
      </c>
      <c r="AJ17" s="200" t="n">
        <v>1935.3</v>
      </c>
      <c r="AK17" s="201" t="n">
        <v>1941.6</v>
      </c>
      <c r="AL17" s="197" t="n">
        <v>1952.5</v>
      </c>
    </row>
    <row r="18" ht="16.399999999999999" customHeight="1">
      <c r="A18" s="216" t="n">
        <v>11</v>
      </c>
      <c r="B18" s="103" t="s">
        <v>1661</v>
      </c>
      <c r="C18" s="225" t="n">
        <v>2382.3000000000002</v>
      </c>
      <c r="D18" s="225" t="n">
        <v>2394.1</v>
      </c>
      <c r="E18" s="226" t="n">
        <v>2405.5</v>
      </c>
      <c r="F18" s="226" t="n">
        <v>2408.5</v>
      </c>
      <c r="G18" s="226" t="n">
        <v>2414.1</v>
      </c>
      <c r="H18" s="226" t="n">
        <v>2420</v>
      </c>
      <c r="I18" s="225" t="n">
        <v>2390.6</v>
      </c>
      <c r="J18" s="226" t="n">
        <v>2400.1999999999998</v>
      </c>
      <c r="K18" s="225" t="n">
        <v>2408.6</v>
      </c>
      <c r="L18" s="187" t="n">
        <v>2412.6</v>
      </c>
      <c r="M18" s="195" t="n">
        <v>2420.3000000000002</v>
      </c>
      <c r="N18" s="240" t="n">
        <v>2429.6</v>
      </c>
      <c r="O18" s="168" t="n">
        <v>2440.8000000000002</v>
      </c>
      <c r="P18" s="195" t="n">
        <v>2451.5</v>
      </c>
      <c r="Q18" s="240" t="n">
        <v>2461.4</v>
      </c>
      <c r="R18" s="187" t="n">
        <v>2465.3000000000002</v>
      </c>
      <c r="S18" s="195" t="n">
        <v>2471.1999999999998</v>
      </c>
      <c r="T18" s="151" t="n">
        <v>2479.8000000000002</v>
      </c>
      <c r="U18" s="168" t="n">
        <v>2557.6</v>
      </c>
      <c r="V18" s="195" t="n">
        <v>2573.1999999999998</v>
      </c>
      <c r="W18" s="151" t="n">
        <v>2587.6</v>
      </c>
      <c r="X18" s="187" t="n">
        <v>2592.6</v>
      </c>
      <c r="Y18" s="195" t="n">
        <v>2602.9</v>
      </c>
      <c r="Z18" s="151" t="n">
        <v>2612.3000000000002</v>
      </c>
      <c r="AA18" s="187" t="n">
        <v>2621.5</v>
      </c>
      <c r="AB18" s="195" t="n">
        <v>2632.3</v>
      </c>
      <c r="AC18" s="208" t="n">
        <v>2642.2</v>
      </c>
      <c r="AD18" s="187" t="n">
        <v>2656.1</v>
      </c>
      <c r="AE18" s="195" t="n">
        <v>2668.7</v>
      </c>
      <c r="AF18" s="157" t="n">
        <v>2679.1</v>
      </c>
      <c r="AG18" s="118" t="n">
        <v>2694.5</v>
      </c>
      <c r="AH18" s="149" t="n">
        <v>2708.9</v>
      </c>
      <c r="AI18" s="157" t="n">
        <v>2723.5</v>
      </c>
      <c r="AJ18" s="200" t="n">
        <v>2737.1</v>
      </c>
      <c r="AK18" s="201" t="n">
        <v>2749.6</v>
      </c>
      <c r="AL18" s="197" t="n">
        <v>2760.4</v>
      </c>
    </row>
    <row r="19" ht="16.5" customHeight="1">
      <c r="A19" s="217" t="n">
        <v>12</v>
      </c>
      <c r="B19" s="180" t="s">
        <v>1662</v>
      </c>
      <c r="C19" s="227" t="n">
        <v>1614.2</v>
      </c>
      <c r="D19" s="227" t="n">
        <v>1620.2</v>
      </c>
      <c r="E19" s="228" t="n">
        <v>1625.6</v>
      </c>
      <c r="F19" s="228" t="n">
        <v>1630.6</v>
      </c>
      <c r="G19" s="228" t="n">
        <v>1637.1</v>
      </c>
      <c r="H19" s="228" t="n">
        <v>1642.9</v>
      </c>
      <c r="I19" s="227" t="n">
        <v>1594</v>
      </c>
      <c r="J19" s="228" t="n">
        <v>1599</v>
      </c>
      <c r="K19" s="227" t="n">
        <v>1603.5</v>
      </c>
      <c r="L19" s="188" t="n">
        <v>1604.7</v>
      </c>
      <c r="M19" s="196" t="n">
        <v>1609.4</v>
      </c>
      <c r="N19" s="241" t="n">
        <v>1615</v>
      </c>
      <c r="O19" s="169" t="n">
        <v>1622</v>
      </c>
      <c r="P19" s="196" t="n">
        <v>1628.6</v>
      </c>
      <c r="Q19" s="241" t="n">
        <v>1635</v>
      </c>
      <c r="R19" s="188" t="n">
        <v>1640.6</v>
      </c>
      <c r="S19" s="196" t="n">
        <v>1645.5</v>
      </c>
      <c r="T19" s="158" t="n">
        <v>1650.9</v>
      </c>
      <c r="U19" s="169" t="n">
        <v>1712.3</v>
      </c>
      <c r="V19" s="196" t="n">
        <v>1722.8</v>
      </c>
      <c r="W19" s="158" t="n">
        <v>1733</v>
      </c>
      <c r="X19" s="188" t="n">
        <v>1741.4</v>
      </c>
      <c r="Y19" s="196" t="n">
        <v>1749.9</v>
      </c>
      <c r="Z19" s="158" t="n">
        <v>1759.5</v>
      </c>
      <c r="AA19" s="188" t="n">
        <v>1768.4</v>
      </c>
      <c r="AB19" s="196" t="n">
        <v>1776.8</v>
      </c>
      <c r="AC19" s="209" t="n">
        <v>1784.6</v>
      </c>
      <c r="AD19" s="188" t="n">
        <v>1792.7</v>
      </c>
      <c r="AE19" s="196" t="n">
        <v>1799.5</v>
      </c>
      <c r="AF19" s="197" t="n">
        <v>1805.8</v>
      </c>
      <c r="AG19" s="200" t="n">
        <v>1816.9</v>
      </c>
      <c r="AH19" s="201" t="n">
        <v>1827.3</v>
      </c>
      <c r="AI19" s="197" t="n">
        <v>1837.5</v>
      </c>
      <c r="AJ19" s="200" t="n">
        <v>1847.7</v>
      </c>
      <c r="AK19" s="201" t="n">
        <v>1857.5</v>
      </c>
      <c r="AL19" s="197" t="n">
        <v>1867.5</v>
      </c>
    </row>
    <row r="20">
      <c r="A20" s="217" t="n">
        <v>13</v>
      </c>
      <c r="B20" s="180" t="s">
        <v>1663</v>
      </c>
      <c r="C20" s="227" t="n">
        <v>768.1</v>
      </c>
      <c r="D20" s="227" t="n">
        <v>774</v>
      </c>
      <c r="E20" s="228" t="n">
        <v>779.9</v>
      </c>
      <c r="F20" s="228" t="n">
        <v>777.9</v>
      </c>
      <c r="G20" s="228" t="n">
        <v>777</v>
      </c>
      <c r="H20" s="228" t="n">
        <v>777.1</v>
      </c>
      <c r="I20" s="227" t="n">
        <v>796.6</v>
      </c>
      <c r="J20" s="228" t="n">
        <v>801.1</v>
      </c>
      <c r="K20" s="227" t="n">
        <v>805.1</v>
      </c>
      <c r="L20" s="188" t="n">
        <v>807.9</v>
      </c>
      <c r="M20" s="196" t="n">
        <v>811</v>
      </c>
      <c r="N20" s="241" t="n">
        <v>814.6</v>
      </c>
      <c r="O20" s="169" t="n">
        <v>818.7</v>
      </c>
      <c r="P20" s="196" t="n">
        <v>822.9</v>
      </c>
      <c r="Q20" s="241" t="n">
        <v>826.4</v>
      </c>
      <c r="R20" s="188" t="n">
        <v>824.7</v>
      </c>
      <c r="S20" s="196" t="n">
        <v>825.7</v>
      </c>
      <c r="T20" s="158" t="n">
        <v>828.9</v>
      </c>
      <c r="U20" s="169" t="n">
        <v>845.2</v>
      </c>
      <c r="V20" s="196" t="n">
        <v>850.4</v>
      </c>
      <c r="W20" s="158" t="n">
        <v>854.6</v>
      </c>
      <c r="X20" s="188" t="n">
        <v>851.3</v>
      </c>
      <c r="Y20" s="196" t="n">
        <v>853</v>
      </c>
      <c r="Z20" s="158" t="n">
        <v>852.7</v>
      </c>
      <c r="AA20" s="188" t="n">
        <v>853</v>
      </c>
      <c r="AB20" s="196" t="n">
        <v>855.5</v>
      </c>
      <c r="AC20" s="209" t="n">
        <v>857.6</v>
      </c>
      <c r="AD20" s="188" t="n">
        <v>863.4</v>
      </c>
      <c r="AE20" s="196" t="n">
        <v>869.3</v>
      </c>
      <c r="AF20" s="197" t="n">
        <v>873.3</v>
      </c>
      <c r="AG20" s="200" t="n">
        <v>877.6</v>
      </c>
      <c r="AH20" s="201" t="n">
        <v>881.6</v>
      </c>
      <c r="AI20" s="197" t="n">
        <v>886</v>
      </c>
      <c r="AJ20" s="200" t="n">
        <v>889.3</v>
      </c>
      <c r="AK20" s="201" t="n">
        <v>892.1</v>
      </c>
      <c r="AL20" s="197" t="n">
        <v>892.9</v>
      </c>
    </row>
    <row r="21" ht="16.399999999999999" customHeight="1">
      <c r="A21" s="217" t="n">
        <v>14</v>
      </c>
      <c r="B21" s="165" t="s">
        <v>1664</v>
      </c>
      <c r="C21" s="225" t="n">
        <v>1846.5</v>
      </c>
      <c r="D21" s="225" t="n">
        <v>1869.7</v>
      </c>
      <c r="E21" s="226" t="n">
        <v>1874.4</v>
      </c>
      <c r="F21" s="226" t="n">
        <v>1877.2</v>
      </c>
      <c r="G21" s="226" t="n">
        <v>1882.7</v>
      </c>
      <c r="H21" s="226" t="n">
        <v>1888.6</v>
      </c>
      <c r="I21" s="225" t="n">
        <v>1832.2</v>
      </c>
      <c r="J21" s="226" t="n">
        <v>1828.6</v>
      </c>
      <c r="K21" s="225" t="n">
        <v>1821.5</v>
      </c>
      <c r="L21" s="187" t="n">
        <v>1821.1</v>
      </c>
      <c r="M21" s="195" t="n">
        <v>1821.3</v>
      </c>
      <c r="N21" s="240" t="n">
        <v>1829.9</v>
      </c>
      <c r="O21" s="168" t="n">
        <v>1839.7</v>
      </c>
      <c r="P21" s="195" t="n">
        <v>1861.1</v>
      </c>
      <c r="Q21" s="240" t="n">
        <v>1877.8</v>
      </c>
      <c r="R21" s="187" t="n">
        <v>1880.2</v>
      </c>
      <c r="S21" s="195" t="n">
        <v>1886.2</v>
      </c>
      <c r="T21" s="151" t="n">
        <v>1881.5</v>
      </c>
      <c r="U21" s="168" t="n">
        <v>1969.7</v>
      </c>
      <c r="V21" s="195" t="n">
        <v>1971.2</v>
      </c>
      <c r="W21" s="151" t="n">
        <v>1975.6</v>
      </c>
      <c r="X21" s="187" t="n">
        <v>1995.2</v>
      </c>
      <c r="Y21" s="195" t="n">
        <v>2003</v>
      </c>
      <c r="Z21" s="151" t="n">
        <v>2008.7</v>
      </c>
      <c r="AA21" s="187" t="n">
        <v>2014.2</v>
      </c>
      <c r="AB21" s="195" t="n">
        <v>2014.9</v>
      </c>
      <c r="AC21" s="208" t="n">
        <v>2011.4</v>
      </c>
      <c r="AD21" s="187" t="n">
        <v>2024.2</v>
      </c>
      <c r="AE21" s="195" t="n">
        <v>2033.9</v>
      </c>
      <c r="AF21" s="157" t="n">
        <v>2048.4</v>
      </c>
      <c r="AG21" s="118" t="n">
        <v>2040.3</v>
      </c>
      <c r="AH21" s="149" t="n">
        <v>2043.2</v>
      </c>
      <c r="AI21" s="157" t="n">
        <v>2076.1</v>
      </c>
      <c r="AJ21" s="200" t="n">
        <v>2105.9</v>
      </c>
      <c r="AK21" s="201" t="n">
        <v>2051.1</v>
      </c>
      <c r="AL21" s="197" t="n">
        <v>2054.4</v>
      </c>
    </row>
    <row r="22">
      <c r="A22" s="216" t="n">
        <v>15</v>
      </c>
      <c r="B22" s="190" t="s">
        <v>1665</v>
      </c>
      <c r="C22" s="227" t="n">
        <v>94.8</v>
      </c>
      <c r="D22" s="227" t="n">
        <v>95.9</v>
      </c>
      <c r="E22" s="228" t="n">
        <v>97.1</v>
      </c>
      <c r="F22" s="228" t="n">
        <v>99</v>
      </c>
      <c r="G22" s="228" t="n">
        <v>100.9</v>
      </c>
      <c r="H22" s="228" t="n">
        <v>102.8</v>
      </c>
      <c r="I22" s="227" t="n">
        <v>78.7</v>
      </c>
      <c r="J22" s="228" t="n">
        <v>71.2</v>
      </c>
      <c r="K22" s="227" t="n">
        <v>63.8</v>
      </c>
      <c r="L22" s="188" t="n">
        <v>61</v>
      </c>
      <c r="M22" s="196" t="n">
        <v>58.2</v>
      </c>
      <c r="N22" s="241" t="n">
        <v>55.5</v>
      </c>
      <c r="O22" s="169" t="n">
        <v>52.7</v>
      </c>
      <c r="P22" s="196" t="n">
        <v>49.9</v>
      </c>
      <c r="Q22" s="241" t="n">
        <v>47.2</v>
      </c>
      <c r="R22" s="188" t="n">
        <v>42.6</v>
      </c>
      <c r="S22" s="196" t="n">
        <v>38</v>
      </c>
      <c r="T22" s="158" t="n">
        <v>33.4</v>
      </c>
      <c r="U22" s="169" t="n">
        <v>39.5</v>
      </c>
      <c r="V22" s="196" t="n">
        <v>38.1</v>
      </c>
      <c r="W22" s="158" t="n">
        <v>37.9</v>
      </c>
      <c r="X22" s="188" t="n">
        <v>39.5</v>
      </c>
      <c r="Y22" s="196" t="n">
        <v>41.1</v>
      </c>
      <c r="Z22" s="158" t="n">
        <v>42.6</v>
      </c>
      <c r="AA22" s="188" t="n">
        <v>45.9</v>
      </c>
      <c r="AB22" s="196" t="n">
        <v>49.2</v>
      </c>
      <c r="AC22" s="209" t="n">
        <v>44.1</v>
      </c>
      <c r="AD22" s="188" t="n">
        <v>49.4</v>
      </c>
      <c r="AE22" s="196" t="n">
        <v>54.7</v>
      </c>
      <c r="AF22" s="197" t="n">
        <v>60.1</v>
      </c>
      <c r="AG22" s="200" t="n">
        <v>53</v>
      </c>
      <c r="AH22" s="201" t="n">
        <v>45.9</v>
      </c>
      <c r="AI22" s="197" t="n">
        <v>69.5</v>
      </c>
      <c r="AJ22" s="200" t="n">
        <v>80.5</v>
      </c>
      <c r="AK22" s="201" t="n">
        <v>37.200000000000003</v>
      </c>
      <c r="AL22" s="197" t="n">
        <v>41.8</v>
      </c>
    </row>
    <row r="23">
      <c r="A23" s="216" t="n">
        <v>16</v>
      </c>
      <c r="B23" s="190" t="s">
        <v>1666</v>
      </c>
      <c r="C23" s="227" t="n">
        <v>1751.7</v>
      </c>
      <c r="D23" s="227" t="n">
        <v>1773.7</v>
      </c>
      <c r="E23" s="228" t="n">
        <v>1777.4</v>
      </c>
      <c r="F23" s="228" t="n">
        <v>1778.3</v>
      </c>
      <c r="G23" s="228" t="n">
        <v>1781.9</v>
      </c>
      <c r="H23" s="228" t="n">
        <v>1785.8</v>
      </c>
      <c r="I23" s="227" t="n">
        <v>1753.5</v>
      </c>
      <c r="J23" s="228" t="n">
        <v>1757.4</v>
      </c>
      <c r="K23" s="227" t="n">
        <v>1757.7</v>
      </c>
      <c r="L23" s="188" t="n">
        <v>1760.1</v>
      </c>
      <c r="M23" s="196" t="n">
        <v>1763.1</v>
      </c>
      <c r="N23" s="241" t="n">
        <v>1774.4</v>
      </c>
      <c r="O23" s="169" t="n">
        <v>1787</v>
      </c>
      <c r="P23" s="196" t="n">
        <v>1811.2</v>
      </c>
      <c r="Q23" s="241" t="n">
        <v>1830.6</v>
      </c>
      <c r="R23" s="188" t="n">
        <v>1837.6</v>
      </c>
      <c r="S23" s="196" t="n">
        <v>1848.2</v>
      </c>
      <c r="T23" s="158" t="n">
        <v>1848.1</v>
      </c>
      <c r="U23" s="169" t="n">
        <v>1930.1</v>
      </c>
      <c r="V23" s="196" t="n">
        <v>1933</v>
      </c>
      <c r="W23" s="158" t="n">
        <v>1937.7</v>
      </c>
      <c r="X23" s="188" t="n">
        <v>1955.7</v>
      </c>
      <c r="Y23" s="196" t="n">
        <v>1961.9</v>
      </c>
      <c r="Z23" s="158" t="n">
        <v>1966.1</v>
      </c>
      <c r="AA23" s="188" t="n">
        <v>1968.3</v>
      </c>
      <c r="AB23" s="196" t="n">
        <v>1965.7</v>
      </c>
      <c r="AC23" s="209" t="n">
        <v>1967.3</v>
      </c>
      <c r="AD23" s="188" t="n">
        <v>1974.8</v>
      </c>
      <c r="AE23" s="196" t="n">
        <v>1979.1</v>
      </c>
      <c r="AF23" s="197" t="n">
        <v>1988.4</v>
      </c>
      <c r="AG23" s="200" t="n">
        <v>1987.3</v>
      </c>
      <c r="AH23" s="201" t="n">
        <v>1997.4</v>
      </c>
      <c r="AI23" s="197" t="n">
        <v>2006.6</v>
      </c>
      <c r="AJ23" s="200" t="n">
        <v>2025.4</v>
      </c>
      <c r="AK23" s="201" t="n">
        <v>2013.9</v>
      </c>
      <c r="AL23" s="197" t="n">
        <v>2012.6</v>
      </c>
    </row>
    <row r="24">
      <c r="A24" s="217" t="n">
        <v>17</v>
      </c>
      <c r="B24" s="165" t="s">
        <v>1667</v>
      </c>
      <c r="C24" s="225" t="n">
        <v>792.9</v>
      </c>
      <c r="D24" s="225" t="n">
        <v>794.9</v>
      </c>
      <c r="E24" s="226" t="n">
        <v>797</v>
      </c>
      <c r="F24" s="226" t="n">
        <v>804.7</v>
      </c>
      <c r="G24" s="226" t="n">
        <v>810.6</v>
      </c>
      <c r="H24" s="226" t="n">
        <v>820</v>
      </c>
      <c r="I24" s="225" t="n">
        <v>930.9</v>
      </c>
      <c r="J24" s="226" t="n">
        <v>945.7</v>
      </c>
      <c r="K24" s="225" t="n">
        <v>960.7</v>
      </c>
      <c r="L24" s="187" t="n">
        <v>960.6</v>
      </c>
      <c r="M24" s="195" t="n">
        <v>960.8</v>
      </c>
      <c r="N24" s="240" t="n">
        <v>961.8</v>
      </c>
      <c r="O24" s="168" t="n">
        <v>967.2</v>
      </c>
      <c r="P24" s="195" t="n">
        <v>974.5</v>
      </c>
      <c r="Q24" s="240" t="n">
        <v>981.5</v>
      </c>
      <c r="R24" s="187" t="n">
        <v>985.3</v>
      </c>
      <c r="S24" s="195" t="n">
        <v>988.1</v>
      </c>
      <c r="T24" s="151" t="n">
        <v>991</v>
      </c>
      <c r="U24" s="168" t="n">
        <v>1032</v>
      </c>
      <c r="V24" s="195" t="n">
        <v>1046.4000000000001</v>
      </c>
      <c r="W24" s="151" t="n">
        <v>1059.9000000000001</v>
      </c>
      <c r="X24" s="187" t="n">
        <v>1060.7</v>
      </c>
      <c r="Y24" s="195" t="n">
        <v>1053.5</v>
      </c>
      <c r="Z24" s="151" t="n">
        <v>1046</v>
      </c>
      <c r="AA24" s="187" t="n">
        <v>1051</v>
      </c>
      <c r="AB24" s="195" t="n">
        <v>1055.7</v>
      </c>
      <c r="AC24" s="208" t="n">
        <v>1060.3</v>
      </c>
      <c r="AD24" s="187" t="n">
        <v>1069.2</v>
      </c>
      <c r="AE24" s="195" t="n">
        <v>1071</v>
      </c>
      <c r="AF24" s="157" t="n">
        <v>1076.5</v>
      </c>
      <c r="AG24" s="118" t="n">
        <v>1084</v>
      </c>
      <c r="AH24" s="149" t="n">
        <v>1092.4000000000001</v>
      </c>
      <c r="AI24" s="157" t="n">
        <v>1098.9000000000001</v>
      </c>
      <c r="AJ24" s="200" t="n">
        <v>1096.0999999999999</v>
      </c>
      <c r="AK24" s="201" t="n">
        <v>1090.3</v>
      </c>
      <c r="AL24" s="197" t="n">
        <v>1085.5999999999999</v>
      </c>
    </row>
    <row r="25">
      <c r="A25" s="216" t="n">
        <v>18</v>
      </c>
      <c r="B25" s="102" t="s">
        <v>1668</v>
      </c>
      <c r="C25" s="225" t="n">
        <v>3350.6</v>
      </c>
      <c r="D25" s="225" t="n">
        <v>3358.1</v>
      </c>
      <c r="E25" s="226" t="n">
        <v>3367.7</v>
      </c>
      <c r="F25" s="226" t="n">
        <v>3413.8</v>
      </c>
      <c r="G25" s="226" t="n">
        <v>3424.7</v>
      </c>
      <c r="H25" s="226" t="n">
        <v>3433.5</v>
      </c>
      <c r="I25" s="225" t="n">
        <v>3559.3</v>
      </c>
      <c r="J25" s="226" t="n">
        <v>3570.9</v>
      </c>
      <c r="K25" s="225" t="n">
        <v>3600.9</v>
      </c>
      <c r="L25" s="187" t="n">
        <v>3606.8</v>
      </c>
      <c r="M25" s="195" t="n">
        <v>3610.2</v>
      </c>
      <c r="N25" s="240" t="n">
        <v>3590.7</v>
      </c>
      <c r="O25" s="168" t="n">
        <v>3594.4</v>
      </c>
      <c r="P25" s="195" t="n">
        <v>3607.3</v>
      </c>
      <c r="Q25" s="240" t="n">
        <v>3617.9</v>
      </c>
      <c r="R25" s="187" t="n">
        <v>3645.6</v>
      </c>
      <c r="S25" s="195" t="n">
        <v>3672.7</v>
      </c>
      <c r="T25" s="151" t="n">
        <v>3683.6</v>
      </c>
      <c r="U25" s="168" t="n">
        <v>3999.7</v>
      </c>
      <c r="V25" s="195" t="n">
        <v>3912.2</v>
      </c>
      <c r="W25" s="151" t="n">
        <v>3904.9</v>
      </c>
      <c r="X25" s="187" t="n">
        <v>3929.6</v>
      </c>
      <c r="Y25" s="195" t="n">
        <v>3953.7</v>
      </c>
      <c r="Z25" s="151" t="n">
        <v>3967.4</v>
      </c>
      <c r="AA25" s="187" t="n">
        <v>3958.7</v>
      </c>
      <c r="AB25" s="195" t="n">
        <v>3929.7</v>
      </c>
      <c r="AC25" s="208" t="n">
        <v>3927.9</v>
      </c>
      <c r="AD25" s="187" t="n">
        <v>3963.6</v>
      </c>
      <c r="AE25" s="195" t="n">
        <v>3952.7</v>
      </c>
      <c r="AF25" s="157" t="n">
        <v>3958.6</v>
      </c>
      <c r="AG25" s="118" t="n">
        <v>3998.5</v>
      </c>
      <c r="AH25" s="149" t="n">
        <v>4007.7</v>
      </c>
      <c r="AI25" s="157" t="n">
        <v>4017</v>
      </c>
      <c r="AJ25" s="200" t="n">
        <v>3999.9</v>
      </c>
      <c r="AK25" s="201" t="n">
        <v>4008.3</v>
      </c>
      <c r="AL25" s="197" t="n">
        <v>4008.6</v>
      </c>
    </row>
    <row r="26">
      <c r="A26" s="216" t="n">
        <v>19</v>
      </c>
      <c r="B26" s="190" t="s">
        <v>1669</v>
      </c>
      <c r="C26" s="227" t="n">
        <v>1731.1</v>
      </c>
      <c r="D26" s="227" t="n">
        <v>1738</v>
      </c>
      <c r="E26" s="228" t="n">
        <v>1745.2</v>
      </c>
      <c r="F26" s="228" t="n">
        <v>1766.6</v>
      </c>
      <c r="G26" s="228" t="n">
        <v>1788.7</v>
      </c>
      <c r="H26" s="228" t="n">
        <v>1811.6</v>
      </c>
      <c r="I26" s="227" t="n">
        <v>1736.2</v>
      </c>
      <c r="J26" s="228" t="n">
        <v>1744.3</v>
      </c>
      <c r="K26" s="227" t="n">
        <v>1752.6</v>
      </c>
      <c r="L26" s="188" t="n">
        <v>1753.6</v>
      </c>
      <c r="M26" s="196" t="n">
        <v>1754.7</v>
      </c>
      <c r="N26" s="241" t="n">
        <v>1756.1</v>
      </c>
      <c r="O26" s="169" t="n">
        <v>1766.1</v>
      </c>
      <c r="P26" s="196" t="n">
        <v>1776.3</v>
      </c>
      <c r="Q26" s="241" t="n">
        <v>1786.7</v>
      </c>
      <c r="R26" s="188" t="n">
        <v>1801</v>
      </c>
      <c r="S26" s="196" t="n">
        <v>1815.5</v>
      </c>
      <c r="T26" s="158" t="n">
        <v>1830.2</v>
      </c>
      <c r="U26" s="169" t="n">
        <v>1967.6</v>
      </c>
      <c r="V26" s="196" t="n">
        <v>1951</v>
      </c>
      <c r="W26" s="158" t="n">
        <v>1934.3</v>
      </c>
      <c r="X26" s="188" t="n">
        <v>1950.4</v>
      </c>
      <c r="Y26" s="196" t="n">
        <v>1966.3</v>
      </c>
      <c r="Z26" s="158" t="n">
        <v>1982</v>
      </c>
      <c r="AA26" s="188" t="n">
        <v>1974.3</v>
      </c>
      <c r="AB26" s="196" t="n">
        <v>1966.4</v>
      </c>
      <c r="AC26" s="209" t="n">
        <v>1958.4</v>
      </c>
      <c r="AD26" s="188" t="n">
        <v>1966.8</v>
      </c>
      <c r="AE26" s="196" t="n">
        <v>1975.1</v>
      </c>
      <c r="AF26" s="197" t="n">
        <v>1983.3</v>
      </c>
      <c r="AG26" s="200" t="n">
        <v>1987.7</v>
      </c>
      <c r="AH26" s="201" t="n">
        <v>1992</v>
      </c>
      <c r="AI26" s="197" t="n">
        <v>1996.6</v>
      </c>
      <c r="AJ26" s="200" t="n">
        <v>2000.3</v>
      </c>
      <c r="AK26" s="181" t="n">
        <v>2004.2</v>
      </c>
      <c r="AL26" s="197" t="n">
        <v>2008.1</v>
      </c>
    </row>
    <row r="27">
      <c r="A27" s="216" t="n">
        <v>20</v>
      </c>
      <c r="B27" s="190" t="s">
        <v>1670</v>
      </c>
      <c r="C27" s="227" t="n">
        <v>1619.5</v>
      </c>
      <c r="D27" s="227" t="n">
        <v>1620.1</v>
      </c>
      <c r="E27" s="228" t="n">
        <v>1622.6</v>
      </c>
      <c r="F27" s="228" t="n">
        <v>1647.2</v>
      </c>
      <c r="G27" s="228" t="n">
        <v>1636</v>
      </c>
      <c r="H27" s="228" t="n">
        <v>1622</v>
      </c>
      <c r="I27" s="227" t="n">
        <v>1823.1</v>
      </c>
      <c r="J27" s="228" t="n">
        <v>1826.6</v>
      </c>
      <c r="K27" s="227" t="n">
        <v>1848.3</v>
      </c>
      <c r="L27" s="188" t="n">
        <v>1853.3</v>
      </c>
      <c r="M27" s="196" t="n">
        <v>1855.5</v>
      </c>
      <c r="N27" s="241" t="n">
        <v>1834.7</v>
      </c>
      <c r="O27" s="169" t="n">
        <v>1828.3</v>
      </c>
      <c r="P27" s="196" t="n">
        <v>1831</v>
      </c>
      <c r="Q27" s="241" t="n">
        <v>1831.2</v>
      </c>
      <c r="R27" s="188" t="n">
        <v>1844.6</v>
      </c>
      <c r="S27" s="196" t="n">
        <v>1857.2</v>
      </c>
      <c r="T27" s="158" t="n">
        <v>1853.4</v>
      </c>
      <c r="U27" s="169" t="n">
        <v>2032.1</v>
      </c>
      <c r="V27" s="196" t="n">
        <v>1961.2</v>
      </c>
      <c r="W27" s="158" t="n">
        <v>1970.6</v>
      </c>
      <c r="X27" s="188" t="n">
        <v>1979.2</v>
      </c>
      <c r="Y27" s="196" t="n">
        <v>1987.5</v>
      </c>
      <c r="Z27" s="158" t="n">
        <v>1985.3</v>
      </c>
      <c r="AA27" s="188" t="n">
        <v>1984.5</v>
      </c>
      <c r="AB27" s="196" t="n">
        <v>1963.3</v>
      </c>
      <c r="AC27" s="209" t="n">
        <v>1969.5</v>
      </c>
      <c r="AD27" s="188" t="n">
        <v>1996.8</v>
      </c>
      <c r="AE27" s="196" t="n">
        <v>1977.6</v>
      </c>
      <c r="AF27" s="197" t="n">
        <v>1975.3</v>
      </c>
      <c r="AG27" s="200" t="n">
        <v>2010.8</v>
      </c>
      <c r="AH27" s="201" t="n">
        <v>2015.6</v>
      </c>
      <c r="AI27" s="197" t="n">
        <v>2020.5</v>
      </c>
      <c r="AJ27" s="200" t="n">
        <v>1999.5</v>
      </c>
      <c r="AK27" s="201" t="n">
        <v>2004.1</v>
      </c>
      <c r="AL27" s="197" t="n">
        <v>2000.4</v>
      </c>
    </row>
    <row r="28">
      <c r="A28" s="216" t="n">
        <v>21</v>
      </c>
      <c r="B28" s="102" t="s">
        <v>1671</v>
      </c>
      <c r="C28" s="225" t="n">
        <v>3891.7</v>
      </c>
      <c r="D28" s="225" t="n">
        <v>3893.9</v>
      </c>
      <c r="E28" s="226" t="n">
        <v>3892.9</v>
      </c>
      <c r="F28" s="226" t="n">
        <v>3981.6</v>
      </c>
      <c r="G28" s="226" t="n">
        <v>4002.2</v>
      </c>
      <c r="H28" s="226" t="n">
        <v>4010.8</v>
      </c>
      <c r="I28" s="225" t="n">
        <v>4083.3</v>
      </c>
      <c r="J28" s="226" t="n">
        <v>4108.8</v>
      </c>
      <c r="K28" s="225" t="n">
        <v>4115.1000000000004</v>
      </c>
      <c r="L28" s="187" t="n">
        <v>4112.3</v>
      </c>
      <c r="M28" s="195" t="n">
        <v>4126.8</v>
      </c>
      <c r="N28" s="240" t="n">
        <v>4121.3</v>
      </c>
      <c r="O28" s="168" t="n">
        <v>4097.8999999999996</v>
      </c>
      <c r="P28" s="195" t="n">
        <v>4096.5</v>
      </c>
      <c r="Q28" s="240" t="n">
        <v>4086.6</v>
      </c>
      <c r="R28" s="187" t="n">
        <v>4083.8</v>
      </c>
      <c r="S28" s="195" t="n">
        <v>4082</v>
      </c>
      <c r="T28" s="151" t="n">
        <v>4094.6</v>
      </c>
      <c r="U28" s="168" t="n">
        <v>4411.3</v>
      </c>
      <c r="V28" s="195" t="n">
        <v>4448.1000000000004</v>
      </c>
      <c r="W28" s="151" t="n">
        <v>4478.8999999999996</v>
      </c>
      <c r="X28" s="187" t="n">
        <v>4498.6000000000004</v>
      </c>
      <c r="Y28" s="195" t="n">
        <v>4510.1000000000004</v>
      </c>
      <c r="Z28" s="151" t="n">
        <v>4528.3999999999996</v>
      </c>
      <c r="AA28" s="187" t="n">
        <v>4551</v>
      </c>
      <c r="AB28" s="195" t="n">
        <v>4560.5</v>
      </c>
      <c r="AC28" s="208" t="n">
        <v>4599.7</v>
      </c>
      <c r="AD28" s="187" t="n">
        <v>4622.8999999999996</v>
      </c>
      <c r="AE28" s="195" t="n">
        <v>4621.7</v>
      </c>
      <c r="AF28" s="157" t="n">
        <v>4635.2</v>
      </c>
      <c r="AG28" s="118" t="n">
        <v>4698.8999999999996</v>
      </c>
      <c r="AH28" s="149" t="n">
        <v>4794.6000000000004</v>
      </c>
      <c r="AI28" s="157" t="n">
        <v>4836.3999999999996</v>
      </c>
      <c r="AJ28" s="200" t="n">
        <v>4970.3</v>
      </c>
      <c r="AK28" s="201" t="n">
        <v>4871.8</v>
      </c>
      <c r="AL28" s="197" t="n">
        <v>4918.6000000000004</v>
      </c>
    </row>
    <row r="29">
      <c r="A29" s="216" t="n">
        <v>22</v>
      </c>
      <c r="B29" s="190" t="s">
        <v>1672</v>
      </c>
      <c r="C29" s="227" t="n">
        <v>3821.1</v>
      </c>
      <c r="D29" s="227" t="n">
        <v>3824.5</v>
      </c>
      <c r="E29" s="228" t="n">
        <v>3823.5</v>
      </c>
      <c r="F29" s="228" t="n">
        <v>3912.2</v>
      </c>
      <c r="G29" s="228" t="n">
        <v>3932.8</v>
      </c>
      <c r="H29" s="228" t="n">
        <v>3941.2</v>
      </c>
      <c r="I29" s="227" t="n">
        <v>3983.1</v>
      </c>
      <c r="J29" s="228" t="n">
        <v>4007.9</v>
      </c>
      <c r="K29" s="227" t="n">
        <v>4013.6</v>
      </c>
      <c r="L29" s="188" t="n">
        <v>4010.1</v>
      </c>
      <c r="M29" s="196" t="n">
        <v>4024</v>
      </c>
      <c r="N29" s="241" t="n">
        <v>4017.8</v>
      </c>
      <c r="O29" s="169" t="n">
        <v>3993.8</v>
      </c>
      <c r="P29" s="196" t="n">
        <v>3991.8</v>
      </c>
      <c r="Q29" s="241" t="n">
        <v>3977.7</v>
      </c>
      <c r="R29" s="188" t="n">
        <v>3977.9</v>
      </c>
      <c r="S29" s="196" t="n">
        <v>3972.1</v>
      </c>
      <c r="T29" s="158" t="n">
        <v>3987.7</v>
      </c>
      <c r="U29" s="169" t="n">
        <v>4271.8</v>
      </c>
      <c r="V29" s="196" t="n">
        <v>4321</v>
      </c>
      <c r="W29" s="158" t="n">
        <v>4350.8999999999996</v>
      </c>
      <c r="X29" s="188" t="n">
        <v>4362.3</v>
      </c>
      <c r="Y29" s="196" t="n">
        <v>4380.3</v>
      </c>
      <c r="Z29" s="158" t="n">
        <v>4397.6000000000004</v>
      </c>
      <c r="AA29" s="188" t="n">
        <v>4419.3</v>
      </c>
      <c r="AB29" s="196" t="n">
        <v>4427.8999999999996</v>
      </c>
      <c r="AC29" s="209" t="n">
        <v>4466.1000000000004</v>
      </c>
      <c r="AD29" s="188" t="n">
        <v>4488.3999999999996</v>
      </c>
      <c r="AE29" s="196" t="n">
        <v>4486.2</v>
      </c>
      <c r="AF29" s="153" t="n">
        <v>4498.7</v>
      </c>
      <c r="AG29" s="200" t="n">
        <v>4559</v>
      </c>
      <c r="AH29" s="201" t="n">
        <v>4632</v>
      </c>
      <c r="AI29" s="197" t="n">
        <v>4694.8</v>
      </c>
      <c r="AJ29" s="200" t="n">
        <v>4827.8999999999996</v>
      </c>
      <c r="AK29" s="201" t="n">
        <v>4728.5</v>
      </c>
      <c r="AL29" s="197" t="n">
        <v>4774.3999999999996</v>
      </c>
    </row>
    <row r="30" ht="17.5" customHeight="1">
      <c r="A30" s="233" t="n">
        <v>23</v>
      </c>
      <c r="B30" s="235" t="s">
        <v>1673</v>
      </c>
      <c r="C30" s="236" t="n">
        <v>1211.0999999999999</v>
      </c>
      <c r="D30" s="236" t="n">
        <v>1215.9000000000001</v>
      </c>
      <c r="E30" s="237" t="n">
        <v>1216.9000000000001</v>
      </c>
      <c r="F30" s="228" t="n">
        <v>1229.0999999999999</v>
      </c>
      <c r="G30" s="228" t="n">
        <v>1224.3</v>
      </c>
      <c r="H30" s="228" t="n">
        <v>1223.5999999999999</v>
      </c>
      <c r="I30" s="227" t="n">
        <v>1335.4</v>
      </c>
      <c r="J30" s="228" t="n">
        <v>1340.1</v>
      </c>
      <c r="K30" s="227" t="n">
        <v>1344.5</v>
      </c>
      <c r="L30" s="188" t="n">
        <v>1349.9</v>
      </c>
      <c r="M30" s="196" t="n">
        <v>1354.7</v>
      </c>
      <c r="N30" s="241" t="n">
        <v>1356.7</v>
      </c>
      <c r="O30" s="169" t="n">
        <v>1358.3</v>
      </c>
      <c r="P30" s="196" t="n">
        <v>1362.1</v>
      </c>
      <c r="Q30" s="241" t="n">
        <v>1363.4</v>
      </c>
      <c r="R30" s="188" t="n">
        <v>1378.6</v>
      </c>
      <c r="S30" s="196" t="n">
        <v>1370.3</v>
      </c>
      <c r="T30" s="158" t="n">
        <v>1373.8</v>
      </c>
      <c r="U30" s="169" t="n">
        <v>1421.9</v>
      </c>
      <c r="V30" s="196" t="n">
        <v>1425</v>
      </c>
      <c r="W30" s="158" t="n">
        <v>1432.7</v>
      </c>
      <c r="X30" s="188" t="n">
        <v>1435.9</v>
      </c>
      <c r="Y30" s="196" t="n">
        <v>1438.7</v>
      </c>
      <c r="Z30" s="158" t="n">
        <v>1444.6</v>
      </c>
      <c r="AA30" s="188" t="n">
        <v>1448.8</v>
      </c>
      <c r="AB30" s="196" t="n">
        <v>1452.8</v>
      </c>
      <c r="AC30" s="209" t="n">
        <v>1457.8</v>
      </c>
      <c r="AD30" s="188" t="n">
        <v>1470.6</v>
      </c>
      <c r="AE30" s="196" t="n">
        <v>1466.8</v>
      </c>
      <c r="AF30" s="153" t="n">
        <v>1466.3</v>
      </c>
      <c r="AG30" s="160" t="n">
        <v>1503.3</v>
      </c>
      <c r="AH30" s="181" t="n">
        <v>1513.6</v>
      </c>
      <c r="AI30" s="153" t="n">
        <v>1569.4</v>
      </c>
      <c r="AJ30" s="174" t="n">
        <v>1677</v>
      </c>
      <c r="AK30" s="183" t="n">
        <v>1554.7</v>
      </c>
      <c r="AL30" s="198" t="n">
        <v>1583.9</v>
      </c>
      <c r="AM30" s="204" t="n">
        <f>'Social Benefits'!AE61</f>
        <v>80.995999999999995</v>
      </c>
      <c r="AN30" s="176"/>
    </row>
    <row r="31" ht="16" customHeight="1">
      <c r="A31" s="233" t="n">
        <v>24</v>
      </c>
      <c r="B31" s="235" t="s">
        <v>1674</v>
      </c>
      <c r="C31" s="236" t="n">
        <v>914.1</v>
      </c>
      <c r="D31" s="236" t="n">
        <v>920.1</v>
      </c>
      <c r="E31" s="237" t="n">
        <v>926.7</v>
      </c>
      <c r="F31" s="228" t="n">
        <v>933.8</v>
      </c>
      <c r="G31" s="228" t="n">
        <v>941.5</v>
      </c>
      <c r="H31" s="228" t="n">
        <v>949.7</v>
      </c>
      <c r="I31" s="227" t="n">
        <v>936.9</v>
      </c>
      <c r="J31" s="228" t="n">
        <v>938.1</v>
      </c>
      <c r="K31" s="227" t="n">
        <v>939.3</v>
      </c>
      <c r="L31" s="188" t="n">
        <v>940.6</v>
      </c>
      <c r="M31" s="196" t="n">
        <v>941.9</v>
      </c>
      <c r="N31" s="241" t="n">
        <v>943.3</v>
      </c>
      <c r="O31" s="169" t="n">
        <v>944.8</v>
      </c>
      <c r="P31" s="196" t="n">
        <v>946.3</v>
      </c>
      <c r="Q31" s="241" t="n">
        <v>947.9</v>
      </c>
      <c r="R31" s="188" t="n">
        <v>949.6</v>
      </c>
      <c r="S31" s="196" t="n">
        <v>951.3</v>
      </c>
      <c r="T31" s="158" t="n">
        <v>953.1</v>
      </c>
      <c r="U31" s="169" t="n">
        <v>1044.2</v>
      </c>
      <c r="V31" s="196" t="n">
        <v>1049</v>
      </c>
      <c r="W31" s="158" t="n">
        <v>1054.4000000000001</v>
      </c>
      <c r="X31" s="188" t="n">
        <v>1060.4000000000001</v>
      </c>
      <c r="Y31" s="196" t="n">
        <v>1066.9000000000001</v>
      </c>
      <c r="Z31" s="158" t="n">
        <v>1074.0999999999999</v>
      </c>
      <c r="AA31" s="188" t="n">
        <v>1081.8</v>
      </c>
      <c r="AB31" s="196" t="n">
        <v>1090</v>
      </c>
      <c r="AC31" s="209" t="n">
        <v>1098.9000000000001</v>
      </c>
      <c r="AD31" s="188" t="n">
        <v>1108.3</v>
      </c>
      <c r="AE31" s="196" t="n">
        <v>1118.3</v>
      </c>
      <c r="AF31" s="154" t="n">
        <v>1128.9000000000001</v>
      </c>
      <c r="AG31" s="160" t="n">
        <v>1140</v>
      </c>
      <c r="AH31" s="181" t="n">
        <v>1150.5</v>
      </c>
      <c r="AI31" s="153" t="n">
        <v>1160.3</v>
      </c>
      <c r="AJ31" s="175" t="n">
        <v>1171.2</v>
      </c>
      <c r="AK31" s="184" t="n">
        <v>1182.0999999999999</v>
      </c>
      <c r="AL31" s="199" t="n">
        <v>1192.9000000000001</v>
      </c>
      <c r="AM31" s="239" t="n">
        <f>Medicare!AE10</f>
        <v>19.444513501822815</v>
      </c>
      <c r="AN31" s="176"/>
    </row>
    <row r="32">
      <c r="A32" s="233" t="n">
        <v>25</v>
      </c>
      <c r="B32" s="235" t="s">
        <v>45</v>
      </c>
      <c r="C32" s="236" t="n">
        <v>790.3</v>
      </c>
      <c r="D32" s="236" t="n">
        <v>785.3</v>
      </c>
      <c r="E32" s="237" t="n">
        <v>782.8</v>
      </c>
      <c r="F32" s="228" t="n">
        <v>791.2</v>
      </c>
      <c r="G32" s="228" t="n">
        <v>796.9</v>
      </c>
      <c r="H32" s="228" t="n">
        <v>800.6</v>
      </c>
      <c r="I32" s="227" t="n">
        <v>856.7</v>
      </c>
      <c r="J32" s="228" t="n">
        <v>871.5</v>
      </c>
      <c r="K32" s="227" t="n">
        <v>886.1</v>
      </c>
      <c r="L32" s="188" t="n">
        <v>908.2</v>
      </c>
      <c r="M32" s="196" t="n">
        <v>916.2</v>
      </c>
      <c r="N32" s="241" t="n">
        <v>909.8</v>
      </c>
      <c r="O32" s="169" t="n">
        <v>893.4</v>
      </c>
      <c r="P32" s="196" t="n">
        <v>879.5</v>
      </c>
      <c r="Q32" s="241" t="n">
        <v>868.8</v>
      </c>
      <c r="R32" s="188" t="n">
        <v>863.5</v>
      </c>
      <c r="S32" s="196" t="n">
        <v>865.8</v>
      </c>
      <c r="T32" s="158" t="n">
        <v>875.6</v>
      </c>
      <c r="U32" s="169" t="n">
        <v>889.7</v>
      </c>
      <c r="V32" s="196" t="n">
        <v>906.4</v>
      </c>
      <c r="W32" s="158" t="n">
        <v>918.4</v>
      </c>
      <c r="X32" s="188" t="n">
        <v>922.3</v>
      </c>
      <c r="Y32" s="196" t="n">
        <v>925.2</v>
      </c>
      <c r="Z32" s="158" t="n">
        <v>926.4</v>
      </c>
      <c r="AA32" s="188" t="n">
        <v>926.2</v>
      </c>
      <c r="AB32" s="196" t="n">
        <v>930.8</v>
      </c>
      <c r="AC32" s="209" t="n">
        <v>940.2</v>
      </c>
      <c r="AD32" s="188" t="n">
        <v>937.7</v>
      </c>
      <c r="AE32" s="196" t="n">
        <v>942.3</v>
      </c>
      <c r="AF32" s="154" t="n">
        <v>954.3</v>
      </c>
      <c r="AG32" s="160" t="n">
        <v>955</v>
      </c>
      <c r="AH32" s="181" t="n">
        <v>957.9</v>
      </c>
      <c r="AI32" s="153" t="n">
        <v>959.9</v>
      </c>
      <c r="AJ32" s="175" t="n">
        <v>975.1</v>
      </c>
      <c r="AK32" s="184" t="n">
        <v>984.6</v>
      </c>
      <c r="AL32" s="199" t="n">
        <v>989.6</v>
      </c>
      <c r="AM32" s="239" t="e">
        <f>forecast!C11</f>
        <v>#DIV/0!</v>
      </c>
      <c r="AN32" s="176"/>
    </row>
    <row r="33">
      <c r="A33" s="233" t="n">
        <v>26</v>
      </c>
      <c r="B33" s="235" t="s">
        <v>188</v>
      </c>
      <c r="C33" s="236" t="n">
        <v>18.7</v>
      </c>
      <c r="D33" s="236" t="n">
        <v>18.899999999999999</v>
      </c>
      <c r="E33" s="237" t="n">
        <v>18</v>
      </c>
      <c r="F33" s="228" t="n">
        <v>18.899999999999999</v>
      </c>
      <c r="G33" s="228" t="n">
        <v>20.6</v>
      </c>
      <c r="H33" s="228" t="n">
        <v>21.6</v>
      </c>
      <c r="I33" s="227" t="n">
        <v>21.1</v>
      </c>
      <c r="J33" s="228" t="n">
        <v>22</v>
      </c>
      <c r="K33" s="227" t="n">
        <v>22.8</v>
      </c>
      <c r="L33" s="188" t="n">
        <v>22.8</v>
      </c>
      <c r="M33" s="196" t="n">
        <v>22.3</v>
      </c>
      <c r="N33" s="241" t="n">
        <v>21.6</v>
      </c>
      <c r="O33" s="169" t="n">
        <v>21.1</v>
      </c>
      <c r="P33" s="196" t="n">
        <v>21.1</v>
      </c>
      <c r="Q33" s="241" t="n">
        <v>20.8</v>
      </c>
      <c r="R33" s="188" t="n">
        <v>22.1</v>
      </c>
      <c r="S33" s="196" t="n">
        <v>23.1</v>
      </c>
      <c r="T33" s="158" t="n">
        <v>22.9</v>
      </c>
      <c r="U33" s="169" t="n">
        <v>34.799999999999997</v>
      </c>
      <c r="V33" s="196" t="n">
        <v>35</v>
      </c>
      <c r="W33" s="158" t="n">
        <v>35</v>
      </c>
      <c r="X33" s="188" t="n">
        <v>34.5</v>
      </c>
      <c r="Y33" s="196" t="n">
        <v>34.799999999999997</v>
      </c>
      <c r="Z33" s="158" t="n">
        <v>35.6</v>
      </c>
      <c r="AA33" s="188" t="n">
        <v>35.9</v>
      </c>
      <c r="AB33" s="196" t="n">
        <v>35.700000000000003</v>
      </c>
      <c r="AC33" s="209" t="n">
        <v>35.4</v>
      </c>
      <c r="AD33" s="188" t="n">
        <v>36</v>
      </c>
      <c r="AE33" s="196" t="n">
        <v>36.299999999999997</v>
      </c>
      <c r="AF33" s="154" t="n">
        <v>35.9</v>
      </c>
      <c r="AG33" s="160" t="n">
        <v>35.700000000000003</v>
      </c>
      <c r="AH33" s="181" t="n">
        <v>35.700000000000003</v>
      </c>
      <c r="AI33" s="153" t="n">
        <v>35.799999999999997</v>
      </c>
      <c r="AJ33" s="175" t="n">
        <v>35.9</v>
      </c>
      <c r="AK33" s="184" t="n">
        <v>36.6</v>
      </c>
      <c r="AL33" s="199" t="n">
        <v>37.6</v>
      </c>
      <c r="AM33" s="239" t="n">
        <f>forecast!C8+forecast!C9</f>
        <v>35.700000000000003</v>
      </c>
    </row>
    <row r="34" ht="16.399999999999999" customHeight="1">
      <c r="A34" s="216" t="n">
        <v>27</v>
      </c>
      <c r="B34" s="107" t="s">
        <v>1675</v>
      </c>
      <c r="C34" s="227" t="n">
        <v>161.1</v>
      </c>
      <c r="D34" s="227" t="n">
        <v>161.6</v>
      </c>
      <c r="E34" s="228" t="n">
        <v>162.5</v>
      </c>
      <c r="F34" s="228" t="n">
        <v>163.19999999999999</v>
      </c>
      <c r="G34" s="228" t="n">
        <v>164</v>
      </c>
      <c r="H34" s="228" t="n">
        <v>164.8</v>
      </c>
      <c r="I34" s="227" t="n">
        <v>173.1</v>
      </c>
      <c r="J34" s="228" t="n">
        <v>172.9</v>
      </c>
      <c r="K34" s="227" t="n">
        <v>172.7</v>
      </c>
      <c r="L34" s="188" t="n">
        <v>172.7</v>
      </c>
      <c r="M34" s="196" t="n">
        <v>172.4</v>
      </c>
      <c r="N34" s="241" t="n">
        <v>172.5</v>
      </c>
      <c r="O34" s="169" t="n">
        <v>172.7</v>
      </c>
      <c r="P34" s="196" t="n">
        <v>172.9</v>
      </c>
      <c r="Q34" s="241" t="n">
        <v>173</v>
      </c>
      <c r="R34" s="188" t="n">
        <v>173.3</v>
      </c>
      <c r="S34" s="196" t="n">
        <v>173.6</v>
      </c>
      <c r="T34" s="158" t="n">
        <v>173.9</v>
      </c>
      <c r="U34" s="169" t="n">
        <v>210.1</v>
      </c>
      <c r="V34" s="196" t="n">
        <v>211.7</v>
      </c>
      <c r="W34" s="158" t="n">
        <v>213.4</v>
      </c>
      <c r="X34" s="188" t="n">
        <v>215.1</v>
      </c>
      <c r="Y34" s="196" t="n">
        <v>216.8</v>
      </c>
      <c r="Z34" s="158" t="n">
        <v>218.4</v>
      </c>
      <c r="AA34" s="188" t="n">
        <v>219.9</v>
      </c>
      <c r="AB34" s="196" t="n">
        <v>221.6</v>
      </c>
      <c r="AC34" s="209" t="n">
        <v>223.1</v>
      </c>
      <c r="AD34" s="188" t="n">
        <v>224.7</v>
      </c>
      <c r="AE34" s="196" t="n">
        <v>226.3</v>
      </c>
      <c r="AF34" s="197" t="n">
        <v>227.8</v>
      </c>
      <c r="AG34" s="200" t="n">
        <v>229.5</v>
      </c>
      <c r="AH34" s="201" t="n">
        <v>231</v>
      </c>
      <c r="AI34" s="197" t="n">
        <v>232.2</v>
      </c>
      <c r="AJ34" s="200" t="n">
        <v>237.6</v>
      </c>
      <c r="AK34" s="201" t="n">
        <v>242.7</v>
      </c>
      <c r="AL34" s="197" t="n">
        <v>247.3</v>
      </c>
    </row>
    <row r="35">
      <c r="A35" s="216" t="n">
        <v>28</v>
      </c>
      <c r="B35" s="107" t="s">
        <v>442</v>
      </c>
      <c r="C35" s="227" t="n">
        <v>725.8</v>
      </c>
      <c r="D35" s="227" t="n">
        <v>722.7</v>
      </c>
      <c r="E35" s="228" t="n">
        <v>716.6</v>
      </c>
      <c r="F35" s="228" t="n">
        <v>776</v>
      </c>
      <c r="G35" s="228" t="n">
        <v>785.4</v>
      </c>
      <c r="H35" s="228" t="n">
        <v>780.9</v>
      </c>
      <c r="I35" s="227" t="n">
        <v>659.8</v>
      </c>
      <c r="J35" s="228" t="n">
        <v>663.3</v>
      </c>
      <c r="K35" s="227" t="n">
        <v>648.20000000000005</v>
      </c>
      <c r="L35" s="188" t="n">
        <v>615.9</v>
      </c>
      <c r="M35" s="196" t="n">
        <v>616.4</v>
      </c>
      <c r="N35" s="241" t="n">
        <v>613.79999999999995</v>
      </c>
      <c r="O35" s="169" t="n">
        <v>603.5</v>
      </c>
      <c r="P35" s="196" t="n">
        <v>610</v>
      </c>
      <c r="Q35" s="241" t="n">
        <v>603.79999999999995</v>
      </c>
      <c r="R35" s="188" t="n">
        <v>590.79999999999995</v>
      </c>
      <c r="S35" s="196" t="n">
        <v>588.1</v>
      </c>
      <c r="T35" s="158" t="n">
        <v>588.29999999999995</v>
      </c>
      <c r="U35" s="169" t="n">
        <v>671.2</v>
      </c>
      <c r="V35" s="196" t="n">
        <v>693.9</v>
      </c>
      <c r="W35" s="158" t="n">
        <v>697.1</v>
      </c>
      <c r="X35" s="188" t="n">
        <v>694.1</v>
      </c>
      <c r="Y35" s="196" t="n">
        <v>697.8</v>
      </c>
      <c r="Z35" s="158" t="n">
        <v>698.6</v>
      </c>
      <c r="AA35" s="188" t="n">
        <v>706.7</v>
      </c>
      <c r="AB35" s="196" t="n">
        <v>696.9</v>
      </c>
      <c r="AC35" s="209" t="n">
        <v>710.7</v>
      </c>
      <c r="AD35" s="188" t="n">
        <v>711</v>
      </c>
      <c r="AE35" s="196" t="n">
        <v>696.3</v>
      </c>
      <c r="AF35" s="197" t="n">
        <v>685.5</v>
      </c>
      <c r="AG35" s="200" t="n">
        <v>695.6</v>
      </c>
      <c r="AH35" s="201" t="n">
        <v>743.2</v>
      </c>
      <c r="AI35" s="197" t="n">
        <v>737.1</v>
      </c>
      <c r="AJ35" s="200" t="n">
        <v>731.1</v>
      </c>
      <c r="AK35" s="201" t="n">
        <v>727.9</v>
      </c>
      <c r="AL35" s="197" t="n">
        <v>723.1</v>
      </c>
    </row>
    <row r="36" ht="20.5" customHeight="1">
      <c r="A36" s="216" t="n">
        <v>29</v>
      </c>
      <c r="B36" s="105" t="s">
        <v>1676</v>
      </c>
      <c r="C36" s="227" t="n">
        <v>70.7</v>
      </c>
      <c r="D36" s="227" t="n">
        <v>69.400000000000006</v>
      </c>
      <c r="E36" s="228" t="n">
        <v>69.400000000000006</v>
      </c>
      <c r="F36" s="228" t="n">
        <v>69.400000000000006</v>
      </c>
      <c r="G36" s="228" t="n">
        <v>69.5</v>
      </c>
      <c r="H36" s="228" t="n">
        <v>69.599999999999994</v>
      </c>
      <c r="I36" s="227" t="n">
        <v>100.2</v>
      </c>
      <c r="J36" s="228" t="n">
        <v>100.9</v>
      </c>
      <c r="K36" s="227" t="n">
        <v>101.6</v>
      </c>
      <c r="L36" s="188" t="n">
        <v>102.2</v>
      </c>
      <c r="M36" s="196" t="n">
        <v>102.8</v>
      </c>
      <c r="N36" s="241" t="n">
        <v>103.5</v>
      </c>
      <c r="O36" s="169" t="n">
        <v>104.1</v>
      </c>
      <c r="P36" s="196" t="n">
        <v>104.7</v>
      </c>
      <c r="Q36" s="241" t="n">
        <v>108.9</v>
      </c>
      <c r="R36" s="188" t="n">
        <v>105.8</v>
      </c>
      <c r="S36" s="196" t="n">
        <v>109.9</v>
      </c>
      <c r="T36" s="158" t="n">
        <v>106.9</v>
      </c>
      <c r="U36" s="169" t="n">
        <v>139.5</v>
      </c>
      <c r="V36" s="196" t="n">
        <v>127.1</v>
      </c>
      <c r="W36" s="158" t="n">
        <v>128</v>
      </c>
      <c r="X36" s="188" t="n">
        <v>136.30000000000001</v>
      </c>
      <c r="Y36" s="196" t="n">
        <v>129.80000000000001</v>
      </c>
      <c r="Z36" s="158" t="n">
        <v>130.80000000000001</v>
      </c>
      <c r="AA36" s="188" t="n">
        <v>131.69999999999999</v>
      </c>
      <c r="AB36" s="196" t="n">
        <v>132.6</v>
      </c>
      <c r="AC36" s="209" t="n">
        <v>133.6</v>
      </c>
      <c r="AD36" s="188" t="n">
        <v>134.5</v>
      </c>
      <c r="AE36" s="196" t="n">
        <v>135.5</v>
      </c>
      <c r="AF36" s="197" t="n">
        <v>136.5</v>
      </c>
      <c r="AG36" s="200" t="n">
        <v>139.9</v>
      </c>
      <c r="AH36" s="201" t="n">
        <v>162.6</v>
      </c>
      <c r="AI36" s="197" t="n">
        <v>141.6</v>
      </c>
      <c r="AJ36" s="200" t="n">
        <v>142.4</v>
      </c>
      <c r="AK36" s="201" t="n">
        <v>143.30000000000001</v>
      </c>
      <c r="AL36" s="197" t="n">
        <v>144.19999999999999</v>
      </c>
    </row>
    <row r="37" ht="42" customHeight="1">
      <c r="A37" s="233" t="n">
        <v>30</v>
      </c>
      <c r="B37" s="244" t="s">
        <v>1677</v>
      </c>
      <c r="C37" s="245" t="n">
        <v>1683.6</v>
      </c>
      <c r="D37" s="245" t="n">
        <v>1695.6</v>
      </c>
      <c r="E37" s="246" t="n">
        <v>1707.7</v>
      </c>
      <c r="F37" s="226" t="n">
        <v>1704.3</v>
      </c>
      <c r="G37" s="226" t="n">
        <v>1703.1</v>
      </c>
      <c r="H37" s="226" t="n">
        <v>1703.8</v>
      </c>
      <c r="I37" s="225" t="n">
        <v>1765.5</v>
      </c>
      <c r="J37" s="226" t="n">
        <v>1774.3</v>
      </c>
      <c r="K37" s="225" t="n">
        <v>1782</v>
      </c>
      <c r="L37" s="187" t="n">
        <v>1787.4</v>
      </c>
      <c r="M37" s="195" t="n">
        <v>1793.6</v>
      </c>
      <c r="N37" s="240" t="n">
        <v>1800.9</v>
      </c>
      <c r="O37" s="168" t="n">
        <v>1809.2</v>
      </c>
      <c r="P37" s="195" t="n">
        <v>1817.6</v>
      </c>
      <c r="Q37" s="240" t="n">
        <v>1824.6</v>
      </c>
      <c r="R37" s="187" t="n">
        <v>1821.7</v>
      </c>
      <c r="S37" s="195" t="n">
        <v>1824.1</v>
      </c>
      <c r="T37" s="151" t="n">
        <v>1830.7</v>
      </c>
      <c r="U37" s="168" t="n">
        <v>1872.5</v>
      </c>
      <c r="V37" s="195" t="n">
        <v>1883.5</v>
      </c>
      <c r="W37" s="151" t="n">
        <v>1892.5</v>
      </c>
      <c r="X37" s="187" t="n">
        <v>1887</v>
      </c>
      <c r="Y37" s="195" t="n">
        <v>1891.2</v>
      </c>
      <c r="Z37" s="151" t="n">
        <v>1891.4</v>
      </c>
      <c r="AA37" s="187" t="n">
        <v>1892.6</v>
      </c>
      <c r="AB37" s="195" t="n">
        <v>1897.9</v>
      </c>
      <c r="AC37" s="208" t="n">
        <v>1902.5</v>
      </c>
      <c r="AD37" s="187" t="n">
        <v>1914.2</v>
      </c>
      <c r="AE37" s="195" t="n">
        <v>1925.8</v>
      </c>
      <c r="AF37" s="155" t="n">
        <v>1933.7</v>
      </c>
      <c r="AG37" s="161" t="n">
        <v>1947.1</v>
      </c>
      <c r="AH37" s="162" t="n">
        <v>1954.9</v>
      </c>
      <c r="AI37" s="155" t="n">
        <v>1963.7</v>
      </c>
      <c r="AJ37" s="174" t="n">
        <v>1970.7</v>
      </c>
      <c r="AK37" s="183" t="n">
        <v>1976.5</v>
      </c>
      <c r="AL37" s="198" t="n">
        <v>1978.8</v>
      </c>
      <c r="AM37" s="204" t="n">
        <f>Taxes!AE13+Taxes!AE27</f>
        <v>97.530964112333479</v>
      </c>
      <c r="AN37" s="176"/>
    </row>
    <row r="38">
      <c r="A38" s="233" t="n">
        <v>31</v>
      </c>
      <c r="B38" s="100" t="s">
        <v>175</v>
      </c>
      <c r="C38" s="245" t="n">
        <v>3224.2</v>
      </c>
      <c r="D38" s="245" t="n">
        <v>3236.7</v>
      </c>
      <c r="E38" s="246" t="n">
        <v>3248.6</v>
      </c>
      <c r="F38" s="226" t="n">
        <v>3232.7</v>
      </c>
      <c r="G38" s="226" t="n">
        <v>3213.6</v>
      </c>
      <c r="H38" s="226" t="n">
        <v>3202.1</v>
      </c>
      <c r="I38" s="225" t="n">
        <v>2767.2</v>
      </c>
      <c r="J38" s="226" t="n">
        <v>2763.4</v>
      </c>
      <c r="K38" s="225" t="n">
        <v>2760.4</v>
      </c>
      <c r="L38" s="187" t="n">
        <v>2707.4</v>
      </c>
      <c r="M38" s="195" t="n">
        <v>2691.2</v>
      </c>
      <c r="N38" s="240" t="n">
        <v>2712.9</v>
      </c>
      <c r="O38" s="168" t="n">
        <v>2744.1</v>
      </c>
      <c r="P38" s="195" t="n">
        <v>2768.2</v>
      </c>
      <c r="Q38" s="240" t="n">
        <v>2783.7</v>
      </c>
      <c r="R38" s="187" t="n">
        <v>2785.6</v>
      </c>
      <c r="S38" s="195" t="n">
        <v>2791.7</v>
      </c>
      <c r="T38" s="151" t="n">
        <v>2800.1</v>
      </c>
      <c r="U38" s="168" t="n">
        <v>2947.9</v>
      </c>
      <c r="V38" s="195" t="n">
        <v>2966.4</v>
      </c>
      <c r="W38" s="151" t="n">
        <v>2982.6</v>
      </c>
      <c r="X38" s="187" t="n">
        <v>2989.7</v>
      </c>
      <c r="Y38" s="195" t="n">
        <v>3007.5</v>
      </c>
      <c r="Z38" s="151" t="n">
        <v>3019</v>
      </c>
      <c r="AA38" s="187" t="n">
        <v>3038.6</v>
      </c>
      <c r="AB38" s="195" t="n">
        <v>3056.8</v>
      </c>
      <c r="AC38" s="208" t="n">
        <v>3067.2</v>
      </c>
      <c r="AD38" s="187" t="n">
        <v>3098.3</v>
      </c>
      <c r="AE38" s="195" t="n">
        <v>3121.7</v>
      </c>
      <c r="AF38" s="155" t="n">
        <v>3132.9</v>
      </c>
      <c r="AG38" s="161" t="n">
        <v>3174.1</v>
      </c>
      <c r="AH38" s="162" t="n">
        <v>3191.9</v>
      </c>
      <c r="AI38" s="155" t="n">
        <v>3211</v>
      </c>
      <c r="AJ38" s="174" t="n">
        <v>3229.2</v>
      </c>
      <c r="AK38" s="183" t="n">
        <v>3246.4</v>
      </c>
      <c r="AL38" s="198" t="n">
        <v>3256.9</v>
      </c>
      <c r="AM38" s="204" t="n">
        <f>Taxes!AE10+Taxes!AE25</f>
        <v>49.932819343617226</v>
      </c>
      <c r="AN38" s="176"/>
    </row>
    <row r="39">
      <c r="A39" s="216" t="n">
        <v>32</v>
      </c>
      <c r="B39" s="191" t="s">
        <v>1678</v>
      </c>
      <c r="C39" s="225" t="n">
        <v>18628.099999999999</v>
      </c>
      <c r="D39" s="225" t="n">
        <v>18739.099999999999</v>
      </c>
      <c r="E39" s="226" t="n">
        <v>18831.7</v>
      </c>
      <c r="F39" s="226" t="n">
        <v>18969.2</v>
      </c>
      <c r="G39" s="226" t="n">
        <v>19026.5</v>
      </c>
      <c r="H39" s="226" t="n">
        <v>19079.7</v>
      </c>
      <c r="I39" s="225" t="n">
        <v>19758.099999999999</v>
      </c>
      <c r="J39" s="226" t="n">
        <v>19885</v>
      </c>
      <c r="K39" s="225" t="n">
        <v>19997.5</v>
      </c>
      <c r="L39" s="187" t="n">
        <v>20098.7</v>
      </c>
      <c r="M39" s="195" t="n">
        <v>20185.400000000001</v>
      </c>
      <c r="N39" s="240" t="n">
        <v>20208.400000000001</v>
      </c>
      <c r="O39" s="168" t="n">
        <v>20242.2</v>
      </c>
      <c r="P39" s="195" t="n">
        <v>20326.400000000001</v>
      </c>
      <c r="Q39" s="240" t="n">
        <v>20392.5</v>
      </c>
      <c r="R39" s="187" t="n">
        <v>20403.8</v>
      </c>
      <c r="S39" s="195" t="n">
        <v>20449.8</v>
      </c>
      <c r="T39" s="151" t="n">
        <v>20511.5</v>
      </c>
      <c r="U39" s="168" t="n">
        <v>21278.799999999999</v>
      </c>
      <c r="V39" s="195" t="n">
        <v>21364.6</v>
      </c>
      <c r="W39" s="151" t="n">
        <v>21492.3</v>
      </c>
      <c r="X39" s="187" t="n">
        <v>21521.4</v>
      </c>
      <c r="Y39" s="195" t="n">
        <v>21576.7</v>
      </c>
      <c r="Z39" s="151" t="n">
        <v>21607.7</v>
      </c>
      <c r="AA39" s="187" t="n">
        <v>21630.7</v>
      </c>
      <c r="AB39" s="195" t="n">
        <v>21644.400000000001</v>
      </c>
      <c r="AC39" s="208" t="n">
        <v>21712.5</v>
      </c>
      <c r="AD39" s="187" t="n">
        <v>21852.3</v>
      </c>
      <c r="AE39" s="195" t="n">
        <v>21915.4</v>
      </c>
      <c r="AF39" s="157" t="n">
        <v>22006.2</v>
      </c>
      <c r="AG39" s="118" t="n">
        <v>22100.799999999999</v>
      </c>
      <c r="AH39" s="149" t="n">
        <v>22264.2</v>
      </c>
      <c r="AI39" s="157" t="n">
        <v>22408.3</v>
      </c>
      <c r="AJ39" s="160" t="n">
        <v>22594.3</v>
      </c>
      <c r="AK39" s="201" t="n">
        <v>22476.2</v>
      </c>
      <c r="AL39" s="197" t="n">
        <v>22537.200000000001</v>
      </c>
    </row>
    <row r="40">
      <c r="A40" s="216" t="n">
        <v>33</v>
      </c>
      <c r="B40" s="191" t="s">
        <v>176</v>
      </c>
      <c r="C40" s="225" t="n">
        <v>17983.400000000001</v>
      </c>
      <c r="D40" s="225" t="n">
        <v>18132.7</v>
      </c>
      <c r="E40" s="226" t="n">
        <v>18257.400000000001</v>
      </c>
      <c r="F40" s="226" t="n">
        <v>18391.8</v>
      </c>
      <c r="G40" s="226" t="n">
        <v>18362.3</v>
      </c>
      <c r="H40" s="226" t="n">
        <v>18377.400000000001</v>
      </c>
      <c r="I40" s="225" t="n">
        <v>18887</v>
      </c>
      <c r="J40" s="226" t="n">
        <v>18959</v>
      </c>
      <c r="K40" s="225" t="n">
        <v>18950</v>
      </c>
      <c r="L40" s="187" t="n">
        <v>19056.2</v>
      </c>
      <c r="M40" s="195" t="n">
        <v>19125.400000000001</v>
      </c>
      <c r="N40" s="240" t="n">
        <v>19228.3</v>
      </c>
      <c r="O40" s="168" t="n">
        <v>19351.5</v>
      </c>
      <c r="P40" s="195" t="n">
        <v>19417</v>
      </c>
      <c r="Q40" s="240" t="n">
        <v>19600.900000000001</v>
      </c>
      <c r="R40" s="187" t="n">
        <v>19622.8</v>
      </c>
      <c r="S40" s="195" t="n">
        <v>19683.8</v>
      </c>
      <c r="T40" s="151" t="n">
        <v>19779.3</v>
      </c>
      <c r="U40" s="168" t="n">
        <v>20105.3</v>
      </c>
      <c r="V40" s="195" t="n">
        <v>20218.400000000001</v>
      </c>
      <c r="W40" s="151" t="n">
        <v>20367.8</v>
      </c>
      <c r="X40" s="187" t="n">
        <v>20423.3</v>
      </c>
      <c r="Y40" s="195" t="n">
        <v>20522.099999999999</v>
      </c>
      <c r="Z40" s="151" t="n">
        <v>20577.099999999999</v>
      </c>
      <c r="AA40" s="187" t="n">
        <v>20698.8</v>
      </c>
      <c r="AB40" s="195" t="n">
        <v>20740.099999999999</v>
      </c>
      <c r="AC40" s="208" t="n">
        <v>20881.8</v>
      </c>
      <c r="AD40" s="187" t="n">
        <v>20959.599999999999</v>
      </c>
      <c r="AE40" s="195" t="n">
        <v>21069.8</v>
      </c>
      <c r="AF40" s="157" t="n">
        <v>21241.1</v>
      </c>
      <c r="AG40" s="118" t="n">
        <v>21182</v>
      </c>
      <c r="AH40" s="149" t="n">
        <v>21277.9</v>
      </c>
      <c r="AI40" s="157" t="n">
        <v>21423.1</v>
      </c>
      <c r="AJ40" s="200" t="n">
        <v>21467.5</v>
      </c>
      <c r="AK40" s="201" t="n">
        <v>21460</v>
      </c>
      <c r="AL40" s="197" t="n">
        <v>21529.5</v>
      </c>
    </row>
    <row r="41">
      <c r="A41" s="216" t="n">
        <v>34</v>
      </c>
      <c r="B41" s="148" t="s">
        <v>1612</v>
      </c>
      <c r="C41" s="227" t="n">
        <v>17420.3</v>
      </c>
      <c r="D41" s="227" t="n">
        <v>17550.900000000001</v>
      </c>
      <c r="E41" s="228" t="n">
        <v>17656.8</v>
      </c>
      <c r="F41" s="228" t="n">
        <v>17778.2</v>
      </c>
      <c r="G41" s="228" t="n">
        <v>17735</v>
      </c>
      <c r="H41" s="228" t="n">
        <v>17736.5</v>
      </c>
      <c r="I41" s="227" t="n">
        <v>18229.599999999999</v>
      </c>
      <c r="J41" s="228" t="n">
        <v>18296.5</v>
      </c>
      <c r="K41" s="227" t="n">
        <v>18282.599999999999</v>
      </c>
      <c r="L41" s="188" t="n">
        <v>18363.8</v>
      </c>
      <c r="M41" s="196" t="n">
        <v>18407.8</v>
      </c>
      <c r="N41" s="241" t="n">
        <v>18485.400000000001</v>
      </c>
      <c r="O41" s="169" t="n">
        <v>18595.400000000001</v>
      </c>
      <c r="P41" s="196" t="n">
        <v>18651.599999999999</v>
      </c>
      <c r="Q41" s="241" t="n">
        <v>18791.5</v>
      </c>
      <c r="R41" s="188" t="n">
        <v>18826.8</v>
      </c>
      <c r="S41" s="196" t="n">
        <v>18903</v>
      </c>
      <c r="T41" s="158" t="n">
        <v>19013.7</v>
      </c>
      <c r="U41" s="169" t="n">
        <v>19308.5</v>
      </c>
      <c r="V41" s="196" t="n">
        <v>19412.7</v>
      </c>
      <c r="W41" s="158" t="n">
        <v>19553.2</v>
      </c>
      <c r="X41" s="188" t="n">
        <v>19603.3</v>
      </c>
      <c r="Y41" s="196" t="n">
        <v>19697.3</v>
      </c>
      <c r="Z41" s="158" t="n">
        <v>19747.5</v>
      </c>
      <c r="AA41" s="188" t="n">
        <v>19866.3</v>
      </c>
      <c r="AB41" s="196" t="n">
        <v>19905</v>
      </c>
      <c r="AC41" s="209" t="n">
        <v>20044.099999999999</v>
      </c>
      <c r="AD41" s="188" t="n">
        <v>20123.2</v>
      </c>
      <c r="AE41" s="196" t="n">
        <v>20235.099999999999</v>
      </c>
      <c r="AF41" s="197" t="n">
        <v>20408.099999999999</v>
      </c>
      <c r="AG41" s="200" t="n">
        <v>20370</v>
      </c>
      <c r="AH41" s="201" t="n">
        <v>20436.3</v>
      </c>
      <c r="AI41" s="197" t="n">
        <v>20578.5</v>
      </c>
      <c r="AJ41" s="200" t="n">
        <v>20622.3</v>
      </c>
      <c r="AK41" s="201" t="n">
        <v>20615.2</v>
      </c>
      <c r="AL41" s="197" t="n">
        <v>20685.2</v>
      </c>
    </row>
    <row r="42" ht="16.399999999999999" customHeight="1">
      <c r="A42" s="216" t="n">
        <v>35</v>
      </c>
      <c r="B42" s="190" t="s">
        <v>1635</v>
      </c>
      <c r="C42" s="227" t="n">
        <v>5988.2</v>
      </c>
      <c r="D42" s="227" t="n">
        <v>5981.9</v>
      </c>
      <c r="E42" s="228" t="n">
        <v>5995.6</v>
      </c>
      <c r="F42" s="228" t="n">
        <v>6064.4</v>
      </c>
      <c r="G42" s="228" t="n">
        <v>5974.1</v>
      </c>
      <c r="H42" s="228" t="n">
        <v>5901.5</v>
      </c>
      <c r="I42" s="227" t="n">
        <v>6148.2</v>
      </c>
      <c r="J42" s="228" t="n">
        <v>6164.2</v>
      </c>
      <c r="K42" s="227" t="n">
        <v>6089.2</v>
      </c>
      <c r="L42" s="188" t="n">
        <v>6139.1</v>
      </c>
      <c r="M42" s="196" t="n">
        <v>6144.7</v>
      </c>
      <c r="N42" s="241" t="n">
        <v>6150.1</v>
      </c>
      <c r="O42" s="169" t="n">
        <v>6188.2</v>
      </c>
      <c r="P42" s="196" t="n">
        <v>6228.7</v>
      </c>
      <c r="Q42" s="241" t="n">
        <v>6278.4</v>
      </c>
      <c r="R42" s="188" t="n">
        <v>6250.7</v>
      </c>
      <c r="S42" s="196" t="n">
        <v>6242.4</v>
      </c>
      <c r="T42" s="158" t="n">
        <v>6273.8</v>
      </c>
      <c r="U42" s="169" t="n">
        <v>6115.8</v>
      </c>
      <c r="V42" s="196" t="n">
        <v>6134.2</v>
      </c>
      <c r="W42" s="158" t="n">
        <v>6196.5</v>
      </c>
      <c r="X42" s="188" t="n">
        <v>6186</v>
      </c>
      <c r="Y42" s="196" t="n">
        <v>6218.9</v>
      </c>
      <c r="Z42" s="158" t="n">
        <v>6209</v>
      </c>
      <c r="AA42" s="188" t="n">
        <v>6267.2</v>
      </c>
      <c r="AB42" s="196" t="n">
        <v>6229.2</v>
      </c>
      <c r="AC42" s="209" t="n">
        <v>6298.9</v>
      </c>
      <c r="AD42" s="188" t="n">
        <v>6292.9</v>
      </c>
      <c r="AE42" s="196" t="n">
        <v>6343.5</v>
      </c>
      <c r="AF42" s="197" t="n">
        <v>6428</v>
      </c>
      <c r="AG42" s="200" t="n">
        <v>6349.6</v>
      </c>
      <c r="AH42" s="201" t="n">
        <v>6378</v>
      </c>
      <c r="AI42" s="197" t="n">
        <v>6445.7</v>
      </c>
      <c r="AJ42" s="200" t="n">
        <v>6450.3</v>
      </c>
      <c r="AK42" s="201" t="n">
        <v>6402.3</v>
      </c>
      <c r="AL42" s="197" t="n">
        <v>6432.1</v>
      </c>
    </row>
    <row r="43" ht="16.399999999999999" customHeight="1">
      <c r="A43" s="216" t="n">
        <v>36</v>
      </c>
      <c r="B43" s="107" t="s">
        <v>1679</v>
      </c>
      <c r="C43" s="227" t="n">
        <v>2189.5</v>
      </c>
      <c r="D43" s="227" t="n">
        <v>2197.8000000000002</v>
      </c>
      <c r="E43" s="228" t="n">
        <v>2200.1999999999998</v>
      </c>
      <c r="F43" s="228" t="n">
        <v>2238.9</v>
      </c>
      <c r="G43" s="228" t="n">
        <v>2167.3000000000002</v>
      </c>
      <c r="H43" s="228" t="n">
        <v>2134.9</v>
      </c>
      <c r="I43" s="227" t="n">
        <v>2213.6999999999998</v>
      </c>
      <c r="J43" s="228" t="n">
        <v>2203.6</v>
      </c>
      <c r="K43" s="227" t="n">
        <v>2167.3000000000002</v>
      </c>
      <c r="L43" s="188" t="n">
        <v>2183.6999999999998</v>
      </c>
      <c r="M43" s="196" t="n">
        <v>2202.8000000000002</v>
      </c>
      <c r="N43" s="241" t="n">
        <v>2194.1999999999998</v>
      </c>
      <c r="O43" s="169" t="n">
        <v>2206.9</v>
      </c>
      <c r="P43" s="196" t="n">
        <v>2193.1</v>
      </c>
      <c r="Q43" s="241" t="n">
        <v>2213.4</v>
      </c>
      <c r="R43" s="188" t="n">
        <v>2191.1</v>
      </c>
      <c r="S43" s="196" t="n">
        <v>2195.6999999999998</v>
      </c>
      <c r="T43" s="158" t="n">
        <v>2219.8000000000002</v>
      </c>
      <c r="U43" s="169" t="n">
        <v>2113</v>
      </c>
      <c r="V43" s="196" t="n">
        <v>2128.6</v>
      </c>
      <c r="W43" s="158" t="n">
        <v>2140.3000000000002</v>
      </c>
      <c r="X43" s="188" t="n">
        <v>2129.3000000000002</v>
      </c>
      <c r="Y43" s="196" t="n">
        <v>2151.6999999999998</v>
      </c>
      <c r="Z43" s="158" t="n">
        <v>2144.5</v>
      </c>
      <c r="AA43" s="188" t="n">
        <v>2170.9</v>
      </c>
      <c r="AB43" s="196" t="n">
        <v>2148.8000000000002</v>
      </c>
      <c r="AC43" s="209" t="n">
        <v>2185.6</v>
      </c>
      <c r="AD43" s="188" t="n">
        <v>2188.1</v>
      </c>
      <c r="AE43" s="196" t="n">
        <v>2237.4</v>
      </c>
      <c r="AF43" s="197" t="n">
        <v>2271</v>
      </c>
      <c r="AG43" s="200" t="n">
        <v>2183.1999999999998</v>
      </c>
      <c r="AH43" s="201" t="n">
        <v>2190.6</v>
      </c>
      <c r="AI43" s="197" t="n">
        <v>2274.6</v>
      </c>
      <c r="AJ43" s="200" t="n">
        <v>2280.1</v>
      </c>
      <c r="AK43" s="201" t="n">
        <v>2240.5</v>
      </c>
      <c r="AL43" s="197" t="n">
        <v>2240</v>
      </c>
    </row>
    <row r="44" ht="16.399999999999999" customHeight="1">
      <c r="A44" s="216" t="n">
        <v>37</v>
      </c>
      <c r="B44" s="107" t="s">
        <v>1680</v>
      </c>
      <c r="C44" s="227" t="n">
        <v>3798.7</v>
      </c>
      <c r="D44" s="227" t="n">
        <v>3784.1</v>
      </c>
      <c r="E44" s="228" t="n">
        <v>3795.4</v>
      </c>
      <c r="F44" s="228" t="n">
        <v>3825.6</v>
      </c>
      <c r="G44" s="228" t="n">
        <v>3806.8</v>
      </c>
      <c r="H44" s="228" t="n">
        <v>3766.5</v>
      </c>
      <c r="I44" s="227" t="n">
        <v>3934.5</v>
      </c>
      <c r="J44" s="228" t="n">
        <v>3960.6</v>
      </c>
      <c r="K44" s="227" t="n">
        <v>3921.9</v>
      </c>
      <c r="L44" s="188" t="n">
        <v>3955.4</v>
      </c>
      <c r="M44" s="196" t="n">
        <v>3941.9</v>
      </c>
      <c r="N44" s="241" t="n">
        <v>3955.9</v>
      </c>
      <c r="O44" s="169" t="n">
        <v>3981.3</v>
      </c>
      <c r="P44" s="196" t="n">
        <v>4035.5</v>
      </c>
      <c r="Q44" s="241" t="n">
        <v>4065</v>
      </c>
      <c r="R44" s="188" t="n">
        <v>4059.7</v>
      </c>
      <c r="S44" s="196" t="n">
        <v>4046.7</v>
      </c>
      <c r="T44" s="158" t="n">
        <v>4054</v>
      </c>
      <c r="U44" s="169" t="n">
        <v>4002.8</v>
      </c>
      <c r="V44" s="196" t="n">
        <v>4005.6</v>
      </c>
      <c r="W44" s="158" t="n">
        <v>4056.2</v>
      </c>
      <c r="X44" s="188" t="n">
        <v>4056.7</v>
      </c>
      <c r="Y44" s="196" t="n">
        <v>4067.2</v>
      </c>
      <c r="Z44" s="158" t="n">
        <v>4064.5</v>
      </c>
      <c r="AA44" s="188" t="n">
        <v>4096.3</v>
      </c>
      <c r="AB44" s="196" t="n">
        <v>4080.4</v>
      </c>
      <c r="AC44" s="209" t="n">
        <v>4113.3</v>
      </c>
      <c r="AD44" s="188" t="n">
        <v>4104.8</v>
      </c>
      <c r="AE44" s="196" t="n">
        <v>4106.1000000000004</v>
      </c>
      <c r="AF44" s="153" t="n">
        <v>4157</v>
      </c>
      <c r="AG44" s="200" t="n">
        <v>4166.3999999999996</v>
      </c>
      <c r="AH44" s="201" t="n">
        <v>4187.3999999999996</v>
      </c>
      <c r="AI44" s="197" t="n">
        <v>4171.1000000000004</v>
      </c>
      <c r="AJ44" s="200" t="n">
        <v>4170.2</v>
      </c>
      <c r="AK44" s="201" t="n">
        <v>4161.8</v>
      </c>
      <c r="AL44" s="197" t="n">
        <v>4192.2</v>
      </c>
    </row>
    <row r="45" ht="16.399999999999999" customHeight="1">
      <c r="A45" s="216" t="n">
        <v>38</v>
      </c>
      <c r="B45" s="190" t="s">
        <v>1636</v>
      </c>
      <c r="C45" s="227" t="n">
        <v>11432.1</v>
      </c>
      <c r="D45" s="227" t="n">
        <v>11568.9</v>
      </c>
      <c r="E45" s="228" t="n">
        <v>11661.2</v>
      </c>
      <c r="F45" s="228" t="n">
        <v>11713.7</v>
      </c>
      <c r="G45" s="228" t="n">
        <v>11760.9</v>
      </c>
      <c r="H45" s="228" t="n">
        <v>11835</v>
      </c>
      <c r="I45" s="227" t="n">
        <v>12081.4</v>
      </c>
      <c r="J45" s="228" t="n">
        <v>12132.4</v>
      </c>
      <c r="K45" s="227" t="n">
        <v>12193.4</v>
      </c>
      <c r="L45" s="188" t="n">
        <v>12224.7</v>
      </c>
      <c r="M45" s="196" t="n">
        <v>12263</v>
      </c>
      <c r="N45" s="241" t="n">
        <v>12335.3</v>
      </c>
      <c r="O45" s="169" t="n">
        <v>12407.2</v>
      </c>
      <c r="P45" s="196" t="n">
        <v>12422.9</v>
      </c>
      <c r="Q45" s="241" t="n">
        <v>12513</v>
      </c>
      <c r="R45" s="188" t="n">
        <v>12576.1</v>
      </c>
      <c r="S45" s="196" t="n">
        <v>12660.5</v>
      </c>
      <c r="T45" s="158" t="n">
        <v>12739.9</v>
      </c>
      <c r="U45" s="169" t="n">
        <v>13192.6</v>
      </c>
      <c r="V45" s="196" t="n">
        <v>13278.5</v>
      </c>
      <c r="W45" s="158" t="n">
        <v>13356.7</v>
      </c>
      <c r="X45" s="188" t="n">
        <v>13417.3</v>
      </c>
      <c r="Y45" s="196" t="n">
        <v>13478.5</v>
      </c>
      <c r="Z45" s="158" t="n">
        <v>13538.5</v>
      </c>
      <c r="AA45" s="188" t="n">
        <v>13599</v>
      </c>
      <c r="AB45" s="196" t="n">
        <v>13675.7</v>
      </c>
      <c r="AC45" s="209" t="n">
        <v>13745.2</v>
      </c>
      <c r="AD45" s="188" t="n">
        <v>13830.3</v>
      </c>
      <c r="AE45" s="196" t="n">
        <v>13891.6</v>
      </c>
      <c r="AF45" s="153" t="n">
        <v>13980.1</v>
      </c>
      <c r="AG45" s="200" t="n">
        <v>14020.4</v>
      </c>
      <c r="AH45" s="201" t="n">
        <v>14058.4</v>
      </c>
      <c r="AI45" s="197" t="n">
        <v>14132.8</v>
      </c>
      <c r="AJ45" s="200" t="n">
        <v>14172</v>
      </c>
      <c r="AK45" s="201" t="n">
        <v>14213</v>
      </c>
      <c r="AL45" s="197" t="n">
        <v>14253</v>
      </c>
    </row>
    <row r="46" ht="16.399999999999999" customHeight="1">
      <c r="A46" s="216" t="n">
        <v>39</v>
      </c>
      <c r="B46" s="148" t="s">
        <v>1681</v>
      </c>
      <c r="C46" s="227" t="n">
        <v>338.7</v>
      </c>
      <c r="D46" s="227" t="n">
        <v>357.1</v>
      </c>
      <c r="E46" s="228" t="n">
        <v>375.6</v>
      </c>
      <c r="F46" s="228" t="n">
        <v>389.1</v>
      </c>
      <c r="G46" s="228" t="n">
        <v>402.6</v>
      </c>
      <c r="H46" s="228" t="n">
        <v>416.1</v>
      </c>
      <c r="I46" s="227" t="n">
        <v>415</v>
      </c>
      <c r="J46" s="228" t="n">
        <v>419.8</v>
      </c>
      <c r="K46" s="227" t="n">
        <v>424.7</v>
      </c>
      <c r="L46" s="188" t="n">
        <v>449.7</v>
      </c>
      <c r="M46" s="196" t="n">
        <v>474.7</v>
      </c>
      <c r="N46" s="241" t="n">
        <v>499.8</v>
      </c>
      <c r="O46" s="169" t="n">
        <v>510</v>
      </c>
      <c r="P46" s="196" t="n">
        <v>519</v>
      </c>
      <c r="Q46" s="241" t="n">
        <v>562.79999999999995</v>
      </c>
      <c r="R46" s="188" t="n">
        <v>547.29999999999995</v>
      </c>
      <c r="S46" s="196" t="n">
        <v>531.70000000000005</v>
      </c>
      <c r="T46" s="158" t="n">
        <v>516.1</v>
      </c>
      <c r="U46" s="169" t="n">
        <v>525.79999999999995</v>
      </c>
      <c r="V46" s="196" t="n">
        <v>534.4</v>
      </c>
      <c r="W46" s="158" t="n">
        <v>542.9</v>
      </c>
      <c r="X46" s="188" t="n">
        <v>547.29999999999995</v>
      </c>
      <c r="Y46" s="196" t="n">
        <v>551.70000000000005</v>
      </c>
      <c r="Z46" s="158" t="n">
        <v>556.1</v>
      </c>
      <c r="AA46" s="188" t="n">
        <v>558.29999999999995</v>
      </c>
      <c r="AB46" s="196" t="n">
        <v>560.5</v>
      </c>
      <c r="AC46" s="209" t="n">
        <v>562.70000000000005</v>
      </c>
      <c r="AD46" s="188" t="n">
        <v>560.4</v>
      </c>
      <c r="AE46" s="196" t="n">
        <v>558.20000000000005</v>
      </c>
      <c r="AF46" s="153" t="n">
        <v>556</v>
      </c>
      <c r="AG46" s="200" t="n">
        <v>558.70000000000005</v>
      </c>
      <c r="AH46" s="201" t="n">
        <v>561.29999999999995</v>
      </c>
      <c r="AI46" s="197" t="n">
        <v>564</v>
      </c>
      <c r="AJ46" s="200" t="n">
        <v>563</v>
      </c>
      <c r="AK46" s="201" t="n">
        <v>562.1</v>
      </c>
      <c r="AL46" s="197" t="n">
        <v>561.1</v>
      </c>
    </row>
    <row r="47">
      <c r="A47" s="216" t="n">
        <v>40</v>
      </c>
      <c r="B47" s="148" t="s">
        <v>1682</v>
      </c>
      <c r="C47" s="227" t="n">
        <v>224.4</v>
      </c>
      <c r="D47" s="227" t="n">
        <v>224.7</v>
      </c>
      <c r="E47" s="228" t="n">
        <v>225</v>
      </c>
      <c r="F47" s="228" t="n">
        <v>224.5</v>
      </c>
      <c r="G47" s="228" t="n">
        <v>224.7</v>
      </c>
      <c r="H47" s="228" t="n">
        <v>224.8</v>
      </c>
      <c r="I47" s="227" t="n">
        <v>242.4</v>
      </c>
      <c r="J47" s="228" t="n">
        <v>242.6</v>
      </c>
      <c r="K47" s="227" t="n">
        <v>242.8</v>
      </c>
      <c r="L47" s="188" t="n">
        <v>242.6</v>
      </c>
      <c r="M47" s="196" t="n">
        <v>242.9</v>
      </c>
      <c r="N47" s="241" t="n">
        <v>243.1</v>
      </c>
      <c r="O47" s="169" t="n">
        <v>246.1</v>
      </c>
      <c r="P47" s="196" t="n">
        <v>246.4</v>
      </c>
      <c r="Q47" s="241" t="n">
        <v>246.7</v>
      </c>
      <c r="R47" s="188" t="n">
        <v>248.8</v>
      </c>
      <c r="S47" s="196" t="n">
        <v>249.1</v>
      </c>
      <c r="T47" s="158" t="n">
        <v>249.5</v>
      </c>
      <c r="U47" s="169" t="n">
        <v>271</v>
      </c>
      <c r="V47" s="196" t="n">
        <v>271.39999999999998</v>
      </c>
      <c r="W47" s="158" t="n">
        <v>271.7</v>
      </c>
      <c r="X47" s="188" t="n">
        <v>272.7</v>
      </c>
      <c r="Y47" s="196" t="n">
        <v>273.10000000000002</v>
      </c>
      <c r="Z47" s="158" t="n">
        <v>273.5</v>
      </c>
      <c r="AA47" s="188" t="n">
        <v>274.2</v>
      </c>
      <c r="AB47" s="196" t="n">
        <v>274.7</v>
      </c>
      <c r="AC47" s="209" t="n">
        <v>275.10000000000002</v>
      </c>
      <c r="AD47" s="188" t="n">
        <v>276</v>
      </c>
      <c r="AE47" s="196" t="n">
        <v>276.5</v>
      </c>
      <c r="AF47" s="153" t="n">
        <v>277</v>
      </c>
      <c r="AG47" s="200" t="n">
        <v>253.3</v>
      </c>
      <c r="AH47" s="201" t="n">
        <v>280.2</v>
      </c>
      <c r="AI47" s="197" t="n">
        <v>280.7</v>
      </c>
      <c r="AJ47" s="200" t="n">
        <v>282.2</v>
      </c>
      <c r="AK47" s="201" t="n">
        <v>282.7</v>
      </c>
      <c r="AL47" s="197" t="n">
        <v>283.2</v>
      </c>
    </row>
    <row r="48">
      <c r="A48" s="216" t="n">
        <v>41</v>
      </c>
      <c r="B48" s="190" t="s">
        <v>1683</v>
      </c>
      <c r="C48" s="227" t="n">
        <v>116.1</v>
      </c>
      <c r="D48" s="227" t="n">
        <v>116.4</v>
      </c>
      <c r="E48" s="228" t="n">
        <v>116.7</v>
      </c>
      <c r="F48" s="228" t="n">
        <v>116.9</v>
      </c>
      <c r="G48" s="228" t="n">
        <v>117.1</v>
      </c>
      <c r="H48" s="228" t="n">
        <v>117.2</v>
      </c>
      <c r="I48" s="227" t="n">
        <v>129.5</v>
      </c>
      <c r="J48" s="228" t="n">
        <v>129.69999999999999</v>
      </c>
      <c r="K48" s="227" t="n">
        <v>129.9</v>
      </c>
      <c r="L48" s="188" t="n">
        <v>130.1</v>
      </c>
      <c r="M48" s="196" t="n">
        <v>130.4</v>
      </c>
      <c r="N48" s="241" t="n">
        <v>130.6</v>
      </c>
      <c r="O48" s="169" t="n">
        <v>130.9</v>
      </c>
      <c r="P48" s="196" t="n">
        <v>131.19999999999999</v>
      </c>
      <c r="Q48" s="241" t="n">
        <v>131.5</v>
      </c>
      <c r="R48" s="188" t="n">
        <v>131.80000000000001</v>
      </c>
      <c r="S48" s="196" t="n">
        <v>132.1</v>
      </c>
      <c r="T48" s="158" t="n">
        <v>132.5</v>
      </c>
      <c r="U48" s="169" t="n">
        <v>137.5</v>
      </c>
      <c r="V48" s="196" t="n">
        <v>137.9</v>
      </c>
      <c r="W48" s="158" t="n">
        <v>138.19999999999999</v>
      </c>
      <c r="X48" s="188" t="n">
        <v>138.6</v>
      </c>
      <c r="Y48" s="196" t="n">
        <v>139</v>
      </c>
      <c r="Z48" s="158" t="n">
        <v>139.4</v>
      </c>
      <c r="AA48" s="188" t="n">
        <v>139.80000000000001</v>
      </c>
      <c r="AB48" s="196" t="n">
        <v>140.19999999999999</v>
      </c>
      <c r="AC48" s="209" t="n">
        <v>140.69999999999999</v>
      </c>
      <c r="AD48" s="188" t="n">
        <v>141.19999999999999</v>
      </c>
      <c r="AE48" s="196" t="n">
        <v>141.69999999999999</v>
      </c>
      <c r="AF48" s="153" t="n">
        <v>142.19999999999999</v>
      </c>
      <c r="AG48" s="200" t="n">
        <v>142.80000000000001</v>
      </c>
      <c r="AH48" s="201" t="n">
        <v>143.19999999999999</v>
      </c>
      <c r="AI48" s="197" t="n">
        <v>143.69999999999999</v>
      </c>
      <c r="AJ48" s="200" t="n">
        <v>144.19999999999999</v>
      </c>
      <c r="AK48" s="201" t="n">
        <v>144.69999999999999</v>
      </c>
      <c r="AL48" s="197" t="n">
        <v>145.19999999999999</v>
      </c>
    </row>
    <row r="49">
      <c r="A49" s="216" t="n">
        <v>42</v>
      </c>
      <c r="B49" s="190" t="s">
        <v>1684</v>
      </c>
      <c r="C49" s="227" t="n">
        <v>108.3</v>
      </c>
      <c r="D49" s="227" t="n">
        <v>108.3</v>
      </c>
      <c r="E49" s="228" t="n">
        <v>108.3</v>
      </c>
      <c r="F49" s="228" t="n">
        <v>107.6</v>
      </c>
      <c r="G49" s="228" t="n">
        <v>107.6</v>
      </c>
      <c r="H49" s="228" t="n">
        <v>107.6</v>
      </c>
      <c r="I49" s="227" t="n">
        <v>112.9</v>
      </c>
      <c r="J49" s="228" t="n">
        <v>112.9</v>
      </c>
      <c r="K49" s="227" t="n">
        <v>112.9</v>
      </c>
      <c r="L49" s="188" t="n">
        <v>112.5</v>
      </c>
      <c r="M49" s="196" t="n">
        <v>112.5</v>
      </c>
      <c r="N49" s="241" t="n">
        <v>112.5</v>
      </c>
      <c r="O49" s="169" t="n">
        <v>115.2</v>
      </c>
      <c r="P49" s="196" t="n">
        <v>115.2</v>
      </c>
      <c r="Q49" s="241" t="n">
        <v>115.2</v>
      </c>
      <c r="R49" s="188" t="n">
        <v>117</v>
      </c>
      <c r="S49" s="196" t="n">
        <v>117</v>
      </c>
      <c r="T49" s="158" t="n">
        <v>117</v>
      </c>
      <c r="U49" s="169" t="n">
        <v>133.5</v>
      </c>
      <c r="V49" s="196" t="n">
        <v>133.5</v>
      </c>
      <c r="W49" s="158" t="n">
        <v>133.5</v>
      </c>
      <c r="X49" s="188" t="n">
        <v>134.1</v>
      </c>
      <c r="Y49" s="196" t="n">
        <v>134.1</v>
      </c>
      <c r="Z49" s="158" t="n">
        <v>134.1</v>
      </c>
      <c r="AA49" s="188" t="n">
        <v>134.4</v>
      </c>
      <c r="AB49" s="196" t="n">
        <v>134.4</v>
      </c>
      <c r="AC49" s="209" t="n">
        <v>134.4</v>
      </c>
      <c r="AD49" s="188" t="n">
        <v>134.80000000000001</v>
      </c>
      <c r="AE49" s="196" t="n">
        <v>134.80000000000001</v>
      </c>
      <c r="AF49" s="153" t="n">
        <v>134.80000000000001</v>
      </c>
      <c r="AG49" s="200" t="n">
        <v>110.6</v>
      </c>
      <c r="AH49" s="201" t="n">
        <v>137</v>
      </c>
      <c r="AI49" s="197" t="n">
        <v>137</v>
      </c>
      <c r="AJ49" s="200" t="n">
        <v>138</v>
      </c>
      <c r="AK49" s="201" t="n">
        <v>138</v>
      </c>
      <c r="AL49" s="197" t="n">
        <v>138</v>
      </c>
    </row>
    <row r="50">
      <c r="A50" s="216" t="n">
        <v>43</v>
      </c>
      <c r="B50" s="191" t="s">
        <v>177</v>
      </c>
      <c r="C50" s="225" t="n">
        <v>644.70000000000005</v>
      </c>
      <c r="D50" s="225" t="n">
        <v>606.4</v>
      </c>
      <c r="E50" s="226" t="n">
        <v>574.4</v>
      </c>
      <c r="F50" s="226" t="n">
        <v>577.4</v>
      </c>
      <c r="G50" s="226" t="n">
        <v>664.1</v>
      </c>
      <c r="H50" s="226" t="n">
        <v>702.3</v>
      </c>
      <c r="I50" s="225" t="n">
        <v>871.1</v>
      </c>
      <c r="J50" s="226" t="n">
        <v>926</v>
      </c>
      <c r="K50" s="225" t="n">
        <v>1047.5</v>
      </c>
      <c r="L50" s="187" t="n">
        <v>1042.5</v>
      </c>
      <c r="M50" s="195" t="n">
        <v>1060</v>
      </c>
      <c r="N50" s="240" t="n">
        <v>980.1</v>
      </c>
      <c r="O50" s="168" t="n">
        <v>890.7</v>
      </c>
      <c r="P50" s="195" t="n">
        <v>909.4</v>
      </c>
      <c r="Q50" s="240" t="n">
        <v>791.6</v>
      </c>
      <c r="R50" s="187" t="n">
        <v>781</v>
      </c>
      <c r="S50" s="195" t="n">
        <v>766</v>
      </c>
      <c r="T50" s="151" t="n">
        <v>732.3</v>
      </c>
      <c r="U50" s="168" t="n">
        <v>1173.5</v>
      </c>
      <c r="V50" s="195" t="n">
        <v>1146.2</v>
      </c>
      <c r="W50" s="151" t="n">
        <v>1124.5</v>
      </c>
      <c r="X50" s="187" t="n">
        <v>1098.0999999999999</v>
      </c>
      <c r="Y50" s="195" t="n">
        <v>1054.5999999999999</v>
      </c>
      <c r="Z50" s="151" t="n">
        <v>1030.5999999999999</v>
      </c>
      <c r="AA50" s="187" t="n">
        <v>931.9</v>
      </c>
      <c r="AB50" s="195" t="n">
        <v>904.3</v>
      </c>
      <c r="AC50" s="208" t="n">
        <v>830.7</v>
      </c>
      <c r="AD50" s="187" t="n">
        <v>892.7</v>
      </c>
      <c r="AE50" s="195" t="n">
        <v>845.6</v>
      </c>
      <c r="AF50" s="157" t="n">
        <v>765.1</v>
      </c>
      <c r="AG50" s="118" t="n">
        <v>918.8</v>
      </c>
      <c r="AH50" s="149" t="n">
        <v>986.2</v>
      </c>
      <c r="AI50" s="157" t="n">
        <v>985.1</v>
      </c>
      <c r="AJ50" s="200" t="n">
        <v>1126.8</v>
      </c>
      <c r="AK50" s="201" t="n">
        <v>1016.2</v>
      </c>
      <c r="AL50" s="197" t="n">
        <v>1007.8</v>
      </c>
    </row>
    <row r="51">
      <c r="A51" s="217" t="n">
        <v>44</v>
      </c>
      <c r="B51" s="165" t="s">
        <v>1685</v>
      </c>
      <c r="C51" s="225" t="n">
        <v>3.5</v>
      </c>
      <c r="D51" s="225" t="n">
        <v>3.2</v>
      </c>
      <c r="E51" s="226" t="n">
        <v>3</v>
      </c>
      <c r="F51" s="226" t="n">
        <v>3</v>
      </c>
      <c r="G51" s="226" t="n">
        <v>3.5</v>
      </c>
      <c r="H51" s="226" t="n">
        <v>3.7</v>
      </c>
      <c r="I51" s="225" t="n">
        <v>4.4000000000000004</v>
      </c>
      <c r="J51" s="226" t="n">
        <v>4.7</v>
      </c>
      <c r="K51" s="225" t="n">
        <v>5.2</v>
      </c>
      <c r="L51" s="187" t="n">
        <v>5.2</v>
      </c>
      <c r="M51" s="195" t="n">
        <v>5.3</v>
      </c>
      <c r="N51" s="240" t="n">
        <v>4.8</v>
      </c>
      <c r="O51" s="168" t="n">
        <v>4.4000000000000004</v>
      </c>
      <c r="P51" s="195" t="n">
        <v>4.5</v>
      </c>
      <c r="Q51" s="240" t="n">
        <v>3.9</v>
      </c>
      <c r="R51" s="187" t="n">
        <v>3.8</v>
      </c>
      <c r="S51" s="195" t="n">
        <v>3.7</v>
      </c>
      <c r="T51" s="151" t="n">
        <v>3.6</v>
      </c>
      <c r="U51" s="168" t="n">
        <v>5.5</v>
      </c>
      <c r="V51" s="195" t="n">
        <v>5.4</v>
      </c>
      <c r="W51" s="151" t="n">
        <v>5.2</v>
      </c>
      <c r="X51" s="187" t="n">
        <v>5.0999999999999996</v>
      </c>
      <c r="Y51" s="195" t="n">
        <v>4.9000000000000004</v>
      </c>
      <c r="Z51" s="151" t="n">
        <v>4.8</v>
      </c>
      <c r="AA51" s="187" t="n">
        <v>4.3</v>
      </c>
      <c r="AB51" s="195" t="n">
        <v>4.2</v>
      </c>
      <c r="AC51" s="208" t="n">
        <v>3.8</v>
      </c>
      <c r="AD51" s="187" t="n">
        <v>4.0999999999999996</v>
      </c>
      <c r="AE51" s="195" t="n">
        <v>3.9</v>
      </c>
      <c r="AF51" s="157" t="n">
        <v>3.5</v>
      </c>
      <c r="AG51" s="118" t="n">
        <v>4.2</v>
      </c>
      <c r="AH51" s="149" t="n">
        <v>4.4000000000000004</v>
      </c>
      <c r="AI51" s="157" t="n">
        <v>4.4000000000000004</v>
      </c>
      <c r="AJ51" s="200" t="n">
        <v>5</v>
      </c>
      <c r="AK51" s="201" t="n">
        <v>4.5</v>
      </c>
      <c r="AL51" s="197" t="n">
        <v>4.5</v>
      </c>
    </row>
    <row r="52">
      <c r="A52" s="216"/>
      <c r="B52" s="191" t="s">
        <v>1637</v>
      </c>
      <c r="C52" s="225"/>
      <c r="D52" s="225"/>
      <c r="E52" s="226"/>
      <c r="F52" s="226"/>
      <c r="G52" s="226"/>
      <c r="H52" s="226"/>
      <c r="I52" s="225"/>
      <c r="J52" s="226"/>
      <c r="K52" s="225"/>
      <c r="L52" s="187"/>
      <c r="M52" s="195"/>
      <c r="N52" s="240"/>
      <c r="O52" s="168"/>
      <c r="P52" s="195"/>
      <c r="Q52" s="240"/>
      <c r="R52" s="187"/>
      <c r="S52" s="195"/>
      <c r="T52" s="151"/>
      <c r="U52" s="168"/>
      <c r="V52" s="195"/>
      <c r="W52" s="151"/>
      <c r="X52" s="187"/>
      <c r="Y52" s="195"/>
      <c r="Z52" s="151"/>
      <c r="AA52" s="187"/>
      <c r="AB52" s="195"/>
      <c r="AC52" s="208"/>
      <c r="AD52" s="187"/>
      <c r="AE52" s="195"/>
      <c r="AF52" s="197"/>
      <c r="AG52" s="200"/>
      <c r="AH52" s="201"/>
      <c r="AI52" s="197"/>
      <c r="AJ52" s="200"/>
      <c r="AK52" s="201"/>
      <c r="AL52" s="197"/>
    </row>
    <row r="53" ht="31" customHeight="1">
      <c r="A53" s="217" t="n">
        <v>45</v>
      </c>
      <c r="B53" s="165" t="s">
        <v>1686</v>
      </c>
      <c r="C53" s="225" t="n">
        <v>14559.1</v>
      </c>
      <c r="D53" s="225" t="n">
        <v>14618.2</v>
      </c>
      <c r="E53" s="226" t="n">
        <v>14653.2</v>
      </c>
      <c r="F53" s="226" t="n">
        <v>14618.1</v>
      </c>
      <c r="G53" s="226" t="n">
        <v>14607</v>
      </c>
      <c r="H53" s="226" t="n">
        <v>14604.2</v>
      </c>
      <c r="I53" s="225" t="n">
        <v>15496.1</v>
      </c>
      <c r="J53" s="226" t="n">
        <v>15529.2</v>
      </c>
      <c r="K53" s="225" t="n">
        <v>15596.8</v>
      </c>
      <c r="L53" s="187" t="n">
        <v>15592.2</v>
      </c>
      <c r="M53" s="195" t="n">
        <v>15622.4</v>
      </c>
      <c r="N53" s="240" t="n">
        <v>15638</v>
      </c>
      <c r="O53" s="168" t="n">
        <v>15691.7</v>
      </c>
      <c r="P53" s="195" t="n">
        <v>15726.6</v>
      </c>
      <c r="Q53" s="240" t="n">
        <v>15741.9</v>
      </c>
      <c r="R53" s="187" t="n">
        <v>15749.7</v>
      </c>
      <c r="S53" s="195" t="n">
        <v>15795.9</v>
      </c>
      <c r="T53" s="151" t="n">
        <v>15823.3</v>
      </c>
      <c r="U53" s="168" t="n">
        <v>16227.8</v>
      </c>
      <c r="V53" s="195" t="n">
        <v>16232.7</v>
      </c>
      <c r="W53" s="151" t="n">
        <v>16269.5</v>
      </c>
      <c r="X53" s="187" t="n">
        <v>16240.4</v>
      </c>
      <c r="Y53" s="195" t="n">
        <v>16291.7</v>
      </c>
      <c r="Z53" s="151" t="n">
        <v>16292.1</v>
      </c>
      <c r="AA53" s="187" t="n">
        <v>16281.1</v>
      </c>
      <c r="AB53" s="195" t="n">
        <v>16279.2</v>
      </c>
      <c r="AC53" s="208" t="n">
        <v>16283.1</v>
      </c>
      <c r="AD53" s="187" t="n">
        <v>16359.2</v>
      </c>
      <c r="AE53" s="195" t="n">
        <v>16412.099999999999</v>
      </c>
      <c r="AF53" s="157" t="n">
        <v>16434.599999999999</v>
      </c>
      <c r="AG53" s="118" t="n">
        <v>16430.3</v>
      </c>
      <c r="AH53" s="149" t="n">
        <v>16428.599999999999</v>
      </c>
      <c r="AI53" s="157" t="n">
        <v>16522.599999999999</v>
      </c>
      <c r="AJ53" s="200" t="n">
        <v>16552.2</v>
      </c>
      <c r="AK53" s="201" t="n">
        <v>16522.8</v>
      </c>
      <c r="AL53" s="197" t="n">
        <v>16496</v>
      </c>
    </row>
    <row r="54">
      <c r="A54" s="216"/>
      <c r="B54" s="102" t="s">
        <v>1687</v>
      </c>
      <c r="C54" s="225"/>
      <c r="D54" s="225"/>
      <c r="E54" s="226"/>
      <c r="F54" s="226"/>
      <c r="G54" s="226"/>
      <c r="H54" s="226"/>
      <c r="I54" s="225"/>
      <c r="J54" s="226"/>
      <c r="K54" s="225"/>
      <c r="L54" s="187"/>
      <c r="M54" s="195"/>
      <c r="N54" s="240"/>
      <c r="O54" s="168"/>
      <c r="P54" s="195"/>
      <c r="Q54" s="240"/>
      <c r="R54" s="187"/>
      <c r="S54" s="195"/>
      <c r="T54" s="151"/>
      <c r="U54" s="168"/>
      <c r="V54" s="195"/>
      <c r="W54" s="151"/>
      <c r="X54" s="187"/>
      <c r="Y54" s="195"/>
      <c r="Z54" s="151"/>
      <c r="AA54" s="187"/>
      <c r="AB54" s="195"/>
      <c r="AC54" s="208"/>
      <c r="AD54" s="187"/>
      <c r="AE54" s="195"/>
      <c r="AF54" s="197"/>
      <c r="AG54" s="200"/>
      <c r="AH54" s="201"/>
      <c r="AI54" s="197"/>
      <c r="AJ54" s="200"/>
      <c r="AK54" s="201"/>
      <c r="AL54" s="197"/>
    </row>
    <row r="55" ht="16.399999999999999" customHeight="1">
      <c r="A55" s="216" t="n">
        <v>46</v>
      </c>
      <c r="B55" s="105" t="s">
        <v>1688</v>
      </c>
      <c r="C55" s="227" t="n">
        <v>15100.2</v>
      </c>
      <c r="D55" s="227" t="n">
        <v>15149.6</v>
      </c>
      <c r="E55" s="228" t="n">
        <v>15172.2</v>
      </c>
      <c r="F55" s="228" t="n">
        <v>15218.9</v>
      </c>
      <c r="G55" s="228" t="n">
        <v>15238.7</v>
      </c>
      <c r="H55" s="228" t="n">
        <v>15250.6</v>
      </c>
      <c r="I55" s="227" t="n">
        <v>16601.900000000001</v>
      </c>
      <c r="J55" s="228" t="n">
        <v>16656.099999999999</v>
      </c>
      <c r="K55" s="227" t="n">
        <v>16730.2</v>
      </c>
      <c r="L55" s="188" t="n">
        <v>16763.900000000001</v>
      </c>
      <c r="M55" s="196" t="n">
        <v>16818.5</v>
      </c>
      <c r="N55" s="241" t="n">
        <v>16809.5</v>
      </c>
      <c r="O55" s="169" t="n">
        <v>16816.400000000001</v>
      </c>
      <c r="P55" s="196" t="n">
        <v>16826.2</v>
      </c>
      <c r="Q55" s="241" t="n">
        <v>16816.3</v>
      </c>
      <c r="R55" s="188" t="n">
        <v>16819.900000000001</v>
      </c>
      <c r="S55" s="196" t="n">
        <v>16859.599999999999</v>
      </c>
      <c r="T55" s="158" t="n">
        <v>16889.2</v>
      </c>
      <c r="U55" s="169" t="n">
        <v>17426.2</v>
      </c>
      <c r="V55" s="196" t="n">
        <v>17442.400000000001</v>
      </c>
      <c r="W55" s="158" t="n">
        <v>17486.900000000001</v>
      </c>
      <c r="X55" s="188" t="n">
        <v>17464.900000000001</v>
      </c>
      <c r="Y55" s="196" t="n">
        <v>17511.099999999999</v>
      </c>
      <c r="Z55" s="158" t="n">
        <v>17515.599999999999</v>
      </c>
      <c r="AA55" s="188" t="n">
        <v>17505</v>
      </c>
      <c r="AB55" s="196" t="n">
        <v>17494.599999999999</v>
      </c>
      <c r="AC55" s="209" t="n">
        <v>17519.599999999999</v>
      </c>
      <c r="AD55" s="188" t="n">
        <v>17586.3</v>
      </c>
      <c r="AE55" s="196" t="n">
        <v>17618</v>
      </c>
      <c r="AF55" s="197" t="n">
        <v>17638.599999999999</v>
      </c>
      <c r="AG55" s="200" t="n">
        <v>17647.900000000001</v>
      </c>
      <c r="AH55" s="201" t="n">
        <v>17702.900000000001</v>
      </c>
      <c r="AI55" s="197" t="n">
        <v>17814.8</v>
      </c>
      <c r="AJ55" s="200" t="n">
        <v>17934.2</v>
      </c>
      <c r="AK55" s="201" t="n">
        <v>17810.8</v>
      </c>
      <c r="AL55" s="197" t="n">
        <v>17809.099999999999</v>
      </c>
    </row>
    <row r="56">
      <c r="A56" s="216"/>
      <c r="B56" s="190" t="s">
        <v>1689</v>
      </c>
      <c r="C56" s="227"/>
      <c r="D56" s="227"/>
      <c r="E56" s="228"/>
      <c r="F56" s="228"/>
      <c r="G56" s="228"/>
      <c r="H56" s="228"/>
      <c r="I56" s="227"/>
      <c r="J56" s="228"/>
      <c r="K56" s="227"/>
      <c r="L56" s="188"/>
      <c r="M56" s="196"/>
      <c r="N56" s="241"/>
      <c r="O56" s="169"/>
      <c r="P56" s="196"/>
      <c r="Q56" s="241"/>
      <c r="R56" s="188"/>
      <c r="S56" s="196"/>
      <c r="T56" s="158"/>
      <c r="U56" s="169"/>
      <c r="V56" s="196"/>
      <c r="W56" s="158"/>
      <c r="X56" s="188"/>
      <c r="Y56" s="196"/>
      <c r="Z56" s="158"/>
      <c r="AA56" s="188"/>
      <c r="AB56" s="196"/>
      <c r="AC56" s="209"/>
      <c r="AD56" s="188"/>
      <c r="AE56" s="196"/>
      <c r="AF56" s="197"/>
      <c r="AG56" s="200"/>
      <c r="AH56" s="201"/>
      <c r="AI56" s="197"/>
      <c r="AJ56" s="200"/>
      <c r="AK56" s="201"/>
      <c r="AL56" s="197"/>
    </row>
    <row r="57">
      <c r="A57" s="216" t="n">
        <v>47</v>
      </c>
      <c r="B57" s="107" t="s">
        <v>1690</v>
      </c>
      <c r="C57" s="229" t="n">
        <v>55836</v>
      </c>
      <c r="D57" s="229" t="n">
        <v>56139</v>
      </c>
      <c r="E57" s="230" t="n">
        <v>56387</v>
      </c>
      <c r="F57" s="230" t="n">
        <v>56770</v>
      </c>
      <c r="G57" s="230" t="n">
        <v>56917</v>
      </c>
      <c r="H57" s="230" t="n">
        <v>57053</v>
      </c>
      <c r="I57" s="229" t="n">
        <v>59062</v>
      </c>
      <c r="J57" s="230" t="n">
        <v>59423</v>
      </c>
      <c r="K57" s="229" t="n">
        <v>59738</v>
      </c>
      <c r="L57" s="189" t="n">
        <v>60018</v>
      </c>
      <c r="M57" s="203" t="n">
        <v>60253</v>
      </c>
      <c r="N57" s="242" t="n">
        <v>60309</v>
      </c>
      <c r="O57" s="171" t="n">
        <v>60380</v>
      </c>
      <c r="P57" s="203" t="n">
        <v>60598</v>
      </c>
      <c r="Q57" s="242" t="n">
        <v>60762</v>
      </c>
      <c r="R57" s="189" t="n">
        <v>60767</v>
      </c>
      <c r="S57" s="203" t="n">
        <v>60876</v>
      </c>
      <c r="T57" s="163" t="n">
        <v>61033</v>
      </c>
      <c r="U57" s="171" t="n">
        <v>63293</v>
      </c>
      <c r="V57" s="203" t="n">
        <v>63527</v>
      </c>
      <c r="W57" s="163" t="n">
        <v>63885</v>
      </c>
      <c r="X57" s="189" t="n">
        <v>63947</v>
      </c>
      <c r="Y57" s="203" t="n">
        <v>64085</v>
      </c>
      <c r="Z57" s="163" t="n">
        <v>64149</v>
      </c>
      <c r="AA57" s="189" t="n">
        <v>63536</v>
      </c>
      <c r="AB57" s="203" t="n">
        <v>63541</v>
      </c>
      <c r="AC57" s="210" t="n">
        <v>63706</v>
      </c>
      <c r="AD57" s="189" t="n">
        <v>64083</v>
      </c>
      <c r="AE57" s="203" t="n">
        <v>64236</v>
      </c>
      <c r="AF57" s="197" t="n">
        <v>64474</v>
      </c>
      <c r="AG57" s="200" t="n">
        <v>64726</v>
      </c>
      <c r="AH57" s="201" t="n">
        <v>65178</v>
      </c>
      <c r="AI57" s="197" t="n">
        <v>65573</v>
      </c>
      <c r="AJ57" s="200" t="n">
        <v>66089</v>
      </c>
      <c r="AK57" s="201" t="n">
        <v>65714</v>
      </c>
      <c r="AL57" s="197" t="n">
        <v>65860</v>
      </c>
    </row>
    <row r="58">
      <c r="A58" s="216" t="n">
        <v>48</v>
      </c>
      <c r="B58" s="107" t="s">
        <v>1691</v>
      </c>
      <c r="C58" s="229" t="n">
        <v>45261</v>
      </c>
      <c r="D58" s="229" t="n">
        <v>45385</v>
      </c>
      <c r="E58" s="230" t="n">
        <v>45429</v>
      </c>
      <c r="F58" s="230" t="n">
        <v>45546</v>
      </c>
      <c r="G58" s="230" t="n">
        <v>45586</v>
      </c>
      <c r="H58" s="230" t="n">
        <v>45603</v>
      </c>
      <c r="I58" s="229" t="n">
        <v>49627</v>
      </c>
      <c r="J58" s="230" t="n">
        <v>49774</v>
      </c>
      <c r="K58" s="229" t="n">
        <v>49978</v>
      </c>
      <c r="L58" s="189" t="n">
        <v>50060</v>
      </c>
      <c r="M58" s="203" t="n">
        <v>50203</v>
      </c>
      <c r="N58" s="242" t="n">
        <v>50166</v>
      </c>
      <c r="O58" s="171" t="n">
        <v>50161</v>
      </c>
      <c r="P58" s="203" t="n">
        <v>50163</v>
      </c>
      <c r="Q58" s="242" t="n">
        <v>50106</v>
      </c>
      <c r="R58" s="189" t="n">
        <v>50093</v>
      </c>
      <c r="S58" s="203" t="n">
        <v>50188</v>
      </c>
      <c r="T58" s="163" t="n">
        <v>50255</v>
      </c>
      <c r="U58" s="171" t="n">
        <v>51834</v>
      </c>
      <c r="V58" s="203" t="n">
        <v>51865</v>
      </c>
      <c r="W58" s="163" t="n">
        <v>51979</v>
      </c>
      <c r="X58" s="189" t="n">
        <v>51894</v>
      </c>
      <c r="Y58" s="203" t="n">
        <v>52010</v>
      </c>
      <c r="Z58" s="163" t="n">
        <v>52000</v>
      </c>
      <c r="AA58" s="189" t="n">
        <v>51418</v>
      </c>
      <c r="AB58" s="203" t="n">
        <v>51359</v>
      </c>
      <c r="AC58" s="210" t="n">
        <v>51404</v>
      </c>
      <c r="AD58" s="189" t="n">
        <v>51572</v>
      </c>
      <c r="AE58" s="203" t="n">
        <v>51640</v>
      </c>
      <c r="AF58" s="197" t="n">
        <v>51678</v>
      </c>
      <c r="AG58" s="200" t="n">
        <v>51685</v>
      </c>
      <c r="AH58" s="201" t="n">
        <v>51825</v>
      </c>
      <c r="AI58" s="197" t="n">
        <v>52131</v>
      </c>
      <c r="AJ58" s="200" t="n">
        <v>52459</v>
      </c>
      <c r="AK58" s="201" t="n">
        <v>52074</v>
      </c>
      <c r="AL58" s="197" t="n">
        <v>52044</v>
      </c>
    </row>
    <row r="59" ht="15" customHeight="1">
      <c r="A59" s="218" t="n">
        <v>49</v>
      </c>
      <c r="B59" s="148" t="s">
        <v>1692</v>
      </c>
      <c r="C59" s="231" t="n">
        <v>333624</v>
      </c>
      <c r="D59" s="231" t="n">
        <v>333799</v>
      </c>
      <c r="E59" s="232" t="n">
        <v>333976</v>
      </c>
      <c r="F59" s="232" t="n">
        <v>334141</v>
      </c>
      <c r="G59" s="232" t="n">
        <v>334287</v>
      </c>
      <c r="H59" s="232" t="n">
        <v>334420</v>
      </c>
      <c r="I59" s="231" t="n">
        <v>334533</v>
      </c>
      <c r="J59" s="232" t="n">
        <v>334637</v>
      </c>
      <c r="K59" s="231" t="n">
        <v>334753</v>
      </c>
      <c r="L59" s="192" t="n">
        <v>334880</v>
      </c>
      <c r="M59" s="205" t="n">
        <v>335013</v>
      </c>
      <c r="N59" s="243" t="n">
        <v>335080</v>
      </c>
      <c r="O59" s="173" t="n">
        <v>335248</v>
      </c>
      <c r="P59" s="205" t="n">
        <v>335431</v>
      </c>
      <c r="Q59" s="243" t="n">
        <v>335612</v>
      </c>
      <c r="R59" s="192" t="n">
        <v>335773</v>
      </c>
      <c r="S59" s="205" t="n">
        <v>335925</v>
      </c>
      <c r="T59" s="164" t="n">
        <v>336070</v>
      </c>
      <c r="U59" s="173" t="n">
        <v>336194</v>
      </c>
      <c r="V59" s="205" t="n">
        <v>336306</v>
      </c>
      <c r="W59" s="164" t="n">
        <v>336423</v>
      </c>
      <c r="X59" s="192" t="n">
        <v>336550</v>
      </c>
      <c r="Y59" s="205" t="n">
        <v>336687</v>
      </c>
      <c r="Z59" s="164" t="n">
        <v>336839</v>
      </c>
      <c r="AA59" s="192" t="n">
        <v>340448</v>
      </c>
      <c r="AB59" s="205" t="n">
        <v>340637</v>
      </c>
      <c r="AC59" s="211" t="n">
        <v>340825</v>
      </c>
      <c r="AD59" s="189" t="n">
        <v>341002</v>
      </c>
      <c r="AE59" s="203" t="n">
        <v>341169</v>
      </c>
      <c r="AF59" s="197" t="n">
        <v>341320</v>
      </c>
      <c r="AG59" s="200" t="n">
        <v>341454</v>
      </c>
      <c r="AH59" s="201" t="n">
        <v>341588</v>
      </c>
      <c r="AI59" s="197" t="n">
        <v>341729</v>
      </c>
      <c r="AJ59" s="200" t="n">
        <v>341874</v>
      </c>
      <c r="AK59" s="201" t="n">
        <v>342032</v>
      </c>
      <c r="AL59" s="197" t="n">
        <v>342197</v>
      </c>
    </row>
    <row r="60">
      <c r="A60" s="142" t="s">
        <v>1693</v>
      </c>
      <c r="B60" s="142"/>
      <c r="C60" s="142"/>
      <c r="D60" s="142"/>
      <c r="E60" s="142"/>
      <c r="F60" s="142"/>
      <c r="G60" s="142"/>
      <c r="H60" s="142"/>
      <c r="I60" s="142"/>
      <c r="J60" s="142"/>
      <c r="K60" s="221"/>
      <c r="L60" s="123"/>
      <c r="M60" s="178"/>
      <c r="N60" s="111"/>
      <c r="O60" s="123"/>
      <c r="P60" s="178"/>
      <c r="Q60" s="111"/>
      <c r="R60" s="123"/>
      <c r="S60" s="178"/>
      <c r="T60" s="111"/>
      <c r="U60" s="123"/>
      <c r="V60" s="178"/>
      <c r="W60" s="111"/>
      <c r="X60" s="123"/>
      <c r="Y60" s="178"/>
      <c r="Z60" s="111"/>
      <c r="AA60" s="123"/>
      <c r="AB60" s="178"/>
      <c r="AC60" s="111"/>
      <c r="AD60" s="123"/>
      <c r="AE60" s="178"/>
      <c r="AF60" s="197"/>
      <c r="AG60" s="200"/>
      <c r="AH60" s="201"/>
      <c r="AI60" s="197"/>
      <c r="AJ60" s="200"/>
      <c r="AK60" s="201"/>
      <c r="AL60" s="197"/>
    </row>
    <row r="61">
      <c r="A61" s="127" t="s">
        <v>1694</v>
      </c>
      <c r="B61" s="127"/>
      <c r="C61" s="127"/>
      <c r="D61" s="127"/>
      <c r="E61" s="127"/>
      <c r="F61" s="127"/>
      <c r="G61" s="127"/>
      <c r="H61" s="127"/>
      <c r="I61" s="127"/>
      <c r="J61" s="127"/>
      <c r="K61" s="127"/>
      <c r="L61" s="124"/>
      <c r="M61" s="179"/>
      <c r="N61" s="112"/>
      <c r="O61" s="124"/>
      <c r="P61" s="179"/>
      <c r="Q61" s="112"/>
      <c r="R61" s="124"/>
      <c r="S61" s="179"/>
      <c r="T61" s="112"/>
      <c r="U61" s="124"/>
      <c r="V61" s="179"/>
      <c r="W61" s="112"/>
      <c r="X61" s="124"/>
      <c r="Y61" s="179"/>
      <c r="Z61" s="112"/>
      <c r="AA61" s="124"/>
      <c r="AB61" s="179"/>
      <c r="AC61" s="112"/>
      <c r="AD61" s="124"/>
      <c r="AE61" s="179"/>
      <c r="AF61" s="197"/>
      <c r="AG61" s="200"/>
      <c r="AH61" s="201"/>
      <c r="AI61" s="197"/>
      <c r="AJ61" s="200"/>
      <c r="AK61" s="201"/>
      <c r="AL61" s="197"/>
    </row>
    <row r="62">
      <c r="A62" s="127" t="s">
        <v>1695</v>
      </c>
      <c r="B62" s="127"/>
      <c r="C62" s="127"/>
      <c r="D62" s="127"/>
      <c r="E62" s="127"/>
      <c r="F62" s="127"/>
      <c r="G62" s="127"/>
      <c r="H62" s="127"/>
      <c r="I62" s="127"/>
      <c r="J62" s="127"/>
      <c r="K62" s="127"/>
      <c r="L62" s="124"/>
      <c r="M62" s="179"/>
      <c r="N62" s="112"/>
      <c r="O62" s="124"/>
      <c r="P62" s="179"/>
      <c r="Q62" s="112"/>
      <c r="R62" s="124"/>
      <c r="S62" s="179"/>
      <c r="T62" s="112"/>
      <c r="U62" s="124"/>
      <c r="V62" s="179"/>
      <c r="W62" s="112"/>
      <c r="X62" s="124"/>
      <c r="Y62" s="179"/>
      <c r="Z62" s="112"/>
      <c r="AA62" s="124"/>
      <c r="AB62" s="179"/>
      <c r="AC62" s="112"/>
      <c r="AD62" s="124"/>
      <c r="AE62" s="179"/>
      <c r="AF62" s="197"/>
      <c r="AG62" s="200"/>
      <c r="AH62" s="201"/>
      <c r="AI62" s="197"/>
      <c r="AJ62" s="200"/>
      <c r="AK62" s="201"/>
      <c r="AL62" s="197"/>
    </row>
    <row r="63">
      <c r="A63" s="127" t="s">
        <v>1696</v>
      </c>
      <c r="B63" s="127"/>
      <c r="C63" s="127"/>
      <c r="D63" s="127"/>
      <c r="E63" s="127"/>
      <c r="F63" s="127"/>
      <c r="G63" s="127"/>
      <c r="H63" s="127"/>
      <c r="I63" s="127"/>
      <c r="J63" s="127"/>
      <c r="K63" s="127"/>
      <c r="L63" s="124"/>
      <c r="M63" s="179"/>
      <c r="N63" s="112"/>
      <c r="O63" s="124"/>
      <c r="P63" s="179"/>
      <c r="Q63" s="112"/>
      <c r="R63" s="124"/>
      <c r="S63" s="179"/>
      <c r="T63" s="112"/>
      <c r="U63" s="124"/>
      <c r="V63" s="179"/>
      <c r="W63" s="112"/>
      <c r="X63" s="124"/>
      <c r="Y63" s="179"/>
      <c r="Z63" s="112"/>
      <c r="AA63" s="124"/>
      <c r="AB63" s="179"/>
      <c r="AC63" s="112"/>
      <c r="AD63" s="124"/>
      <c r="AE63" s="179"/>
      <c r="AF63" s="197"/>
      <c r="AG63" s="200"/>
      <c r="AH63" s="201"/>
      <c r="AI63" s="197"/>
      <c r="AJ63" s="200"/>
      <c r="AK63" s="201"/>
      <c r="AL63" s="197"/>
    </row>
    <row r="64">
      <c r="A64" s="127" t="s">
        <v>1697</v>
      </c>
      <c r="B64" s="127"/>
      <c r="C64" s="127"/>
      <c r="D64" s="127"/>
      <c r="E64" s="127"/>
      <c r="F64" s="127"/>
      <c r="G64" s="127"/>
      <c r="H64" s="127"/>
      <c r="I64" s="127"/>
      <c r="J64" s="127"/>
      <c r="K64" s="127"/>
      <c r="L64" s="124"/>
      <c r="M64" s="179"/>
      <c r="N64" s="112"/>
      <c r="O64" s="124"/>
      <c r="P64" s="179"/>
      <c r="Q64" s="112"/>
      <c r="R64" s="124"/>
      <c r="S64" s="179"/>
      <c r="T64" s="112"/>
      <c r="U64" s="124"/>
      <c r="V64" s="179"/>
      <c r="W64" s="112"/>
      <c r="X64" s="124"/>
      <c r="Y64" s="179"/>
      <c r="Z64" s="112"/>
      <c r="AA64" s="124"/>
      <c r="AB64" s="179"/>
      <c r="AC64" s="112"/>
      <c r="AD64" s="124"/>
      <c r="AE64" s="179"/>
      <c r="AF64" s="197"/>
      <c r="AG64" s="200"/>
      <c r="AH64" s="201"/>
      <c r="AI64" s="197"/>
      <c r="AJ64" s="200"/>
      <c r="AK64" s="201"/>
      <c r="AL64" s="197"/>
    </row>
    <row r="65">
      <c r="A65" s="127" t="s">
        <v>1698</v>
      </c>
      <c r="B65" s="127"/>
      <c r="C65" s="127"/>
      <c r="D65" s="127"/>
      <c r="E65" s="127"/>
      <c r="F65" s="127"/>
      <c r="G65" s="127"/>
      <c r="H65" s="127"/>
      <c r="I65" s="127"/>
      <c r="J65" s="127"/>
      <c r="K65" s="127"/>
      <c r="L65" s="124"/>
      <c r="M65" s="179"/>
      <c r="N65" s="112"/>
      <c r="O65" s="124"/>
      <c r="P65" s="179"/>
      <c r="Q65" s="112"/>
      <c r="R65" s="124"/>
      <c r="S65" s="179"/>
      <c r="T65" s="112"/>
      <c r="U65" s="124"/>
      <c r="V65" s="179"/>
      <c r="W65" s="112"/>
      <c r="X65" s="124"/>
      <c r="Y65" s="179"/>
      <c r="Z65" s="112"/>
      <c r="AA65" s="124"/>
      <c r="AB65" s="179"/>
      <c r="AC65" s="112"/>
      <c r="AD65" s="124"/>
      <c r="AE65" s="179"/>
      <c r="AF65" s="197"/>
      <c r="AG65" s="200"/>
      <c r="AH65" s="201"/>
      <c r="AI65" s="197"/>
      <c r="AJ65" s="200"/>
      <c r="AK65" s="201"/>
      <c r="AL65" s="197"/>
    </row>
    <row r="66" ht="14.5" customHeight="1">
      <c r="A66" s="127" t="s">
        <v>1699</v>
      </c>
      <c r="B66" s="127"/>
      <c r="C66" s="127"/>
      <c r="D66" s="127"/>
      <c r="E66" s="127"/>
      <c r="F66" s="127"/>
      <c r="G66" s="127"/>
      <c r="H66" s="127"/>
      <c r="I66" s="127"/>
      <c r="J66" s="127"/>
      <c r="K66" s="127"/>
      <c r="L66" s="124"/>
      <c r="M66" s="179"/>
      <c r="N66" s="112"/>
      <c r="O66" s="124"/>
      <c r="P66" s="179"/>
      <c r="Q66" s="112"/>
      <c r="R66" s="124"/>
      <c r="S66" s="179"/>
      <c r="T66" s="112"/>
      <c r="U66" s="124"/>
      <c r="V66" s="179"/>
      <c r="W66" s="112"/>
      <c r="X66" s="124"/>
      <c r="Y66" s="179"/>
      <c r="Z66" s="112"/>
      <c r="AA66" s="124"/>
      <c r="AB66" s="179"/>
      <c r="AC66" s="112"/>
      <c r="AD66" s="124"/>
      <c r="AE66" s="179"/>
      <c r="AF66" s="197"/>
      <c r="AG66" s="200"/>
      <c r="AH66" s="201"/>
      <c r="AI66" s="197"/>
      <c r="AJ66" s="200"/>
      <c r="AK66" s="201"/>
      <c r="AL66" s="197"/>
    </row>
    <row r="67" ht="14.5" customHeight="1">
      <c r="A67" s="147" t="s">
        <v>1700</v>
      </c>
      <c r="B67" s="147"/>
      <c r="C67" s="147"/>
      <c r="D67" s="147"/>
      <c r="E67" s="147"/>
      <c r="F67" s="147"/>
      <c r="G67" s="147"/>
      <c r="H67" s="147"/>
      <c r="I67" s="147"/>
      <c r="J67" s="147"/>
      <c r="K67" s="147"/>
      <c r="L67" s="125"/>
      <c r="M67" s="212"/>
      <c r="N67" s="113"/>
      <c r="O67" s="125"/>
      <c r="P67" s="212"/>
      <c r="Q67" s="113"/>
      <c r="R67" s="125"/>
      <c r="S67" s="212"/>
      <c r="T67" s="113"/>
      <c r="U67" s="125"/>
      <c r="V67" s="212"/>
      <c r="W67" s="113"/>
      <c r="X67" s="125"/>
      <c r="Y67" s="212"/>
      <c r="Z67" s="113"/>
      <c r="AA67" s="125"/>
      <c r="AB67" s="212"/>
      <c r="AC67" s="113"/>
      <c r="AD67" s="125"/>
      <c r="AE67" s="212"/>
      <c r="AF67" s="197"/>
      <c r="AG67" s="200"/>
      <c r="AH67" s="201"/>
      <c r="AI67" s="197"/>
      <c r="AJ67" s="200"/>
      <c r="AK67" s="201"/>
      <c r="AL67" s="197"/>
    </row>
    <row r="68" ht="14.5" customHeight="1">
      <c r="A68" s="148" t="s">
        <v>179</v>
      </c>
      <c r="B68" s="148"/>
      <c r="C68" s="148"/>
      <c r="D68" s="148"/>
      <c r="E68" s="148"/>
      <c r="F68" s="148"/>
      <c r="G68" s="148"/>
      <c r="H68" s="148"/>
      <c r="I68" s="148"/>
      <c r="J68" s="148"/>
      <c r="K68" s="148"/>
      <c r="L68" s="126"/>
      <c r="M68" s="213"/>
      <c r="N68" s="114"/>
      <c r="O68" s="126"/>
      <c r="P68" s="213"/>
      <c r="Q68" s="114"/>
      <c r="R68" s="126"/>
      <c r="S68" s="213"/>
      <c r="T68" s="114"/>
      <c r="U68" s="126"/>
      <c r="V68" s="213"/>
      <c r="W68" s="114"/>
      <c r="X68" s="126"/>
      <c r="Y68" s="213"/>
      <c r="Z68" s="114"/>
      <c r="AA68" s="126"/>
      <c r="AB68" s="213"/>
      <c r="AC68" s="114"/>
      <c r="AD68" s="126"/>
      <c r="AE68" s="213"/>
      <c r="AF68" s="197"/>
      <c r="AG68" s="200"/>
      <c r="AH68" s="201"/>
      <c r="AI68" s="197"/>
      <c r="AJ68" s="200"/>
      <c r="AK68" s="201"/>
      <c r="AL68" s="197"/>
    </row>
    <row r="69">
      <c r="A69" s="145" t="s">
        <v>788</v>
      </c>
      <c r="B69" s="145"/>
      <c r="C69" s="145"/>
      <c r="D69" s="145"/>
      <c r="E69" s="145"/>
      <c r="F69" s="145"/>
      <c r="G69" s="145"/>
    </row>
    <row r="70">
      <c r="A70" s="76" t="s">
        <v>789</v>
      </c>
      <c r="B70" s="76"/>
      <c r="C70" s="76"/>
      <c r="D70" s="76"/>
      <c r="E70" s="76"/>
      <c r="F70" s="76"/>
      <c r="G70" s="76"/>
    </row>
    <row r="71">
      <c r="A71" s="144" t="s">
        <v>790</v>
      </c>
      <c r="B71" s="144"/>
      <c r="C71" s="144"/>
      <c r="D71" s="144"/>
      <c r="E71" s="144"/>
      <c r="F71" s="144"/>
      <c r="G71" s="144"/>
    </row>
    <row r="72">
      <c r="A72" s="143" t="s">
        <v>791</v>
      </c>
      <c r="B72" s="143"/>
      <c r="C72" s="143"/>
      <c r="D72" s="143"/>
      <c r="E72" s="143"/>
      <c r="F72" s="143"/>
      <c r="G72" s="143"/>
    </row>
    <row r="73">
      <c r="A73" s="143" t="s">
        <v>792</v>
      </c>
      <c r="B73" s="143"/>
      <c r="C73" s="143"/>
      <c r="D73" s="143"/>
      <c r="E73" s="143"/>
      <c r="F73" s="143"/>
      <c r="G73" s="143"/>
    </row>
    <row r="74">
      <c r="A74" s="144" t="s">
        <v>793</v>
      </c>
      <c r="B74" s="144"/>
      <c r="C74" s="144"/>
      <c r="D74" s="144"/>
      <c r="E74" s="144"/>
      <c r="F74" s="144"/>
      <c r="G74" s="144"/>
    </row>
    <row r="76">
      <c r="A76" s="145" t="s">
        <v>794</v>
      </c>
      <c r="B76" s="145"/>
      <c r="C76" s="145"/>
      <c r="D76" s="145"/>
      <c r="E76" s="145"/>
      <c r="F76" s="145"/>
      <c r="G76" s="145"/>
    </row>
    <row r="78">
      <c r="A78" s="78" t="s">
        <v>178</v>
      </c>
    </row>
    <row r="80">
      <c r="A80" s="78" t="s">
        <v>179</v>
      </c>
    </row>
    <row r="82">
      <c r="A82" t="s">
        <v>784</v>
      </c>
      <c r="B82" t="s">
        <v>785</v>
      </c>
      <c r="C82" s="220" t="n">
        <v>44743</v>
      </c>
      <c r="D82" s="220" t="n">
        <v>44774</v>
      </c>
      <c r="E82" s="220" t="n">
        <v>44805</v>
      </c>
      <c r="F82" s="220" t="n">
        <v>44835</v>
      </c>
      <c r="G82" s="220" t="n">
        <v>44866</v>
      </c>
      <c r="H82" s="220" t="n">
        <v>44896</v>
      </c>
      <c r="I82" s="220" t="n">
        <v>44927</v>
      </c>
      <c r="J82" s="220" t="n">
        <v>44958</v>
      </c>
      <c r="K82" s="220" t="n">
        <v>44986</v>
      </c>
      <c r="L82" s="135" t="n">
        <v>45017</v>
      </c>
      <c r="M82" s="214" t="n">
        <v>45047</v>
      </c>
      <c r="N82" s="115" t="n">
        <v>45078</v>
      </c>
      <c r="O82" s="135" t="n">
        <v>45108</v>
      </c>
      <c r="P82" s="214" t="n">
        <v>45139</v>
      </c>
      <c r="Q82" s="115" t="n">
        <v>45170</v>
      </c>
      <c r="R82" s="135" t="n">
        <v>45200</v>
      </c>
      <c r="S82" s="214" t="n">
        <v>45231</v>
      </c>
      <c r="T82" s="115" t="n">
        <v>45261</v>
      </c>
      <c r="U82" s="135" t="n">
        <v>45292</v>
      </c>
      <c r="V82" s="214" t="n">
        <v>45323</v>
      </c>
      <c r="W82" s="115" t="n">
        <v>45352</v>
      </c>
      <c r="X82" s="135" t="n">
        <v>45383</v>
      </c>
      <c r="Y82" s="214" t="n">
        <v>45413</v>
      </c>
      <c r="Z82" s="115" t="n">
        <v>45444</v>
      </c>
      <c r="AA82" s="135" t="n">
        <v>45474</v>
      </c>
      <c r="AB82" s="214" t="n">
        <v>45505</v>
      </c>
      <c r="AC82" s="115" t="n">
        <v>45536</v>
      </c>
      <c r="AD82" s="135" t="n">
        <v>45566</v>
      </c>
      <c r="AE82" s="214" t="n">
        <v>45597</v>
      </c>
      <c r="AF82" s="115" t="n">
        <v>45627</v>
      </c>
      <c r="AG82" s="135" t="n">
        <v>45658</v>
      </c>
      <c r="AH82" s="214" t="n">
        <v>45689</v>
      </c>
      <c r="AI82" s="115" t="n">
        <v>45717</v>
      </c>
      <c r="AJ82" s="135" t="n">
        <v>45748</v>
      </c>
      <c r="AK82" s="214" t="n">
        <v>45778</v>
      </c>
      <c r="AL82" s="115" t="n">
        <v>45809</v>
      </c>
    </row>
    <row r="83">
      <c r="A83" s="234" t="s">
        <v>1804</v>
      </c>
      <c r="B83" t="s">
        <v>306</v>
      </c>
      <c r="C83" t="n">
        <v>5140</v>
      </c>
      <c r="D83" t="n">
        <v>5146</v>
      </c>
      <c r="E83" t="n">
        <v>5148</v>
      </c>
      <c r="F83" t="n">
        <v>5139</v>
      </c>
      <c r="G83" t="n">
        <v>5162</v>
      </c>
      <c r="H83" t="n">
        <v>5136</v>
      </c>
      <c r="I83" t="n">
        <v>5199</v>
      </c>
      <c r="J83" t="n">
        <v>5219</v>
      </c>
      <c r="K83" t="n">
        <v>5235</v>
      </c>
      <c r="L83" s="200" t="n">
        <v>5251</v>
      </c>
      <c r="M83" s="201" t="n">
        <v>5272</v>
      </c>
      <c r="N83" s="197" t="n">
        <v>5294</v>
      </c>
      <c r="O83" s="200" t="n">
        <v>5303</v>
      </c>
      <c r="P83" s="201" t="n">
        <v>5324</v>
      </c>
      <c r="Q83" s="197" t="n">
        <v>5337</v>
      </c>
      <c r="R83" s="200" t="n">
        <v>5359</v>
      </c>
      <c r="S83" s="201" t="n">
        <v>5366</v>
      </c>
      <c r="T83" s="197" t="n">
        <v>5378</v>
      </c>
      <c r="U83" s="200" t="n">
        <v>5390</v>
      </c>
      <c r="V83" s="201" t="n">
        <v>5404</v>
      </c>
      <c r="W83" s="197" t="n">
        <v>5414</v>
      </c>
      <c r="X83" s="200" t="n">
        <v>5418</v>
      </c>
      <c r="Y83" s="201" t="n">
        <v>5420</v>
      </c>
      <c r="Z83" s="197" t="n">
        <v>5429</v>
      </c>
      <c r="AA83" s="200" t="n">
        <v>5444</v>
      </c>
      <c r="AB83" s="201" t="n">
        <v>5453</v>
      </c>
      <c r="AC83" s="197" t="n">
        <v>5468</v>
      </c>
      <c r="AD83" s="200" t="n">
        <v>5484</v>
      </c>
      <c r="AE83" s="201" t="n">
        <v>5493</v>
      </c>
      <c r="AF83" s="197" t="n">
        <v>5512</v>
      </c>
      <c r="AG83" s="200" t="n">
        <v>5524</v>
      </c>
      <c r="AH83" s="201" t="n">
        <v>5514</v>
      </c>
      <c r="AI83" s="197" t="n">
        <v>5515</v>
      </c>
      <c r="AJ83" s="200" t="n">
        <v>5526</v>
      </c>
      <c r="AK83" s="201" t="n">
        <v>5533</v>
      </c>
      <c r="AL83" s="197" t="n">
        <v>5580</v>
      </c>
    </row>
    <row r="84">
      <c r="A84" t="s">
        <v>308</v>
      </c>
      <c r="B84" t="s">
        <v>307</v>
      </c>
      <c r="C84" t="n">
        <v>14280</v>
      </c>
      <c r="D84" t="n">
        <v>14264</v>
      </c>
      <c r="E84" t="n">
        <v>14269</v>
      </c>
      <c r="F84" t="n">
        <v>14301</v>
      </c>
      <c r="G84" t="n">
        <v>14337</v>
      </c>
      <c r="H84" t="n">
        <v>14364</v>
      </c>
      <c r="I84" t="n">
        <v>14411</v>
      </c>
      <c r="J84" t="n">
        <v>14439</v>
      </c>
      <c r="K84" t="n">
        <v>14453</v>
      </c>
      <c r="L84" s="200" t="n">
        <v>14478</v>
      </c>
      <c r="M84" s="201" t="n">
        <v>14509</v>
      </c>
      <c r="N84" s="197" t="n">
        <v>14565</v>
      </c>
      <c r="O84" s="200" t="n">
        <v>14589</v>
      </c>
      <c r="P84" s="201" t="n">
        <v>14603</v>
      </c>
      <c r="Q84" s="197" t="n">
        <v>14653</v>
      </c>
      <c r="R84" s="200" t="n">
        <v>14693</v>
      </c>
      <c r="S84" s="201" t="n">
        <v>14728</v>
      </c>
      <c r="T84" s="197" t="n">
        <v>14763</v>
      </c>
      <c r="U84" s="200" t="n">
        <v>14786</v>
      </c>
      <c r="V84" s="201" t="n">
        <v>14835</v>
      </c>
      <c r="W84" s="197" t="n">
        <v>14890</v>
      </c>
      <c r="X84" s="200" t="n">
        <v>14877</v>
      </c>
      <c r="Y84" s="201" t="n">
        <v>14905</v>
      </c>
      <c r="Z84" s="197" t="n">
        <v>14915</v>
      </c>
      <c r="AA84" s="200" t="n">
        <v>14946</v>
      </c>
      <c r="AB84" s="201" t="n">
        <v>14973</v>
      </c>
      <c r="AC84" s="197" t="n">
        <v>14986</v>
      </c>
      <c r="AD84" s="200" t="n">
        <v>15012</v>
      </c>
      <c r="AE84" s="201" t="n">
        <v>15022</v>
      </c>
      <c r="AF84" s="197" t="n">
        <v>15036</v>
      </c>
      <c r="AG84" s="200" t="n">
        <v>15053</v>
      </c>
      <c r="AH84" s="201" t="n">
        <v>15071</v>
      </c>
      <c r="AI84" s="197" t="n">
        <v>15087</v>
      </c>
      <c r="AJ84" s="200" t="n">
        <v>15114</v>
      </c>
      <c r="AK84" s="201" t="n">
        <v>15139</v>
      </c>
      <c r="AL84" s="197" t="n">
        <v>15172</v>
      </c>
    </row>
    <row r="85">
      <c r="B85" t="s">
        <v>1796</v>
      </c>
      <c r="C85" t="n">
        <f>'Federal and State Purchases'!V43</f>
        <v>19420</v>
      </c>
      <c r="D85" t="n">
        <f>'Federal and State Purchases'!W43</f>
        <v>19410</v>
      </c>
      <c r="E85" t="n">
        <f>'Federal and State Purchases'!X43</f>
        <v>19417</v>
      </c>
      <c r="F85" t="n">
        <f>'Federal and State Purchases'!Y43</f>
        <v>19440</v>
      </c>
      <c r="G85" t="n">
        <f>'Federal and State Purchases'!Z43</f>
        <v>19499</v>
      </c>
      <c r="H85" t="n">
        <f>'Federal and State Purchases'!AA43</f>
        <v>19500</v>
      </c>
      <c r="I85" t="n">
        <f>'Federal and State Purchases'!AB43</f>
        <v>19610</v>
      </c>
      <c r="J85" t="n">
        <f>'Federal and State Purchases'!AC43</f>
        <v>19658</v>
      </c>
      <c r="K85" t="n">
        <f>'Federal and State Purchases'!AD43</f>
        <v>19688</v>
      </c>
      <c r="L85" s="200" t="n">
        <f>'Federal and State Purchases'!AE43</f>
        <v>19729</v>
      </c>
      <c r="M85" s="201" t="n">
        <f>'Federal and State Purchases'!AF43</f>
        <v>19781</v>
      </c>
      <c r="N85" s="197" t="n">
        <f>'Federal and State Purchases'!AG43</f>
        <v>19859</v>
      </c>
      <c r="O85" s="200" t="n">
        <f>'Federal and State Purchases'!AH43</f>
        <v>19892</v>
      </c>
      <c r="P85" s="201" t="n">
        <f>'Federal and State Purchases'!AI43</f>
        <v>19927</v>
      </c>
      <c r="Q85" s="197" t="n">
        <f>'Federal and State Purchases'!AJ43</f>
        <v>19990</v>
      </c>
      <c r="R85" s="200" t="n">
        <f>'Federal and State Purchases'!AK43</f>
        <v>20052</v>
      </c>
      <c r="S85" s="201" t="n">
        <f>'Federal and State Purchases'!AL43</f>
        <v>20094</v>
      </c>
      <c r="T85" s="197" t="n">
        <f>'Federal and State Purchases'!AM43</f>
        <v>20141</v>
      </c>
      <c r="U85" s="200" t="n">
        <f>'Federal and State Purchases'!AN43</f>
        <v>20176</v>
      </c>
      <c r="V85" s="201" t="n">
        <f>'Federal and State Purchases'!AO43</f>
        <v>20239</v>
      </c>
      <c r="W85" s="197" t="n">
        <f>'Federal and State Purchases'!AP43</f>
        <v>20304</v>
      </c>
      <c r="X85" s="200" t="n">
        <f>'Federal and State Purchases'!AQ43</f>
        <v>20295</v>
      </c>
      <c r="Y85" s="201" t="n">
        <f>'Federal and State Purchases'!AR43</f>
        <v>20325</v>
      </c>
      <c r="Z85" s="197" t="n">
        <f>Z83+Z84</f>
        <v>20344</v>
      </c>
      <c r="AA85" s="200" t="n">
        <f t="shared" ref="AA85:AL85" si="0">AA83+AA84</f>
        <v>20390</v>
      </c>
      <c r="AB85" s="201" t="n">
        <f t="shared" si="0"/>
        <v>20426</v>
      </c>
      <c r="AC85" s="197" t="n">
        <f t="shared" si="0"/>
        <v>20454</v>
      </c>
      <c r="AD85" s="200" t="n">
        <f t="shared" si="0"/>
        <v>20496</v>
      </c>
      <c r="AE85" s="201" t="n">
        <f t="shared" si="0"/>
        <v>20515</v>
      </c>
      <c r="AF85" s="197" t="n">
        <f t="shared" si="0"/>
        <v>20548</v>
      </c>
      <c r="AG85" s="200" t="n">
        <f t="shared" si="0"/>
        <v>20577</v>
      </c>
      <c r="AH85" s="201" t="n">
        <f t="shared" si="0"/>
        <v>20585</v>
      </c>
      <c r="AI85" s="197" t="n">
        <f>AI83+AI84</f>
        <v>20602</v>
      </c>
      <c r="AJ85" s="200" t="n">
        <f t="shared" si="0"/>
        <v>20640</v>
      </c>
      <c r="AK85" s="201" t="n">
        <f t="shared" si="0"/>
        <v>20672</v>
      </c>
      <c r="AL85" s="197" t="n">
        <f t="shared" si="0"/>
        <v>20752</v>
      </c>
    </row>
    <row r="86">
      <c r="A86" t="s">
        <v>310</v>
      </c>
      <c r="B86" t="s">
        <v>309</v>
      </c>
      <c r="C86" t="n">
        <v>350972</v>
      </c>
      <c r="D86" t="n">
        <v>350286</v>
      </c>
      <c r="E86" t="n">
        <v>355116</v>
      </c>
      <c r="F86" t="n">
        <v>354474</v>
      </c>
      <c r="G86" t="n">
        <v>359543</v>
      </c>
      <c r="H86" t="n">
        <v>361033</v>
      </c>
      <c r="I86" t="n">
        <v>364867</v>
      </c>
      <c r="J86" t="n">
        <v>371673</v>
      </c>
      <c r="K86" t="n">
        <v>374555</v>
      </c>
      <c r="L86" t="n">
        <v>382073</v>
      </c>
      <c r="M86" t="n">
        <v>388978</v>
      </c>
      <c r="N86" t="n">
        <v>396538</v>
      </c>
      <c r="O86" t="n">
        <v>404059</v>
      </c>
      <c r="P86" t="n">
        <v>407847</v>
      </c>
      <c r="Q86" t="n">
        <v>418897</v>
      </c>
      <c r="R86" t="n">
        <v>432334</v>
      </c>
      <c r="S86" t="n">
        <v>440095</v>
      </c>
      <c r="T86" t="n">
        <v>446894</v>
      </c>
      <c r="U86" t="n">
        <v>445408</v>
      </c>
      <c r="V86" t="n">
        <v>448458</v>
      </c>
      <c r="W86" t="n">
        <v>453062</v>
      </c>
      <c r="X86" t="n">
        <v>451154</v>
      </c>
      <c r="Y86" t="n">
        <v>450559</v>
      </c>
      <c r="Z86" t="n">
        <v>452201</v>
      </c>
      <c r="AA86" t="n">
        <v>456588</v>
      </c>
      <c r="AB86" t="n">
        <v>458308</v>
      </c>
      <c r="AC86" t="n">
        <v>466887</v>
      </c>
      <c r="AD86" t="n">
        <v>468844</v>
      </c>
      <c r="AE86" t="n">
        <v>469357</v>
      </c>
      <c r="AF86" t="n">
        <v>469232</v>
      </c>
      <c r="AG86" t="n">
        <v>468748</v>
      </c>
    </row>
    <row r="87">
      <c r="C87" s="89"/>
      <c r="D87" s="89"/>
      <c r="E87" s="89"/>
      <c r="F87" s="89"/>
      <c r="G87" s="89"/>
      <c r="H87" s="89"/>
      <c r="I87" s="89"/>
      <c r="J87" s="89"/>
      <c r="K87" s="89"/>
      <c r="L87" s="89"/>
      <c r="M87" s="89"/>
      <c r="N87" s="89"/>
      <c r="O87" s="89"/>
      <c r="P87" s="89"/>
      <c r="Q87" s="89"/>
      <c r="R87" s="89"/>
      <c r="S87" s="89"/>
      <c r="T87" s="89"/>
      <c r="U87" s="89"/>
      <c r="V87" s="89"/>
      <c r="W87" s="89"/>
      <c r="X87" s="89"/>
      <c r="Y87" s="89"/>
      <c r="Z87" s="89"/>
    </row>
    <row r="88">
      <c r="A88" s="101"/>
    </row>
    <row r="89" ht="16.5" customHeight="1">
      <c r="A89" s="101"/>
      <c r="B89" t="s">
        <v>1828</v>
      </c>
      <c r="I89" t="n">
        <v>119.00700000000001</v>
      </c>
      <c r="J89" t="n">
        <v>119.401</v>
      </c>
      <c r="K89" t="n">
        <v>119.553</v>
      </c>
      <c r="L89" t="n">
        <v>119.97</v>
      </c>
      <c r="M89" t="n">
        <v>120.14</v>
      </c>
      <c r="N89" t="n">
        <v>120.435</v>
      </c>
      <c r="O89" t="n">
        <v>120.598</v>
      </c>
      <c r="P89" t="n">
        <v>120.965</v>
      </c>
      <c r="Q89" t="n">
        <v>121.387</v>
      </c>
      <c r="R89" t="n">
        <v>121.42100000000001</v>
      </c>
      <c r="S89" t="n">
        <v>121.41500000000001</v>
      </c>
      <c r="T89" t="n">
        <v>121.602</v>
      </c>
      <c r="U89" s="159" t="n">
        <v>122.11499999999999</v>
      </c>
      <c r="V89" s="159" t="n">
        <v>122.494</v>
      </c>
      <c r="W89" s="159" t="n">
        <v>122.91200000000001</v>
      </c>
      <c r="X89" s="159" t="n">
        <v>123.23399999999999</v>
      </c>
      <c r="Y89" s="159" t="n">
        <v>123.224</v>
      </c>
      <c r="Z89" s="159" t="n">
        <v>123.369</v>
      </c>
      <c r="AA89" s="159" t="n">
        <v>123.575</v>
      </c>
      <c r="AB89" s="159" t="n">
        <v>123.727</v>
      </c>
      <c r="AC89" s="159" t="n">
        <v>123.93899999999999</v>
      </c>
      <c r="AD89" s="159" t="n">
        <v>124.265</v>
      </c>
      <c r="AE89" s="159" t="n">
        <v>124.399</v>
      </c>
      <c r="AF89" s="159" t="n">
        <v>124.76900000000001</v>
      </c>
      <c r="AG89" s="159" t="n">
        <v>125.239</v>
      </c>
      <c r="AH89" s="159" t="n">
        <v>125.77200000000001</v>
      </c>
      <c r="AI89" s="159" t="n">
        <v>125.791</v>
      </c>
      <c r="AJ89" s="159" t="n">
        <v>125.99</v>
      </c>
      <c r="AK89" s="159" t="n">
        <v>126.20099999999999</v>
      </c>
      <c r="AL89" t="n">
        <v>126.55500000000001</v>
      </c>
    </row>
    <row r="90" ht="72.650000000000006" customHeight="1">
      <c r="A90" s="101"/>
      <c r="B90" s="202" t="s">
        <v>1827</v>
      </c>
      <c r="AB90" s="177" t="n">
        <f>(AB89/Y89)^4-1</f>
        <v>1.6428236597993751E-2</v>
      </c>
      <c r="AC90" s="177" t="n">
        <f t="shared" ref="AC90" si="1">(AC89/Z89)^4-1</f>
        <v>1.8609619141146228E-2</v>
      </c>
      <c r="AD90" s="177" t="n">
        <f t="shared" ref="AD90:AH90" si="2">(AD89/AA89)^4-1</f>
        <v>2.2522375037620002E-2</v>
      </c>
      <c r="AE90" s="177" t="n">
        <f t="shared" si="2"/>
        <v>2.1902886624113549E-2</v>
      </c>
      <c r="AF90" s="177" t="n">
        <f t="shared" si="2"/>
        <v>2.7057660791266036E-2</v>
      </c>
      <c r="AG90" s="177" t="n">
        <f t="shared" si="2"/>
        <v>3.1722895491297809E-2</v>
      </c>
      <c r="AH90" s="177" t="n">
        <f t="shared" si="2"/>
        <v>4.4884558682197762E-2</v>
      </c>
      <c r="AI90" s="177" t="n">
        <f>(AI89/AF89)^4-1</f>
        <v>3.3169320090469689E-2</v>
      </c>
      <c r="AJ90" s="177" t="n">
        <f>(AJ89/AG89)^4-1</f>
        <v>2.4202752865122967E-2</v>
      </c>
      <c r="AK90" s="177" t="n">
        <f>(AK89/AH89)^4-1</f>
        <v>1.3713701985151205E-2</v>
      </c>
      <c r="AL90" s="177" t="n">
        <f>(AL89/AI89)^4-1</f>
        <v>2.4516492676284418E-2</v>
      </c>
      <c r="AM90" s="185" t="n">
        <f>Deflators!AE12</f>
        <v>2.3874932014508632E-2</v>
      </c>
    </row>
    <row r="91">
      <c r="AB91" s="177" t="n">
        <f t="shared" ref="AB91:AI91" si="3">AB90-AA90</f>
        <v>1.6428236597993751E-2</v>
      </c>
      <c r="AC91" s="177" t="n">
        <f t="shared" si="3"/>
        <v>2.1813825431524769E-3</v>
      </c>
      <c r="AD91" s="177" t="n">
        <f t="shared" si="3"/>
        <v>3.9127558964737741E-3</v>
      </c>
      <c r="AE91" s="177" t="n">
        <f t="shared" si="3"/>
        <v>-6.1948841350645267E-4</v>
      </c>
      <c r="AF91" s="177" t="n">
        <f t="shared" si="3"/>
        <v>5.1547741671524872E-3</v>
      </c>
      <c r="AG91" s="177" t="n">
        <f t="shared" si="3"/>
        <v>4.6652347000317729E-3</v>
      </c>
      <c r="AH91" s="177" t="n">
        <f t="shared" si="3"/>
        <v>1.3161663190899953E-2</v>
      </c>
      <c r="AI91" s="177" t="n">
        <f t="shared" si="3"/>
        <v>-1.1715238591728072E-2</v>
      </c>
      <c r="AJ91" s="177" t="n">
        <f>AJ90-AI90</f>
        <v>-8.9665672253467221E-3</v>
      </c>
      <c r="AK91" s="177" t="n">
        <f>AK90-AJ90</f>
        <v>-1.0489050879971762E-2</v>
      </c>
      <c r="AL91" s="177"/>
    </row>
    <row r="92">
      <c r="AB92" t="n">
        <f t="shared" ref="AB92:AI92" si="4">(AB89/AA89)^12-1</f>
        <v>1.4860532605712073E-2</v>
      </c>
      <c r="AC92" t="n">
        <f t="shared" si="4"/>
        <v>2.0756278333904365E-2</v>
      </c>
      <c r="AD92" t="n">
        <f t="shared" si="4"/>
        <v>3.2024570562052768E-2</v>
      </c>
      <c r="AE92" t="n">
        <f t="shared" si="4"/>
        <v>1.3017110271217547E-2</v>
      </c>
      <c r="AF92" t="n">
        <f t="shared" si="4"/>
        <v>3.628129937393143E-2</v>
      </c>
      <c r="AG92" t="n">
        <f t="shared" si="4"/>
        <v>4.6151935960390578E-2</v>
      </c>
      <c r="AH92" t="n">
        <f t="shared" si="4"/>
        <v>5.2282891703768319E-2</v>
      </c>
      <c r="AI92" t="n">
        <f t="shared" si="4"/>
        <v>1.8143110824007103E-3</v>
      </c>
      <c r="AJ92" t="n">
        <f>(AJ89/AI89)^12-1</f>
        <v>1.9149921731614894E-2</v>
      </c>
      <c r="AK92" t="n">
        <f>(AK89/AJ89)^12-1</f>
        <v>2.0282983274734656E-2</v>
      </c>
    </row>
    <row r="93">
      <c r="W93" s="172"/>
      <c r="X93" s="172"/>
      <c r="Y93" s="172"/>
      <c r="Z93" s="172"/>
      <c r="AA93" s="172"/>
      <c r="AB93" s="172"/>
      <c r="AC93" s="172"/>
      <c r="AD93" s="172"/>
      <c r="AE93" s="172"/>
      <c r="AF93" s="172"/>
      <c r="AG93" s="172"/>
      <c r="AH93" s="172"/>
      <c r="AI93" s="172"/>
      <c r="AJ93" s="172"/>
      <c r="AK93" s="172"/>
    </row>
  </sheetData>
  <mergeCells count="23">
    <mergeCell ref="A72:G72"/>
    <mergeCell ref="A73:G73"/>
    <mergeCell ref="A74:G74"/>
    <mergeCell ref="A76:G76"/>
    <mergeCell ref="A66:J66"/>
    <mergeCell ref="A67:J67"/>
    <mergeCell ref="A68:J68"/>
    <mergeCell ref="A69:G69"/>
    <mergeCell ref="A70:G70"/>
    <mergeCell ref="A71:G71"/>
    <mergeCell ref="A65:J65"/>
    <mergeCell ref="A2:J2"/>
    <mergeCell ref="A4:C4"/>
    <mergeCell ref="A5:A7"/>
    <mergeCell ref="B5:B7"/>
    <mergeCell ref="C5:J5"/>
    <mergeCell ref="C6:H6"/>
    <mergeCell ref="I6:K6"/>
    <mergeCell ref="A60:J60"/>
    <mergeCell ref="A61:J61"/>
    <mergeCell ref="A62:J62"/>
    <mergeCell ref="A63:J63"/>
    <mergeCell ref="A64:J64"/>
  </mergeCells>
  <hyperlinks>
    <hyperlink ref="A74:G74" r:id="rId1h" display="2. Interest payments due on certain categories of federally-held student loans were initially suspended by the CARES Act. For more information, see &quot;How does the federal response to the COVID-19 pandemic affect BEA's estimate of personal interest payments?&quot;."/>
    <hyperlink ref="A76:G76" r:id="rId2h"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hyperlink ref="A69" r:id="rId3h" display="5. Unemployment insurance benefits were expanded through several programs that were initially established through the CARES Act. For more information, see How will the expansion of unemployment benefits in response to the COVID-19 pandemic be recorded in the NIPAs?"/>
    <hyperlink ref="A71:G71" r:id="rId4h" display="4. Economic impact payments, initially established by the CARES Act, provide direct payments to individuals. For more information, see &quot;How are federal economic impact payments to support individuals during the COVID-19 pandemic recorded in the NIPAs?&quot;."/>
    <hyperlink ref="C74:H74" r:id="rId5h" display="2. Interest payments due on certain categories of federally-held student loans were initially suspended by the CARES Act. For more information, see &quot;How does the federal response to the COVID-19 pandemic affect BEA's estimate of personal interest payments?&quot;."/>
    <hyperlink ref="C76:H76" r:id="rId6h"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hyperlink ref="C71:H71" r:id="rId7h" display="4. Economic impact payments, initially established by the CARES Act, provide direct payments to individuals. For more information, see &quot;How are federal economic impact payments to support individuals during the COVID-19 pandemic recorded in the NIPAs?&quot;."/>
    <hyperlink ref="A83" r:id="rId8h"/>
    <hyperlink ref="B90" r:id="rId9h"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location="eyJhcHBpZCI6MTksInN0ZXBzIjpbMSwyLDNdLCJkYXRhIjpbWyJOSVBBX1RhYmxlX0xpc3QiLCI4MSJdLFsiQ2F0ZWdvcmllcyIsIlN1cnZleSJdXX0="/>
  </hyperlinks>
  <pageMargins left="0.7" right="0.7" top="0.75" bottom="0.75" header="0.3" footer="0.3"/>
  <pageSetup paperSize="9" orientation="portrait" horizontalDpi="300" verticalDpi="300"/>
  <drawing r:id="rId1"/>
  <legacyDrawing r:id="rIdvml"/>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selection activeCell="C19" sqref="C19"/>
    </sheetView>
  </sheetViews>
  <sheetFormatPr defaultRowHeight="15.0" baseColWidth="10"/>
  <cols>
    <col min="1" max="1" width="41.1796875" hidden="0" customWidth="1"/>
    <col min="2" max="2" width="23.453125" hidden="0" customWidth="1"/>
  </cols>
  <sheetData>
    <row r="1">
      <c r="A1" s="86" t="s">
        <v>111</v>
      </c>
      <c r="B1" s="86" t="s">
        <v>112</v>
      </c>
      <c r="C1" s="92" t="s">
        <v>676</v>
      </c>
      <c r="D1" s="92" t="s">
        <v>677</v>
      </c>
      <c r="E1" s="92" t="s">
        <v>1057</v>
      </c>
      <c r="F1" s="92" t="s">
        <v>1058</v>
      </c>
      <c r="G1" s="92" t="s">
        <v>1059</v>
      </c>
      <c r="H1" s="92" t="s">
        <v>1060</v>
      </c>
      <c r="I1" s="92" t="s">
        <v>1061</v>
      </c>
      <c r="J1" s="92" t="s">
        <v>1062</v>
      </c>
    </row>
    <row r="2">
      <c r="A2" t="s">
        <v>125</v>
      </c>
      <c r="B2" t="s">
        <v>126</v>
      </c>
      <c r="C2" s="96" t="n">
        <f>Grants!AE73</f>
        <v>158.69862653211933</v>
      </c>
      <c r="D2" s="96" t="n">
        <f>Grants!AF73</f>
        <v>154.92704815110517</v>
      </c>
      <c r="E2" s="96" t="n">
        <f>Grants!AG73</f>
        <v>155.16843423792824</v>
      </c>
      <c r="F2" s="96" t="n">
        <f>Grants!AH73</f>
        <v>152.6091988</v>
      </c>
      <c r="G2" s="96" t="n">
        <f>Grants!AI73</f>
        <v>153.85536527340412</v>
      </c>
      <c r="H2" s="96" t="n">
        <f>Grants!AJ73</f>
        <v>153.10395732514939</v>
      </c>
      <c r="I2" s="96" t="n">
        <f>Grants!AK73</f>
        <v>153.35499885544536</v>
      </c>
      <c r="J2" s="96" t="n">
        <f>Grants!AL73</f>
        <v>153.60851400000001</v>
      </c>
    </row>
    <row r="3">
      <c r="A3" t="s">
        <v>92</v>
      </c>
      <c r="B3" t="s">
        <v>127</v>
      </c>
      <c r="C3" s="96" t="n">
        <f>Grants!AE94</f>
        <v>5.8262857142857154</v>
      </c>
      <c r="D3" s="96" t="n">
        <f>Grants!AF94</f>
        <v>5.8262857142857154</v>
      </c>
      <c r="E3" s="96" t="n">
        <f>Grants!AG94</f>
        <v>5.8262857142857154</v>
      </c>
      <c r="F3" s="96" t="n">
        <f>Grants!AH94</f>
        <v>5.8262857142857154</v>
      </c>
      <c r="G3" s="96" t="n">
        <f>Grants!AI94</f>
        <v>5.8262857142857154</v>
      </c>
      <c r="H3" s="96" t="n">
        <f>Grants!AJ94</f>
        <v>5.8262857142857154</v>
      </c>
      <c r="I3" s="96" t="n">
        <f>Grants!AK94</f>
        <v>5.8262857142857154</v>
      </c>
      <c r="J3" s="96" t="n">
        <f>Grants!AL94</f>
        <v>5.8262857142857154</v>
      </c>
    </row>
    <row r="4">
      <c r="A4" t="s">
        <v>128</v>
      </c>
      <c r="B4" t="s">
        <v>129</v>
      </c>
      <c r="C4" s="96" t="n">
        <f>'Federal and State Purchases'!AE14</f>
        <v>187.29991626105615</v>
      </c>
      <c r="D4" s="96" t="n">
        <f>'Federal and State Purchases'!AF14</f>
        <v>188.42245773800178</v>
      </c>
      <c r="E4" s="96" t="n">
        <f>'Federal and State Purchases'!AG14</f>
        <v>191.80943633223424</v>
      </c>
      <c r="F4" s="96" t="n">
        <f>'Federal and State Purchases'!AH14</f>
        <v>193.29970691369655</v>
      </c>
      <c r="G4" s="96" t="n">
        <f>'Federal and State Purchases'!AI14</f>
        <v>194.96416496571939</v>
      </c>
      <c r="H4" s="96" t="n">
        <f>'Federal and State Purchases'!AJ14</f>
        <v>195.95122729889573</v>
      </c>
      <c r="I4" s="96" t="n">
        <f>'Federal and State Purchases'!AK14</f>
        <v>196.8802271418852</v>
      </c>
      <c r="J4" s="96" t="n">
        <f>'Federal and State Purchases'!AL14</f>
        <v>197.9543832103418</v>
      </c>
    </row>
    <row r="5">
      <c r="A5" t="s">
        <v>130</v>
      </c>
      <c r="B5" t="s">
        <v>131</v>
      </c>
      <c r="C5" s="96" t="n">
        <f>'Federal and State Purchases'!AE35</f>
        <v>220.59777539671381</v>
      </c>
      <c r="D5" s="96" t="n">
        <f>'Federal and State Purchases'!AF35</f>
        <v>222.67013486241746</v>
      </c>
      <c r="E5" s="96" t="n">
        <f>'Federal and State Purchases'!AG35</f>
        <v>224.80146546822237</v>
      </c>
      <c r="F5" s="96" t="n">
        <f>'Federal and State Purchases'!AH35</f>
        <v>226.78862049537324</v>
      </c>
      <c r="G5" s="96" t="n">
        <f>'Federal and State Purchases'!AI35</f>
        <v>228.81321771913983</v>
      </c>
      <c r="H5" s="96" t="n">
        <f>'Federal and State Purchases'!AJ35</f>
        <v>230.78902206597965</v>
      </c>
      <c r="I5" s="96" t="n">
        <f>'Federal and State Purchases'!AK35</f>
        <v>232.72170014770899</v>
      </c>
      <c r="J5" s="96" t="n">
        <f>'Federal and State Purchases'!AL35</f>
        <v>234.70800426742682</v>
      </c>
    </row>
    <row r="6">
      <c r="A6" t="s">
        <v>132</v>
      </c>
      <c r="B6" t="s">
        <v>133</v>
      </c>
      <c r="C6" s="96" t="n">
        <f>Subsidies!AE46</f>
        <v>5.8010000000000002</v>
      </c>
      <c r="D6" s="96" t="n">
        <f>Subsidies!AF46</f>
        <v>10.14</v>
      </c>
      <c r="E6" s="96" t="n">
        <f>Subsidies!AG46</f>
        <v>7.99</v>
      </c>
      <c r="F6" s="96" t="n">
        <f>Subsidies!AH46</f>
        <v>7.99</v>
      </c>
      <c r="G6" s="96" t="n">
        <f>Subsidies!AI46</f>
        <v>7.99</v>
      </c>
      <c r="H6" s="96" t="n">
        <f>Subsidies!AJ46</f>
        <v>7.99</v>
      </c>
      <c r="I6" s="96" t="n">
        <f>Subsidies!AK46</f>
        <v>7.99</v>
      </c>
      <c r="J6" s="96" t="n">
        <f>Subsidies!AL46</f>
        <v>7.99</v>
      </c>
    </row>
    <row r="7">
      <c r="A7" t="s">
        <v>134</v>
      </c>
      <c r="B7" t="s">
        <v>135</v>
      </c>
      <c r="C7" s="96" t="n">
        <f>Subsidies!AE45</f>
        <v>-0.90100000000000025</v>
      </c>
      <c r="D7" s="96" t="n">
        <f>Subsidies!AF45</f>
        <v>-2.1500000000000004</v>
      </c>
      <c r="E7" s="96" t="n">
        <f>Subsidies!AG45</f>
        <v>0</v>
      </c>
      <c r="F7" s="96" t="n">
        <f>Subsidies!AH45</f>
        <v>0</v>
      </c>
      <c r="G7" s="96" t="n">
        <f>Subsidies!AI45</f>
        <v>0</v>
      </c>
      <c r="H7" s="96" t="n">
        <f>Subsidies!AJ45</f>
        <v>0</v>
      </c>
      <c r="I7" s="96" t="n">
        <f>Subsidies!AK45</f>
        <v>0</v>
      </c>
      <c r="J7" s="96" t="n">
        <f>Subsidies!AL45</f>
        <v>0</v>
      </c>
    </row>
    <row r="8">
      <c r="A8" t="s">
        <v>136</v>
      </c>
      <c r="B8" t="s">
        <v>137</v>
      </c>
      <c r="C8" s="96" t="n">
        <f>'Unemployment Insurance'!AE20</f>
        <v>0</v>
      </c>
      <c r="D8" s="96" t="n">
        <f>'Unemployment Insurance'!AF20</f>
        <v>0</v>
      </c>
      <c r="E8" s="96" t="n">
        <f>'Unemployment Insurance'!AG20</f>
        <v>0</v>
      </c>
      <c r="F8" s="96" t="n">
        <f>'Unemployment Insurance'!AH20</f>
        <v>0</v>
      </c>
      <c r="G8" s="96" t="n">
        <f>'Unemployment Insurance'!AI20</f>
        <v>0</v>
      </c>
      <c r="H8" s="96" t="n">
        <f>'Unemployment Insurance'!AJ20</f>
        <v>0</v>
      </c>
      <c r="I8" s="96" t="n">
        <f>'Unemployment Insurance'!AK20</f>
        <v>0</v>
      </c>
      <c r="J8" s="96" t="n">
        <f>'Unemployment Insurance'!AL20</f>
        <v>0</v>
      </c>
    </row>
    <row r="9">
      <c r="A9" t="s">
        <v>138</v>
      </c>
      <c r="B9" t="s">
        <v>139</v>
      </c>
      <c r="C9" s="96" t="n">
        <f>'Unemployment Insurance'!AE21</f>
        <v>35.700000000000003</v>
      </c>
      <c r="D9" s="96" t="n">
        <f>'Unemployment Insurance'!AF21</f>
        <v>35.700000000000003</v>
      </c>
      <c r="E9" s="96" t="n">
        <f>'Unemployment Insurance'!AG21</f>
        <v>35.700000000000003</v>
      </c>
      <c r="F9" s="96" t="n">
        <f>'Unemployment Insurance'!AH21</f>
        <v>35.700000000000003</v>
      </c>
      <c r="G9" s="96" t="n">
        <f>'Unemployment Insurance'!AI21</f>
        <v>35.700000000000003</v>
      </c>
      <c r="H9" s="96" t="n">
        <f>'Unemployment Insurance'!AJ21</f>
        <v>35.700000000000003</v>
      </c>
      <c r="I9" s="96" t="n">
        <f>'Unemployment Insurance'!AK21</f>
        <v>36.700000000000003</v>
      </c>
      <c r="J9" s="96" t="n">
        <f>'Unemployment Insurance'!AL21</f>
        <v>37.700000000000003</v>
      </c>
    </row>
    <row r="10">
      <c r="A10" s="78" t="s">
        <v>140</v>
      </c>
      <c r="B10" s="78" t="s">
        <v>141</v>
      </c>
      <c r="C10" s="96" t="e">
        <f>Medicaid!AE28</f>
        <v>#DIV/0!</v>
      </c>
      <c r="D10" s="96" t="e">
        <f>Medicaid!AF28</f>
        <v>#DIV/0!</v>
      </c>
      <c r="E10" s="96" t="e">
        <f>Medicaid!AG28</f>
        <v>#DIV/0!</v>
      </c>
      <c r="F10" s="96" t="e">
        <f>Medicaid!AH28</f>
        <v>#DIV/0!</v>
      </c>
      <c r="G10" s="96" t="e">
        <f>Medicaid!AI28</f>
        <v>#DIV/0!</v>
      </c>
      <c r="H10" s="96" t="e">
        <f>Medicaid!AJ28</f>
        <v>#DIV/0!</v>
      </c>
      <c r="I10" s="96" t="e">
        <f>Medicaid!AK28</f>
        <v>#DIV/0!</v>
      </c>
      <c r="J10" s="96" t="e">
        <f>Medicaid!AL28</f>
        <v>#DIV/0!</v>
      </c>
    </row>
    <row r="11">
      <c r="A11" s="78" t="s">
        <v>142</v>
      </c>
      <c r="B11" s="78" t="s">
        <v>143</v>
      </c>
      <c r="C11" s="96" t="e">
        <f>Medicaid!AE26</f>
        <v>#DIV/0!</v>
      </c>
      <c r="D11" s="96" t="e">
        <f>Medicaid!AF26</f>
        <v>#DIV/0!</v>
      </c>
      <c r="E11" s="96" t="e">
        <f>Medicaid!AG26</f>
        <v>#DIV/0!</v>
      </c>
      <c r="F11" s="96" t="e">
        <f>Medicaid!AH26</f>
        <v>#DIV/0!</v>
      </c>
      <c r="G11" s="96" t="e">
        <f>Medicaid!AI26</f>
        <v>#DIV/0!</v>
      </c>
      <c r="H11" s="96" t="e">
        <f>Medicaid!AJ26</f>
        <v>#DIV/0!</v>
      </c>
      <c r="I11" s="96" t="e">
        <f>Medicaid!AK26</f>
        <v>#DIV/0!</v>
      </c>
      <c r="J11" s="96" t="e">
        <f>Medicaid!AL26</f>
        <v>#DIV/0!</v>
      </c>
    </row>
    <row r="12">
      <c r="A12" t="s">
        <v>46</v>
      </c>
      <c r="B12" t="s">
        <v>144</v>
      </c>
      <c r="C12" s="96" t="n">
        <f>Medicare!AE10</f>
        <v>19.444513501822815</v>
      </c>
      <c r="D12" s="96" t="n">
        <f>Medicare!AF10</f>
        <v>19.73550058158127</v>
      </c>
      <c r="E12" s="96" t="n">
        <f>Medicare!AG10</f>
        <v>20.030842282018636</v>
      </c>
      <c r="F12" s="96" t="n">
        <f>Medicare!AH10</f>
        <v>20.330603770018858</v>
      </c>
      <c r="G12" s="96" t="n">
        <f>Medicare!AI10</f>
        <v>20.634851187688085</v>
      </c>
      <c r="H12" s="96" t="n">
        <f>Medicare!AJ10</f>
        <v>20.946315392672279</v>
      </c>
      <c r="I12" s="96" t="n">
        <f>Medicare!AK10</f>
        <v>21.262480864949563</v>
      </c>
      <c r="J12" s="96" t="n">
        <f>Medicare!AL10</f>
        <v>21.583418565849705</v>
      </c>
    </row>
    <row r="13">
      <c r="A13" t="s">
        <v>145</v>
      </c>
      <c r="B13" t="s">
        <v>146</v>
      </c>
      <c r="C13" s="96" t="n">
        <f>'Rebate Checks (expired)'!AE11</f>
        <v>0</v>
      </c>
      <c r="D13" s="96" t="n">
        <f>'Rebate Checks (expired)'!AF11</f>
        <v>0</v>
      </c>
      <c r="E13" s="96" t="n">
        <f>'Rebate Checks (expired)'!AG11</f>
        <v>0</v>
      </c>
      <c r="F13" s="96" t="n">
        <f>'Rebate Checks (expired)'!AH11</f>
        <v>0</v>
      </c>
      <c r="G13" s="96" t="n">
        <f>'Rebate Checks (expired)'!AI11</f>
        <v>0</v>
      </c>
      <c r="H13" s="96" t="n">
        <f>'Rebate Checks (expired)'!AJ11</f>
        <v>0</v>
      </c>
      <c r="I13" s="96" t="n">
        <f>'Rebate Checks (expired)'!AK11</f>
        <v>0</v>
      </c>
      <c r="J13" s="96" t="n">
        <f>'Rebate Checks (expired)'!AL11</f>
        <v>0</v>
      </c>
    </row>
    <row r="14">
      <c r="A14" t="s">
        <v>147</v>
      </c>
      <c r="B14" t="s">
        <v>148</v>
      </c>
      <c r="C14" s="96" t="n">
        <f>'Rebate Checks (expired)'!AE10</f>
        <v>0</v>
      </c>
      <c r="D14" s="96" t="n">
        <f>'Rebate Checks (expired)'!AF10</f>
        <v>0</v>
      </c>
      <c r="E14" s="96" t="n">
        <f>'Rebate Checks (expired)'!AG10</f>
        <v>0</v>
      </c>
      <c r="F14" s="96" t="n">
        <f>'Rebate Checks (expired)'!AH10</f>
        <v>0</v>
      </c>
      <c r="G14" s="96" t="n">
        <f>'Rebate Checks (expired)'!AI10</f>
        <v>0</v>
      </c>
      <c r="H14" s="96" t="n">
        <f>'Rebate Checks (expired)'!AJ10</f>
        <v>0</v>
      </c>
      <c r="I14" s="96" t="n">
        <f>'Rebate Checks (expired)'!AK10</f>
        <v>0</v>
      </c>
      <c r="J14" s="96" t="n">
        <f>'Rebate Checks (expired)'!AL10</f>
        <v>0</v>
      </c>
    </row>
    <row r="15">
      <c r="A15" t="s">
        <v>149</v>
      </c>
      <c r="B15" t="s">
        <v>150</v>
      </c>
      <c r="C15" s="96" t="n">
        <f>'Social Benefits'!AE22</f>
        <v>2.3719999999999999</v>
      </c>
      <c r="D15" s="96" t="n">
        <f>'Social Benefits'!AF22</f>
        <v>0.49</v>
      </c>
      <c r="E15" s="96" t="n">
        <f>'Social Benefits'!AG22</f>
        <v>0</v>
      </c>
      <c r="F15" s="96" t="n">
        <f>'Social Benefits'!AH22</f>
        <v>0</v>
      </c>
      <c r="G15" s="96" t="n">
        <f>'Social Benefits'!AI22</f>
        <v>0</v>
      </c>
      <c r="H15" s="96" t="n">
        <f>'Social Benefits'!AJ22</f>
        <v>0</v>
      </c>
      <c r="I15" s="96" t="n">
        <f>'Social Benefits'!AK22</f>
        <v>0</v>
      </c>
      <c r="J15" s="96" t="n">
        <f>'Social Benefits'!AL22</f>
        <v>0</v>
      </c>
    </row>
    <row r="16">
      <c r="A16" t="s">
        <v>707</v>
      </c>
      <c r="B16" t="s">
        <v>152</v>
      </c>
      <c r="C16" s="96" t="n">
        <f>'Social Benefits'!AE27</f>
        <v>1.63</v>
      </c>
      <c r="D16" s="96" t="n">
        <f>'Social Benefits'!AF27</f>
        <v>1.671</v>
      </c>
      <c r="E16" s="96" t="n">
        <f>'Social Benefits'!AG27</f>
        <v>0</v>
      </c>
      <c r="F16" s="96" t="n">
        <f>'Social Benefits'!AH27</f>
        <v>0</v>
      </c>
      <c r="G16" s="96" t="n">
        <f>'Social Benefits'!AI27</f>
        <v>0</v>
      </c>
      <c r="H16" s="96" t="n">
        <f>'Social Benefits'!AJ27</f>
        <v>0</v>
      </c>
      <c r="I16" s="96" t="n">
        <f>'Social Benefits'!AK27</f>
        <v>0</v>
      </c>
      <c r="J16" s="96" t="n">
        <f>'Social Benefits'!AL27</f>
        <v>0</v>
      </c>
    </row>
    <row r="17">
      <c r="A17" t="s">
        <v>153</v>
      </c>
      <c r="B17" t="s">
        <v>154</v>
      </c>
      <c r="C17" s="96" t="n">
        <f>'Social Benefits'!AE30</f>
        <v>109.97340500000004</v>
      </c>
      <c r="D17" s="96" t="n">
        <f>'Social Benefits'!AF30</f>
        <v>98.648187025000027</v>
      </c>
      <c r="E17" s="96" t="n">
        <f>'Social Benefits'!AG30</f>
        <v>113.68425096012503</v>
      </c>
      <c r="F17" s="96" t="n">
        <f>'Social Benefits'!AH30</f>
        <v>125.82977767492565</v>
      </c>
      <c r="G17" s="96" t="n">
        <f>'Social Benefits'!AI30</f>
        <v>139.70267202330029</v>
      </c>
      <c r="H17" s="96" t="n">
        <f>'Social Benefits'!AJ30</f>
        <v>145.41993084341678</v>
      </c>
      <c r="I17" s="96" t="n">
        <f>'Social Benefits'!AK30</f>
        <v>162.6991828416339</v>
      </c>
      <c r="J17" s="96" t="n">
        <f>'Social Benefits'!AL30</f>
        <v>176.57016105642205</v>
      </c>
    </row>
    <row r="18">
      <c r="A18" t="s">
        <v>155</v>
      </c>
      <c r="B18" t="s">
        <v>156</v>
      </c>
      <c r="C18" s="96" t="n">
        <f>'Social Benefits'!AE34</f>
        <v>-91.163663139575235</v>
      </c>
      <c r="D18" s="96" t="n">
        <f>'Social Benefits'!AF34</f>
        <v>-95.691486953160634</v>
      </c>
      <c r="E18" s="96" t="n">
        <f>'Social Benefits'!AG34</f>
        <v>-100.44419410053094</v>
      </c>
      <c r="F18" s="96" t="n">
        <f>'Social Benefits'!AH34</f>
        <v>-105.43295385767749</v>
      </c>
      <c r="G18" s="96" t="n">
        <f>'Social Benefits'!AI34</f>
        <v>-110.66949024479646</v>
      </c>
      <c r="H18" s="96" t="n">
        <f>'Social Benefits'!AJ34</f>
        <v>-116.16610957875801</v>
      </c>
      <c r="I18" s="96" t="n">
        <f>'Social Benefits'!AK34</f>
        <v>-121.93572939402338</v>
      </c>
      <c r="J18" s="96" t="n">
        <f>'Social Benefits'!AL34</f>
        <v>-127.99190879997673</v>
      </c>
    </row>
    <row r="19">
      <c r="A19" t="s">
        <v>157</v>
      </c>
      <c r="B19" t="s">
        <v>158</v>
      </c>
      <c r="C19" s="96" t="n">
        <f>Taxes!AE9</f>
        <v>255.85120834274557</v>
      </c>
      <c r="D19" s="96" t="n">
        <f>Taxes!AF9</f>
        <v>316.39728465678081</v>
      </c>
      <c r="E19" s="96" t="n">
        <f>Taxes!AG9</f>
        <v>65.735740640653447</v>
      </c>
      <c r="F19" s="96" t="n">
        <f>Taxes!AH9</f>
        <v>67.678536141759167</v>
      </c>
      <c r="G19" s="96" t="n">
        <f>Taxes!AI9</f>
        <v>69.649207411984236</v>
      </c>
      <c r="H19" s="96" t="n">
        <f>Taxes!AJ9</f>
        <v>71.648110530447653</v>
      </c>
      <c r="I19" s="96" t="n">
        <f>Taxes!AK9</f>
        <v>3.6309728050395336</v>
      </c>
      <c r="J19" s="96" t="n">
        <f>Taxes!AL9</f>
        <v>4.6305034393529354</v>
      </c>
    </row>
    <row r="20">
      <c r="A20" t="s">
        <v>159</v>
      </c>
      <c r="B20" t="s">
        <v>160</v>
      </c>
      <c r="C20" s="96" t="n">
        <f>Taxes!AE22</f>
        <v>148.40803374473339</v>
      </c>
      <c r="D20" s="96" t="n">
        <f>Taxes!AF22</f>
        <v>150.01111960699666</v>
      </c>
      <c r="E20" s="96" t="n">
        <f>Taxes!AG22</f>
        <v>151.48284414687353</v>
      </c>
      <c r="F20" s="96" t="n">
        <f>Taxes!AH22</f>
        <v>153.02682066145346</v>
      </c>
      <c r="G20" s="96" t="n">
        <f>Taxes!AI22</f>
        <v>154.42279518832558</v>
      </c>
      <c r="H20" s="96" t="n">
        <f>Taxes!AJ22</f>
        <v>155.94978286991093</v>
      </c>
      <c r="I20" s="96" t="n">
        <f>Taxes!AK22</f>
        <v>157.56567203132539</v>
      </c>
      <c r="J20" s="96" t="n">
        <f>Taxes!AL22</f>
        <v>159.04661234281983</v>
      </c>
    </row>
    <row r="21">
      <c r="A21" t="s">
        <v>161</v>
      </c>
      <c r="B21" t="s">
        <v>162</v>
      </c>
      <c r="C21" s="96" t="n">
        <f>Taxes!AE19</f>
        <v>-350.55781247494872</v>
      </c>
      <c r="D21" s="96" t="n">
        <f>Taxes!AF19</f>
        <v>-93.391759745174227</v>
      </c>
      <c r="E21" s="96" t="n">
        <f>Taxes!AG19</f>
        <v>-92.814703781975751</v>
      </c>
      <c r="F21" s="96" t="n">
        <f>Taxes!AH19</f>
        <v>-92.241213375155823</v>
      </c>
      <c r="G21" s="96" t="n">
        <f>Taxes!AI19</f>
        <v>-91.671266493589044</v>
      </c>
      <c r="H21" s="96" t="n">
        <f>Taxes!AJ19</f>
        <v>-91.104841242277558</v>
      </c>
      <c r="I21" s="96" t="n">
        <f>Taxes!AK19</f>
        <v>-80.541915861509978</v>
      </c>
      <c r="J21" s="96" t="n">
        <f>Taxes!AL19</f>
        <v>-80.04425747106815</v>
      </c>
    </row>
    <row r="22">
      <c r="A22" t="s">
        <v>163</v>
      </c>
      <c r="B22" t="s">
        <v>164</v>
      </c>
      <c r="C22" s="96" t="n">
        <f>Taxes!AE29</f>
        <v>7.5336169110602595</v>
      </c>
      <c r="D22" s="96" t="n">
        <f>Taxes!AF29</f>
        <v>7.5298398824095578</v>
      </c>
      <c r="E22" s="96" t="n">
        <f>Taxes!AG29</f>
        <v>7.5389491868024283</v>
      </c>
      <c r="F22" s="96" t="n">
        <f>Taxes!AH29</f>
        <v>7.5538351232493142</v>
      </c>
      <c r="G22" s="96" t="n">
        <f>Taxes!AI29</f>
        <v>7.5462810659479098</v>
      </c>
      <c r="H22" s="96" t="n">
        <f>Taxes!AJ29</f>
        <v>7.5553903703407812</v>
      </c>
      <c r="I22" s="96" t="n">
        <f>Taxes!AK29</f>
        <v>7.540948790205741</v>
      </c>
      <c r="J22" s="96" t="n">
        <f>Taxes!AL29</f>
        <v>7.5131765207152803</v>
      </c>
    </row>
    <row r="23">
      <c r="A23" s="78" t="s">
        <v>1285</v>
      </c>
      <c r="B23" t="s">
        <v>1284</v>
      </c>
      <c r="C23" s="96" t="n">
        <f>'Student loans'!AE12</f>
        <v>-8.3069939999999995</v>
      </c>
      <c r="D23" s="96" t="n">
        <f>'Student loans'!AF12</f>
        <v>-8.2824600000000004</v>
      </c>
      <c r="E23" s="96" t="n">
        <f>'Student loans'!AG12</f>
        <v>-8.2824600000000004</v>
      </c>
      <c r="F23" s="96" t="n">
        <f>'Student loans'!AH12</f>
        <v>-8.2824600000000004</v>
      </c>
      <c r="G23" s="96" t="n">
        <f>'Student loans'!AI12</f>
        <v>-11</v>
      </c>
      <c r="H23" s="96" t="n">
        <f>'Student loans'!AJ12</f>
        <v>-11</v>
      </c>
      <c r="I23" s="96" t="n">
        <f>'Student loans'!AK12</f>
        <v>-11</v>
      </c>
      <c r="J23" s="96" t="n">
        <f>'Student loans'!AL12</f>
        <v>-11</v>
      </c>
    </row>
    <row r="24">
      <c r="A24" s="91" t="s">
        <v>1829</v>
      </c>
      <c r="B24" t="s">
        <v>1782</v>
      </c>
      <c r="C24" s="96" t="n">
        <f>'Supply Side IRA'!AE14</f>
        <v>103.08351069330931</v>
      </c>
      <c r="D24" s="96" t="n">
        <f>'Supply Side IRA'!AF14</f>
        <v>109.65876198766387</v>
      </c>
      <c r="E24" s="96" t="n">
        <f>'Supply Side IRA'!AG14</f>
        <v>134.70903635555658</v>
      </c>
      <c r="F24" s="96" t="n">
        <f>'Supply Side IRA'!AH14</f>
        <v>155.20684462483894</v>
      </c>
      <c r="G24" s="96" t="n">
        <f>'Supply Side IRA'!AI14</f>
        <v>162.82034425593883</v>
      </c>
      <c r="H24" s="96" t="n">
        <f>'Supply Side IRA'!AJ14</f>
        <v>160.44502735686868</v>
      </c>
      <c r="I24" s="96" t="n">
        <f>'Supply Side IRA'!AK14</f>
        <v>146.43535339516106</v>
      </c>
      <c r="J24" s="96" t="n">
        <f>'Supply Side IRA'!AL14</f>
        <v>123.27491260136317</v>
      </c>
    </row>
    <row r="25">
      <c r="A25" s="85" t="s">
        <v>1886</v>
      </c>
      <c r="B25" t="s">
        <v>1887</v>
      </c>
      <c r="C25" s="247" t="n">
        <v>-0.3</v>
      </c>
      <c r="D25" s="247" t="n">
        <v>-0.3</v>
      </c>
      <c r="E25" s="247" t="n">
        <v>-0.3</v>
      </c>
      <c r="F25" s="247" t="n">
        <v>-0.2</v>
      </c>
      <c r="G25" s="247" t="n">
        <v>-0.2</v>
      </c>
      <c r="H25" s="247" t="n">
        <v>-0.2</v>
      </c>
      <c r="I25" s="247" t="n">
        <v>-0.1</v>
      </c>
      <c r="J25" s="247" t="n">
        <v>-0.1</v>
      </c>
    </row>
    <row r="26">
      <c r="A26" s="85"/>
    </row>
    <row r="27">
      <c r="A27" s="85"/>
    </row>
    <row r="28">
      <c r="A28" s="78"/>
    </row>
  </sheetData>
  <pageMargins left="0.7" right="0.7" top="0.75" bottom="0.75" header="0.3" footer="0.3"/>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3" ySplit="4" topLeftCell="D5" activePane="bottomRight" state="frozen"/>
      <selection pane="topRight" activeCell="D1" sqref="D1"/>
      <selection pane="bottomLeft" activeCell="A5" sqref="A5"/>
      <selection pane="bottomRight" activeCell="F12" sqref="F12"/>
    </sheetView>
  </sheetViews>
  <sheetFormatPr defaultRowHeight="15.0" baseColWidth="10"/>
  <cols>
    <col min="1" max="1" width="19.1796875" hidden="0" customWidth="1"/>
    <col min="2" max="2" width="37" hidden="0" customWidth="1"/>
    <col min="3" max="3" width="13.1796875" hidden="0" customWidth="1"/>
    <col min="20" max="20" width="11.54296875" hidden="0" customWidth="1"/>
    <col min="21" max="21" width="11.54296875" hidden="0" customWidth="1"/>
    <col min="22" max="22" width="11.54296875" hidden="0" customWidth="1"/>
    <col min="23" max="23" width="11.54296875" hidden="0" customWidth="1"/>
    <col min="24" max="24" width="11.54296875" hidden="0" customWidth="1"/>
    <col min="25" max="25" width="11.54296875" hidden="0" customWidth="1"/>
    <col min="26" max="26" width="11.54296875" hidden="0" customWidth="1"/>
    <col min="27" max="27" width="11.54296875" hidden="0" customWidth="1"/>
    <col min="28" max="28" width="11.54296875" hidden="0" customWidth="1"/>
    <col min="29" max="29" width="11.54296875" hidden="0" customWidth="1"/>
    <col min="30" max="30" width="12.1796875" hidden="0" customWidth="1"/>
    <col min="31" max="31" width="12.1796875" hidden="0" customWidth="1"/>
    <col min="32" max="32" width="12.1796875" hidden="0" customWidth="1"/>
  </cols>
  <sheetData>
    <row r="1">
      <c r="B1" s="266" t="s">
        <v>1604</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c r="B2" s="267" t="s">
        <v>1854</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row>
    <row r="5">
      <c r="B5" s="267"/>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row>
    <row r="6">
      <c r="B6" s="78"/>
      <c r="C6" s="340"/>
      <c r="D6" s="321"/>
      <c r="E6" s="321"/>
      <c r="F6" s="321"/>
      <c r="G6" s="321"/>
      <c r="H6" s="321"/>
      <c r="I6" s="321"/>
      <c r="J6" s="321"/>
      <c r="K6" s="321"/>
      <c r="L6" s="321"/>
      <c r="M6" s="321"/>
      <c r="N6" s="321"/>
      <c r="O6" s="321"/>
      <c r="P6" s="321"/>
      <c r="Q6" s="321"/>
      <c r="R6" s="321"/>
      <c r="S6" s="321"/>
      <c r="T6" s="321"/>
      <c r="U6" s="321"/>
      <c r="V6" s="321"/>
      <c r="W6" s="321"/>
      <c r="X6" s="321"/>
      <c r="Y6" s="321"/>
      <c r="Z6" s="321"/>
      <c r="AA6" s="321"/>
      <c r="AB6" s="321"/>
      <c r="AC6" s="321"/>
      <c r="AD6" s="321"/>
      <c r="AE6" s="321"/>
      <c r="AF6" s="321"/>
    </row>
    <row r="7" ht="14.5" customHeight="1">
      <c r="B7" s="278" t="s">
        <v>1629</v>
      </c>
      <c r="C7" s="278"/>
      <c r="D7" s="279"/>
      <c r="E7" s="279"/>
      <c r="F7" s="279"/>
      <c r="G7" s="267"/>
      <c r="H7" s="267"/>
      <c r="I7" s="267"/>
      <c r="J7" s="267"/>
      <c r="K7" s="267"/>
      <c r="L7" s="267"/>
      <c r="M7" s="267"/>
      <c r="N7" s="267"/>
      <c r="O7" s="267"/>
      <c r="P7" s="267"/>
      <c r="Q7" s="267"/>
      <c r="R7" s="267"/>
      <c r="S7" s="267"/>
      <c r="T7" s="267"/>
      <c r="U7" s="267"/>
      <c r="V7" s="267"/>
      <c r="W7" s="267"/>
      <c r="X7" s="267"/>
      <c r="Y7" s="267"/>
      <c r="Z7" s="267"/>
      <c r="AA7" s="267"/>
      <c r="AB7" s="267"/>
      <c r="AC7" s="267"/>
    </row>
    <row r="8">
      <c r="B8" s="268" t="s">
        <v>1618</v>
      </c>
      <c r="C8" s="269"/>
      <c r="D8" s="248" t="s">
        <v>191</v>
      </c>
      <c r="E8" s="249"/>
      <c r="F8" s="249"/>
      <c r="G8" s="249"/>
      <c r="H8" s="249"/>
      <c r="I8" s="249"/>
      <c r="J8" s="249"/>
      <c r="K8" s="249"/>
      <c r="L8" s="249"/>
      <c r="M8" s="249"/>
      <c r="N8" s="249"/>
      <c r="O8" s="249"/>
      <c r="P8" s="249"/>
      <c r="Q8" s="249"/>
      <c r="R8" s="249"/>
      <c r="S8" s="249"/>
      <c r="T8" s="249"/>
      <c r="U8" s="249"/>
      <c r="V8" s="250"/>
      <c r="W8" s="315"/>
      <c r="X8" s="310"/>
      <c r="Y8" s="310"/>
      <c r="Z8" s="310"/>
      <c r="AA8" s="310"/>
      <c r="AB8" s="251" t="s">
        <v>1644</v>
      </c>
      <c r="AC8" s="252"/>
      <c r="AD8" s="252"/>
      <c r="AE8" s="252"/>
      <c r="AF8" s="252"/>
      <c r="AG8" s="252"/>
      <c r="AH8" s="252"/>
      <c r="AI8" s="252"/>
      <c r="AJ8" s="252"/>
      <c r="AK8" s="252"/>
      <c r="AL8" s="252"/>
      <c r="AM8" s="252"/>
      <c r="AN8" s="253"/>
    </row>
    <row r="9">
      <c r="B9" s="270"/>
      <c r="C9" s="271"/>
      <c r="D9" s="312" t="n">
        <v>2018</v>
      </c>
      <c r="E9" s="254" t="n">
        <v>2019</v>
      </c>
      <c r="F9" s="255"/>
      <c r="G9" s="255"/>
      <c r="H9" s="256"/>
      <c r="I9" s="254" t="n">
        <v>2020</v>
      </c>
      <c r="J9" s="255"/>
      <c r="K9" s="255"/>
      <c r="L9" s="256"/>
      <c r="M9" s="254" t="n">
        <v>2021</v>
      </c>
      <c r="N9" s="255"/>
      <c r="O9" s="255"/>
      <c r="P9" s="256"/>
      <c r="Q9" s="259" t="n">
        <v>2022</v>
      </c>
      <c r="R9" s="260"/>
      <c r="S9" s="298"/>
      <c r="T9" s="300"/>
      <c r="U9" s="305"/>
      <c r="V9" s="298" t="n">
        <v>2023</v>
      </c>
      <c r="W9" s="298"/>
      <c r="X9" s="300"/>
      <c r="Y9" s="305"/>
      <c r="Z9" s="298" t="n">
        <v>2024</v>
      </c>
      <c r="AA9" s="298"/>
      <c r="AB9" s="300"/>
      <c r="AC9" s="277" t="n">
        <v>2025</v>
      </c>
      <c r="AD9" s="257"/>
      <c r="AE9" s="257"/>
      <c r="AF9" s="258"/>
      <c r="AG9" s="257" t="n">
        <v>2026</v>
      </c>
      <c r="AH9" s="257"/>
      <c r="AI9" s="257"/>
      <c r="AJ9" s="258"/>
      <c r="AK9" s="261" t="n">
        <v>2027</v>
      </c>
      <c r="AL9" s="264"/>
      <c r="AM9" s="264"/>
      <c r="AN9" s="263"/>
    </row>
    <row r="10">
      <c r="B10" s="272"/>
      <c r="C10" s="273"/>
      <c r="D10" s="313" t="s">
        <v>193</v>
      </c>
      <c r="E10" s="293" t="s">
        <v>194</v>
      </c>
      <c r="F10" s="294" t="s">
        <v>195</v>
      </c>
      <c r="G10" s="294" t="s">
        <v>171</v>
      </c>
      <c r="H10" s="292" t="s">
        <v>193</v>
      </c>
      <c r="I10" s="293" t="s">
        <v>194</v>
      </c>
      <c r="J10" s="294" t="s">
        <v>195</v>
      </c>
      <c r="K10" s="294" t="s">
        <v>171</v>
      </c>
      <c r="L10" s="292" t="s">
        <v>193</v>
      </c>
      <c r="M10" s="293" t="s">
        <v>194</v>
      </c>
      <c r="N10" s="294" t="s">
        <v>195</v>
      </c>
      <c r="O10" s="294" t="s">
        <v>171</v>
      </c>
      <c r="P10" s="292" t="s">
        <v>193</v>
      </c>
      <c r="Q10" s="293" t="s">
        <v>194</v>
      </c>
      <c r="R10" s="294" t="s">
        <v>195</v>
      </c>
      <c r="S10" s="294" t="s">
        <v>171</v>
      </c>
      <c r="T10" s="292" t="s">
        <v>193</v>
      </c>
      <c r="U10" s="293" t="s">
        <v>194</v>
      </c>
      <c r="V10" s="294" t="s">
        <v>195</v>
      </c>
      <c r="W10" s="294" t="s">
        <v>171</v>
      </c>
      <c r="X10" s="292" t="s">
        <v>193</v>
      </c>
      <c r="Y10" s="293" t="s">
        <v>194</v>
      </c>
      <c r="Z10" s="295" t="s">
        <v>195</v>
      </c>
      <c r="AA10" s="294" t="s">
        <v>171</v>
      </c>
      <c r="AB10" s="292" t="s">
        <v>193</v>
      </c>
      <c r="AC10" s="296" t="s">
        <v>194</v>
      </c>
      <c r="AD10" s="291" t="s">
        <v>195</v>
      </c>
      <c r="AE10" s="291" t="s">
        <v>171</v>
      </c>
      <c r="AF10" s="258" t="s">
        <v>193</v>
      </c>
      <c r="AG10" s="291" t="s">
        <v>194</v>
      </c>
      <c r="AH10" s="290" t="s">
        <v>195</v>
      </c>
      <c r="AI10" s="291" t="s">
        <v>171</v>
      </c>
      <c r="AJ10" s="297" t="s">
        <v>193</v>
      </c>
      <c r="AK10" s="296" t="s">
        <v>194</v>
      </c>
      <c r="AL10" s="290" t="s">
        <v>195</v>
      </c>
      <c r="AM10" s="291" t="s">
        <v>171</v>
      </c>
      <c r="AN10" s="297" t="s">
        <v>193</v>
      </c>
    </row>
    <row r="11">
      <c r="B11" s="283" t="s">
        <v>1628</v>
      </c>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c r="AF11" s="284"/>
      <c r="AG11" s="284"/>
      <c r="AH11" s="284"/>
      <c r="AI11" s="284"/>
      <c r="AJ11" s="284"/>
      <c r="AK11" s="284"/>
      <c r="AL11" s="284"/>
      <c r="AM11" s="284"/>
      <c r="AN11" s="285"/>
    </row>
    <row r="12">
      <c r="B12" s="350" t="s">
        <v>1607</v>
      </c>
      <c r="C12" s="351"/>
      <c r="D12" s="345" t="n">
        <f t="shared" ref="D12:T12" si="0">D45</f>
        <v>4.496860109784695E-2</v>
      </c>
      <c r="E12" s="345" t="n">
        <f t="shared" si="0"/>
        <v>4.496860109784695E-2</v>
      </c>
      <c r="F12" s="345" t="n">
        <f t="shared" si="0"/>
        <v>3.9642121396104235E-2</v>
      </c>
      <c r="G12" s="345" t="n">
        <f t="shared" si="0"/>
        <v>5.2800175754732503E-2</v>
      </c>
      <c r="H12" s="345" t="n">
        <f t="shared" si="0"/>
        <v>3.8539616775677077E-2</v>
      </c>
      <c r="I12" s="345" t="n">
        <f t="shared" si="0"/>
        <v>4.6302404102992911E-2</v>
      </c>
      <c r="J12" s="345" t="n">
        <f t="shared" si="0"/>
        <v>3.9941724227302355E-2</v>
      </c>
      <c r="K12" s="345" t="n">
        <f t="shared" si="0"/>
        <v>2.4925776687546364E-2</v>
      </c>
      <c r="L12" s="345" t="n">
        <f t="shared" si="0"/>
        <v>4.2858078616518469E-2</v>
      </c>
      <c r="M12" s="345" t="n">
        <f t="shared" si="0"/>
        <v>2.335165093878766E-2</v>
      </c>
      <c r="N12" s="345" t="n">
        <f t="shared" si="0"/>
        <v>3.5555503343918993E-2</v>
      </c>
      <c r="O12" s="345" t="n">
        <f t="shared" si="0"/>
        <v>3.2940878953626962E-2</v>
      </c>
      <c r="P12" s="345" t="n">
        <f t="shared" si="0"/>
        <v>4.9304762088888454E-2</v>
      </c>
      <c r="Q12" s="345" t="n">
        <f t="shared" si="0"/>
        <v>7.9039976960236569E-2</v>
      </c>
      <c r="R12" s="345" t="n">
        <f t="shared" si="0"/>
        <v>7.4848796981023868E-2</v>
      </c>
      <c r="S12" s="345" t="n">
        <f t="shared" si="0"/>
        <v>8.4318984466593916E-2</v>
      </c>
      <c r="T12" s="366" t="n">
        <f t="shared" si="0"/>
        <v>0.1245067296684903</v>
      </c>
      <c r="U12" s="345" t="n">
        <f t="shared" ref="U12:AF12" si="1">U45+U13</f>
        <v>0.11819105851958933</v>
      </c>
      <c r="V12" s="345" t="n">
        <f t="shared" si="1"/>
        <v>0.11232154229238334</v>
      </c>
      <c r="W12" s="345" t="n">
        <f t="shared" si="1"/>
        <v>0.10564798706501666</v>
      </c>
      <c r="X12" s="345" t="n">
        <f t="shared" si="1"/>
        <v>7.7430265920517494E-2</v>
      </c>
      <c r="Y12" s="345" t="n">
        <f t="shared" si="1"/>
        <v>4.9965268755157721E-2</v>
      </c>
      <c r="Z12" s="345" t="n">
        <f t="shared" si="1"/>
        <v>7.7082161835331231E-2</v>
      </c>
      <c r="AA12" s="345" t="n">
        <f t="shared" si="1"/>
        <v>6.8776322315438509E-2</v>
      </c>
      <c r="AB12" s="345" t="n">
        <f>AB45+AB13</f>
        <v>4.4756863311650408E-2</v>
      </c>
      <c r="AC12" s="345" t="n">
        <f t="shared" si="1"/>
        <v>3.39082603035743E-2</v>
      </c>
      <c r="AD12" s="345" t="n">
        <f>AD45+AD13</f>
        <v>6.2110394614646847E-2</v>
      </c>
      <c r="AE12" s="345" t="n">
        <f>AE45+AE13</f>
        <v>2.3874932014508632E-2</v>
      </c>
      <c r="AF12" s="345" t="n">
        <f t="shared" si="1"/>
        <v>2.4011392938697362E-2</v>
      </c>
      <c r="AG12" s="321" t="n">
        <f>AG45+AG13</f>
        <v>2.1469131944638509E-2</v>
      </c>
      <c r="AH12" s="321" t="n">
        <f>AH45+AH13</f>
        <v>2.037795778240481E-2</v>
      </c>
      <c r="AI12" s="345" t="n">
        <f t="shared" ref="AI12" si="2">AI45+AI13</f>
        <v>2.031319568771961E-2</v>
      </c>
      <c r="AJ12" s="345" t="n">
        <f>AJ45+AJ13</f>
        <v>2.0411174157790368E-2</v>
      </c>
      <c r="AK12" s="321" t="n">
        <f t="shared" ref="AK12:AN12" si="3">AK45+AK13</f>
        <v>2.0278651758323107E-2</v>
      </c>
      <c r="AL12" s="321" t="n">
        <f t="shared" si="3"/>
        <v>2.0181831515000193E-2</v>
      </c>
      <c r="AM12" s="321" t="n">
        <f t="shared" si="3"/>
        <v>2.008748904793789E-2</v>
      </c>
      <c r="AN12" s="321" t="n">
        <f t="shared" si="3"/>
        <v>2.0063466029726529E-2</v>
      </c>
    </row>
    <row r="13">
      <c r="B13" s="355" t="s">
        <v>1639</v>
      </c>
      <c r="C13" s="352"/>
      <c r="D13" s="353"/>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t="n">
        <v>2E-3</v>
      </c>
      <c r="AG13" s="321"/>
      <c r="AH13" s="321"/>
      <c r="AI13" s="354"/>
      <c r="AJ13" s="321"/>
    </row>
    <row r="14">
      <c r="B14" s="308" t="s">
        <v>1608</v>
      </c>
      <c r="C14" s="351"/>
      <c r="D14" s="321" t="n">
        <f t="shared" ref="D14:S14" si="4">D48</f>
        <v>5.3871009949960857E-2</v>
      </c>
      <c r="E14" s="321" t="n">
        <f t="shared" si="4"/>
        <v>5.3871009949960857E-2</v>
      </c>
      <c r="F14" s="321" t="n">
        <f t="shared" si="4"/>
        <v>7.0163389368692153E-2</v>
      </c>
      <c r="G14" s="321" t="n">
        <f t="shared" si="4"/>
        <v>5.1789585259378379E-2</v>
      </c>
      <c r="H14" s="321" t="n">
        <f t="shared" si="4"/>
        <v>0.13288853982038562</v>
      </c>
      <c r="I14" s="321" t="n">
        <f t="shared" si="4"/>
        <v>7.6743881276563286E-2</v>
      </c>
      <c r="J14" s="321" t="n">
        <f t="shared" si="4"/>
        <v>5.9308871287115039E-2</v>
      </c>
      <c r="K14" s="321" t="n">
        <f t="shared" si="4"/>
        <v>8.4288946902993489E-2</v>
      </c>
      <c r="L14" s="321" t="n">
        <f t="shared" si="4"/>
        <v>0.17571016568331377</v>
      </c>
      <c r="M14" s="321" t="n">
        <f t="shared" si="4"/>
        <v>4.1286685299137149E-2</v>
      </c>
      <c r="N14" s="321" t="n">
        <f t="shared" si="4"/>
        <v>3.3290634800351437E-2</v>
      </c>
      <c r="O14" s="321" t="n">
        <f t="shared" si="4"/>
        <v>8.9850764226328206E-2</v>
      </c>
      <c r="P14" s="321" t="n">
        <f t="shared" si="4"/>
        <v>6.5963475259331217E-2</v>
      </c>
      <c r="Q14" s="321" t="n">
        <f t="shared" si="4"/>
        <v>7.1343229492340843E-2</v>
      </c>
      <c r="R14" s="321" t="n">
        <f t="shared" si="4"/>
        <v>8.5297530922431308E-2</v>
      </c>
      <c r="S14" s="321" t="n">
        <f t="shared" si="4"/>
        <v>8.8326329523794822E-2</v>
      </c>
      <c r="T14" s="321" t="n">
        <f>T48</f>
        <v>4.1660231352050436E-2</v>
      </c>
      <c r="U14" s="321" t="n">
        <f>U48+U15</f>
        <v>7.4269306040006589E-2</v>
      </c>
      <c r="V14" s="321" t="n">
        <f t="shared" ref="V14:AF14" si="5">V48+V15</f>
        <v>0.12206927608835261</v>
      </c>
      <c r="W14" s="321" t="n">
        <f t="shared" si="5"/>
        <v>0.13959352599282115</v>
      </c>
      <c r="X14" s="321" t="n">
        <f t="shared" si="5"/>
        <v>7.4690090345322036E-2</v>
      </c>
      <c r="Y14" s="321" t="n">
        <f t="shared" si="5"/>
        <v>5.9206464364951916E-2</v>
      </c>
      <c r="Z14" s="321" t="n">
        <f t="shared" si="5"/>
        <v>5.5045178185534338E-2</v>
      </c>
      <c r="AA14" s="321" t="n">
        <f t="shared" si="5"/>
        <v>9.50968880816494E-2</v>
      </c>
      <c r="AB14" s="321" t="n">
        <f t="shared" si="5"/>
        <v>5.9718595632101579E-2</v>
      </c>
      <c r="AC14" s="321" t="n">
        <f t="shared" si="5"/>
        <v>3.394324699588358E-2</v>
      </c>
      <c r="AD14" s="321" t="n">
        <f t="shared" si="5"/>
        <v>4.6679496507105345E-2</v>
      </c>
      <c r="AE14" s="321" t="n">
        <f>AE48+AE15</f>
        <v>2.4729668703095779E-2</v>
      </c>
      <c r="AF14" s="321" t="n">
        <f t="shared" si="5"/>
        <v>2.4119603614899725E-2</v>
      </c>
      <c r="AG14" s="314" t="n">
        <f t="shared" ref="AG14:AH14" si="6">AG48+AG15</f>
        <v>2.1515602617293128E-2</v>
      </c>
      <c r="AH14" s="314" t="n">
        <f t="shared" si="6"/>
        <v>2.2790850007197161E-2</v>
      </c>
      <c r="AI14" s="321" t="n">
        <f t="shared" ref="AI14:AN14" si="7">AI48+AI15</f>
        <v>2.3263295207157642E-2</v>
      </c>
      <c r="AJ14" s="314" t="n">
        <f t="shared" si="7"/>
        <v>2.3889685874715294E-2</v>
      </c>
      <c r="AK14" s="314" t="n">
        <f t="shared" si="7"/>
        <v>2.2412555601408091E-2</v>
      </c>
      <c r="AL14" s="314" t="n">
        <f t="shared" si="7"/>
        <v>2.2147320108405477E-2</v>
      </c>
      <c r="AM14" s="314" t="n">
        <f t="shared" si="7"/>
        <v>2.2772302614111117E-2</v>
      </c>
      <c r="AN14" s="314" t="n">
        <f t="shared" si="7"/>
        <v>2.3247045836330082E-2</v>
      </c>
    </row>
    <row r="15">
      <c r="B15" s="302" t="s">
        <v>1640</v>
      </c>
      <c r="C15" s="352"/>
      <c r="D15" s="353"/>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21"/>
      <c r="AH15" s="321"/>
      <c r="AI15" s="321"/>
      <c r="AJ15" s="321"/>
    </row>
    <row r="16">
      <c r="B16" s="308" t="s">
        <v>1609</v>
      </c>
      <c r="C16" s="351"/>
      <c r="D16" s="321" t="n">
        <f t="shared" ref="D16:T16" si="8">D49</f>
        <v>8.7289252014640661E-2</v>
      </c>
      <c r="E16" s="321" t="n">
        <f t="shared" si="8"/>
        <v>8.7289252014640661E-2</v>
      </c>
      <c r="F16" s="321" t="n">
        <f t="shared" si="8"/>
        <v>7.4296091716181234E-2</v>
      </c>
      <c r="G16" s="321" t="n">
        <f t="shared" si="8"/>
        <v>7.8070885161694248E-2</v>
      </c>
      <c r="H16" s="321" t="n">
        <f t="shared" si="8"/>
        <v>9.3997551326209905E-2</v>
      </c>
      <c r="I16" s="321" t="n">
        <f t="shared" si="8"/>
        <v>7.421512413451592E-2</v>
      </c>
      <c r="J16" s="321" t="n">
        <f t="shared" si="8"/>
        <v>5.7564697471050419E-2</v>
      </c>
      <c r="K16" s="321" t="n">
        <f t="shared" si="8"/>
        <v>4.4452071103041169E-2</v>
      </c>
      <c r="L16" s="321" t="n">
        <f t="shared" si="8"/>
        <v>9.2638112964417374E-2</v>
      </c>
      <c r="M16" s="321" t="n">
        <f t="shared" si="8"/>
        <v>4.8065442614916076E-2</v>
      </c>
      <c r="N16" s="321" t="n">
        <f t="shared" si="8"/>
        <v>6.2095792431050123E-2</v>
      </c>
      <c r="O16" s="321" t="n">
        <f t="shared" si="8"/>
        <v>5.6154499274609471E-2</v>
      </c>
      <c r="P16" s="321" t="n">
        <f t="shared" si="8"/>
        <v>8.0991878516248006E-2</v>
      </c>
      <c r="Q16" s="321" t="n">
        <f t="shared" si="8"/>
        <v>7.3137198253980129E-2</v>
      </c>
      <c r="R16" s="321" t="n">
        <f t="shared" si="8"/>
        <v>5.4896705209511731E-2</v>
      </c>
      <c r="S16" s="321" t="n">
        <f t="shared" si="8"/>
        <v>7.7948068771366508E-2</v>
      </c>
      <c r="T16" s="321" t="n">
        <f t="shared" si="8"/>
        <v>0.12134762198015858</v>
      </c>
      <c r="U16" s="339" t="n">
        <f>U49+U17</f>
        <v>0.14647446607845205</v>
      </c>
      <c r="V16" s="321" t="n">
        <f t="shared" ref="V16:AF16" si="9">V49+V17</f>
        <v>0.15404283541439479</v>
      </c>
      <c r="W16" s="321" t="n">
        <f t="shared" si="9"/>
        <v>0.12298255486643628</v>
      </c>
      <c r="X16" s="321" t="n">
        <f t="shared" si="9"/>
        <v>8.2985174764654834E-2</v>
      </c>
      <c r="Y16" s="321" t="n">
        <f t="shared" si="9"/>
        <v>8.1746986031213886E-2</v>
      </c>
      <c r="Z16" s="321" t="n">
        <f t="shared" si="9"/>
        <v>5.2103053651998854E-2</v>
      </c>
      <c r="AA16" s="321" t="n">
        <f t="shared" si="9"/>
        <v>5.2069867287218186E-2</v>
      </c>
      <c r="AB16" s="321" t="n">
        <f t="shared" si="9"/>
        <v>4.596487478507183E-2</v>
      </c>
      <c r="AC16" s="321" t="n">
        <f t="shared" si="9"/>
        <v>4.9367268358720962E-2</v>
      </c>
      <c r="AD16" s="321" t="n">
        <f t="shared" si="9"/>
        <v>3.0097819009996085E-2</v>
      </c>
      <c r="AE16" s="321" t="n">
        <f t="shared" si="9"/>
        <v>3.1343868352262882E-2</v>
      </c>
      <c r="AF16" s="321" t="n">
        <f t="shared" si="9"/>
        <v>3.2394354805230341E-2</v>
      </c>
      <c r="AG16" s="314" t="n">
        <f t="shared" ref="AG16:AH16" si="10">AG49+AG17</f>
        <v>3.3164637629816696E-2</v>
      </c>
      <c r="AH16" s="314" t="n">
        <f t="shared" si="10"/>
        <v>3.1425713898589613E-2</v>
      </c>
      <c r="AI16" s="314" t="n">
        <f t="shared" ref="AI16:AM16" si="11">AI49+AI17</f>
        <v>3.1013053419121528E-2</v>
      </c>
      <c r="AJ16" s="314" t="n">
        <f t="shared" si="11"/>
        <v>3.1015398756455648E-2</v>
      </c>
      <c r="AK16" s="314" t="n">
        <f t="shared" si="11"/>
        <v>3.0542269425562596E-2</v>
      </c>
      <c r="AL16" s="314" t="n">
        <f t="shared" si="11"/>
        <v>3.0334679878840642E-2</v>
      </c>
      <c r="AM16" s="314" t="n">
        <f t="shared" si="11"/>
        <v>2.9994558057691467E-2</v>
      </c>
      <c r="AN16" s="314" t="n">
        <f>AN49+AN17</f>
        <v>2.9803649988641601E-2</v>
      </c>
    </row>
    <row r="17">
      <c r="B17" s="302" t="s">
        <v>1641</v>
      </c>
      <c r="C17" s="352"/>
      <c r="D17" s="353"/>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21"/>
      <c r="AH17" s="321"/>
      <c r="AI17" s="321"/>
      <c r="AJ17" s="354"/>
    </row>
    <row r="18">
      <c r="B18" s="308" t="s">
        <v>1610</v>
      </c>
      <c r="C18" s="351"/>
      <c r="D18" s="321" t="n">
        <f t="shared" ref="D18:T18" si="12">D51</f>
        <v>8.1962807033507001E-2</v>
      </c>
      <c r="E18" s="321" t="n">
        <f t="shared" si="12"/>
        <v>8.1962807033507001E-2</v>
      </c>
      <c r="F18" s="321" t="n">
        <f t="shared" si="12"/>
        <v>7.2450735170716429E-2</v>
      </c>
      <c r="G18" s="321" t="n">
        <f t="shared" si="12"/>
        <v>6.9154321287945075E-2</v>
      </c>
      <c r="H18" s="321" t="n">
        <f t="shared" si="12"/>
        <v>0.10189413122654933</v>
      </c>
      <c r="I18" s="321" t="n">
        <f t="shared" si="12"/>
        <v>7.7244812842556021E-2</v>
      </c>
      <c r="J18" s="321" t="n">
        <f t="shared" si="12"/>
        <v>6.1607991611356772E-2</v>
      </c>
      <c r="K18" s="321" t="n">
        <f t="shared" si="12"/>
        <v>3.681012044093146E-2</v>
      </c>
      <c r="L18" s="321" t="n">
        <f t="shared" si="12"/>
        <v>0.10482144256153347</v>
      </c>
      <c r="M18" s="321" t="n">
        <f t="shared" si="12"/>
        <v>5.3550642610007415E-2</v>
      </c>
      <c r="N18" s="321" t="n">
        <f t="shared" si="12"/>
        <v>6.3717379990838374E-2</v>
      </c>
      <c r="O18" s="321" t="n">
        <f t="shared" si="12"/>
        <v>5.0578331138001253E-2</v>
      </c>
      <c r="P18" s="321" t="n">
        <f t="shared" si="12"/>
        <v>8.1263930646582105E-2</v>
      </c>
      <c r="Q18" s="321" t="n">
        <f t="shared" si="12"/>
        <v>6.9439247142790705E-2</v>
      </c>
      <c r="R18" s="321" t="n">
        <f t="shared" si="12"/>
        <v>4.703980609147318E-2</v>
      </c>
      <c r="S18" s="321" t="n">
        <f t="shared" si="12"/>
        <v>6.882770770842761E-2</v>
      </c>
      <c r="T18" s="321" t="n">
        <f t="shared" si="12"/>
        <v>0.10068367636715725</v>
      </c>
      <c r="U18" s="339" t="n">
        <f>U51+U19</f>
        <v>0.11199780392455261</v>
      </c>
      <c r="V18" s="321" t="n">
        <f t="shared" ref="V18:AF18" si="13">V51+V19</f>
        <v>0.12007505356559212</v>
      </c>
      <c r="W18" s="321" t="n">
        <f t="shared" si="13"/>
        <v>0.10886376769571937</v>
      </c>
      <c r="X18" s="321" t="n">
        <f t="shared" si="13"/>
        <v>8.2225971926498831E-2</v>
      </c>
      <c r="Y18" s="321" t="n">
        <f t="shared" si="13"/>
        <v>9.992859379067065E-2</v>
      </c>
      <c r="Z18" s="321" t="n">
        <f t="shared" si="13"/>
        <v>6.3001735496711397E-2</v>
      </c>
      <c r="AA18" s="321" t="n">
        <f t="shared" si="13"/>
        <v>5.951742889983791E-2</v>
      </c>
      <c r="AB18" s="321" t="n">
        <f t="shared" si="13"/>
        <v>5.3047174595143076E-2</v>
      </c>
      <c r="AC18" s="321" t="n">
        <f t="shared" si="13"/>
        <v>5.3235267744698112E-2</v>
      </c>
      <c r="AD18" s="321" t="n">
        <f t="shared" si="13"/>
        <v>3.5444589797529513E-2</v>
      </c>
      <c r="AE18" s="321" t="n">
        <f t="shared" si="13"/>
        <v>3.1343868352262882E-2</v>
      </c>
      <c r="AF18" s="321" t="n">
        <f t="shared" si="13"/>
        <v>3.2394354805230341E-2</v>
      </c>
      <c r="AG18" s="314" t="n">
        <f t="shared" ref="AG18:AH18" si="14">AG51+AG19</f>
        <v>3.3164637629816696E-2</v>
      </c>
      <c r="AH18" s="314" t="n">
        <f t="shared" si="14"/>
        <v>3.1425713898589613E-2</v>
      </c>
      <c r="AI18" s="314" t="n">
        <f t="shared" ref="AI18:AN18" si="15">AI51+AI19</f>
        <v>3.1013053419121528E-2</v>
      </c>
      <c r="AJ18" s="314" t="n">
        <f t="shared" si="15"/>
        <v>3.1015398756455648E-2</v>
      </c>
      <c r="AK18" s="314" t="n">
        <f t="shared" si="15"/>
        <v>3.0542269425562596E-2</v>
      </c>
      <c r="AL18" s="314" t="n">
        <f t="shared" si="15"/>
        <v>3.0334679878840642E-2</v>
      </c>
      <c r="AM18" s="314" t="n">
        <f t="shared" si="15"/>
        <v>2.9994558057691467E-2</v>
      </c>
      <c r="AN18" s="314" t="n">
        <f t="shared" si="15"/>
        <v>2.9803649988641601E-2</v>
      </c>
    </row>
    <row r="19">
      <c r="B19" s="302" t="s">
        <v>1642</v>
      </c>
      <c r="C19" s="352"/>
      <c r="D19" s="353"/>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c r="AF19" s="354"/>
      <c r="AG19" s="321"/>
      <c r="AH19" s="321"/>
      <c r="AI19" s="321"/>
      <c r="AJ19" s="321"/>
    </row>
    <row r="20">
      <c r="B20" s="308" t="s">
        <v>1611</v>
      </c>
      <c r="C20" s="351"/>
      <c r="D20" s="321" t="n">
        <f t="shared" ref="D20:T20" si="16">D52</f>
        <v>0.10447642246287936</v>
      </c>
      <c r="E20" s="321" t="n">
        <f t="shared" si="16"/>
        <v>0.10447642246287936</v>
      </c>
      <c r="F20" s="321" t="n">
        <f t="shared" si="16"/>
        <v>7.9639695783230158E-2</v>
      </c>
      <c r="G20" s="321" t="n">
        <f t="shared" si="16"/>
        <v>0.1056325279127881</v>
      </c>
      <c r="H20" s="321" t="n">
        <f t="shared" si="16"/>
        <v>6.9027518475984095E-2</v>
      </c>
      <c r="I20" s="321" t="n">
        <f t="shared" si="16"/>
        <v>6.5384458284943214E-2</v>
      </c>
      <c r="J20" s="321" t="n">
        <f t="shared" si="16"/>
        <v>4.4309454925616665E-2</v>
      </c>
      <c r="K20" s="321" t="n">
        <f t="shared" si="16"/>
        <v>7.1090266933143909E-2</v>
      </c>
      <c r="L20" s="321" t="n">
        <f t="shared" si="16"/>
        <v>5.2171592409987921E-2</v>
      </c>
      <c r="M20" s="321" t="n">
        <f t="shared" si="16"/>
        <v>2.8346296318296549E-2</v>
      </c>
      <c r="N20" s="321" t="n">
        <f t="shared" si="16"/>
        <v>5.6653316395014697E-2</v>
      </c>
      <c r="O20" s="321" t="n">
        <f t="shared" si="16"/>
        <v>7.6912548113614143E-2</v>
      </c>
      <c r="P20" s="321" t="n">
        <f t="shared" si="16"/>
        <v>7.9310067008116603E-2</v>
      </c>
      <c r="Q20" s="321" t="n">
        <f t="shared" si="16"/>
        <v>8.6904972707806616E-2</v>
      </c>
      <c r="R20" s="321" t="n">
        <f t="shared" si="16"/>
        <v>8.3965120128181248E-2</v>
      </c>
      <c r="S20" s="321" t="n">
        <f t="shared" si="16"/>
        <v>0.11183878218494803</v>
      </c>
      <c r="T20" s="321" t="n">
        <f t="shared" si="16"/>
        <v>0.19880072252613945</v>
      </c>
      <c r="U20" s="321" t="n">
        <f>U52+U21</f>
        <v>0.27607549111803431</v>
      </c>
      <c r="V20" s="321" t="n">
        <f t="shared" ref="V20:AF20" si="17">V52+V21</f>
        <v>0.28112438321276678</v>
      </c>
      <c r="W20" s="321" t="n">
        <f t="shared" si="17"/>
        <v>0.17688355515922982</v>
      </c>
      <c r="X20" s="321" t="n">
        <f t="shared" si="17"/>
        <v>8.7976797179619481E-2</v>
      </c>
      <c r="Y20" s="321" t="n">
        <f t="shared" si="17"/>
        <v>1.9795935449461455E-2</v>
      </c>
      <c r="Z20" s="321" t="n">
        <f t="shared" si="17"/>
        <v>1.2786863544731908E-2</v>
      </c>
      <c r="AA20" s="321" t="n">
        <f t="shared" si="17"/>
        <v>2.4510484992551707E-2</v>
      </c>
      <c r="AB20" s="321" t="n">
        <f t="shared" si="17"/>
        <v>1.9828218413625587E-2</v>
      </c>
      <c r="AC20" s="321" t="n">
        <f t="shared" si="17"/>
        <v>3.4718738850885611E-2</v>
      </c>
      <c r="AD20" s="321" t="n">
        <f t="shared" si="17"/>
        <v>8.8286244560360494E-3</v>
      </c>
      <c r="AE20" s="321" t="n">
        <f t="shared" si="17"/>
        <v>3.1343868352262882E-2</v>
      </c>
      <c r="AF20" s="321" t="n">
        <f t="shared" si="17"/>
        <v>3.2394354805230341E-2</v>
      </c>
      <c r="AG20" s="314" t="n">
        <f t="shared" ref="AG20:AH20" si="18">AG52+AG21</f>
        <v>3.3164637629816696E-2</v>
      </c>
      <c r="AH20" s="314" t="n">
        <f t="shared" si="18"/>
        <v>3.1425713898589613E-2</v>
      </c>
      <c r="AI20" s="314" t="n">
        <f t="shared" ref="AI20:AN20" si="19">AI52+AI21</f>
        <v>3.1013053419121528E-2</v>
      </c>
      <c r="AJ20" s="314" t="n">
        <f t="shared" si="19"/>
        <v>3.1015398756455648E-2</v>
      </c>
      <c r="AK20" s="314" t="n">
        <f t="shared" si="19"/>
        <v>3.0542269425562596E-2</v>
      </c>
      <c r="AL20" s="314" t="n">
        <f t="shared" si="19"/>
        <v>3.0334679878840642E-2</v>
      </c>
      <c r="AM20" s="314" t="n">
        <f t="shared" si="19"/>
        <v>2.9994558057691467E-2</v>
      </c>
      <c r="AN20" s="314" t="n">
        <f t="shared" si="19"/>
        <v>2.9803649988641601E-2</v>
      </c>
    </row>
    <row r="21">
      <c r="B21" s="302" t="s">
        <v>1643</v>
      </c>
      <c r="C21" s="352"/>
      <c r="D21" s="325"/>
      <c r="E21" s="325"/>
      <c r="F21" s="325"/>
      <c r="G21" s="325"/>
      <c r="H21" s="325"/>
      <c r="I21" s="325"/>
      <c r="J21" s="325"/>
      <c r="K21" s="325"/>
      <c r="L21" s="325"/>
      <c r="M21" s="325"/>
      <c r="N21" s="325"/>
      <c r="O21" s="325"/>
      <c r="P21" s="325"/>
      <c r="Q21" s="325"/>
      <c r="R21" s="325"/>
      <c r="S21" s="325"/>
      <c r="T21" s="325"/>
      <c r="U21" s="325"/>
      <c r="V21" s="325"/>
      <c r="W21" s="325"/>
      <c r="X21" s="325"/>
      <c r="Y21" s="325"/>
      <c r="Z21" s="325"/>
      <c r="AA21" s="325"/>
      <c r="AB21" s="325"/>
      <c r="AC21" s="325"/>
      <c r="AD21" s="325"/>
      <c r="AE21" s="325"/>
      <c r="AF21" s="325"/>
      <c r="AG21" s="77"/>
      <c r="AH21" s="77"/>
      <c r="AI21" s="77"/>
      <c r="AJ21" s="77"/>
      <c r="AK21" s="77"/>
      <c r="AL21" s="77"/>
      <c r="AM21" s="77"/>
      <c r="AN21" s="77"/>
    </row>
    <row r="22">
      <c r="B22" s="280" t="s">
        <v>1632</v>
      </c>
      <c r="C22" s="281"/>
      <c r="D22" s="281"/>
      <c r="E22" s="281"/>
      <c r="F22" s="281"/>
      <c r="G22" s="281"/>
      <c r="H22" s="281"/>
      <c r="I22" s="281"/>
      <c r="J22" s="281"/>
      <c r="K22" s="281"/>
      <c r="L22" s="281"/>
      <c r="M22" s="281"/>
      <c r="N22" s="281"/>
      <c r="O22" s="281"/>
      <c r="P22" s="281"/>
      <c r="Q22" s="281"/>
      <c r="R22" s="281"/>
      <c r="S22" s="281"/>
      <c r="T22" s="281"/>
      <c r="U22" s="281"/>
      <c r="V22" s="281"/>
      <c r="W22" s="281"/>
      <c r="X22" s="281"/>
      <c r="Y22" s="281"/>
      <c r="Z22" s="281"/>
      <c r="AA22" s="281"/>
      <c r="AB22" s="281"/>
      <c r="AC22" s="281"/>
      <c r="AD22" s="281"/>
      <c r="AE22" s="281"/>
      <c r="AF22" s="281"/>
      <c r="AG22" s="281"/>
      <c r="AH22" s="281"/>
      <c r="AI22" s="281"/>
      <c r="AJ22" s="281"/>
      <c r="AK22" s="281"/>
      <c r="AL22" s="281"/>
      <c r="AM22" s="281"/>
      <c r="AN22" s="282"/>
    </row>
    <row r="23">
      <c r="B23" s="338" t="s">
        <v>1607</v>
      </c>
      <c r="C23" s="346"/>
      <c r="D23" s="336" t="n">
        <f t="shared" ref="D23:AF23" si="20">(D12+1)^0.25-1</f>
        <v>1.1057395597613651E-2</v>
      </c>
      <c r="E23" s="336" t="n">
        <f t="shared" si="20"/>
        <v>1.1057395597613651E-2</v>
      </c>
      <c r="F23" s="336" t="n">
        <f t="shared" si="20"/>
        <v>9.7665191515337035E-3</v>
      </c>
      <c r="G23" s="336" t="n">
        <f t="shared" si="20"/>
        <v>1.2946451060400044E-2</v>
      </c>
      <c r="H23" s="336" t="n">
        <f t="shared" si="20"/>
        <v>9.4987069822956016E-3</v>
      </c>
      <c r="I23" s="336" t="n">
        <f t="shared" si="20"/>
        <v>1.1379870929602465E-2</v>
      </c>
      <c r="J23" s="336" t="n">
        <f t="shared" si="20"/>
        <v>9.8392596200680416E-3</v>
      </c>
      <c r="K23" s="336" t="n">
        <f t="shared" si="20"/>
        <v>6.1740304842754501E-3</v>
      </c>
      <c r="L23" s="336" t="n">
        <f t="shared" si="20"/>
        <v>1.0546500479386323E-2</v>
      </c>
      <c r="M23" s="336" t="n">
        <f t="shared" si="20"/>
        <v>5.78747628083498E-3</v>
      </c>
      <c r="N23" s="336" t="n">
        <f t="shared" si="20"/>
        <v>8.772757287048405E-3</v>
      </c>
      <c r="O23" s="336" t="n">
        <f t="shared" si="20"/>
        <v>8.1354030297362545E-3</v>
      </c>
      <c r="P23" s="336" t="n">
        <f t="shared" si="20"/>
        <v>1.2104628513124993E-2</v>
      </c>
      <c r="Q23" s="336" t="n">
        <f t="shared" si="20"/>
        <v>1.9199926682857527E-2</v>
      </c>
      <c r="R23" s="336" t="n">
        <f t="shared" si="20"/>
        <v>1.8208794173185661E-2</v>
      </c>
      <c r="S23" s="337" t="n">
        <f t="shared" si="20"/>
        <v>2.04442089459973E-2</v>
      </c>
      <c r="T23" s="336" t="n">
        <f t="shared" si="20"/>
        <v>2.9770662051060048E-2</v>
      </c>
      <c r="U23" s="336" t="n">
        <f t="shared" si="20"/>
        <v>2.8321707706530086E-2</v>
      </c>
      <c r="V23" s="336" t="n">
        <f t="shared" si="20"/>
        <v>2.6969597907813059E-2</v>
      </c>
      <c r="W23" s="336" t="n">
        <f t="shared" si="20"/>
        <v>2.542575202928532E-2</v>
      </c>
      <c r="X23" s="336" t="n">
        <f t="shared" si="20"/>
        <v>1.8819603430212162E-2</v>
      </c>
      <c r="Y23" s="336" t="n">
        <f t="shared" si="20"/>
        <v>1.2263863497867122E-2</v>
      </c>
      <c r="Z23" s="336" t="n">
        <f t="shared" si="20"/>
        <v>1.8737301527579353E-2</v>
      </c>
      <c r="AA23" s="336" t="n">
        <f t="shared" si="20"/>
        <v>1.6767617077855013E-2</v>
      </c>
      <c r="AB23" s="336" t="n">
        <f t="shared" si="20"/>
        <v>1.1006175081728964E-2</v>
      </c>
      <c r="AC23" s="336" t="n">
        <f t="shared" si="20"/>
        <v>8.3713577408113249E-3</v>
      </c>
      <c r="AD23" s="336" t="n">
        <f>(AD12+1)^0.25-1</f>
        <v>1.5178507803035757E-2</v>
      </c>
      <c r="AE23" s="336" t="n">
        <f t="shared" si="20"/>
        <v>5.9160265843611892E-3</v>
      </c>
      <c r="AF23" s="337" t="n">
        <f t="shared" si="20"/>
        <v>5.9495417545925022E-3</v>
      </c>
      <c r="AG23" s="337" t="n">
        <f t="shared" ref="AG23" si="21">(AG12+1)^0.25-1</f>
        <v>5.3246047022768028E-3</v>
      </c>
      <c r="AH23" s="337" t="n">
        <f>(AH12+1)^0.25-1</f>
        <v>5.0560151008076648E-3</v>
      </c>
      <c r="AI23" s="337" t="n">
        <f>(AI12+1)^0.25-1</f>
        <v>5.0400673136283825E-3</v>
      </c>
      <c r="AJ23" s="337" t="n">
        <f>(AJ12+1)^0.25-1</f>
        <v>5.0641944009628403E-3</v>
      </c>
      <c r="AK23" s="337" t="n">
        <f>(AK12+1)^0.25-1</f>
        <v>5.0315604958042215E-3</v>
      </c>
      <c r="AL23" s="337" t="n">
        <f t="shared" ref="AL23:AN23" si="22">(AL12+1)^0.25-1</f>
        <v>5.0077163079846887E-3</v>
      </c>
      <c r="AM23" s="337" t="n">
        <f t="shared" si="22"/>
        <v>4.9844806962866528E-3</v>
      </c>
      <c r="AN23" s="337" t="n">
        <f t="shared" si="22"/>
        <v>4.9785638082857631E-3</v>
      </c>
    </row>
    <row r="24">
      <c r="B24" s="322" t="s">
        <v>1608</v>
      </c>
      <c r="C24" s="346"/>
      <c r="D24" s="336" t="n">
        <f t="shared" ref="D24:AF24" si="23">(D14+1)^0.25-1</f>
        <v>1.3203927321972619E-2</v>
      </c>
      <c r="E24" s="336" t="n">
        <f t="shared" si="23"/>
        <v>1.3203927321972619E-2</v>
      </c>
      <c r="F24" s="336" t="n">
        <f t="shared" si="23"/>
        <v>1.7097349075517965E-2</v>
      </c>
      <c r="G24" s="336" t="n">
        <f t="shared" si="23"/>
        <v>1.2703279855445393E-2</v>
      </c>
      <c r="H24" s="336" t="n">
        <f t="shared" si="23"/>
        <v>3.1684238983509028E-2</v>
      </c>
      <c r="I24" s="336" t="n">
        <f t="shared" si="23"/>
        <v>1.8657303076358822E-2</v>
      </c>
      <c r="J24" s="336" t="n">
        <f t="shared" si="23"/>
        <v>1.4508411791943177E-2</v>
      </c>
      <c r="K24" s="336" t="n">
        <f t="shared" si="23"/>
        <v>2.0437141842892581E-2</v>
      </c>
      <c r="L24" s="336" t="n">
        <f t="shared" si="23"/>
        <v>4.1298081701620193E-2</v>
      </c>
      <c r="M24" s="336" t="n">
        <f t="shared" si="23"/>
        <v>1.0165608743378129E-2</v>
      </c>
      <c r="N24" s="336" t="n">
        <f t="shared" si="23"/>
        <v>8.2207313616176059E-3</v>
      </c>
      <c r="O24" s="336" t="n">
        <f t="shared" si="23"/>
        <v>2.1743205248359931E-2</v>
      </c>
      <c r="P24" s="336" t="n">
        <f t="shared" si="23"/>
        <v>1.6097963676389826E-2</v>
      </c>
      <c r="Q24" s="336" t="n">
        <f t="shared" si="23"/>
        <v>1.7377567140600236E-2</v>
      </c>
      <c r="R24" s="336" t="n">
        <f t="shared" si="23"/>
        <v>2.0674356699201368E-2</v>
      </c>
      <c r="S24" s="337" t="n">
        <f t="shared" si="23"/>
        <v>2.1385725462922833E-2</v>
      </c>
      <c r="T24" s="336" t="n">
        <f t="shared" si="23"/>
        <v>1.0256192016341759E-2</v>
      </c>
      <c r="U24" s="336" t="n">
        <f t="shared" si="23"/>
        <v>1.8071527865537673E-2</v>
      </c>
      <c r="V24" s="336" t="n">
        <f t="shared" si="23"/>
        <v>2.9212181396888415E-2</v>
      </c>
      <c r="W24" s="336" t="n">
        <f t="shared" si="23"/>
        <v>3.3207365120205834E-2</v>
      </c>
      <c r="X24" s="336" t="n">
        <f t="shared" si="23"/>
        <v>1.8171206225680914E-2</v>
      </c>
      <c r="Y24" s="336" t="n">
        <f t="shared" si="23"/>
        <v>1.4483891924943482E-2</v>
      </c>
      <c r="Z24" s="336" t="n">
        <f t="shared" si="23"/>
        <v>1.3486024259775409E-2</v>
      </c>
      <c r="AA24" s="336" t="n">
        <f t="shared" si="23"/>
        <v>2.2970561998215899E-2</v>
      </c>
      <c r="AB24" s="336" t="n">
        <f t="shared" si="23"/>
        <v>1.4606496620885201E-2</v>
      </c>
      <c r="AC24" s="336" t="n">
        <f t="shared" si="23"/>
        <v>8.379888268156499E-3</v>
      </c>
      <c r="AD24" s="336" t="n">
        <f t="shared" si="23"/>
        <v>1.1470985155195734E-2</v>
      </c>
      <c r="AE24" s="336" t="n">
        <f t="shared" si="23"/>
        <v>6.1258970181228278E-3</v>
      </c>
      <c r="AF24" s="337" t="n">
        <f t="shared" si="23"/>
        <v>5.9761162066749307E-3</v>
      </c>
      <c r="AG24" s="337" t="n">
        <f t="shared" ref="AG24" si="24">(AG14+1)^0.25-1</f>
        <v>5.3360385557714718E-3</v>
      </c>
      <c r="AH24" s="337" t="n">
        <f>(AH14+1)^0.25-1</f>
        <v>5.6496540320822852E-3</v>
      </c>
      <c r="AI24" s="337" t="n">
        <f>(AI14+1)^0.25-1</f>
        <v>5.7657657657657069E-3</v>
      </c>
      <c r="AJ24" s="337" t="n">
        <f>(AJ14+1)^0.25-1</f>
        <v>5.9196503336531592E-3</v>
      </c>
      <c r="AK24" s="337" t="n">
        <f t="shared" ref="AK24:AN24" si="25">(AK14+1)^0.25-1</f>
        <v>5.5566525119521426E-3</v>
      </c>
      <c r="AL24" s="337" t="n">
        <f t="shared" si="25"/>
        <v>5.4914304880231413E-3</v>
      </c>
      <c r="AM24" s="337" t="n">
        <f t="shared" si="25"/>
        <v>5.6450948628539166E-3</v>
      </c>
      <c r="AN24" s="337" t="n">
        <f t="shared" si="25"/>
        <v>5.7617728642578303E-3</v>
      </c>
    </row>
    <row r="25">
      <c r="B25" s="322" t="s">
        <v>1609</v>
      </c>
      <c r="C25" s="346"/>
      <c r="D25" s="336" t="n">
        <f t="shared" ref="D25:AF25" si="26">(D16+1)^0.25-1</f>
        <v>2.1142316188071941E-2</v>
      </c>
      <c r="E25" s="336" t="n">
        <f t="shared" si="26"/>
        <v>2.1142316188071941E-2</v>
      </c>
      <c r="F25" s="336" t="n">
        <f t="shared" si="26"/>
        <v>1.8077873918417753E-2</v>
      </c>
      <c r="G25" s="336" t="n">
        <f t="shared" si="26"/>
        <v>1.8971012293216072E-2</v>
      </c>
      <c r="H25" s="336" t="n">
        <f t="shared" si="26"/>
        <v>2.2713732499255235E-2</v>
      </c>
      <c r="I25" s="336" t="n">
        <f t="shared" si="26"/>
        <v>1.8058690744920947E-2</v>
      </c>
      <c r="J25" s="336" t="n">
        <f t="shared" si="26"/>
        <v>1.4090551462699441E-2</v>
      </c>
      <c r="K25" s="336" t="n">
        <f t="shared" si="26"/>
        <v>1.0932430526167325E-2</v>
      </c>
      <c r="L25" s="336" t="n">
        <f t="shared" si="26"/>
        <v>2.2395869671387736E-2</v>
      </c>
      <c r="M25" s="336" t="n">
        <f t="shared" si="26"/>
        <v>1.1805650334379747E-2</v>
      </c>
      <c r="N25" s="336" t="n">
        <f t="shared" si="26"/>
        <v>1.517501854724479E-2</v>
      </c>
      <c r="O25" s="336" t="n">
        <f t="shared" si="26"/>
        <v>1.375232527238901E-2</v>
      </c>
      <c r="P25" s="336" t="n">
        <f t="shared" si="26"/>
        <v>1.9660528212857908E-2</v>
      </c>
      <c r="Q25" s="336" t="n">
        <f t="shared" si="26"/>
        <v>1.7803200719840762E-2</v>
      </c>
      <c r="R25" s="336" t="n">
        <f t="shared" si="26"/>
        <v>1.3450366254104562E-2</v>
      </c>
      <c r="S25" s="337" t="n">
        <f t="shared" si="26"/>
        <v>1.8941990155149968E-2</v>
      </c>
      <c r="T25" s="336" t="n">
        <f t="shared" si="26"/>
        <v>2.9046658105546186E-2</v>
      </c>
      <c r="U25" s="336" t="n">
        <f t="shared" si="26"/>
        <v>3.476348942239138E-2</v>
      </c>
      <c r="V25" s="336" t="n">
        <f t="shared" si="26"/>
        <v>3.6467007408258034E-2</v>
      </c>
      <c r="W25" s="336" t="n">
        <f t="shared" si="26"/>
        <v>2.9421542553191626E-2</v>
      </c>
      <c r="X25" s="336" t="n">
        <f t="shared" si="26"/>
        <v>2.0130254588513807E-2</v>
      </c>
      <c r="Y25" s="336" t="n">
        <f t="shared" si="26"/>
        <v>1.9838547987126143E-2</v>
      </c>
      <c r="Z25" s="336" t="n">
        <f t="shared" si="26"/>
        <v>1.2778726266231999E-2</v>
      </c>
      <c r="AA25" s="336" t="n">
        <f t="shared" si="26"/>
        <v>1.2770739681242427E-2</v>
      </c>
      <c r="AB25" s="336" t="n">
        <f t="shared" si="26"/>
        <v>1.1298295167961214E-2</v>
      </c>
      <c r="AC25" s="336" t="n">
        <f t="shared" si="26"/>
        <v>1.2119700748129514E-2</v>
      </c>
      <c r="AD25" s="336" t="n">
        <f t="shared" si="26"/>
        <v>7.4409895037697016E-3</v>
      </c>
      <c r="AE25" s="336" t="n">
        <f t="shared" si="26"/>
        <v>7.7455120761196206E-3</v>
      </c>
      <c r="AF25" s="337" t="n">
        <f t="shared" si="26"/>
        <v>8.0020266414988495E-3</v>
      </c>
      <c r="AG25" s="337" t="n">
        <f t="shared" ref="AG25" si="27">(AG16+1)^0.25-1</f>
        <v>8.189994905591913E-3</v>
      </c>
      <c r="AH25" s="337" t="n">
        <f>(AH16+1)^0.25-1</f>
        <v>7.7655046872424638E-3</v>
      </c>
      <c r="AI25" s="337" t="n">
        <f>(AI16+1)^0.25-1</f>
        <v>7.6646909789201967E-3</v>
      </c>
      <c r="AJ25" s="337" t="n">
        <f>(AJ16+1)^0.25-1</f>
        <v>7.6652640346144274E-3</v>
      </c>
      <c r="AK25" s="337" t="n">
        <f t="shared" ref="AK25:AN25" si="28">(AK16+1)^0.25-1</f>
        <v>7.549640626419496E-3</v>
      </c>
      <c r="AL25" s="337" t="n">
        <f t="shared" si="28"/>
        <v>7.4988972991580916E-3</v>
      </c>
      <c r="AM25" s="337" t="n">
        <f t="shared" si="28"/>
        <v>7.4157411184010424E-3</v>
      </c>
      <c r="AN25" s="337" t="n">
        <f t="shared" si="28"/>
        <v>7.3690570943414357E-3</v>
      </c>
    </row>
    <row r="26">
      <c r="B26" s="322" t="s">
        <v>1610</v>
      </c>
      <c r="C26" s="346"/>
      <c r="D26" s="336" t="n">
        <f t="shared" ref="D26:AF26" si="29">(D18+1)^0.25-1</f>
        <v>1.9889411570520821E-2</v>
      </c>
      <c r="E26" s="336" t="n">
        <f t="shared" si="29"/>
        <v>1.9889411570520821E-2</v>
      </c>
      <c r="F26" s="336" t="n">
        <f t="shared" si="29"/>
        <v>1.7640394885903854E-2</v>
      </c>
      <c r="G26" s="336" t="n">
        <f t="shared" si="29"/>
        <v>1.6857506361323216E-2</v>
      </c>
      <c r="H26" s="336" t="n">
        <f t="shared" si="29"/>
        <v>2.4554269627776071E-2</v>
      </c>
      <c r="I26" s="336" t="n">
        <f t="shared" si="29"/>
        <v>1.8775759426041816E-2</v>
      </c>
      <c r="J26" s="336" t="n">
        <f t="shared" si="29"/>
        <v>1.5058435720707086E-2</v>
      </c>
      <c r="K26" s="336" t="n">
        <f t="shared" si="29"/>
        <v>9.0781607498708894E-3</v>
      </c>
      <c r="L26" s="336" t="n">
        <f t="shared" si="29"/>
        <v>2.5234055002925526E-2</v>
      </c>
      <c r="M26" s="336" t="n">
        <f t="shared" si="29"/>
        <v>1.312691731468929E-2</v>
      </c>
      <c r="N26" s="336" t="n">
        <f t="shared" si="29"/>
        <v>1.5562284346172905E-2</v>
      </c>
      <c r="O26" s="336" t="n">
        <f t="shared" si="29"/>
        <v>1.2411593398973908E-2</v>
      </c>
      <c r="P26" s="336" t="n">
        <f t="shared" si="29"/>
        <v>1.9724676392027796E-2</v>
      </c>
      <c r="Q26" s="336" t="n">
        <f t="shared" si="29"/>
        <v>1.6925246826516194E-2</v>
      </c>
      <c r="R26" s="336" t="n">
        <f t="shared" si="29"/>
        <v>1.15580212667592E-2</v>
      </c>
      <c r="S26" s="337" t="n">
        <f t="shared" si="29"/>
        <v>1.6779838077827014E-2</v>
      </c>
      <c r="T26" s="336" t="n">
        <f t="shared" si="29"/>
        <v>2.4272779811211675E-2</v>
      </c>
      <c r="U26" s="336" t="n">
        <f t="shared" si="29"/>
        <v>2.6894865525672218E-2</v>
      </c>
      <c r="V26" s="336" t="n">
        <f t="shared" si="29"/>
        <v>2.8754578754578652E-2</v>
      </c>
      <c r="W26" s="336" t="n">
        <f t="shared" si="29"/>
        <v>2.6170553676339914E-2</v>
      </c>
      <c r="X26" s="336" t="n">
        <f t="shared" si="29"/>
        <v>1.9951422623178283E-2</v>
      </c>
      <c r="Y26" s="336" t="n">
        <f t="shared" si="29"/>
        <v>2.4097068662471077E-2</v>
      </c>
      <c r="Z26" s="336" t="n">
        <f t="shared" si="29"/>
        <v>1.5391429520540179E-2</v>
      </c>
      <c r="AA26" s="336" t="n">
        <f t="shared" si="29"/>
        <v>1.4558342420937898E-2</v>
      </c>
      <c r="AB26" s="336" t="n">
        <f t="shared" si="29"/>
        <v>1.3005858010426197E-2</v>
      </c>
      <c r="AC26" s="336" t="n">
        <f t="shared" si="29"/>
        <v>1.3051090243514141E-2</v>
      </c>
      <c r="AD26" s="336" t="n">
        <f t="shared" si="29"/>
        <v>8.7457449594134928E-3</v>
      </c>
      <c r="AE26" s="336" t="n">
        <f t="shared" si="29"/>
        <v>7.7455120761196206E-3</v>
      </c>
      <c r="AF26" s="337" t="n">
        <f t="shared" si="29"/>
        <v>8.0020266414988495E-3</v>
      </c>
      <c r="AG26" s="337" t="n">
        <f t="shared" ref="AG26" si="30">(AG18+1)^0.25-1</f>
        <v>8.189994905591913E-3</v>
      </c>
      <c r="AH26" s="337" t="n">
        <f>(AH18+1)^0.25-1</f>
        <v>7.7655046872424638E-3</v>
      </c>
      <c r="AI26" s="337" t="n">
        <f>(AI18+1)^0.25-1</f>
        <v>7.6646909789201967E-3</v>
      </c>
      <c r="AJ26" s="337" t="n">
        <f>(AJ18+1)^0.25-1</f>
        <v>7.6652640346144274E-3</v>
      </c>
      <c r="AK26" s="337" t="n">
        <f t="shared" ref="AK26:AN26" si="31">(AK18+1)^0.25-1</f>
        <v>7.549640626419496E-3</v>
      </c>
      <c r="AL26" s="337" t="n">
        <f t="shared" si="31"/>
        <v>7.4988972991580916E-3</v>
      </c>
      <c r="AM26" s="337" t="n">
        <f t="shared" si="31"/>
        <v>7.4157411184010424E-3</v>
      </c>
      <c r="AN26" s="337" t="n">
        <f t="shared" si="31"/>
        <v>7.3690570943414357E-3</v>
      </c>
    </row>
    <row r="27">
      <c r="B27" s="323" t="s">
        <v>1611</v>
      </c>
      <c r="C27" s="347"/>
      <c r="D27" s="348" t="n">
        <f t="shared" ref="D27:AF27" si="32">(D20+1)^0.25-1</f>
        <v>2.5154004106776151E-2</v>
      </c>
      <c r="E27" s="348" t="n">
        <f t="shared" si="32"/>
        <v>2.5154004106776151E-2</v>
      </c>
      <c r="F27" s="348" t="n">
        <f t="shared" si="32"/>
        <v>1.9341512268402639E-2</v>
      </c>
      <c r="G27" s="348" t="n">
        <f t="shared" si="32"/>
        <v>2.5422167638931681E-2</v>
      </c>
      <c r="H27" s="348" t="n">
        <f t="shared" si="32"/>
        <v>1.6827354931432836E-2</v>
      </c>
      <c r="I27" s="348" t="n">
        <f t="shared" si="32"/>
        <v>1.5959952885747919E-2</v>
      </c>
      <c r="J27" s="348" t="n">
        <f t="shared" si="32"/>
        <v>1.0897918961219499E-2</v>
      </c>
      <c r="K27" s="348" t="n">
        <f t="shared" si="32"/>
        <v>1.7317506737771549E-2</v>
      </c>
      <c r="L27" s="348" t="n">
        <f t="shared" si="32"/>
        <v>1.2795220111605943E-2</v>
      </c>
      <c r="M27" s="348" t="n">
        <f t="shared" si="32"/>
        <v>7.0124666073019259E-3</v>
      </c>
      <c r="N27" s="348" t="n">
        <f t="shared" si="32"/>
        <v>1.3872001768541864E-2</v>
      </c>
      <c r="O27" s="348" t="n">
        <f t="shared" si="32"/>
        <v>1.8697192695557474E-2</v>
      </c>
      <c r="P27" s="348" t="n">
        <f t="shared" si="32"/>
        <v>1.9263698630136883E-2</v>
      </c>
      <c r="Q27" s="348" t="n">
        <f t="shared" si="32"/>
        <v>2.1052078958420983E-2</v>
      </c>
      <c r="R27" s="348" t="n">
        <f t="shared" si="32"/>
        <v>2.0360944007403736E-2</v>
      </c>
      <c r="S27" s="349" t="n">
        <f t="shared" si="32"/>
        <v>2.6858150667674607E-2</v>
      </c>
      <c r="T27" s="348" t="n">
        <f t="shared" si="32"/>
        <v>4.6373540092256471E-2</v>
      </c>
      <c r="U27" s="348" t="n">
        <f t="shared" si="32"/>
        <v>6.2842939548843901E-2</v>
      </c>
      <c r="V27" s="348" t="n">
        <f t="shared" si="32"/>
        <v>6.3892688523143448E-2</v>
      </c>
      <c r="W27" s="348" t="n">
        <f t="shared" si="32"/>
        <v>4.155779519721281E-2</v>
      </c>
      <c r="X27" s="348" t="n">
        <f t="shared" si="32"/>
        <v>2.1303707243260472E-2</v>
      </c>
      <c r="Y27" s="348" t="n">
        <f t="shared" si="32"/>
        <v>4.9126637554586239E-3</v>
      </c>
      <c r="Z27" s="348" t="n">
        <f t="shared" si="32"/>
        <v>3.1815007371769344E-3</v>
      </c>
      <c r="AA27" s="348" t="n">
        <f t="shared" si="32"/>
        <v>6.0720915841583345E-3</v>
      </c>
      <c r="AB27" s="348" t="n">
        <f t="shared" si="32"/>
        <v>4.9206166147695019E-3</v>
      </c>
      <c r="AC27" s="348" t="n">
        <f t="shared" si="32"/>
        <v>8.5689147316476699E-3</v>
      </c>
      <c r="AD27" s="348" t="n">
        <f t="shared" si="32"/>
        <v>2.1998862127821095E-3</v>
      </c>
      <c r="AE27" s="348" t="n">
        <f t="shared" si="32"/>
        <v>7.7455120761196206E-3</v>
      </c>
      <c r="AF27" s="349" t="n">
        <f t="shared" si="32"/>
        <v>8.0020266414988495E-3</v>
      </c>
      <c r="AG27" s="349" t="n">
        <f t="shared" ref="AG27" si="33">(AG20+1)^0.25-1</f>
        <v>8.189994905591913E-3</v>
      </c>
      <c r="AH27" s="349" t="n">
        <f>(AH20+1)^0.25-1</f>
        <v>7.7655046872424638E-3</v>
      </c>
      <c r="AI27" s="349" t="n">
        <f>(AI20+1)^0.25-1</f>
        <v>7.6646909789201967E-3</v>
      </c>
      <c r="AJ27" s="349" t="n">
        <f>(AJ20+1)^0.25-1</f>
        <v>7.6652640346144274E-3</v>
      </c>
      <c r="AK27" s="349" t="n">
        <f t="shared" ref="AK27:AN27" si="34">(AK20+1)^0.25-1</f>
        <v>7.549640626419496E-3</v>
      </c>
      <c r="AL27" s="349" t="n">
        <f t="shared" si="34"/>
        <v>7.4988972991580916E-3</v>
      </c>
      <c r="AM27" s="349" t="n">
        <f t="shared" si="34"/>
        <v>7.4157411184010424E-3</v>
      </c>
      <c r="AN27" s="349" t="n">
        <f t="shared" si="34"/>
        <v>7.3690570943414357E-3</v>
      </c>
    </row>
    <row r="28">
      <c r="B28" s="78"/>
      <c r="C28" s="340"/>
      <c r="D28" s="321"/>
      <c r="E28" s="321"/>
      <c r="F28" s="321"/>
      <c r="G28" s="321"/>
      <c r="H28" s="321"/>
      <c r="I28" s="321"/>
      <c r="J28" s="321"/>
      <c r="K28" s="321"/>
      <c r="L28" s="321"/>
      <c r="M28" s="321"/>
      <c r="N28" s="321"/>
      <c r="O28" s="321"/>
      <c r="P28" s="321"/>
      <c r="Q28" s="321"/>
      <c r="R28" s="321"/>
      <c r="S28" s="321"/>
      <c r="T28" s="321"/>
      <c r="U28" s="321"/>
      <c r="V28" s="321"/>
      <c r="W28" s="321"/>
      <c r="X28" s="321"/>
      <c r="Y28" s="321"/>
      <c r="Z28" s="321"/>
      <c r="AA28" s="321"/>
      <c r="AB28" s="321"/>
      <c r="AC28" s="321"/>
      <c r="AD28" s="321"/>
      <c r="AE28" s="321"/>
      <c r="AF28" s="321"/>
    </row>
    <row r="29">
      <c r="B29" s="78"/>
      <c r="C29" s="340"/>
      <c r="D29" s="321"/>
      <c r="E29" s="321"/>
      <c r="F29" s="321"/>
      <c r="G29" s="321"/>
      <c r="H29" s="321"/>
      <c r="I29" s="321"/>
      <c r="J29" s="321"/>
      <c r="K29" s="321"/>
      <c r="L29" s="321"/>
      <c r="M29" s="321"/>
      <c r="N29" s="321"/>
      <c r="O29" s="321"/>
      <c r="P29" s="321"/>
      <c r="Q29" s="177"/>
      <c r="R29" s="321"/>
      <c r="S29" s="321"/>
      <c r="T29" s="321"/>
      <c r="U29" s="321"/>
      <c r="V29" s="321"/>
      <c r="W29" s="321"/>
      <c r="X29" s="321"/>
      <c r="Y29" s="321"/>
      <c r="Z29" s="321"/>
      <c r="AA29" s="321"/>
      <c r="AB29" s="321"/>
      <c r="AC29" s="321"/>
      <c r="AD29" s="321"/>
      <c r="AE29" s="321"/>
      <c r="AF29" s="321"/>
    </row>
    <row r="30">
      <c r="B30" s="78"/>
      <c r="C30" s="340"/>
      <c r="D30" s="321"/>
      <c r="E30" s="321"/>
      <c r="F30" s="321"/>
      <c r="G30" s="321"/>
      <c r="H30" s="321"/>
      <c r="I30" s="321"/>
      <c r="J30" s="321"/>
      <c r="K30" s="321"/>
      <c r="L30" s="321"/>
      <c r="M30" s="321"/>
      <c r="N30" s="321"/>
      <c r="O30" s="321"/>
      <c r="P30" s="321"/>
      <c r="Q30" s="177"/>
      <c r="R30" s="321"/>
      <c r="S30" s="321"/>
      <c r="T30" s="321"/>
      <c r="U30" s="321"/>
      <c r="V30" s="321"/>
      <c r="W30" s="321"/>
      <c r="X30" s="321"/>
      <c r="Y30" s="321"/>
      <c r="Z30" s="321"/>
      <c r="AA30" s="321"/>
      <c r="AB30" s="321"/>
      <c r="AC30" s="321"/>
      <c r="AD30" s="321"/>
      <c r="AE30" s="321"/>
      <c r="AF30" s="321"/>
    </row>
    <row r="31">
      <c r="B31" s="78"/>
      <c r="C31" s="340"/>
      <c r="D31" s="321"/>
      <c r="E31" s="321"/>
      <c r="F31" s="321"/>
      <c r="G31" s="321"/>
      <c r="H31" s="321"/>
      <c r="I31" s="321"/>
      <c r="J31" s="321"/>
      <c r="K31" s="321"/>
      <c r="L31" s="321"/>
      <c r="M31" s="321"/>
      <c r="N31" s="321"/>
      <c r="O31" s="321"/>
      <c r="P31" s="321"/>
      <c r="Q31" s="78"/>
      <c r="R31" s="321"/>
      <c r="S31" s="321"/>
      <c r="T31" s="321"/>
      <c r="U31" s="321"/>
      <c r="V31" s="321"/>
      <c r="W31" s="321"/>
      <c r="X31" s="321"/>
      <c r="Y31" s="321"/>
      <c r="Z31" s="321"/>
      <c r="AA31" s="321"/>
      <c r="AB31" s="321"/>
      <c r="AC31" s="321"/>
      <c r="AD31" s="321"/>
      <c r="AE31" s="321"/>
      <c r="AF31" s="321"/>
    </row>
    <row r="32">
      <c r="B32" s="78"/>
      <c r="C32" s="340"/>
      <c r="D32" s="321"/>
      <c r="E32" s="321"/>
      <c r="F32" s="321"/>
      <c r="G32" s="321"/>
      <c r="H32" s="321"/>
      <c r="I32" s="321"/>
      <c r="J32" s="321"/>
      <c r="K32" s="321"/>
      <c r="L32" s="321"/>
      <c r="M32" s="321"/>
      <c r="N32" s="321"/>
      <c r="O32" s="321"/>
      <c r="P32" s="321"/>
      <c r="Q32" s="78"/>
      <c r="R32" s="321"/>
      <c r="S32" s="321"/>
      <c r="T32" s="321"/>
      <c r="U32" s="321"/>
      <c r="V32" s="321"/>
      <c r="W32" s="321"/>
      <c r="X32" s="321"/>
      <c r="Y32" s="321"/>
      <c r="Z32" s="321"/>
      <c r="AA32" s="321"/>
      <c r="AB32" s="321"/>
      <c r="AC32" s="321"/>
      <c r="AD32" s="321"/>
      <c r="AE32" s="321"/>
      <c r="AF32" s="321"/>
    </row>
    <row r="33">
      <c r="B33" s="78"/>
      <c r="C33" s="340"/>
      <c r="D33" s="321"/>
      <c r="E33" s="321"/>
      <c r="F33" s="321"/>
      <c r="G33" s="321"/>
      <c r="H33" s="321"/>
      <c r="I33" s="321"/>
      <c r="J33" s="321"/>
      <c r="K33" s="321"/>
      <c r="L33" s="321"/>
      <c r="M33" s="321"/>
      <c r="N33" s="321"/>
      <c r="O33" s="321"/>
      <c r="P33" s="321"/>
      <c r="Q33" s="78"/>
      <c r="R33" s="321"/>
      <c r="S33" s="321"/>
      <c r="T33" s="321"/>
      <c r="U33" s="321"/>
      <c r="V33" s="321"/>
      <c r="W33" s="321"/>
      <c r="X33" s="321"/>
      <c r="Y33" s="321"/>
      <c r="Z33" s="321"/>
      <c r="AA33" s="321"/>
      <c r="AB33" s="321"/>
      <c r="AC33" s="321"/>
      <c r="AD33" s="321"/>
      <c r="AE33" s="321"/>
      <c r="AF33" s="321"/>
    </row>
    <row r="34">
      <c r="B34" s="78"/>
      <c r="C34" s="340"/>
      <c r="D34" s="321"/>
      <c r="E34" s="321"/>
      <c r="F34" s="321"/>
      <c r="G34" s="321"/>
      <c r="H34" s="321"/>
      <c r="I34" s="321"/>
      <c r="J34" s="321"/>
      <c r="K34" s="321"/>
      <c r="L34" s="321"/>
      <c r="M34" s="321"/>
      <c r="N34" s="321"/>
      <c r="O34" s="321"/>
      <c r="P34" s="321"/>
      <c r="Q34" s="78"/>
      <c r="R34" s="321"/>
      <c r="S34" s="321"/>
      <c r="T34" s="321"/>
      <c r="U34" s="321"/>
      <c r="V34" s="321"/>
      <c r="W34" s="321"/>
      <c r="X34" s="321"/>
      <c r="Y34" s="321"/>
      <c r="Z34" s="321"/>
      <c r="AA34" s="321"/>
      <c r="AB34" s="321"/>
      <c r="AC34" s="321"/>
      <c r="AD34" s="321"/>
      <c r="AE34" s="321"/>
      <c r="AF34" s="321"/>
    </row>
    <row r="35">
      <c r="B35" s="78"/>
      <c r="C35" s="340"/>
      <c r="D35" s="321"/>
      <c r="E35" s="321"/>
      <c r="F35" s="321"/>
      <c r="G35" s="321"/>
      <c r="H35" s="321"/>
      <c r="I35" s="321"/>
      <c r="J35" s="321"/>
      <c r="K35" s="321"/>
      <c r="L35" s="321"/>
      <c r="M35" s="321"/>
      <c r="N35" s="321"/>
      <c r="O35" s="321"/>
      <c r="P35" s="321"/>
      <c r="Q35" s="78"/>
      <c r="R35" s="321"/>
      <c r="S35" s="321"/>
      <c r="T35" s="321"/>
      <c r="U35" s="321"/>
      <c r="V35" s="321"/>
      <c r="W35" s="321"/>
      <c r="X35" s="321"/>
      <c r="Y35" s="321"/>
      <c r="Z35" s="321"/>
      <c r="AA35" s="321"/>
      <c r="AB35" s="321"/>
      <c r="AC35" s="321"/>
      <c r="AD35" s="321"/>
      <c r="AE35" s="321"/>
      <c r="AF35" s="321"/>
    </row>
    <row r="36">
      <c r="B36" s="78"/>
      <c r="C36" s="340"/>
      <c r="D36" s="321"/>
      <c r="E36" s="321"/>
      <c r="F36" s="321"/>
      <c r="G36" s="321"/>
      <c r="H36" s="321"/>
      <c r="I36" s="321"/>
      <c r="J36" s="321"/>
      <c r="K36" s="321"/>
      <c r="L36" s="321"/>
      <c r="M36" s="321"/>
      <c r="N36" s="321"/>
      <c r="O36" s="321"/>
      <c r="P36" s="321"/>
      <c r="Q36" s="78"/>
      <c r="R36" s="321"/>
      <c r="S36" s="321"/>
      <c r="T36" s="321"/>
      <c r="U36" s="321"/>
      <c r="V36" s="321"/>
      <c r="W36" s="321"/>
      <c r="X36" s="321"/>
      <c r="Y36" s="321"/>
      <c r="Z36" s="321"/>
      <c r="AA36" s="321"/>
      <c r="AB36" s="321"/>
      <c r="AC36" s="321"/>
      <c r="AD36" s="321"/>
      <c r="AE36" s="321"/>
      <c r="AF36" s="321"/>
    </row>
    <row r="37">
      <c r="B37" s="78"/>
      <c r="C37" s="340"/>
      <c r="D37" s="321"/>
      <c r="E37" s="321"/>
      <c r="F37" s="321"/>
      <c r="G37" s="321"/>
      <c r="H37" s="321"/>
      <c r="I37" s="321"/>
      <c r="J37" s="321"/>
      <c r="K37" s="321"/>
      <c r="L37" s="321"/>
      <c r="M37" s="321"/>
      <c r="N37" s="321"/>
      <c r="O37" s="321"/>
      <c r="P37" s="321"/>
      <c r="Q37" s="78"/>
      <c r="R37" s="321"/>
      <c r="S37" s="321"/>
      <c r="T37" s="321"/>
      <c r="U37" s="321"/>
      <c r="V37" s="321"/>
      <c r="W37" s="321"/>
      <c r="X37" s="321"/>
      <c r="Y37" s="321"/>
      <c r="Z37" s="321"/>
      <c r="AA37" s="321"/>
      <c r="AB37" s="321"/>
      <c r="AC37" s="321"/>
      <c r="AD37" s="321"/>
      <c r="AE37" s="321"/>
      <c r="AF37" s="321"/>
    </row>
    <row r="38">
      <c r="B38" s="78"/>
      <c r="C38" s="340"/>
      <c r="D38" s="321"/>
      <c r="E38" s="321"/>
      <c r="F38" s="321"/>
      <c r="G38" s="321"/>
      <c r="H38" s="321"/>
      <c r="I38" s="321"/>
      <c r="J38" s="321"/>
      <c r="K38" s="321"/>
      <c r="L38" s="321"/>
      <c r="M38" s="321"/>
      <c r="N38" s="321"/>
      <c r="O38" s="321"/>
      <c r="P38" s="321"/>
      <c r="Q38" s="78"/>
      <c r="R38" s="321"/>
      <c r="S38" s="321"/>
      <c r="T38" s="321"/>
      <c r="U38" s="321"/>
      <c r="V38" s="321"/>
      <c r="W38" s="321"/>
      <c r="X38" s="321"/>
      <c r="Y38" s="321"/>
      <c r="Z38" s="321"/>
      <c r="AA38" s="321"/>
      <c r="AB38" s="321"/>
      <c r="AC38" s="321"/>
      <c r="AD38" s="321"/>
      <c r="AE38" s="321"/>
      <c r="AF38" s="321"/>
    </row>
    <row r="39">
      <c r="B39" s="78"/>
      <c r="C39" s="340"/>
      <c r="D39" s="321"/>
      <c r="E39" s="321"/>
      <c r="F39" s="321"/>
      <c r="G39" s="321"/>
      <c r="H39" s="321"/>
      <c r="I39" s="321"/>
      <c r="J39" s="321"/>
      <c r="K39" s="321"/>
      <c r="L39" s="321"/>
      <c r="M39" s="321"/>
      <c r="N39" s="321"/>
      <c r="O39" s="321"/>
      <c r="P39" s="321"/>
      <c r="Q39" s="321"/>
      <c r="R39" s="321"/>
      <c r="S39" s="321"/>
      <c r="T39" s="321"/>
      <c r="U39" s="321"/>
      <c r="V39" s="321"/>
      <c r="W39" s="321"/>
      <c r="X39" s="321"/>
      <c r="Y39" s="321"/>
      <c r="Z39" s="321"/>
      <c r="AA39" s="321"/>
      <c r="AB39" s="321"/>
      <c r="AC39" s="321"/>
      <c r="AD39" s="321"/>
      <c r="AE39" s="321"/>
      <c r="AF39" s="321"/>
    </row>
    <row r="40">
      <c r="B40" s="78"/>
      <c r="C40" s="340"/>
      <c r="D40" s="321"/>
      <c r="E40" s="321"/>
      <c r="F40" s="321"/>
      <c r="G40" s="321"/>
      <c r="H40" s="321"/>
      <c r="I40" s="321"/>
      <c r="J40" s="321"/>
      <c r="K40" s="321"/>
      <c r="L40" s="321"/>
      <c r="M40" s="321"/>
      <c r="N40" s="321"/>
      <c r="O40" s="321"/>
      <c r="P40" s="321"/>
      <c r="Q40" s="321"/>
      <c r="R40" s="321"/>
      <c r="S40" s="321"/>
      <c r="T40" s="321"/>
      <c r="U40" s="321"/>
      <c r="V40" s="321"/>
      <c r="W40" s="321"/>
      <c r="X40" s="321"/>
      <c r="Y40" s="321"/>
      <c r="Z40" s="321"/>
      <c r="AA40" s="321"/>
      <c r="AB40" s="321"/>
      <c r="AC40" s="321"/>
      <c r="AD40" s="321"/>
      <c r="AE40" s="321"/>
      <c r="AF40" s="321"/>
    </row>
    <row r="41">
      <c r="B41" s="342" t="s">
        <v>1724</v>
      </c>
      <c r="C41" s="342"/>
      <c r="D41" s="267"/>
      <c r="E41" s="267"/>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row>
    <row r="42">
      <c r="B42" s="268" t="s">
        <v>1606</v>
      </c>
      <c r="C42" s="269"/>
      <c r="D42" s="248" t="s">
        <v>1630</v>
      </c>
      <c r="E42" s="249"/>
      <c r="F42" s="249"/>
      <c r="G42" s="249"/>
      <c r="H42" s="249"/>
      <c r="I42" s="249"/>
      <c r="J42" s="249"/>
      <c r="K42" s="249"/>
      <c r="L42" s="249"/>
      <c r="M42" s="249"/>
      <c r="N42" s="249"/>
      <c r="O42" s="249"/>
      <c r="P42" s="249"/>
      <c r="Q42" s="249"/>
      <c r="R42" s="249"/>
      <c r="S42" s="249"/>
      <c r="T42" s="249"/>
      <c r="U42" s="249"/>
      <c r="V42" s="249"/>
      <c r="W42" s="249"/>
      <c r="X42" s="249"/>
      <c r="Y42" s="249"/>
      <c r="Z42" s="249"/>
      <c r="AA42" s="249"/>
      <c r="AB42" s="250"/>
      <c r="AC42" s="251" t="s">
        <v>1638</v>
      </c>
      <c r="AD42" s="252"/>
      <c r="AE42" s="252"/>
      <c r="AF42" s="252"/>
      <c r="AG42" s="252"/>
      <c r="AH42" s="252"/>
      <c r="AI42" s="252"/>
      <c r="AJ42" s="252"/>
      <c r="AK42" s="252"/>
      <c r="AL42" s="252"/>
      <c r="AM42" s="252"/>
      <c r="AN42" s="253"/>
    </row>
    <row r="43">
      <c r="B43" s="270"/>
      <c r="C43" s="271"/>
      <c r="D43" s="274" t="n">
        <v>2018</v>
      </c>
      <c r="E43" s="274" t="n">
        <v>2019</v>
      </c>
      <c r="F43" s="275"/>
      <c r="G43" s="275"/>
      <c r="H43" s="276"/>
      <c r="I43" s="274" t="n">
        <v>2020</v>
      </c>
      <c r="J43" s="275"/>
      <c r="K43" s="275"/>
      <c r="L43" s="275"/>
      <c r="M43" s="274" t="n">
        <v>2021</v>
      </c>
      <c r="N43" s="275"/>
      <c r="O43" s="275"/>
      <c r="P43" s="275"/>
      <c r="Q43" s="254" t="n">
        <v>2022</v>
      </c>
      <c r="R43" s="255"/>
      <c r="S43" s="255"/>
      <c r="T43" s="256"/>
      <c r="U43" s="305"/>
      <c r="V43" s="304" t="n">
        <v>2023</v>
      </c>
      <c r="W43" s="298"/>
      <c r="X43" s="298"/>
      <c r="Y43" s="305"/>
      <c r="Z43" s="298" t="n">
        <v>2024</v>
      </c>
      <c r="AA43" s="298"/>
      <c r="AB43" s="300"/>
      <c r="AC43" s="261" t="n">
        <v>2025</v>
      </c>
      <c r="AD43" s="264"/>
      <c r="AE43" s="264"/>
      <c r="AF43" s="264"/>
      <c r="AG43" s="261" t="n">
        <v>2026</v>
      </c>
      <c r="AH43" s="262"/>
      <c r="AI43" s="262"/>
      <c r="AJ43" s="263"/>
      <c r="AK43" s="261" t="n">
        <v>2027</v>
      </c>
      <c r="AL43" s="262"/>
      <c r="AM43" s="262"/>
      <c r="AN43" s="263"/>
    </row>
    <row r="44">
      <c r="B44" s="272"/>
      <c r="C44" s="273"/>
      <c r="D44" s="274" t="s">
        <v>193</v>
      </c>
      <c r="E44" s="274" t="s">
        <v>194</v>
      </c>
      <c r="F44" s="275" t="s">
        <v>195</v>
      </c>
      <c r="G44" s="275" t="s">
        <v>171</v>
      </c>
      <c r="H44" s="276" t="s">
        <v>193</v>
      </c>
      <c r="I44" s="275" t="s">
        <v>194</v>
      </c>
      <c r="J44" s="275" t="s">
        <v>195</v>
      </c>
      <c r="K44" s="275" t="s">
        <v>171</v>
      </c>
      <c r="L44" s="275" t="s">
        <v>193</v>
      </c>
      <c r="M44" s="274" t="s">
        <v>194</v>
      </c>
      <c r="N44" s="275" t="s">
        <v>195</v>
      </c>
      <c r="O44" s="275" t="s">
        <v>171</v>
      </c>
      <c r="P44" s="275" t="s">
        <v>193</v>
      </c>
      <c r="Q44" s="274" t="s">
        <v>194</v>
      </c>
      <c r="R44" s="275" t="s">
        <v>195</v>
      </c>
      <c r="S44" s="275" t="s">
        <v>171</v>
      </c>
      <c r="T44" s="276" t="s">
        <v>193</v>
      </c>
      <c r="U44" s="274" t="s">
        <v>194</v>
      </c>
      <c r="V44" s="275" t="s">
        <v>195</v>
      </c>
      <c r="W44" s="275" t="s">
        <v>171</v>
      </c>
      <c r="X44" s="275" t="s">
        <v>193</v>
      </c>
      <c r="Y44" s="274" t="s">
        <v>194</v>
      </c>
      <c r="Z44" s="299" t="s">
        <v>195</v>
      </c>
      <c r="AA44" s="275" t="s">
        <v>171</v>
      </c>
      <c r="AB44" s="276" t="s">
        <v>193</v>
      </c>
      <c r="AC44" s="293" t="s">
        <v>194</v>
      </c>
      <c r="AD44" s="275" t="s">
        <v>195</v>
      </c>
      <c r="AE44" s="257" t="s">
        <v>171</v>
      </c>
      <c r="AF44" s="257" t="s">
        <v>193</v>
      </c>
      <c r="AG44" s="296" t="s">
        <v>194</v>
      </c>
      <c r="AH44" s="290" t="s">
        <v>195</v>
      </c>
      <c r="AI44" s="291" t="s">
        <v>171</v>
      </c>
      <c r="AJ44" s="297" t="s">
        <v>193</v>
      </c>
      <c r="AK44" s="296" t="s">
        <v>194</v>
      </c>
      <c r="AL44" s="290" t="s">
        <v>195</v>
      </c>
      <c r="AM44" s="291" t="s">
        <v>171</v>
      </c>
      <c r="AN44" s="297" t="s">
        <v>193</v>
      </c>
    </row>
    <row r="45">
      <c r="B45" s="350" t="s">
        <v>1800</v>
      </c>
      <c r="C45" s="363"/>
      <c r="D45" s="358" t="n">
        <f>('Haver Pivoted'!B76+1)^4-1</f>
        <v>4.496860109784695E-2</v>
      </c>
      <c r="E45" s="345" t="n">
        <f>('Haver Pivoted'!C76+1)^4-1</f>
        <v>4.496860109784695E-2</v>
      </c>
      <c r="F45" s="345" t="n">
        <f>('Haver Pivoted'!D76+1)^4-1</f>
        <v>3.9642121396104235E-2</v>
      </c>
      <c r="G45" s="345" t="n">
        <f>('Haver Pivoted'!E76+1)^4-1</f>
        <v>5.2800175754732503E-2</v>
      </c>
      <c r="H45" s="345" t="n">
        <f>('Haver Pivoted'!F76+1)^4-1</f>
        <v>3.8539616775677077E-2</v>
      </c>
      <c r="I45" s="345" t="n">
        <f>('Haver Pivoted'!G76+1)^4-1</f>
        <v>4.6302404102992911E-2</v>
      </c>
      <c r="J45" s="345" t="n">
        <f>('Haver Pivoted'!H76+1)^4-1</f>
        <v>3.9941724227302355E-2</v>
      </c>
      <c r="K45" s="345" t="n">
        <f>('Haver Pivoted'!I76+1)^4-1</f>
        <v>2.4925776687546364E-2</v>
      </c>
      <c r="L45" s="345" t="n">
        <f>('Haver Pivoted'!J76+1)^4-1</f>
        <v>4.2858078616518469E-2</v>
      </c>
      <c r="M45" s="345" t="n">
        <f>('Haver Pivoted'!K76+1)^4-1</f>
        <v>2.335165093878766E-2</v>
      </c>
      <c r="N45" s="345" t="n">
        <f>('Haver Pivoted'!L76+1)^4-1</f>
        <v>3.5555503343918993E-2</v>
      </c>
      <c r="O45" s="345" t="n">
        <f>('Haver Pivoted'!M76+1)^4-1</f>
        <v>3.2940878953626962E-2</v>
      </c>
      <c r="P45" s="345" t="n">
        <f>('Haver Pivoted'!N76+1)^4-1</f>
        <v>4.9304762088888454E-2</v>
      </c>
      <c r="Q45" s="345" t="n">
        <f>('Haver Pivoted'!O76+1)^4-1</f>
        <v>7.9039976960236569E-2</v>
      </c>
      <c r="R45" s="345" t="n">
        <f>('Haver Pivoted'!P76+1)^4-1</f>
        <v>7.4848796981023868E-2</v>
      </c>
      <c r="S45" s="359" t="n">
        <f>('Haver Pivoted'!Q76+1)^4-1</f>
        <v>8.4318984466593916E-2</v>
      </c>
      <c r="T45" s="344" t="n">
        <f>('Haver Pivoted'!R76+1)^4-1</f>
        <v>0.1245067296684903</v>
      </c>
      <c r="U45" s="359" t="n">
        <f>('Haver Pivoted'!S76+1)^4-1</f>
        <v>0.11819105851958933</v>
      </c>
      <c r="V45" s="359" t="n">
        <f>('Haver Pivoted'!T76+1)^4-1</f>
        <v>0.11232154229238334</v>
      </c>
      <c r="W45" s="359" t="n">
        <f>('Haver Pivoted'!U76+1)^4-1</f>
        <v>0.10564798706501666</v>
      </c>
      <c r="X45" s="359" t="n">
        <f>('Haver Pivoted'!V76+1)^4-1</f>
        <v>7.7430265920517494E-2</v>
      </c>
      <c r="Y45" s="359" t="n">
        <f>('Haver Pivoted'!W76+1)^4-1</f>
        <v>4.9965268755157721E-2</v>
      </c>
      <c r="Z45" s="359" t="n">
        <f>('Haver Pivoted'!X76+1)^4-1</f>
        <v>7.7082161835331231E-2</v>
      </c>
      <c r="AA45" s="359" t="n">
        <f>('Haver Pivoted'!Y76+1)^4-1</f>
        <v>6.8776322315438509E-2</v>
      </c>
      <c r="AB45" s="359" t="n">
        <f>('Haver Pivoted'!Z76+1)^4-1</f>
        <v>4.4756863311650408E-2</v>
      </c>
      <c r="AC45" s="359" t="n">
        <f>('Haver Pivoted'!AA76+1)^4-1</f>
        <v>3.39082603035743E-2</v>
      </c>
      <c r="AD45" s="359" t="n">
        <f>('Haver Pivoted'!AB76+1)^4-1</f>
        <v>6.2110394614646847E-2</v>
      </c>
      <c r="AE45" s="366" t="n">
        <f>AE46+AE47</f>
        <v>2.3874932014508632E-2</v>
      </c>
      <c r="AF45" s="366" t="n">
        <f t="shared" ref="AF45" si="35">AF46+AF47</f>
        <v>2.2011392938697361E-2</v>
      </c>
      <c r="AG45" s="321" t="n">
        <f t="shared" ref="AG45" si="36">AG46+AG47</f>
        <v>2.1469131944638509E-2</v>
      </c>
      <c r="AH45" s="321" t="n">
        <f>AH46+AH47</f>
        <v>2.037795778240481E-2</v>
      </c>
      <c r="AI45" s="321" t="n">
        <f t="shared" ref="AI45" si="37">AI46+AI47</f>
        <v>2.031319568771961E-2</v>
      </c>
      <c r="AJ45" s="321" t="n">
        <f>AJ46+AJ47</f>
        <v>2.0411174157790368E-2</v>
      </c>
      <c r="AK45" s="321" t="n">
        <f t="shared" ref="AK45:AN45" si="38">AK46+AK47</f>
        <v>2.0278651758323107E-2</v>
      </c>
      <c r="AL45" s="321" t="n">
        <f t="shared" si="38"/>
        <v>2.0181831515000193E-2</v>
      </c>
      <c r="AM45" s="321" t="n">
        <f t="shared" si="38"/>
        <v>2.008748904793789E-2</v>
      </c>
      <c r="AN45" s="343" t="n">
        <f t="shared" si="38"/>
        <v>2.0063466029726529E-2</v>
      </c>
    </row>
    <row r="46">
      <c r="B46" s="91" t="s">
        <v>1799</v>
      </c>
      <c r="C46" s="340" t="s">
        <v>1597</v>
      </c>
      <c r="D46" s="367" t="n">
        <f>('Haver Pivoted'!B76+1)^4-1</f>
        <v>4.496860109784695E-2</v>
      </c>
      <c r="E46" s="321" t="n">
        <f>('Haver Pivoted'!C76+1)^4-1</f>
        <v>4.496860109784695E-2</v>
      </c>
      <c r="F46" s="321" t="n">
        <f>('Haver Pivoted'!D76+1)^4-1</f>
        <v>3.9642121396104235E-2</v>
      </c>
      <c r="G46" s="321" t="n">
        <f>('Haver Pivoted'!E76+1)^4-1</f>
        <v>5.2800175754732503E-2</v>
      </c>
      <c r="H46" s="321" t="n">
        <f>('Haver Pivoted'!F76+1)^4-1</f>
        <v>3.8539616775677077E-2</v>
      </c>
      <c r="I46" s="321" t="n">
        <f>('Haver Pivoted'!G76+1)^4-1</f>
        <v>4.6302404102992911E-2</v>
      </c>
      <c r="J46" s="321" t="n">
        <f>('Haver Pivoted'!H76+1)^4-1</f>
        <v>3.9941724227302355E-2</v>
      </c>
      <c r="K46" s="321" t="n">
        <f>('Haver Pivoted'!I76+1)^4-1</f>
        <v>2.4925776687546364E-2</v>
      </c>
      <c r="L46" s="321" t="n">
        <f>('Haver Pivoted'!J76+1)^4-1</f>
        <v>4.2858078616518469E-2</v>
      </c>
      <c r="M46" s="321" t="n">
        <f>('Haver Pivoted'!K76+1)^4-1</f>
        <v>2.335165093878766E-2</v>
      </c>
      <c r="N46" s="321" t="n">
        <f>('Haver Pivoted'!L76+1)^4-1</f>
        <v>3.5555503343918993E-2</v>
      </c>
      <c r="O46" s="321" t="n">
        <f>('Haver Pivoted'!M76+1)^4-1</f>
        <v>3.2940878953626962E-2</v>
      </c>
      <c r="P46" s="321" t="n">
        <f>('Haver Pivoted'!N76+1)^4-1</f>
        <v>4.9304762088888454E-2</v>
      </c>
      <c r="Q46" s="321" t="n">
        <f>('Haver Pivoted'!O76+1)^4-1</f>
        <v>7.9039976960236569E-2</v>
      </c>
      <c r="R46" s="321" t="n">
        <f>('Haver Pivoted'!P76+1)^4-1</f>
        <v>7.4848796981023868E-2</v>
      </c>
      <c r="S46" s="321" t="n">
        <f>('Haver Pivoted'!Q76+1)^4-1</f>
        <v>8.4318984466593916E-2</v>
      </c>
      <c r="T46" s="321" t="n">
        <f>('Haver Pivoted'!R76+1)^4-1</f>
        <v>0.1245067296684903</v>
      </c>
      <c r="U46" s="321" t="n">
        <f>('Haver Pivoted'!S76+1)^4-1</f>
        <v>0.11819105851958933</v>
      </c>
      <c r="V46" s="321" t="n">
        <f>('Haver Pivoted'!T76+1)^4-1</f>
        <v>0.11232154229238334</v>
      </c>
      <c r="W46" s="321" t="n">
        <f>('Haver Pivoted'!U76+1)^4-1</f>
        <v>0.10564798706501666</v>
      </c>
      <c r="X46" s="321" t="n">
        <f>('Haver Pivoted'!V76+1)^4-1</f>
        <v>7.7430265920517494E-2</v>
      </c>
      <c r="Y46" s="321" t="n">
        <f t="shared" ref="Y46:AH46" si="39">(Y72/X72)^4-1</f>
        <v>3.4257335695615954E-2</v>
      </c>
      <c r="Z46" s="321" t="n">
        <f t="shared" si="39"/>
        <v>2.5320587670252914E-2</v>
      </c>
      <c r="AA46" s="321" t="n">
        <f t="shared" si="39"/>
        <v>1.4999009292827825E-2</v>
      </c>
      <c r="AB46" s="321" t="n">
        <f t="shared" si="39"/>
        <v>2.4498276208370307E-2</v>
      </c>
      <c r="AC46" s="321" t="n">
        <f t="shared" si="39"/>
        <v>2.3058368307400823E-2</v>
      </c>
      <c r="AD46" s="321" t="n">
        <f t="shared" si="39"/>
        <v>2.1483635680919155E-2</v>
      </c>
      <c r="AE46" s="321" t="n">
        <f t="shared" si="39"/>
        <v>2.187493201450863E-2</v>
      </c>
      <c r="AF46" s="321" t="n">
        <f t="shared" si="39"/>
        <v>2.2011392938697361E-2</v>
      </c>
      <c r="AG46" s="321" t="n">
        <f t="shared" si="39"/>
        <v>2.1469131944638509E-2</v>
      </c>
      <c r="AH46" s="321" t="n">
        <f t="shared" si="39"/>
        <v>2.037795778240481E-2</v>
      </c>
      <c r="AI46" s="321" t="n">
        <f t="shared" ref="AI46" si="40">(AI72/AH72)^4-1</f>
        <v>2.031319568771961E-2</v>
      </c>
      <c r="AJ46" s="321" t="n">
        <f>(AJ72/AI72)^4-1</f>
        <v>2.0411174157790368E-2</v>
      </c>
      <c r="AK46" s="321" t="n">
        <f>(AK72/AJ72)^4-1</f>
        <v>2.0278651758323107E-2</v>
      </c>
      <c r="AL46" s="321" t="n">
        <f t="shared" ref="AL46:AN46" si="41">(AL72/AK72)^4-1</f>
        <v>2.0181831515000193E-2</v>
      </c>
      <c r="AM46" s="321" t="n">
        <f t="shared" si="41"/>
        <v>2.008748904793789E-2</v>
      </c>
      <c r="AN46" s="309" t="n">
        <f t="shared" si="41"/>
        <v>2.0063466029726529E-2</v>
      </c>
    </row>
    <row r="47">
      <c r="B47" s="91" t="s">
        <v>1801</v>
      </c>
      <c r="C47" s="340"/>
      <c r="D47" s="367"/>
      <c r="E47" s="321"/>
      <c r="F47" s="321"/>
      <c r="G47" s="321"/>
      <c r="H47" s="321"/>
      <c r="I47" s="321"/>
      <c r="J47" s="321"/>
      <c r="K47" s="321"/>
      <c r="L47" s="321"/>
      <c r="M47" s="321"/>
      <c r="N47" s="321"/>
      <c r="O47" s="321"/>
      <c r="P47" s="321"/>
      <c r="Q47" s="321"/>
      <c r="R47" s="321"/>
      <c r="S47" s="321"/>
      <c r="T47" s="321"/>
      <c r="U47" s="321"/>
      <c r="V47" s="321"/>
      <c r="W47" s="321"/>
      <c r="X47" s="321"/>
      <c r="Y47" s="321"/>
      <c r="Z47" s="321"/>
      <c r="AA47" s="321" t="n">
        <v>-7.4999999999999997E-3</v>
      </c>
      <c r="AB47" s="321" t="n">
        <v>5.0000000000000001E-4</v>
      </c>
      <c r="AC47" s="321" t="n">
        <v>1.2E-2</v>
      </c>
      <c r="AD47" s="321" t="n">
        <v>-4.4999999999999997E-3</v>
      </c>
      <c r="AE47" s="321" t="n">
        <v>2E-3</v>
      </c>
      <c r="AN47" s="287"/>
    </row>
    <row r="48">
      <c r="B48" s="85" t="s">
        <v>1608</v>
      </c>
      <c r="C48" s="340" t="s">
        <v>1598</v>
      </c>
      <c r="D48" s="367" t="n">
        <f>('Haver Pivoted'!B77+1)^4-1</f>
        <v>5.3871009949960857E-2</v>
      </c>
      <c r="E48" s="321" t="n">
        <f>('Haver Pivoted'!C77+1)^4-1</f>
        <v>5.3871009949960857E-2</v>
      </c>
      <c r="F48" s="321" t="n">
        <f>('Haver Pivoted'!D77+1)^4-1</f>
        <v>7.0163389368692153E-2</v>
      </c>
      <c r="G48" s="321" t="n">
        <f>('Haver Pivoted'!E77+1)^4-1</f>
        <v>5.1789585259378379E-2</v>
      </c>
      <c r="H48" s="321" t="n">
        <f>('Haver Pivoted'!F77+1)^4-1</f>
        <v>0.13288853982038562</v>
      </c>
      <c r="I48" s="321" t="n">
        <f>('Haver Pivoted'!G77+1)^4-1</f>
        <v>7.6743881276563286E-2</v>
      </c>
      <c r="J48" s="321" t="n">
        <f>('Haver Pivoted'!H77+1)^4-1</f>
        <v>5.9308871287115039E-2</v>
      </c>
      <c r="K48" s="321" t="n">
        <f>('Haver Pivoted'!I77+1)^4-1</f>
        <v>8.4288946902993489E-2</v>
      </c>
      <c r="L48" s="321" t="n">
        <f>('Haver Pivoted'!J77+1)^4-1</f>
        <v>0.17571016568331377</v>
      </c>
      <c r="M48" s="321" t="n">
        <f>('Haver Pivoted'!K77+1)^4-1</f>
        <v>4.1286685299137149E-2</v>
      </c>
      <c r="N48" s="321" t="n">
        <f>('Haver Pivoted'!L77+1)^4-1</f>
        <v>3.3290634800351437E-2</v>
      </c>
      <c r="O48" s="321" t="n">
        <f>('Haver Pivoted'!M77+1)^4-1</f>
        <v>8.9850764226328206E-2</v>
      </c>
      <c r="P48" s="321" t="n">
        <f>('Haver Pivoted'!N77+1)^4-1</f>
        <v>6.5963475259331217E-2</v>
      </c>
      <c r="Q48" s="321" t="n">
        <f>('Haver Pivoted'!O77+1)^4-1</f>
        <v>7.1343229492340843E-2</v>
      </c>
      <c r="R48" s="321" t="n">
        <f>('Haver Pivoted'!P77+1)^4-1</f>
        <v>8.5297530922431308E-2</v>
      </c>
      <c r="S48" s="341" t="n">
        <f>('Haver Pivoted'!Q77+1)^4-1</f>
        <v>8.8326329523794822E-2</v>
      </c>
      <c r="T48" s="341" t="n">
        <f>('Haver Pivoted'!R77+1)^4-1</f>
        <v>4.1660231352050436E-2</v>
      </c>
      <c r="U48" s="341" t="n">
        <f>('Haver Pivoted'!S77+1)^4-1</f>
        <v>7.4269306040006589E-2</v>
      </c>
      <c r="V48" s="341" t="n">
        <f>('Haver Pivoted'!T77+1)^4-1</f>
        <v>0.12206927608835261</v>
      </c>
      <c r="W48" s="341" t="n">
        <f>('Haver Pivoted'!U77+1)^4-1</f>
        <v>0.13959352599282115</v>
      </c>
      <c r="X48" s="341" t="n">
        <f>('Haver Pivoted'!V77+1)^4-1</f>
        <v>7.4690090345322036E-2</v>
      </c>
      <c r="Y48" s="341" t="n">
        <f>('Haver Pivoted'!W77+1)^4-1</f>
        <v>5.9206464364951916E-2</v>
      </c>
      <c r="Z48" s="341" t="n">
        <f>('Haver Pivoted'!X77+1)^4-1</f>
        <v>5.5045178185534338E-2</v>
      </c>
      <c r="AA48" s="341" t="n">
        <f>('Haver Pivoted'!Y77+1)^4-1</f>
        <v>9.50968880816494E-2</v>
      </c>
      <c r="AB48" s="341" t="n">
        <f>('Haver Pivoted'!Z77+1)^4-1</f>
        <v>5.9718595632101579E-2</v>
      </c>
      <c r="AC48" s="341" t="n">
        <f>('Haver Pivoted'!AA77+1)^4-1</f>
        <v>3.394324699588358E-2</v>
      </c>
      <c r="AD48" s="341" t="n">
        <f>('Haver Pivoted'!AB77+1)^4-1</f>
        <v>4.6679496507105345E-2</v>
      </c>
      <c r="AE48" s="321" t="n">
        <f>(AE73/AD73)^4-1+AE50</f>
        <v>2.4729668703095779E-2</v>
      </c>
      <c r="AF48" s="321" t="n">
        <f t="shared" ref="AF48:AN48" si="42">(AF73/AE73)^4-1+AF50</f>
        <v>2.4119603614899725E-2</v>
      </c>
      <c r="AG48" s="321" t="n">
        <f t="shared" si="42"/>
        <v>2.1515602617293128E-2</v>
      </c>
      <c r="AH48" s="321" t="n">
        <f t="shared" si="42"/>
        <v>2.2790850007197161E-2</v>
      </c>
      <c r="AI48" s="321" t="n">
        <f t="shared" si="42"/>
        <v>2.3263295207157642E-2</v>
      </c>
      <c r="AJ48" s="321" t="n">
        <f t="shared" si="42"/>
        <v>2.3889685874715294E-2</v>
      </c>
      <c r="AK48" s="321" t="n">
        <f t="shared" si="42"/>
        <v>2.2412555601408091E-2</v>
      </c>
      <c r="AL48" s="321" t="n">
        <f t="shared" si="42"/>
        <v>2.2147320108405477E-2</v>
      </c>
      <c r="AM48" s="321" t="n">
        <f t="shared" si="42"/>
        <v>2.2772302614111117E-2</v>
      </c>
      <c r="AN48" s="309" t="n">
        <f t="shared" si="42"/>
        <v>2.3247045836330082E-2</v>
      </c>
    </row>
    <row r="49">
      <c r="B49" s="85" t="s">
        <v>1609</v>
      </c>
      <c r="C49" s="340" t="s">
        <v>1599</v>
      </c>
      <c r="D49" s="367" t="n">
        <f>('Haver Pivoted'!B78+1)^4-1</f>
        <v>8.7289252014640661E-2</v>
      </c>
      <c r="E49" s="321" t="n">
        <f>('Haver Pivoted'!C78+1)^4-1</f>
        <v>8.7289252014640661E-2</v>
      </c>
      <c r="F49" s="321" t="n">
        <f>('Haver Pivoted'!D78+1)^4-1</f>
        <v>7.4296091716181234E-2</v>
      </c>
      <c r="G49" s="321" t="n">
        <f>('Haver Pivoted'!E78+1)^4-1</f>
        <v>7.8070885161694248E-2</v>
      </c>
      <c r="H49" s="321" t="n">
        <f>('Haver Pivoted'!F78+1)^4-1</f>
        <v>9.3997551326209905E-2</v>
      </c>
      <c r="I49" s="321" t="n">
        <f>('Haver Pivoted'!G78+1)^4-1</f>
        <v>7.421512413451592E-2</v>
      </c>
      <c r="J49" s="321" t="n">
        <f>('Haver Pivoted'!H78+1)^4-1</f>
        <v>5.7564697471050419E-2</v>
      </c>
      <c r="K49" s="321" t="n">
        <f>('Haver Pivoted'!I78+1)^4-1</f>
        <v>4.4452071103041169E-2</v>
      </c>
      <c r="L49" s="321" t="n">
        <f>('Haver Pivoted'!J78+1)^4-1</f>
        <v>9.2638112964417374E-2</v>
      </c>
      <c r="M49" s="321" t="n">
        <f>('Haver Pivoted'!K78+1)^4-1</f>
        <v>4.8065442614916076E-2</v>
      </c>
      <c r="N49" s="321" t="n">
        <f>('Haver Pivoted'!L78+1)^4-1</f>
        <v>6.2095792431050123E-2</v>
      </c>
      <c r="O49" s="321" t="n">
        <f>('Haver Pivoted'!M78+1)^4-1</f>
        <v>5.6154499274609471E-2</v>
      </c>
      <c r="P49" s="321" t="n">
        <f>('Haver Pivoted'!N78+1)^4-1</f>
        <v>8.0991878516248006E-2</v>
      </c>
      <c r="Q49" s="321" t="n">
        <f>('Haver Pivoted'!O78+1)^4-1</f>
        <v>7.3137198253980129E-2</v>
      </c>
      <c r="R49" s="321" t="n">
        <f>('Haver Pivoted'!P78+1)^4-1</f>
        <v>5.4896705209511731E-2</v>
      </c>
      <c r="S49" s="341" t="n">
        <f>('Haver Pivoted'!Q78+1)^4-1</f>
        <v>7.7948068771366508E-2</v>
      </c>
      <c r="T49" s="341" t="n">
        <f>('Haver Pivoted'!R78+1)^4-1</f>
        <v>0.12134762198015858</v>
      </c>
      <c r="U49" s="341" t="n">
        <f>('Haver Pivoted'!S78+1)^4-1</f>
        <v>0.14647446607845205</v>
      </c>
      <c r="V49" s="341" t="n">
        <f>('Haver Pivoted'!T78+1)^4-1</f>
        <v>0.15404283541439479</v>
      </c>
      <c r="W49" s="341" t="n">
        <f>('Haver Pivoted'!U78+1)^4-1</f>
        <v>0.12298255486643628</v>
      </c>
      <c r="X49" s="341" t="n">
        <f>('Haver Pivoted'!V78+1)^4-1</f>
        <v>8.2985174764654834E-2</v>
      </c>
      <c r="Y49" s="341" t="n">
        <f>('Haver Pivoted'!W78+1)^4-1</f>
        <v>8.1746986031213886E-2</v>
      </c>
      <c r="Z49" s="341" t="n">
        <f>('Haver Pivoted'!X78+1)^4-1</f>
        <v>5.2103053651998854E-2</v>
      </c>
      <c r="AA49" s="341" t="n">
        <f>('Haver Pivoted'!Y78+1)^4-1</f>
        <v>5.2069867287218186E-2</v>
      </c>
      <c r="AB49" s="341" t="n">
        <f>('Haver Pivoted'!Z78+1)^4-1</f>
        <v>4.596487478507183E-2</v>
      </c>
      <c r="AC49" s="341" t="n">
        <f>('Haver Pivoted'!AA78+1)^4-1</f>
        <v>4.9367268358720962E-2</v>
      </c>
      <c r="AD49" s="341" t="n">
        <f>('Haver Pivoted'!AB78+1)^4-1</f>
        <v>3.0097819009996085E-2</v>
      </c>
      <c r="AE49" s="321" t="n">
        <f t="shared" ref="AE49:AN49" si="43">(AE74/AD74)^4-1</f>
        <v>3.1343868352262882E-2</v>
      </c>
      <c r="AF49" s="321" t="n">
        <f t="shared" si="43"/>
        <v>3.2394354805230341E-2</v>
      </c>
      <c r="AG49" s="321" t="n">
        <f t="shared" si="43"/>
        <v>3.3164637629816696E-2</v>
      </c>
      <c r="AH49" s="321" t="n">
        <f t="shared" si="43"/>
        <v>3.1425713898589613E-2</v>
      </c>
      <c r="AI49" s="321" t="n">
        <f t="shared" si="43"/>
        <v>3.1013053419121528E-2</v>
      </c>
      <c r="AJ49" s="321" t="n">
        <f t="shared" si="43"/>
        <v>3.1015398756455648E-2</v>
      </c>
      <c r="AK49" s="321" t="n">
        <f t="shared" si="43"/>
        <v>3.0542269425562596E-2</v>
      </c>
      <c r="AL49" s="321" t="n">
        <f t="shared" si="43"/>
        <v>3.0334679878840642E-2</v>
      </c>
      <c r="AM49" s="321" t="n">
        <f t="shared" si="43"/>
        <v>2.9994558057691467E-2</v>
      </c>
      <c r="AN49" s="309" t="n">
        <f t="shared" si="43"/>
        <v>2.9803649988641601E-2</v>
      </c>
    </row>
    <row r="50">
      <c r="B50" s="85" t="s">
        <v>1884</v>
      </c>
      <c r="C50" s="340"/>
      <c r="D50" s="367"/>
      <c r="E50" s="321"/>
      <c r="F50" s="321"/>
      <c r="G50" s="321"/>
      <c r="H50" s="321"/>
      <c r="I50" s="321"/>
      <c r="J50" s="321"/>
      <c r="K50" s="321"/>
      <c r="L50" s="321"/>
      <c r="M50" s="321"/>
      <c r="N50" s="321"/>
      <c r="O50" s="321"/>
      <c r="P50" s="321"/>
      <c r="Q50" s="321"/>
      <c r="R50" s="321"/>
      <c r="S50" s="341"/>
      <c r="T50" s="341"/>
      <c r="U50" s="341"/>
      <c r="V50" s="341"/>
      <c r="W50" s="341"/>
      <c r="X50" s="341"/>
      <c r="Y50" s="341"/>
      <c r="Z50" s="341"/>
      <c r="AA50" s="341"/>
      <c r="AB50" s="341"/>
      <c r="AC50" s="341"/>
      <c r="AD50" s="341"/>
      <c r="AE50" s="321" t="n">
        <v>0.01</v>
      </c>
      <c r="AF50" s="321" t="n">
        <v>8.9999999999999993E-3</v>
      </c>
      <c r="AG50" s="321"/>
      <c r="AH50" s="321"/>
      <c r="AI50" s="321"/>
      <c r="AJ50" s="321"/>
      <c r="AK50" s="321"/>
      <c r="AL50" s="321"/>
      <c r="AM50" s="321"/>
      <c r="AN50" s="309"/>
    </row>
    <row r="51">
      <c r="B51" s="85" t="s">
        <v>1610</v>
      </c>
      <c r="C51" s="340" t="s">
        <v>1600</v>
      </c>
      <c r="D51" s="367" t="n">
        <f>('Haver Pivoted'!B79+1)^4-1</f>
        <v>8.1962807033507001E-2</v>
      </c>
      <c r="E51" s="321" t="n">
        <f>('Haver Pivoted'!C79+1)^4-1</f>
        <v>8.1962807033507001E-2</v>
      </c>
      <c r="F51" s="321" t="n">
        <f>('Haver Pivoted'!D79+1)^4-1</f>
        <v>7.2450735170716429E-2</v>
      </c>
      <c r="G51" s="321" t="n">
        <f>('Haver Pivoted'!E79+1)^4-1</f>
        <v>6.9154321287945075E-2</v>
      </c>
      <c r="H51" s="321" t="n">
        <f>('Haver Pivoted'!F79+1)^4-1</f>
        <v>0.10189413122654933</v>
      </c>
      <c r="I51" s="321" t="n">
        <f>('Haver Pivoted'!G79+1)^4-1</f>
        <v>7.7244812842556021E-2</v>
      </c>
      <c r="J51" s="321" t="n">
        <f>('Haver Pivoted'!H79+1)^4-1</f>
        <v>6.1607991611356772E-2</v>
      </c>
      <c r="K51" s="321" t="n">
        <f>('Haver Pivoted'!I79+1)^4-1</f>
        <v>3.681012044093146E-2</v>
      </c>
      <c r="L51" s="321" t="n">
        <f>('Haver Pivoted'!J79+1)^4-1</f>
        <v>0.10482144256153347</v>
      </c>
      <c r="M51" s="321" t="n">
        <f>('Haver Pivoted'!K79+1)^4-1</f>
        <v>5.3550642610007415E-2</v>
      </c>
      <c r="N51" s="321" t="n">
        <f>('Haver Pivoted'!L79+1)^4-1</f>
        <v>6.3717379990838374E-2</v>
      </c>
      <c r="O51" s="321" t="n">
        <f>('Haver Pivoted'!M79+1)^4-1</f>
        <v>5.0578331138001253E-2</v>
      </c>
      <c r="P51" s="321" t="n">
        <f>('Haver Pivoted'!N79+1)^4-1</f>
        <v>8.1263930646582105E-2</v>
      </c>
      <c r="Q51" s="321" t="n">
        <f>('Haver Pivoted'!O79+1)^4-1</f>
        <v>6.9439247142790705E-2</v>
      </c>
      <c r="R51" s="321" t="n">
        <f>('Haver Pivoted'!P79+1)^4-1</f>
        <v>4.703980609147318E-2</v>
      </c>
      <c r="S51" s="341" t="n">
        <f>('Haver Pivoted'!Q79+1)^4-1</f>
        <v>6.882770770842761E-2</v>
      </c>
      <c r="T51" s="341" t="n">
        <f>('Haver Pivoted'!R79+1)^4-1</f>
        <v>0.10068367636715725</v>
      </c>
      <c r="U51" s="341" t="n">
        <f>('Haver Pivoted'!S79+1)^4-1</f>
        <v>0.11199780392455261</v>
      </c>
      <c r="V51" s="341" t="n">
        <f>('Haver Pivoted'!T79+1)^4-1</f>
        <v>0.12007505356559212</v>
      </c>
      <c r="W51" s="341" t="n">
        <f>('Haver Pivoted'!U79+1)^4-1</f>
        <v>0.10886376769571937</v>
      </c>
      <c r="X51" s="341" t="n">
        <f>('Haver Pivoted'!V79+1)^4-1</f>
        <v>8.2225971926498831E-2</v>
      </c>
      <c r="Y51" s="341" t="n">
        <f>('Haver Pivoted'!W79+1)^4-1</f>
        <v>9.992859379067065E-2</v>
      </c>
      <c r="Z51" s="341" t="n">
        <f>('Haver Pivoted'!X79+1)^4-1</f>
        <v>6.3001735496711397E-2</v>
      </c>
      <c r="AA51" s="341" t="n">
        <f>('Haver Pivoted'!Y79+1)^4-1</f>
        <v>5.951742889983791E-2</v>
      </c>
      <c r="AB51" s="341" t="n">
        <f>('Haver Pivoted'!Z79+1)^4-1</f>
        <v>5.3047174595143076E-2</v>
      </c>
      <c r="AC51" s="341" t="n">
        <f>('Haver Pivoted'!AA79+1)^4-1</f>
        <v>5.3235267744698112E-2</v>
      </c>
      <c r="AD51" s="341" t="n">
        <f>('Haver Pivoted'!AB79+1)^4-1</f>
        <v>3.5444589797529513E-2</v>
      </c>
      <c r="AE51" s="321" t="n">
        <f t="shared" ref="AE51:AF51" si="44">AE49</f>
        <v>3.1343868352262882E-2</v>
      </c>
      <c r="AF51" s="321" t="n">
        <f t="shared" si="44"/>
        <v>3.2394354805230341E-2</v>
      </c>
      <c r="AG51" s="321" t="n">
        <f t="shared" ref="AG51:AH51" si="45">AG49</f>
        <v>3.3164637629816696E-2</v>
      </c>
      <c r="AH51" s="321" t="n">
        <f t="shared" si="45"/>
        <v>3.1425713898589613E-2</v>
      </c>
      <c r="AI51" s="321" t="n">
        <f t="shared" ref="AI51:AN51" si="46">AI49</f>
        <v>3.1013053419121528E-2</v>
      </c>
      <c r="AJ51" s="321" t="n">
        <f t="shared" si="46"/>
        <v>3.1015398756455648E-2</v>
      </c>
      <c r="AK51" s="321" t="n">
        <f t="shared" si="46"/>
        <v>3.0542269425562596E-2</v>
      </c>
      <c r="AL51" s="321" t="n">
        <f>AL49</f>
        <v>3.0334679878840642E-2</v>
      </c>
      <c r="AM51" s="321" t="n">
        <f t="shared" si="46"/>
        <v>2.9994558057691467E-2</v>
      </c>
      <c r="AN51" s="309" t="n">
        <f t="shared" si="46"/>
        <v>2.9803649988641601E-2</v>
      </c>
    </row>
    <row r="52">
      <c r="B52" s="302" t="s">
        <v>1611</v>
      </c>
      <c r="C52" s="364" t="s">
        <v>1601</v>
      </c>
      <c r="D52" s="324" t="n">
        <f>('Haver Pivoted'!B80+1)^4-1</f>
        <v>0.10447642246287936</v>
      </c>
      <c r="E52" s="325" t="n">
        <f>('Haver Pivoted'!C80+1)^4-1</f>
        <v>0.10447642246287936</v>
      </c>
      <c r="F52" s="325" t="n">
        <f>('Haver Pivoted'!D80+1)^4-1</f>
        <v>7.9639695783230158E-2</v>
      </c>
      <c r="G52" s="325" t="n">
        <f>('Haver Pivoted'!E80+1)^4-1</f>
        <v>0.1056325279127881</v>
      </c>
      <c r="H52" s="325" t="n">
        <f>('Haver Pivoted'!F80+1)^4-1</f>
        <v>6.9027518475984095E-2</v>
      </c>
      <c r="I52" s="325" t="n">
        <f>('Haver Pivoted'!G80+1)^4-1</f>
        <v>6.5384458284943214E-2</v>
      </c>
      <c r="J52" s="325" t="n">
        <f>('Haver Pivoted'!H80+1)^4-1</f>
        <v>4.4309454925616665E-2</v>
      </c>
      <c r="K52" s="325" t="n">
        <f>('Haver Pivoted'!I80+1)^4-1</f>
        <v>7.1090266933143909E-2</v>
      </c>
      <c r="L52" s="325" t="n">
        <f>('Haver Pivoted'!J80+1)^4-1</f>
        <v>5.2171592409987921E-2</v>
      </c>
      <c r="M52" s="325" t="n">
        <f>('Haver Pivoted'!K80+1)^4-1</f>
        <v>2.8346296318296549E-2</v>
      </c>
      <c r="N52" s="325" t="n">
        <f>('Haver Pivoted'!L80+1)^4-1</f>
        <v>5.6653316395014697E-2</v>
      </c>
      <c r="O52" s="325" t="n">
        <f>('Haver Pivoted'!M80+1)^4-1</f>
        <v>7.6912548113614143E-2</v>
      </c>
      <c r="P52" s="325" t="n">
        <f>('Haver Pivoted'!N80+1)^4-1</f>
        <v>7.9310067008116603E-2</v>
      </c>
      <c r="Q52" s="325" t="n">
        <f>('Haver Pivoted'!O80+1)^4-1</f>
        <v>8.6904972707806616E-2</v>
      </c>
      <c r="R52" s="325" t="n">
        <f>('Haver Pivoted'!P80+1)^4-1</f>
        <v>8.3965120128181248E-2</v>
      </c>
      <c r="S52" s="357" t="n">
        <f>('Haver Pivoted'!Q80+1)^4-1</f>
        <v>0.11183878218494803</v>
      </c>
      <c r="T52" s="357" t="n">
        <f>('Haver Pivoted'!R80+1)^4-1</f>
        <v>0.19880072252613945</v>
      </c>
      <c r="U52" s="357" t="n">
        <f>('Haver Pivoted'!S80+1)^4-1</f>
        <v>0.27607549111803431</v>
      </c>
      <c r="V52" s="357" t="n">
        <f>('Haver Pivoted'!T80+1)^4-1</f>
        <v>0.28112438321276678</v>
      </c>
      <c r="W52" s="357" t="n">
        <f>('Haver Pivoted'!U80+1)^4-1</f>
        <v>0.17688355515922982</v>
      </c>
      <c r="X52" s="357" t="n">
        <f>('Haver Pivoted'!V80+1)^4-1</f>
        <v>8.7976797179619481E-2</v>
      </c>
      <c r="Y52" s="357" t="n">
        <f>('Haver Pivoted'!W80+1)^4-1</f>
        <v>1.9795935449461455E-2</v>
      </c>
      <c r="Z52" s="357" t="n">
        <f>('Haver Pivoted'!X80+1)^4-1</f>
        <v>1.2786863544731908E-2</v>
      </c>
      <c r="AA52" s="357" t="n">
        <f>('Haver Pivoted'!Y80+1)^4-1</f>
        <v>2.4510484992551707E-2</v>
      </c>
      <c r="AB52" s="357" t="n">
        <f>('Haver Pivoted'!Z80+1)^4-1</f>
        <v>1.9828218413625587E-2</v>
      </c>
      <c r="AC52" s="357" t="n">
        <f>('Haver Pivoted'!AA80+1)^4-1</f>
        <v>3.4718738850885611E-2</v>
      </c>
      <c r="AD52" s="357" t="n">
        <f>('Haver Pivoted'!AB80+1)^4-1</f>
        <v>8.8286244560360494E-3</v>
      </c>
      <c r="AE52" s="325" t="n">
        <f t="shared" ref="AE52:AF52" si="47">AE51</f>
        <v>3.1343868352262882E-2</v>
      </c>
      <c r="AF52" s="325" t="n">
        <f t="shared" si="47"/>
        <v>3.2394354805230341E-2</v>
      </c>
      <c r="AG52" s="325" t="n">
        <f t="shared" ref="AG52:AH52" si="48">AG51</f>
        <v>3.3164637629816696E-2</v>
      </c>
      <c r="AH52" s="325" t="n">
        <f t="shared" si="48"/>
        <v>3.1425713898589613E-2</v>
      </c>
      <c r="AI52" s="325" t="n">
        <f>AI51</f>
        <v>3.1013053419121528E-2</v>
      </c>
      <c r="AJ52" s="325" t="n">
        <f t="shared" ref="AJ52:AN52" si="49">AJ51</f>
        <v>3.1015398756455648E-2</v>
      </c>
      <c r="AK52" s="325" t="n">
        <f t="shared" si="49"/>
        <v>3.0542269425562596E-2</v>
      </c>
      <c r="AL52" s="325" t="n">
        <f t="shared" si="49"/>
        <v>3.0334679878840642E-2</v>
      </c>
      <c r="AM52" s="325" t="n">
        <f t="shared" si="49"/>
        <v>2.9994558057691467E-2</v>
      </c>
      <c r="AN52" s="326" t="n">
        <f t="shared" si="49"/>
        <v>2.9803649988641601E-2</v>
      </c>
    </row>
    <row r="53">
      <c r="B53" s="78"/>
      <c r="C53" s="340"/>
      <c r="D53" s="321"/>
      <c r="E53" s="321"/>
      <c r="F53" s="321"/>
      <c r="G53" s="321"/>
      <c r="H53" s="321"/>
      <c r="I53" s="321"/>
      <c r="J53" s="321"/>
      <c r="K53" s="321"/>
      <c r="L53" s="321"/>
      <c r="M53" s="321"/>
      <c r="N53" s="321"/>
      <c r="O53" s="321"/>
      <c r="P53" s="321"/>
      <c r="Q53" s="321"/>
      <c r="R53" s="321"/>
      <c r="X53" s="321"/>
      <c r="AB53" s="321"/>
      <c r="AC53" s="321"/>
      <c r="AD53" s="321"/>
      <c r="AE53" s="321"/>
      <c r="AF53" s="321"/>
    </row>
    <row r="54">
      <c r="B54" s="78"/>
      <c r="C54" s="340"/>
      <c r="D54" s="321"/>
      <c r="E54" s="321"/>
      <c r="F54" s="321"/>
      <c r="G54" s="321"/>
      <c r="H54" s="321"/>
      <c r="I54" s="321"/>
      <c r="J54" s="321"/>
      <c r="K54" s="321"/>
      <c r="L54" s="321"/>
      <c r="M54" s="321"/>
      <c r="N54" s="321"/>
      <c r="O54" s="321"/>
      <c r="P54" s="321"/>
      <c r="Q54" s="321"/>
      <c r="R54" s="321"/>
      <c r="X54" s="321"/>
      <c r="AB54" s="321"/>
      <c r="AC54" s="321"/>
      <c r="AD54" s="321"/>
      <c r="AE54" s="321"/>
      <c r="AF54" s="321"/>
    </row>
    <row r="55">
      <c r="B55" s="350" t="s">
        <v>1607</v>
      </c>
      <c r="C55" s="340"/>
      <c r="D55" s="321"/>
      <c r="E55" s="321"/>
      <c r="F55" s="321"/>
      <c r="G55" s="321"/>
      <c r="H55" s="321"/>
      <c r="I55" s="321"/>
      <c r="J55" s="321"/>
      <c r="K55" s="321"/>
      <c r="L55" s="321"/>
      <c r="M55" s="321"/>
      <c r="N55" s="321"/>
      <c r="O55" s="321"/>
      <c r="P55" s="321"/>
      <c r="Q55" s="321"/>
      <c r="R55" s="321"/>
      <c r="S55" s="176" t="n">
        <f>S72</f>
        <v>1.1700921610724198</v>
      </c>
      <c r="T55" t="n">
        <f>S55*(1+T45)^0.25</f>
        <v>1.2049265793683013</v>
      </c>
      <c r="U55" t="n">
        <f t="shared" ref="U55:AN55" si="50">T55*(1+U45)^0.25</f>
        <v>1.2390521577569995</v>
      </c>
      <c r="V55" t="n">
        <f t="shared" si="50"/>
        <v>1.272468896238514</v>
      </c>
      <c r="W55" t="n">
        <f t="shared" si="50"/>
        <v>1.3048223748592529</v>
      </c>
      <c r="X55" t="n">
        <f t="shared" si="50"/>
        <v>1.3293786145009716</v>
      </c>
      <c r="Y55" t="n">
        <f t="shared" si="50"/>
        <v>1.3456819323661953</v>
      </c>
      <c r="Z55" t="n">
        <f t="shared" si="50"/>
        <v>1.3708963804931562</v>
      </c>
      <c r="AA55" t="n">
        <f t="shared" si="50"/>
        <v>1.3938830460546829</v>
      </c>
      <c r="AB55" t="n">
        <f t="shared" si="50"/>
        <v>1.4092243669030144</v>
      </c>
      <c r="AC55" t="n">
        <f t="shared" si="50"/>
        <v>1.421021488215428</v>
      </c>
      <c r="AD55" t="n">
        <f t="shared" si="50"/>
        <v>1.4425904739625872</v>
      </c>
      <c r="AE55" t="n">
        <f t="shared" si="50"/>
        <v>1.4511248775568961</v>
      </c>
      <c r="AF55" t="n">
        <f t="shared" si="50"/>
        <v>1.4590451182439872</v>
      </c>
      <c r="AG55" t="n">
        <f t="shared" si="50"/>
        <v>1.4668139567414231</v>
      </c>
      <c r="AH55" t="n">
        <f t="shared" si="50"/>
        <v>1.4742301902567831</v>
      </c>
      <c r="AI55" t="n">
        <f t="shared" si="50"/>
        <v>1.4816604096514605</v>
      </c>
      <c r="AJ55" t="n">
        <f t="shared" si="50"/>
        <v>1.4891638260021458</v>
      </c>
      <c r="AK55" t="n">
        <f t="shared" si="50"/>
        <v>1.4966566438808389</v>
      </c>
      <c r="AL55" t="n">
        <f t="shared" si="50"/>
        <v>1.5041514757638546</v>
      </c>
      <c r="AM55" t="n">
        <f t="shared" si="50"/>
        <v>1.5116488897590905</v>
      </c>
      <c r="AN55" t="n">
        <f t="shared" si="50"/>
        <v>1.5191747302124805</v>
      </c>
    </row>
    <row r="56">
      <c r="B56" s="85" t="s">
        <v>1608</v>
      </c>
      <c r="C56" s="340"/>
      <c r="D56" s="321"/>
      <c r="E56" s="321"/>
      <c r="F56" s="321"/>
      <c r="G56" s="321"/>
      <c r="H56" s="321"/>
      <c r="I56" s="321"/>
      <c r="J56" s="321"/>
      <c r="K56" s="321"/>
      <c r="L56" s="321"/>
      <c r="M56" s="321"/>
      <c r="N56" s="321"/>
      <c r="O56" s="321"/>
      <c r="P56" s="321"/>
      <c r="Q56" s="321"/>
      <c r="R56" s="321"/>
      <c r="S56" s="176" t="n">
        <f t="shared" ref="S56:S57" si="51">S73</f>
        <v>1.1617241135253733</v>
      </c>
      <c r="T56" t="n">
        <f>S56*(1+T48)^0.25</f>
        <v>1.1736389791037038</v>
      </c>
      <c r="U56" t="n">
        <f t="shared" ref="U56:AN56" si="52">T56*(1+U48)^0.25</f>
        <v>1.1948484286186576</v>
      </c>
      <c r="V56" t="n">
        <f t="shared" si="52"/>
        <v>1.229752557657253</v>
      </c>
      <c r="W56" t="n">
        <f t="shared" si="52"/>
        <v>1.2705893998468845</v>
      </c>
      <c r="X56" t="n">
        <f t="shared" si="52"/>
        <v>1.2936775418596664</v>
      </c>
      <c r="Y56" t="n">
        <f t="shared" si="52"/>
        <v>1.3124150275616884</v>
      </c>
      <c r="Z56" t="n">
        <f t="shared" si="52"/>
        <v>1.3301142884622792</v>
      </c>
      <c r="AA56" t="n">
        <f t="shared" si="52"/>
        <v>1.3606677611901148</v>
      </c>
      <c r="AB56" t="n">
        <f t="shared" si="52"/>
        <v>1.3805423502460856</v>
      </c>
      <c r="AC56" t="n">
        <f t="shared" si="52"/>
        <v>1.3921111408906059</v>
      </c>
      <c r="AD56" t="n">
        <f t="shared" si="52"/>
        <v>1.4080800271221448</v>
      </c>
      <c r="AE56" t="n">
        <f t="shared" si="52"/>
        <v>1.4167057803615706</v>
      </c>
      <c r="AF56" t="n">
        <f t="shared" si="52"/>
        <v>1.4251721787356795</v>
      </c>
      <c r="AG56" t="n">
        <f t="shared" si="52"/>
        <v>1.4327769524300258</v>
      </c>
      <c r="AH56" t="n">
        <f t="shared" si="52"/>
        <v>1.4408716465163967</v>
      </c>
      <c r="AI56" t="n">
        <f t="shared" si="52"/>
        <v>1.4491793749287434</v>
      </c>
      <c r="AJ56" t="n">
        <f t="shared" si="52"/>
        <v>1.4577580100990637</v>
      </c>
      <c r="AK56" t="n">
        <f t="shared" si="52"/>
        <v>1.465858264807699</v>
      </c>
      <c r="AL56" t="n">
        <f t="shared" si="52"/>
        <v>1.4739079235741848</v>
      </c>
      <c r="AM56" t="n">
        <f t="shared" si="52"/>
        <v>1.482228273621873</v>
      </c>
      <c r="AN56" t="n">
        <f t="shared" si="52"/>
        <v>1.4907685362674632</v>
      </c>
    </row>
    <row r="57">
      <c r="B57" s="302" t="s">
        <v>1609</v>
      </c>
      <c r="C57" s="340"/>
      <c r="D57" s="321"/>
      <c r="E57" s="321"/>
      <c r="F57" s="321"/>
      <c r="G57" s="321"/>
      <c r="H57" s="321"/>
      <c r="I57" s="321"/>
      <c r="J57" s="321"/>
      <c r="K57" s="321"/>
      <c r="L57" s="321"/>
      <c r="M57" s="321"/>
      <c r="N57" s="321"/>
      <c r="O57" s="321"/>
      <c r="P57" s="321"/>
      <c r="Q57" s="321"/>
      <c r="R57" s="321"/>
      <c r="S57" s="176" t="n">
        <f t="shared" si="51"/>
        <v>1.2627669039145906</v>
      </c>
      <c r="T57" t="n">
        <f>S57*(1+T49)^0.25</f>
        <v>1.2994460624395967</v>
      </c>
      <c r="U57" t="n">
        <f t="shared" ref="U57:AN57" si="53">T57*(1+U49)^0.25</f>
        <v>1.3446193418861838</v>
      </c>
      <c r="V57" t="n">
        <f t="shared" si="53"/>
        <v>1.3936535853880343</v>
      </c>
      <c r="W57" t="n">
        <f t="shared" si="53"/>
        <v>1.4346570236549365</v>
      </c>
      <c r="X57" t="n">
        <f t="shared" si="53"/>
        <v>1.4635370347883099</v>
      </c>
      <c r="Y57" t="n">
        <f t="shared" si="53"/>
        <v>1.492571484483894</v>
      </c>
      <c r="Z57" t="n">
        <f t="shared" si="53"/>
        <v>1.5116446469168972</v>
      </c>
      <c r="AA57" t="n">
        <f t="shared" si="53"/>
        <v>1.5309494671932165</v>
      </c>
      <c r="AB57" t="n">
        <f t="shared" si="53"/>
        <v>1.5482465861607984</v>
      </c>
      <c r="AC57" t="n">
        <f t="shared" si="53"/>
        <v>1.5670108714693805</v>
      </c>
      <c r="AD57" t="n">
        <f t="shared" si="53"/>
        <v>1.5786709829162771</v>
      </c>
      <c r="AE57" t="n">
        <f t="shared" si="53"/>
        <v>1.5908985980786747</v>
      </c>
      <c r="AF57" t="n">
        <f t="shared" si="53"/>
        <v>1.6036290110444233</v>
      </c>
      <c r="AG57" t="n">
        <f t="shared" si="53"/>
        <v>1.6167627244753366</v>
      </c>
      <c r="AH57" t="n">
        <f t="shared" si="53"/>
        <v>1.6293177029904087</v>
      </c>
      <c r="AI57" t="n">
        <f t="shared" si="53"/>
        <v>1.6418059196903143</v>
      </c>
      <c r="AJ57" t="n">
        <f t="shared" si="53"/>
        <v>1.6543907955583335</v>
      </c>
      <c r="AK57" t="n">
        <f t="shared" si="53"/>
        <v>1.6668808515204552</v>
      </c>
      <c r="AL57" t="n">
        <f t="shared" si="53"/>
        <v>1.6793806198359402</v>
      </c>
      <c r="AM57" t="n">
        <f t="shared" si="53"/>
        <v>1.6918344717519034</v>
      </c>
      <c r="AN57" t="n">
        <f t="shared" si="53"/>
        <v>1.7043016965684181</v>
      </c>
    </row>
    <row r="58">
      <c r="B58" s="78"/>
      <c r="C58" s="340"/>
      <c r="D58" s="321"/>
      <c r="E58" s="321"/>
      <c r="F58" s="321"/>
      <c r="G58" s="321"/>
      <c r="H58" s="321"/>
      <c r="I58" s="321"/>
      <c r="J58" s="321"/>
      <c r="K58" s="321"/>
      <c r="L58" s="321"/>
      <c r="M58" s="321"/>
      <c r="N58" s="321"/>
      <c r="O58" s="321"/>
      <c r="P58" s="321"/>
      <c r="Q58" s="321"/>
      <c r="R58" s="321"/>
      <c r="X58" s="321"/>
      <c r="AB58" s="321"/>
      <c r="AC58" s="321"/>
      <c r="AD58" s="321"/>
      <c r="AE58" s="321"/>
      <c r="AF58" s="321"/>
    </row>
    <row r="59">
      <c r="B59" s="78"/>
      <c r="C59" s="340"/>
      <c r="D59" s="321"/>
      <c r="E59" s="321"/>
      <c r="F59" s="321"/>
      <c r="G59" s="321"/>
      <c r="H59" s="321"/>
      <c r="I59" s="321"/>
      <c r="J59" s="321"/>
      <c r="K59" s="321"/>
      <c r="L59" s="321"/>
      <c r="M59" s="321"/>
      <c r="N59" s="321"/>
      <c r="O59" s="321"/>
      <c r="P59" s="321"/>
      <c r="Q59" s="321"/>
      <c r="R59" s="321"/>
      <c r="X59" s="321"/>
      <c r="AB59" s="321"/>
      <c r="AC59" s="321"/>
      <c r="AD59" s="321"/>
      <c r="AE59" s="321"/>
      <c r="AF59" s="321"/>
    </row>
    <row r="60">
      <c r="B60" s="78"/>
      <c r="C60" s="340"/>
      <c r="D60" s="321"/>
      <c r="E60" s="321"/>
      <c r="F60" s="321"/>
      <c r="G60" s="321"/>
      <c r="H60" s="321"/>
      <c r="I60" s="321"/>
      <c r="J60" s="321"/>
      <c r="K60" s="321"/>
      <c r="L60" s="321"/>
      <c r="M60" s="321"/>
      <c r="N60" s="321"/>
      <c r="O60" s="321"/>
      <c r="P60" s="321"/>
      <c r="Q60" s="321"/>
      <c r="R60" s="321"/>
      <c r="X60" s="321"/>
      <c r="AB60" s="321"/>
      <c r="AC60" s="321"/>
      <c r="AD60" s="321"/>
      <c r="AE60" s="321"/>
      <c r="AF60" s="321"/>
    </row>
    <row r="61">
      <c r="B61" s="78"/>
      <c r="C61" s="340"/>
      <c r="D61" s="321"/>
      <c r="E61" s="321"/>
      <c r="F61" s="321"/>
      <c r="G61" s="321"/>
      <c r="H61" s="321"/>
      <c r="I61" s="321"/>
      <c r="J61" s="321"/>
      <c r="K61" s="321"/>
      <c r="L61" s="321"/>
      <c r="M61" s="321"/>
      <c r="N61" s="321"/>
      <c r="O61" s="321"/>
      <c r="P61" s="321"/>
      <c r="Q61" s="321"/>
      <c r="R61" s="321"/>
      <c r="X61" s="321"/>
      <c r="Y61" s="321"/>
      <c r="Z61" s="321"/>
      <c r="AA61" s="321"/>
      <c r="AB61" s="321"/>
      <c r="AC61" s="321"/>
      <c r="AD61" s="321"/>
      <c r="AE61" s="321"/>
      <c r="AF61" s="321"/>
    </row>
    <row r="62" ht="14.5" customHeight="1">
      <c r="B62" s="265" t="s">
        <v>1631</v>
      </c>
      <c r="C62" s="265"/>
      <c r="D62" s="265"/>
      <c r="E62" s="265"/>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row>
    <row r="63" ht="30" customHeight="1">
      <c r="B63" s="333" t="s">
        <v>1869</v>
      </c>
      <c r="C63" s="356"/>
      <c r="D63" s="254" t="n">
        <v>2018</v>
      </c>
      <c r="E63" s="254" t="n">
        <v>2019</v>
      </c>
      <c r="F63" s="255"/>
      <c r="G63" s="255"/>
      <c r="H63" s="256"/>
      <c r="I63" s="254" t="n">
        <v>2020</v>
      </c>
      <c r="J63" s="255"/>
      <c r="K63" s="255"/>
      <c r="L63" s="255"/>
      <c r="M63" s="254" t="n">
        <v>2021</v>
      </c>
      <c r="N63" s="255"/>
      <c r="O63" s="255"/>
      <c r="P63" s="255"/>
      <c r="Q63" s="259" t="n">
        <v>2022</v>
      </c>
      <c r="R63" s="260"/>
      <c r="S63" s="298"/>
      <c r="T63" s="300"/>
      <c r="U63" s="254" t="n">
        <v>2023</v>
      </c>
      <c r="V63" s="255"/>
      <c r="W63" s="255"/>
      <c r="X63" s="256"/>
      <c r="Y63" s="305"/>
      <c r="Z63" s="298" t="n">
        <v>2024</v>
      </c>
      <c r="AA63" s="298"/>
      <c r="AB63" s="301"/>
      <c r="AC63" s="261" t="n">
        <v>2025</v>
      </c>
      <c r="AD63" s="264"/>
      <c r="AE63" s="264"/>
      <c r="AF63" s="263"/>
      <c r="AG63" s="261" t="n">
        <v>2026</v>
      </c>
      <c r="AH63" s="262"/>
      <c r="AI63" s="262"/>
      <c r="AJ63" s="263"/>
      <c r="AK63" s="261" t="n">
        <v>2027</v>
      </c>
      <c r="AL63" s="262"/>
      <c r="AM63" s="262"/>
      <c r="AN63" s="263"/>
    </row>
    <row r="64">
      <c r="B64" s="319"/>
      <c r="C64" s="289"/>
      <c r="D64" s="293" t="s">
        <v>193</v>
      </c>
      <c r="E64" s="293" t="s">
        <v>194</v>
      </c>
      <c r="F64" s="294" t="s">
        <v>195</v>
      </c>
      <c r="G64" s="294" t="s">
        <v>171</v>
      </c>
      <c r="H64" s="292" t="s">
        <v>193</v>
      </c>
      <c r="I64" s="294" t="s">
        <v>194</v>
      </c>
      <c r="J64" s="294" t="s">
        <v>195</v>
      </c>
      <c r="K64" s="294" t="s">
        <v>171</v>
      </c>
      <c r="L64" s="294" t="s">
        <v>193</v>
      </c>
      <c r="M64" s="293" t="s">
        <v>194</v>
      </c>
      <c r="N64" s="294" t="s">
        <v>195</v>
      </c>
      <c r="O64" s="294" t="s">
        <v>171</v>
      </c>
      <c r="P64" s="294" t="s">
        <v>193</v>
      </c>
      <c r="Q64" s="293" t="s">
        <v>194</v>
      </c>
      <c r="R64" s="294" t="s">
        <v>195</v>
      </c>
      <c r="S64" s="294" t="s">
        <v>171</v>
      </c>
      <c r="T64" s="292" t="s">
        <v>193</v>
      </c>
      <c r="U64" s="293" t="s">
        <v>194</v>
      </c>
      <c r="V64" s="294" t="s">
        <v>195</v>
      </c>
      <c r="W64" s="294" t="s">
        <v>171</v>
      </c>
      <c r="X64" s="292" t="s">
        <v>193</v>
      </c>
      <c r="Y64" s="293" t="s">
        <v>194</v>
      </c>
      <c r="Z64" s="295" t="s">
        <v>195</v>
      </c>
      <c r="AA64" s="294" t="s">
        <v>171</v>
      </c>
      <c r="AB64" s="297" t="s">
        <v>193</v>
      </c>
      <c r="AC64" s="296" t="s">
        <v>194</v>
      </c>
      <c r="AD64" s="291" t="s">
        <v>195</v>
      </c>
      <c r="AE64" s="291" t="s">
        <v>171</v>
      </c>
      <c r="AF64" s="297" t="s">
        <v>193</v>
      </c>
      <c r="AG64" s="296" t="s">
        <v>194</v>
      </c>
      <c r="AH64" s="290" t="s">
        <v>195</v>
      </c>
      <c r="AI64" s="291" t="s">
        <v>171</v>
      </c>
      <c r="AJ64" s="297" t="s">
        <v>193</v>
      </c>
      <c r="AK64" s="296" t="s">
        <v>194</v>
      </c>
      <c r="AL64" s="290" t="s">
        <v>195</v>
      </c>
      <c r="AM64" s="291" t="s">
        <v>171</v>
      </c>
      <c r="AN64" s="297" t="s">
        <v>193</v>
      </c>
    </row>
    <row r="65" ht="28.5" customHeight="1">
      <c r="B65" s="327" t="s">
        <v>1816</v>
      </c>
      <c r="C65" s="78" t="s">
        <v>1613</v>
      </c>
      <c r="D65" s="286"/>
      <c r="E65" s="286"/>
      <c r="F65" s="286"/>
      <c r="G65" s="286"/>
      <c r="H65" s="286"/>
      <c r="I65" s="286"/>
      <c r="J65" s="286"/>
      <c r="K65" s="286"/>
      <c r="L65" s="286"/>
      <c r="M65" s="306" t="n">
        <v>15217.7</v>
      </c>
      <c r="N65" s="306" t="n">
        <v>15950.9</v>
      </c>
      <c r="O65" s="306" t="n">
        <v>16285.1</v>
      </c>
      <c r="P65" s="306" t="n">
        <v>16718.2</v>
      </c>
      <c r="Q65" s="306" t="n">
        <v>17175.099999999999</v>
      </c>
      <c r="R65" s="306" t="n">
        <v>17603.8</v>
      </c>
      <c r="S65" s="316" t="n">
        <v>17876.2</v>
      </c>
      <c r="T65" s="316" t="n">
        <v>18108.3</v>
      </c>
      <c r="U65" s="316" t="n">
        <v>18506.2</v>
      </c>
      <c r="V65" s="316" t="n">
        <v>18685.7</v>
      </c>
      <c r="W65" s="316" t="n">
        <v>18929</v>
      </c>
      <c r="X65" s="316" t="n">
        <v>19170.2</v>
      </c>
      <c r="Y65" s="316" t="n">
        <v>19424.8</v>
      </c>
      <c r="Z65" s="316" t="n">
        <v>19682.7</v>
      </c>
      <c r="AA65" s="316" t="n">
        <v>19928.2</v>
      </c>
      <c r="AB65" s="316" t="n">
        <v>20185.7</v>
      </c>
      <c r="AC65" s="316" t="n">
        <v>20403.099999999999</v>
      </c>
      <c r="AD65" s="316" t="n">
        <v>20642.2</v>
      </c>
      <c r="AE65" s="316" t="n">
        <v>20846.8</v>
      </c>
      <c r="AF65" s="316" t="n">
        <v>21044.3</v>
      </c>
      <c r="AG65" s="316" t="n">
        <v>21224.400000000001</v>
      </c>
      <c r="AH65" s="311" t="n">
        <v>21419</v>
      </c>
      <c r="AI65" s="311" t="n">
        <v>21589.1</v>
      </c>
      <c r="AJ65" s="311" t="n">
        <v>21781.8</v>
      </c>
      <c r="AK65" s="311" t="n">
        <v>21986.799999999999</v>
      </c>
      <c r="AL65" s="311" t="n">
        <v>22169.7</v>
      </c>
      <c r="AM65" s="311" t="n">
        <v>22353.1</v>
      </c>
      <c r="AN65" s="311" t="n">
        <v>22549.7</v>
      </c>
      <c r="AO65" s="311" t="n">
        <v>22756.3</v>
      </c>
      <c r="AP65" s="311" t="n">
        <v>22960.5</v>
      </c>
      <c r="AQ65" s="311" t="n">
        <v>23175.7</v>
      </c>
      <c r="AR65" s="311" t="n">
        <v>23394.799999999999</v>
      </c>
      <c r="AS65" s="311" t="n">
        <v>23623.8</v>
      </c>
      <c r="AT65" s="311" t="n">
        <v>23858.3</v>
      </c>
      <c r="AU65" s="311" t="n">
        <v>24089.9</v>
      </c>
      <c r="AV65" s="311" t="n">
        <v>24324.3</v>
      </c>
      <c r="AW65" s="311" t="n">
        <v>24567.4</v>
      </c>
      <c r="AX65" s="311" t="n">
        <v>24824.5</v>
      </c>
      <c r="AY65" s="311" t="n">
        <v>25079.200000000001</v>
      </c>
      <c r="AZ65" s="311" t="n">
        <v>25340.7</v>
      </c>
      <c r="BA65" s="311" t="n">
        <v>25603</v>
      </c>
      <c r="BB65" s="311" t="n">
        <v>25871.9</v>
      </c>
      <c r="BC65" s="311" t="n">
        <v>26140.7</v>
      </c>
      <c r="BD65" s="311" t="n">
        <v>26411.5</v>
      </c>
      <c r="BE65" s="311" t="n">
        <v>26684.9</v>
      </c>
      <c r="BF65" s="311" t="n">
        <v>26961.599999999999</v>
      </c>
      <c r="BG65" s="311" t="n">
        <v>27241.4</v>
      </c>
      <c r="BH65" s="311" t="n">
        <v>27524.400000000001</v>
      </c>
      <c r="BI65" s="311" t="n">
        <v>27809.7</v>
      </c>
      <c r="BJ65" s="311" t="n">
        <v>28100.3</v>
      </c>
      <c r="BK65" s="311" t="n">
        <v>28394.3</v>
      </c>
      <c r="BL65" s="311" t="n">
        <v>28690.400000000001</v>
      </c>
      <c r="BM65" s="311" t="n">
        <v>28988.400000000001</v>
      </c>
      <c r="BN65" s="311" t="n">
        <v>29289</v>
      </c>
      <c r="BO65" s="311" t="n">
        <v>29593.3</v>
      </c>
      <c r="BP65" s="311" t="n">
        <v>29899.7</v>
      </c>
      <c r="BQ65" t="n">
        <v>30207</v>
      </c>
      <c r="BR65" t="n">
        <v>30516</v>
      </c>
      <c r="BS65" t="n">
        <v>30827</v>
      </c>
      <c r="BT65" t="n">
        <v>31138.6</v>
      </c>
    </row>
    <row r="66" ht="26.25" customHeight="1">
      <c r="B66" s="327" t="s">
        <v>1817</v>
      </c>
      <c r="C66" s="78" t="s">
        <v>1614</v>
      </c>
      <c r="D66" s="85"/>
      <c r="E66" s="78"/>
      <c r="F66" s="78"/>
      <c r="G66" s="78"/>
      <c r="H66" s="78"/>
      <c r="I66" s="78"/>
      <c r="J66" s="78"/>
      <c r="K66" s="78"/>
      <c r="L66" s="78"/>
      <c r="M66" s="311" t="n">
        <v>1609.9</v>
      </c>
      <c r="N66" s="311" t="n">
        <v>1588.5</v>
      </c>
      <c r="O66" s="311" t="n">
        <v>1576.4</v>
      </c>
      <c r="P66" s="311" t="n">
        <v>1602.5</v>
      </c>
      <c r="Q66" s="311" t="n">
        <v>1606.5</v>
      </c>
      <c r="R66" s="311" t="n">
        <v>1622.1</v>
      </c>
      <c r="S66" s="316" t="n">
        <v>1641.4</v>
      </c>
      <c r="T66" s="316" t="n">
        <v>1694.2</v>
      </c>
      <c r="U66" s="316" t="n">
        <v>1731.6</v>
      </c>
      <c r="V66" s="316" t="n">
        <v>1741.8</v>
      </c>
      <c r="W66" s="316" t="n">
        <v>1780.9</v>
      </c>
      <c r="X66" s="316" t="n">
        <v>1796.2</v>
      </c>
      <c r="Y66" s="316" t="n">
        <v>1810.3</v>
      </c>
      <c r="Z66" s="316" t="n">
        <v>1842.2</v>
      </c>
      <c r="AA66" s="316" t="n">
        <v>1893.4</v>
      </c>
      <c r="AB66" s="316" t="n">
        <v>1899.3</v>
      </c>
      <c r="AC66" s="316" t="n">
        <v>1905.1</v>
      </c>
      <c r="AD66" s="316" t="n">
        <v>1910.7</v>
      </c>
      <c r="AE66" s="316" t="n">
        <v>1916.3</v>
      </c>
      <c r="AF66" s="316" t="n">
        <v>1922.1</v>
      </c>
      <c r="AG66" s="328" t="n">
        <v>1932.1</v>
      </c>
      <c r="AH66" s="328" t="n">
        <v>1942.5</v>
      </c>
      <c r="AI66" s="328" t="n">
        <v>1953.7</v>
      </c>
      <c r="AJ66" s="328" t="n">
        <v>1963.7</v>
      </c>
      <c r="AK66" s="328" t="n">
        <v>1973.3</v>
      </c>
      <c r="AL66" s="328" t="n">
        <v>1984.4</v>
      </c>
      <c r="AM66" s="328" t="n">
        <v>1996</v>
      </c>
      <c r="AN66" s="328" t="n">
        <v>2006.3</v>
      </c>
      <c r="AO66" s="328" t="n">
        <v>2016.1</v>
      </c>
      <c r="AP66" s="311" t="n">
        <v>2026.1</v>
      </c>
      <c r="AQ66" s="311" t="n">
        <v>2036.2</v>
      </c>
      <c r="AR66" s="311" t="n">
        <v>2047.6</v>
      </c>
      <c r="AS66" s="311" t="n">
        <v>2057.4</v>
      </c>
      <c r="AT66" s="311" t="n">
        <v>2068.8000000000002</v>
      </c>
      <c r="AU66" s="311" t="n">
        <v>2080.3000000000002</v>
      </c>
      <c r="AV66" s="311" t="n">
        <v>2091.8000000000002</v>
      </c>
      <c r="AW66" s="311" t="n">
        <v>2103.1999999999998</v>
      </c>
      <c r="AX66" s="311" t="n">
        <v>2114.6999999999998</v>
      </c>
      <c r="AY66" s="311" t="n">
        <v>2124.6999999999998</v>
      </c>
      <c r="AZ66" s="311" t="n">
        <v>2134.8000000000002</v>
      </c>
      <c r="BA66" s="311" t="n">
        <v>2144.9</v>
      </c>
      <c r="BB66" s="311" t="n">
        <v>2156.6</v>
      </c>
      <c r="BC66" s="311" t="n">
        <v>2169.1</v>
      </c>
      <c r="BD66" s="311" t="n">
        <v>2181.9</v>
      </c>
      <c r="BE66" s="311" t="n">
        <v>2194.8000000000002</v>
      </c>
      <c r="BF66" s="311" t="n">
        <v>2207.5</v>
      </c>
      <c r="BG66" s="311" t="n">
        <v>2221.3000000000002</v>
      </c>
      <c r="BH66" s="311" t="n">
        <v>2235.5</v>
      </c>
      <c r="BI66" s="311" t="n">
        <v>2249.3000000000002</v>
      </c>
      <c r="BJ66" s="311" t="n">
        <v>2263.1999999999998</v>
      </c>
      <c r="BK66" s="311" t="n">
        <v>2277.4</v>
      </c>
      <c r="BL66" s="311" t="n">
        <v>2290.6999999999998</v>
      </c>
      <c r="BM66" s="311" t="n">
        <v>2304.1999999999998</v>
      </c>
      <c r="BN66" s="311" t="n">
        <v>2317.3000000000002</v>
      </c>
      <c r="BO66" s="311" t="n">
        <v>2330.5</v>
      </c>
      <c r="BP66" s="311" t="n">
        <v>2343.6</v>
      </c>
      <c r="BQ66" t="n">
        <v>2356.9</v>
      </c>
      <c r="BR66" t="n">
        <v>2370.1999999999998</v>
      </c>
      <c r="BS66" t="n">
        <v>2383.6999999999998</v>
      </c>
      <c r="BT66" t="n">
        <v>2397.6</v>
      </c>
    </row>
    <row r="67" ht="26.25" customHeight="1">
      <c r="B67" s="327" t="s">
        <v>1818</v>
      </c>
      <c r="C67" s="78" t="s">
        <v>1614</v>
      </c>
      <c r="D67" s="85"/>
      <c r="E67" s="78"/>
      <c r="F67" s="78"/>
      <c r="G67" s="78"/>
      <c r="H67" s="78"/>
      <c r="I67" s="78"/>
      <c r="J67" s="78"/>
      <c r="K67" s="78"/>
      <c r="L67" s="78"/>
      <c r="M67" s="311" t="n">
        <v>2533.9</v>
      </c>
      <c r="N67" s="311" t="n">
        <v>2571.6999999999998</v>
      </c>
      <c r="O67" s="311" t="n">
        <v>2625.1</v>
      </c>
      <c r="P67" s="311" t="n">
        <v>2664.2</v>
      </c>
      <c r="Q67" s="311" t="n">
        <v>2726.1</v>
      </c>
      <c r="R67" s="311" t="n">
        <v>2815.5</v>
      </c>
      <c r="S67" s="316" t="n">
        <v>2838.7</v>
      </c>
      <c r="T67" s="316" t="n">
        <v>2870.6</v>
      </c>
      <c r="U67" s="316" t="n">
        <v>2893</v>
      </c>
      <c r="V67" s="316" t="n">
        <v>2904.1</v>
      </c>
      <c r="W67" s="316" t="n">
        <v>2975.5</v>
      </c>
      <c r="X67" s="316" t="n">
        <v>3019</v>
      </c>
      <c r="Y67" s="316" t="n">
        <v>3070.7</v>
      </c>
      <c r="Z67" s="316" t="n">
        <v>3100.9</v>
      </c>
      <c r="AA67" s="316" t="n">
        <v>3139.2</v>
      </c>
      <c r="AB67" s="316" t="n">
        <v>3171.3</v>
      </c>
      <c r="AC67" s="316" t="n">
        <v>3201.4</v>
      </c>
      <c r="AD67" s="316" t="n">
        <v>3227.6</v>
      </c>
      <c r="AE67" s="316" t="n">
        <v>3257.1</v>
      </c>
      <c r="AF67" s="316" t="n">
        <v>3287.7</v>
      </c>
      <c r="AG67" s="306" t="n">
        <v>3319.2</v>
      </c>
      <c r="AH67" s="306" t="n">
        <v>3348.5</v>
      </c>
      <c r="AI67" s="306" t="n">
        <v>3378.4</v>
      </c>
      <c r="AJ67" s="306" t="n">
        <v>3407.6</v>
      </c>
      <c r="AK67" s="306" t="n">
        <v>3436.1</v>
      </c>
      <c r="AL67" s="306" t="n">
        <v>3465.5</v>
      </c>
      <c r="AM67" s="306" t="n">
        <v>3495</v>
      </c>
      <c r="AN67" s="306" t="n">
        <v>3524.3</v>
      </c>
      <c r="AO67" s="306" t="n">
        <v>3553.2</v>
      </c>
      <c r="AP67" s="311" t="n">
        <v>3582.3</v>
      </c>
      <c r="AQ67" s="311" t="n">
        <v>3611.3</v>
      </c>
      <c r="AR67" s="311" t="n">
        <v>3640.4</v>
      </c>
      <c r="AS67" s="311" t="n">
        <v>3669.2</v>
      </c>
      <c r="AT67" s="311" t="n">
        <v>3698.1</v>
      </c>
      <c r="AU67" s="311" t="n">
        <v>3727.3</v>
      </c>
      <c r="AV67" s="311" t="n">
        <v>3756.6</v>
      </c>
      <c r="AW67" s="311" t="n">
        <v>3785.8</v>
      </c>
      <c r="AX67" s="311" t="n">
        <v>3815.2</v>
      </c>
      <c r="AY67" s="311" t="n">
        <v>3845</v>
      </c>
      <c r="AZ67" s="311" t="n">
        <v>3874.9</v>
      </c>
      <c r="BA67" s="311" t="n">
        <v>3905.2</v>
      </c>
      <c r="BB67" s="311" t="n">
        <v>3935.8</v>
      </c>
      <c r="BC67" s="311" t="n">
        <v>3966.6</v>
      </c>
      <c r="BD67" s="311" t="n">
        <v>3997.8</v>
      </c>
      <c r="BE67" s="311" t="n">
        <v>4029.2</v>
      </c>
      <c r="BF67" s="311" t="n">
        <v>4060.9</v>
      </c>
      <c r="BG67" s="311" t="n">
        <v>4092.8</v>
      </c>
      <c r="BH67" s="311" t="n">
        <v>4125</v>
      </c>
      <c r="BI67" s="311" t="n">
        <v>4157.3999999999996</v>
      </c>
      <c r="BJ67" s="311" t="n">
        <v>4190</v>
      </c>
      <c r="BK67" s="311" t="n">
        <v>4222.8</v>
      </c>
      <c r="BL67" s="311" t="n">
        <v>4255.8</v>
      </c>
      <c r="BM67" s="311" t="n">
        <v>4289</v>
      </c>
      <c r="BN67" s="311" t="n">
        <v>4322.3</v>
      </c>
      <c r="BO67" s="311" t="n">
        <v>4355.7</v>
      </c>
      <c r="BP67" s="311" t="n">
        <v>4389</v>
      </c>
      <c r="BQ67" t="n">
        <v>4422.3999999999996</v>
      </c>
      <c r="BR67" t="n">
        <v>4456</v>
      </c>
      <c r="BS67" t="n">
        <v>4489.8</v>
      </c>
      <c r="BT67" t="n">
        <v>4524</v>
      </c>
    </row>
    <row r="68" ht="26.25" customHeight="1">
      <c r="B68" s="327" t="s">
        <v>1819</v>
      </c>
      <c r="C68" s="78" t="s">
        <v>1615</v>
      </c>
      <c r="D68" s="85"/>
      <c r="E68" s="78"/>
      <c r="F68" s="78"/>
      <c r="G68" s="78"/>
      <c r="H68" s="78"/>
      <c r="I68" s="78"/>
      <c r="J68" s="78"/>
      <c r="K68" s="78"/>
      <c r="L68" s="78"/>
      <c r="M68" s="311" t="n">
        <v>14282.6</v>
      </c>
      <c r="N68" s="311" t="n">
        <v>14745.6</v>
      </c>
      <c r="O68" s="311" t="n">
        <v>14848.8</v>
      </c>
      <c r="P68" s="311" t="n">
        <v>14995.6</v>
      </c>
      <c r="Q68" s="311" t="n">
        <v>15123.4</v>
      </c>
      <c r="R68" s="311" t="n">
        <v>15219.9</v>
      </c>
      <c r="S68" s="316" t="n">
        <v>15277.6</v>
      </c>
      <c r="T68" s="316" t="n">
        <v>15324</v>
      </c>
      <c r="U68" s="316" t="n">
        <v>15510.2</v>
      </c>
      <c r="V68" s="316" t="n">
        <v>15548.5</v>
      </c>
      <c r="W68" s="316" t="n">
        <v>15646.7</v>
      </c>
      <c r="X68" s="316" t="n">
        <v>15781.4</v>
      </c>
      <c r="Y68" s="316" t="n">
        <v>15856.9</v>
      </c>
      <c r="Z68" s="316" t="n">
        <v>15967.3</v>
      </c>
      <c r="AA68" s="316" t="n">
        <v>16106.4</v>
      </c>
      <c r="AB68" s="316" t="n">
        <v>16216.1</v>
      </c>
      <c r="AC68" s="316" t="n">
        <v>16297.6</v>
      </c>
      <c r="AD68" s="316" t="n">
        <v>16401.2</v>
      </c>
      <c r="AE68" s="316" t="n">
        <v>16474.400000000001</v>
      </c>
      <c r="AF68" s="316" t="n">
        <v>16540.2</v>
      </c>
      <c r="AG68" s="306" t="n">
        <v>16593.400000000001</v>
      </c>
      <c r="AH68" s="306" t="n">
        <v>16661.3</v>
      </c>
      <c r="AI68" s="306" t="n">
        <v>16709.400000000001</v>
      </c>
      <c r="AJ68" s="306" t="n">
        <v>16773.599999999999</v>
      </c>
      <c r="AK68" s="306" t="n">
        <v>16846.7</v>
      </c>
      <c r="AL68" s="306" t="n">
        <v>16902.2</v>
      </c>
      <c r="AM68" s="306" t="n">
        <v>16957.5</v>
      </c>
      <c r="AN68" s="306" t="n">
        <v>17021.900000000001</v>
      </c>
      <c r="AO68" s="306" t="n">
        <v>17093.099999999999</v>
      </c>
      <c r="AP68" s="311" t="n">
        <v>17161.400000000001</v>
      </c>
      <c r="AQ68" s="311" t="n">
        <v>17237</v>
      </c>
      <c r="AR68" s="311" t="n">
        <v>17314.599999999999</v>
      </c>
      <c r="AS68" s="311" t="n">
        <v>17398.5</v>
      </c>
      <c r="AT68" s="311" t="n">
        <v>17485.3</v>
      </c>
      <c r="AU68" s="311" t="n">
        <v>17568.900000000001</v>
      </c>
      <c r="AV68" s="311" t="n">
        <v>17653.3</v>
      </c>
      <c r="AW68" s="311" t="n">
        <v>17742.900000000001</v>
      </c>
      <c r="AX68" s="311" t="n">
        <v>17841.3</v>
      </c>
      <c r="AY68" s="311" t="n">
        <v>17936.8</v>
      </c>
      <c r="AZ68" s="311" t="n">
        <v>18035.7</v>
      </c>
      <c r="BA68" s="311" t="n">
        <v>18133.900000000001</v>
      </c>
      <c r="BB68" s="311" t="n">
        <v>18235.5</v>
      </c>
      <c r="BC68" s="311" t="n">
        <v>18335.599999999999</v>
      </c>
      <c r="BD68" s="311" t="n">
        <v>18435.7</v>
      </c>
      <c r="BE68" s="311" t="n">
        <v>18536.2</v>
      </c>
      <c r="BF68" s="311" t="n">
        <v>18637.7</v>
      </c>
      <c r="BG68" s="311" t="n">
        <v>18739.900000000001</v>
      </c>
      <c r="BH68" s="311" t="n">
        <v>18842.900000000001</v>
      </c>
      <c r="BI68" s="311" t="n">
        <v>18946</v>
      </c>
      <c r="BJ68" s="311" t="n">
        <v>19051.3</v>
      </c>
      <c r="BK68" s="311" t="n">
        <v>19157.5</v>
      </c>
      <c r="BL68" s="311" t="n">
        <v>19263.7</v>
      </c>
      <c r="BM68" s="311" t="n">
        <v>19369.599999999999</v>
      </c>
      <c r="BN68" s="311" t="n">
        <v>19475.8</v>
      </c>
      <c r="BO68" s="311" t="n">
        <v>19583</v>
      </c>
      <c r="BP68" s="311" t="n">
        <v>19690.099999999999</v>
      </c>
      <c r="BQ68" t="n">
        <v>19796.2</v>
      </c>
      <c r="BR68" t="n">
        <v>19902.099999999999</v>
      </c>
      <c r="BS68" t="n">
        <v>20007.8</v>
      </c>
      <c r="BT68" t="n">
        <v>20112.400000000001</v>
      </c>
    </row>
    <row r="69" ht="26.25" customHeight="1">
      <c r="B69" s="327" t="s">
        <v>1820</v>
      </c>
      <c r="C69" s="78" t="s">
        <v>1616</v>
      </c>
      <c r="D69" s="85"/>
      <c r="E69" s="78"/>
      <c r="F69" s="78"/>
      <c r="G69" s="78"/>
      <c r="H69" s="78"/>
      <c r="I69" s="78"/>
      <c r="J69" s="78"/>
      <c r="K69" s="78"/>
      <c r="L69" s="78"/>
      <c r="M69" s="311" t="n">
        <v>1499.1</v>
      </c>
      <c r="N69" s="311" t="n">
        <v>1464.8</v>
      </c>
      <c r="O69" s="311" t="n">
        <v>1439.1</v>
      </c>
      <c r="P69" s="311" t="n">
        <v>1446.5</v>
      </c>
      <c r="Q69" s="311" t="n">
        <v>1426.3</v>
      </c>
      <c r="R69" s="311" t="n">
        <v>1414.4</v>
      </c>
      <c r="S69" s="316" t="n">
        <v>1412.9</v>
      </c>
      <c r="T69" s="316" t="n">
        <v>1443.6</v>
      </c>
      <c r="U69" s="316" t="n">
        <v>1460</v>
      </c>
      <c r="V69" s="316" t="n">
        <v>1456</v>
      </c>
      <c r="W69" s="316" t="n">
        <v>1474.8</v>
      </c>
      <c r="X69" s="316" t="n">
        <v>1473.5</v>
      </c>
      <c r="Y69" s="316" t="n">
        <v>1472.2</v>
      </c>
      <c r="Z69" s="316" t="n">
        <v>1487.8</v>
      </c>
      <c r="AA69" s="316" t="n">
        <v>1519.9</v>
      </c>
      <c r="AB69" s="316" t="n">
        <v>1513.2</v>
      </c>
      <c r="AC69" s="316" t="n">
        <v>1510.8</v>
      </c>
      <c r="AD69" s="316" t="n">
        <v>1509.5</v>
      </c>
      <c r="AE69" s="316" t="n">
        <v>1508.4</v>
      </c>
      <c r="AF69" s="316" t="n">
        <v>1507.3</v>
      </c>
      <c r="AG69" s="306" t="n">
        <v>1507.1</v>
      </c>
      <c r="AH69" s="306" t="n">
        <v>1506.7</v>
      </c>
      <c r="AI69" s="306" t="n">
        <v>1506.7</v>
      </c>
      <c r="AJ69" s="306" t="n">
        <v>1505.5</v>
      </c>
      <c r="AK69" s="306" t="n">
        <v>1504.5</v>
      </c>
      <c r="AL69" s="306" t="n">
        <v>1504.7</v>
      </c>
      <c r="AM69" s="306" t="n">
        <v>1505</v>
      </c>
      <c r="AN69" s="306" t="n">
        <v>1504.1</v>
      </c>
      <c r="AO69" s="306" t="n">
        <v>1503.1</v>
      </c>
      <c r="AP69" s="311" t="n">
        <v>1502.1</v>
      </c>
      <c r="AQ69" s="311" t="n">
        <v>1501.3</v>
      </c>
      <c r="AR69" s="311" t="n">
        <v>1501.5</v>
      </c>
      <c r="AS69" s="311" t="n">
        <v>1500.5</v>
      </c>
      <c r="AT69" s="311" t="n">
        <v>1500.8</v>
      </c>
      <c r="AU69" s="311" t="n">
        <v>1501.1</v>
      </c>
      <c r="AV69" s="311" t="n">
        <v>1501.5</v>
      </c>
      <c r="AW69" s="311" t="n">
        <v>1501.8</v>
      </c>
      <c r="AX69" s="311" t="n">
        <v>1502.2</v>
      </c>
      <c r="AY69" s="311" t="n">
        <v>1501.5</v>
      </c>
      <c r="AZ69" s="311" t="n">
        <v>1500.9</v>
      </c>
      <c r="BA69" s="311" t="n">
        <v>1500.2</v>
      </c>
      <c r="BB69" s="311" t="n">
        <v>1500.7</v>
      </c>
      <c r="BC69" s="311" t="n">
        <v>1501.7</v>
      </c>
      <c r="BD69" s="311" t="n">
        <v>1502.7</v>
      </c>
      <c r="BE69" s="311" t="n">
        <v>1504</v>
      </c>
      <c r="BF69" s="311" t="n">
        <v>1505</v>
      </c>
      <c r="BG69" s="311" t="n">
        <v>1506.6</v>
      </c>
      <c r="BH69" s="311" t="n">
        <v>1508.1</v>
      </c>
      <c r="BI69" s="311" t="n">
        <v>1509.4</v>
      </c>
      <c r="BJ69" s="311" t="n">
        <v>1510.6</v>
      </c>
      <c r="BK69" s="311" t="n">
        <v>1512</v>
      </c>
      <c r="BL69" s="311" t="n">
        <v>1513.2</v>
      </c>
      <c r="BM69" s="311" t="n">
        <v>1514.3</v>
      </c>
      <c r="BN69" s="311" t="n">
        <v>1515.2</v>
      </c>
      <c r="BO69" s="311" t="n">
        <v>1516.2</v>
      </c>
      <c r="BP69" s="311" t="n">
        <v>1517</v>
      </c>
      <c r="BQ69" t="n">
        <v>1517.9</v>
      </c>
      <c r="BR69" t="n">
        <v>1518.8</v>
      </c>
      <c r="BS69" t="n">
        <v>1519.7</v>
      </c>
      <c r="BT69" t="n">
        <v>1520.8</v>
      </c>
    </row>
    <row r="70" ht="26.15" customHeight="1">
      <c r="B70" s="327" t="s">
        <v>1821</v>
      </c>
      <c r="C70" s="77" t="s">
        <v>1617</v>
      </c>
      <c r="D70" s="302"/>
      <c r="E70" s="77"/>
      <c r="F70" s="77"/>
      <c r="G70" s="77"/>
      <c r="H70" s="77"/>
      <c r="I70" s="77"/>
      <c r="J70" s="77"/>
      <c r="K70" s="77"/>
      <c r="L70" s="77"/>
      <c r="M70" s="318" t="n">
        <v>2247</v>
      </c>
      <c r="N70" s="318" t="n">
        <v>2239.1999999999998</v>
      </c>
      <c r="O70" s="318" t="n">
        <v>2250.1</v>
      </c>
      <c r="P70" s="318" t="n">
        <v>2240.9</v>
      </c>
      <c r="Q70" s="318" t="n">
        <v>2235.3000000000002</v>
      </c>
      <c r="R70" s="318" t="n">
        <v>2232.9</v>
      </c>
      <c r="S70" s="317" t="n">
        <v>2248</v>
      </c>
      <c r="T70" s="317" t="n">
        <v>2266.9</v>
      </c>
      <c r="U70" s="317" t="n">
        <v>2296.6</v>
      </c>
      <c r="V70" s="317" t="n">
        <v>2327.1</v>
      </c>
      <c r="W70" s="317" t="n">
        <v>2360.8000000000002</v>
      </c>
      <c r="X70" s="317" t="n">
        <v>2395.9</v>
      </c>
      <c r="Y70" s="317" t="n">
        <v>2414</v>
      </c>
      <c r="Z70" s="316" t="n">
        <v>2427.9</v>
      </c>
      <c r="AA70" s="316" t="n">
        <v>2443.9</v>
      </c>
      <c r="AB70" s="316" t="n">
        <v>2449.9</v>
      </c>
      <c r="AC70" s="316" t="n">
        <v>2454.5</v>
      </c>
      <c r="AD70" s="316" t="n">
        <v>2457.1999999999998</v>
      </c>
      <c r="AE70" s="316" t="n">
        <v>2460.6</v>
      </c>
      <c r="AF70" s="316" t="n">
        <v>2464</v>
      </c>
      <c r="AG70" s="311" t="n">
        <v>2467.4</v>
      </c>
      <c r="AH70" s="311" t="n">
        <v>2470</v>
      </c>
      <c r="AI70" s="311" t="n">
        <v>2473.1</v>
      </c>
      <c r="AJ70" s="311" t="n">
        <v>2475.5</v>
      </c>
      <c r="AK70" s="306" t="n">
        <v>2477.5</v>
      </c>
      <c r="AL70" s="306" t="n">
        <v>2480.1</v>
      </c>
      <c r="AM70" s="306" t="n">
        <v>2482.8000000000002</v>
      </c>
      <c r="AN70" s="306" t="n">
        <v>2485.3000000000002</v>
      </c>
      <c r="AO70" s="306" t="n">
        <v>2487.4</v>
      </c>
      <c r="AP70" s="311" t="n">
        <v>2489.6</v>
      </c>
      <c r="AQ70" s="311" t="n">
        <v>2491.4</v>
      </c>
      <c r="AR70" s="311" t="n">
        <v>2493.1999999999998</v>
      </c>
      <c r="AS70" s="311" t="n">
        <v>2494.8000000000002</v>
      </c>
      <c r="AT70" s="311" t="n">
        <v>2496.1999999999998</v>
      </c>
      <c r="AU70" s="311" t="n">
        <v>2497.8000000000002</v>
      </c>
      <c r="AV70" s="311" t="n">
        <v>2499.3000000000002</v>
      </c>
      <c r="AW70" s="311" t="n">
        <v>2500.6</v>
      </c>
      <c r="AX70" s="311" t="n">
        <v>2501.9</v>
      </c>
      <c r="AY70" s="311" t="n">
        <v>2503.3000000000002</v>
      </c>
      <c r="AZ70" s="311" t="n">
        <v>2504.6999999999998</v>
      </c>
      <c r="BA70" s="311" t="n">
        <v>2506.3000000000002</v>
      </c>
      <c r="BB70" s="311" t="n">
        <v>2507.9</v>
      </c>
      <c r="BC70" s="311" t="n">
        <v>2509.6</v>
      </c>
      <c r="BD70" s="311" t="n">
        <v>2511.1999999999998</v>
      </c>
      <c r="BE70" s="311" t="n">
        <v>2512.8000000000002</v>
      </c>
      <c r="BF70" s="311" t="n">
        <v>2514.4</v>
      </c>
      <c r="BG70" s="311" t="n">
        <v>2515.9</v>
      </c>
      <c r="BH70" s="311" t="n">
        <v>2517.5</v>
      </c>
      <c r="BI70" s="311" t="n">
        <v>2519</v>
      </c>
      <c r="BJ70" s="311" t="n">
        <v>2520.5</v>
      </c>
      <c r="BK70" s="311" t="n">
        <v>2521.9</v>
      </c>
      <c r="BL70" s="311" t="n">
        <v>2523.3000000000002</v>
      </c>
      <c r="BM70" s="311" t="n">
        <v>2524.6999999999998</v>
      </c>
      <c r="BN70" s="311" t="n">
        <v>2526</v>
      </c>
      <c r="BO70" s="311" t="n">
        <v>2527</v>
      </c>
      <c r="BP70" s="311" t="n">
        <v>2527.8000000000002</v>
      </c>
      <c r="BQ70" t="n">
        <v>2528.5</v>
      </c>
      <c r="BR70" t="n">
        <v>2529.1</v>
      </c>
      <c r="BS70" t="n">
        <v>2529.6999999999998</v>
      </c>
      <c r="BT70" t="n">
        <v>2530.1999999999998</v>
      </c>
    </row>
    <row r="71">
      <c r="B71" s="335"/>
      <c r="C71" s="334"/>
      <c r="D71" s="360"/>
      <c r="E71" s="360"/>
      <c r="F71" s="360"/>
      <c r="G71" s="360"/>
      <c r="H71" s="360"/>
      <c r="I71" s="360"/>
      <c r="J71" s="360"/>
      <c r="K71" s="360"/>
      <c r="L71" s="360"/>
      <c r="M71" s="360"/>
      <c r="N71" s="360"/>
      <c r="O71" s="360"/>
      <c r="P71" s="360"/>
      <c r="Q71" s="360"/>
      <c r="R71" s="360"/>
      <c r="S71" s="360"/>
      <c r="T71" s="361"/>
      <c r="U71" s="361"/>
      <c r="V71" s="361"/>
      <c r="W71" s="361"/>
      <c r="X71" s="361"/>
      <c r="Y71" s="361"/>
      <c r="Z71" s="335"/>
      <c r="AA71" s="335"/>
      <c r="AB71" s="335"/>
      <c r="AC71" s="335"/>
      <c r="AD71" s="335"/>
      <c r="AE71" s="335"/>
      <c r="AF71" s="335"/>
      <c r="AG71" s="303"/>
      <c r="AH71" s="303"/>
      <c r="AI71" s="303"/>
      <c r="AJ71" s="303"/>
      <c r="AK71" s="303"/>
      <c r="AL71" s="303"/>
      <c r="AM71" s="303"/>
      <c r="AN71" s="303"/>
      <c r="AO71" s="289"/>
      <c r="AP71" s="78"/>
      <c r="AQ71" s="78"/>
      <c r="AR71" s="78"/>
      <c r="AS71" s="78"/>
      <c r="AT71" s="78"/>
      <c r="AU71" s="78"/>
      <c r="AV71" s="78"/>
    </row>
    <row r="72">
      <c r="B72" s="91" t="s">
        <v>1607</v>
      </c>
      <c r="C72" s="307"/>
      <c r="D72" s="320"/>
      <c r="E72" s="320"/>
      <c r="F72" s="320"/>
      <c r="G72" s="320"/>
      <c r="H72" s="320"/>
      <c r="I72" s="320"/>
      <c r="J72" s="320"/>
      <c r="K72" s="320"/>
      <c r="L72" s="320"/>
      <c r="M72" s="320"/>
      <c r="N72" s="320"/>
      <c r="O72" s="320"/>
      <c r="P72" s="320"/>
      <c r="Q72" s="320"/>
      <c r="R72" s="320"/>
      <c r="S72" s="332" t="n">
        <f t="shared" ref="S72:AE72" si="54">S65/S68</f>
        <v>1.1700921610724198</v>
      </c>
      <c r="T72" s="332" t="n">
        <f t="shared" si="54"/>
        <v>1.1816953797963978</v>
      </c>
      <c r="U72" s="332" t="n">
        <f t="shared" si="54"/>
        <v>1.1931632087271602</v>
      </c>
      <c r="V72" s="332" t="n">
        <f>V65/V68</f>
        <v>1.201768659356208</v>
      </c>
      <c r="W72" s="332" t="n">
        <f t="shared" si="54"/>
        <v>1.2097758632810751</v>
      </c>
      <c r="X72" s="332" t="n">
        <f t="shared" si="54"/>
        <v>1.2147338005500146</v>
      </c>
      <c r="Y72" s="332" t="n">
        <f t="shared" si="54"/>
        <v>1.2250061487428185</v>
      </c>
      <c r="Z72" s="332" t="n">
        <f t="shared" si="54"/>
        <v>1.2326880562148892</v>
      </c>
      <c r="AA72" s="332" t="n">
        <f t="shared" si="54"/>
        <v>1.2372845576913525</v>
      </c>
      <c r="AB72" s="332" t="n">
        <f t="shared" si="54"/>
        <v>1.2447937543552396</v>
      </c>
      <c r="AC72" s="332" t="n">
        <f>AC65/AC68</f>
        <v>1.2519082564303945</v>
      </c>
      <c r="AD72" s="332" t="n">
        <f t="shared" si="54"/>
        <v>1.2585786405872741</v>
      </c>
      <c r="AE72" s="332" t="n">
        <f t="shared" si="54"/>
        <v>1.2654057203904239</v>
      </c>
      <c r="AF72" s="328" t="n">
        <f>AF65/AF68</f>
        <v>1.27231230577623</v>
      </c>
      <c r="AG72" s="328" t="n">
        <f>AG65/AG68</f>
        <v>1.2790868658623309</v>
      </c>
      <c r="AH72" s="328" t="n">
        <f t="shared" ref="AH72:AI72" si="55">AH65/AH68</f>
        <v>1.2855539483713756</v>
      </c>
      <c r="AI72" s="328" t="n">
        <f t="shared" si="55"/>
        <v>1.292033226806468</v>
      </c>
      <c r="AJ72" s="328" t="n">
        <f>AJ65/AJ68</f>
        <v>1.2985763342395193</v>
      </c>
      <c r="AK72" s="328" t="n">
        <f>AK65/AK68</f>
        <v>1.3051101996236651</v>
      </c>
      <c r="AL72" s="328" t="n">
        <f>AL65/AL68</f>
        <v>1.3116458212540378</v>
      </c>
      <c r="AM72" s="328" t="n">
        <f>AM65/AM68</f>
        <v>1.3181836945304437</v>
      </c>
      <c r="AN72" s="328" t="n">
        <f>AN65/AN68</f>
        <v>1.3247463561647055</v>
      </c>
      <c r="AO72" s="329"/>
    </row>
    <row r="73">
      <c r="B73" s="85" t="s">
        <v>1608</v>
      </c>
      <c r="C73" s="287"/>
      <c r="D73" s="78"/>
      <c r="E73" s="78"/>
      <c r="F73" s="78"/>
      <c r="G73" s="78"/>
      <c r="H73" s="78"/>
      <c r="I73" s="78"/>
      <c r="J73" s="78"/>
      <c r="K73" s="78"/>
      <c r="L73" s="78"/>
      <c r="M73" s="78"/>
      <c r="N73" s="78"/>
      <c r="O73" s="78"/>
      <c r="P73" s="78"/>
      <c r="Q73" s="78"/>
      <c r="R73" s="78"/>
      <c r="S73" s="328" t="n">
        <f t="shared" ref="S73:AE73" si="56">S66/S69</f>
        <v>1.1617241135253733</v>
      </c>
      <c r="T73" s="328" t="n">
        <f t="shared" si="56"/>
        <v>1.1735937932945415</v>
      </c>
      <c r="U73" s="328" t="n">
        <f t="shared" si="56"/>
        <v>1.186027397260274</v>
      </c>
      <c r="V73" s="328" t="n">
        <f t="shared" si="56"/>
        <v>1.1962912087912088</v>
      </c>
      <c r="W73" s="328" t="n">
        <f t="shared" si="56"/>
        <v>1.2075535665852999</v>
      </c>
      <c r="X73" s="328" t="n">
        <f t="shared" si="56"/>
        <v>1.2190023752969121</v>
      </c>
      <c r="Y73" s="328" t="n">
        <f t="shared" si="56"/>
        <v>1.229656296698818</v>
      </c>
      <c r="Z73" s="328" t="n">
        <f t="shared" si="56"/>
        <v>1.2382040596854416</v>
      </c>
      <c r="AA73" s="328" t="n">
        <f t="shared" si="56"/>
        <v>1.245739851306007</v>
      </c>
      <c r="AB73" s="328" t="n">
        <f t="shared" si="56"/>
        <v>1.2551546391752577</v>
      </c>
      <c r="AC73" s="328" t="n">
        <f>AC66/AC69</f>
        <v>1.2609875562615833</v>
      </c>
      <c r="AD73" s="328" t="n">
        <f t="shared" si="56"/>
        <v>1.265783371977476</v>
      </c>
      <c r="AE73" s="328" t="n">
        <f t="shared" si="56"/>
        <v>1.2704189870060991</v>
      </c>
      <c r="AF73" s="328" t="n">
        <f>AF66/AF69</f>
        <v>1.275194055596099</v>
      </c>
      <c r="AG73" s="328" t="n">
        <f>AG66/AG69</f>
        <v>1.2819985402428504</v>
      </c>
      <c r="AH73" s="328" t="n">
        <f t="shared" ref="AH73:AJ73" si="57">AH66/AH69</f>
        <v>1.289241388464857</v>
      </c>
      <c r="AI73" s="328" t="n">
        <f t="shared" si="57"/>
        <v>1.2966748523262759</v>
      </c>
      <c r="AJ73" s="328" t="n">
        <f t="shared" si="57"/>
        <v>1.3043507140484889</v>
      </c>
      <c r="AK73" s="328" t="n">
        <f t="shared" ref="AK73:AM73" si="58">AK66/AK69</f>
        <v>1.3115985377201729</v>
      </c>
      <c r="AL73" s="328" t="n">
        <f t="shared" si="58"/>
        <v>1.3188010899182561</v>
      </c>
      <c r="AM73" s="328" t="n">
        <f t="shared" si="58"/>
        <v>1.3262458471760796</v>
      </c>
      <c r="AN73" s="328" t="n">
        <f>AN66/AN69</f>
        <v>1.3338873745096735</v>
      </c>
      <c r="AO73" s="330"/>
    </row>
    <row r="74">
      <c r="B74" s="302" t="s">
        <v>1609</v>
      </c>
      <c r="C74" s="288"/>
      <c r="D74" s="77"/>
      <c r="E74" s="77"/>
      <c r="F74" s="77"/>
      <c r="G74" s="77"/>
      <c r="H74" s="77"/>
      <c r="I74" s="77"/>
      <c r="J74" s="77"/>
      <c r="K74" s="77"/>
      <c r="L74" s="77"/>
      <c r="M74" s="77"/>
      <c r="N74" s="77"/>
      <c r="O74" s="77"/>
      <c r="P74" s="77"/>
      <c r="Q74" s="77"/>
      <c r="R74" s="77"/>
      <c r="S74" s="331" t="n">
        <f t="shared" ref="S74:AF74" si="59">S67/S70</f>
        <v>1.2627669039145906</v>
      </c>
      <c r="T74" s="331" t="n">
        <f t="shared" si="59"/>
        <v>1.2663108209449025</v>
      </c>
      <c r="U74" s="331" t="n">
        <f t="shared" si="59"/>
        <v>1.2596882347818514</v>
      </c>
      <c r="V74" s="331" t="n">
        <f t="shared" si="59"/>
        <v>1.247948089897297</v>
      </c>
      <c r="W74" s="331" t="n">
        <f t="shared" si="59"/>
        <v>1.2603778380210098</v>
      </c>
      <c r="X74" s="331" t="n">
        <f t="shared" si="59"/>
        <v>1.2600692850285904</v>
      </c>
      <c r="Y74" s="331" t="n">
        <f t="shared" si="59"/>
        <v>1.2720381110190555</v>
      </c>
      <c r="Z74" s="331" t="n">
        <f t="shared" si="59"/>
        <v>1.2771942831253347</v>
      </c>
      <c r="AA74" s="331" t="n">
        <f t="shared" si="59"/>
        <v>1.284504275952371</v>
      </c>
      <c r="AB74" s="331" t="n">
        <f t="shared" si="59"/>
        <v>1.2944609984080984</v>
      </c>
      <c r="AC74" s="331" t="n">
        <f>AC67/AC70</f>
        <v>1.3042982277449582</v>
      </c>
      <c r="AD74" s="331" t="n">
        <f t="shared" si="59"/>
        <v>1.3135275923815726</v>
      </c>
      <c r="AE74" s="331" t="n">
        <f t="shared" si="59"/>
        <v>1.3237015362106803</v>
      </c>
      <c r="AF74" s="331" t="n">
        <f t="shared" si="59"/>
        <v>1.334293831168831</v>
      </c>
      <c r="AG74" s="331" t="n">
        <f t="shared" ref="AG74:AJ74" si="60">AG67/AG70</f>
        <v>1.3452216908486665</v>
      </c>
      <c r="AH74" s="331" t="n">
        <f t="shared" si="60"/>
        <v>1.355668016194332</v>
      </c>
      <c r="AI74" s="331" t="n">
        <f t="shared" si="60"/>
        <v>1.3660587926084673</v>
      </c>
      <c r="AJ74" s="331" t="n">
        <f t="shared" si="60"/>
        <v>1.3765299939406179</v>
      </c>
      <c r="AK74" s="331" t="n">
        <f t="shared" ref="AK74:AN74" si="61">AK67/AK70</f>
        <v>1.3869223007063571</v>
      </c>
      <c r="AL74" s="331" t="n">
        <f t="shared" si="61"/>
        <v>1.3973226886012662</v>
      </c>
      <c r="AM74" s="331" t="n">
        <f t="shared" si="61"/>
        <v>1.4076848719188013</v>
      </c>
      <c r="AN74" s="331" t="n">
        <f t="shared" si="61"/>
        <v>1.4180581821108116</v>
      </c>
      <c r="AO74" s="330"/>
    </row>
    <row r="76">
      <c r="B76" t="s">
        <v>1873</v>
      </c>
    </row>
    <row r="77">
      <c r="B77" s="91" t="s">
        <v>1607</v>
      </c>
      <c r="T77" s="98" t="n">
        <f>(T72/S72)^4-1</f>
        <v>4.0259931464399212E-2</v>
      </c>
      <c r="U77" s="98" t="n">
        <f t="shared" ref="U77:AI77" si="62">(U72/T72)^4-1</f>
        <v>3.9386958950965445E-2</v>
      </c>
      <c r="V77" s="98" t="n">
        <f t="shared" si="62"/>
        <v>2.9162805684212367E-2</v>
      </c>
      <c r="W77" s="98" t="n">
        <f t="shared" si="62"/>
        <v>2.6918945227875746E-2</v>
      </c>
      <c r="X77" s="98" t="n">
        <f t="shared" si="62"/>
        <v>1.6493960285627995E-2</v>
      </c>
      <c r="Y77" s="98" t="n">
        <f t="shared" si="62"/>
        <v>3.4257335695615954E-2</v>
      </c>
      <c r="Z77" s="98" t="n">
        <f t="shared" si="62"/>
        <v>2.5320587670252914E-2</v>
      </c>
      <c r="AA77" s="98" t="n">
        <f t="shared" si="62"/>
        <v>1.4999009292827825E-2</v>
      </c>
      <c r="AB77" s="98" t="n">
        <f t="shared" si="62"/>
        <v>2.4498276208370307E-2</v>
      </c>
      <c r="AC77" s="98" t="n">
        <f t="shared" si="62"/>
        <v>2.3058368307400823E-2</v>
      </c>
      <c r="AD77" s="98" t="n">
        <f t="shared" si="62"/>
        <v>2.1483635680919155E-2</v>
      </c>
      <c r="AE77" s="98" t="n">
        <f t="shared" si="62"/>
        <v>2.187493201450863E-2</v>
      </c>
      <c r="AF77" s="98" t="n">
        <f t="shared" si="62"/>
        <v>2.2011392938697361E-2</v>
      </c>
      <c r="AG77" s="98" t="n">
        <f t="shared" si="62"/>
        <v>2.1469131944638509E-2</v>
      </c>
      <c r="AH77" s="98" t="n">
        <f t="shared" si="62"/>
        <v>2.037795778240481E-2</v>
      </c>
      <c r="AI77" s="98" t="n">
        <f t="shared" si="62"/>
        <v>2.031319568771961E-2</v>
      </c>
      <c r="AJ77" s="98" t="n">
        <f>(AJ72/AI72)^4-1</f>
        <v>2.0411174157790368E-2</v>
      </c>
      <c r="AK77" s="98" t="n">
        <f t="shared" ref="AK77:AN77" si="63">(AK72/AJ72)^4-1</f>
        <v>2.0278651758323107E-2</v>
      </c>
      <c r="AL77" s="98" t="n">
        <f t="shared" si="63"/>
        <v>2.0181831515000193E-2</v>
      </c>
      <c r="AM77" s="98" t="n">
        <f t="shared" si="63"/>
        <v>2.008748904793789E-2</v>
      </c>
      <c r="AN77" s="98" t="n">
        <f t="shared" si="63"/>
        <v>2.0063466029726529E-2</v>
      </c>
    </row>
    <row r="78">
      <c r="B78" s="85" t="s">
        <v>1608</v>
      </c>
      <c r="C78" s="69"/>
      <c r="D78" s="362"/>
      <c r="E78" s="362"/>
      <c r="F78" s="362"/>
      <c r="G78" s="362"/>
      <c r="T78" s="98" t="n">
        <f t="shared" ref="T78:AI78" si="64">(T73/S73)^4-1</f>
        <v>4.1499822425288269E-2</v>
      </c>
      <c r="U78" s="98" t="n">
        <f t="shared" si="64"/>
        <v>4.3056105029513958E-2</v>
      </c>
      <c r="V78" s="98" t="n">
        <f t="shared" si="64"/>
        <v>3.5067707597488118E-2</v>
      </c>
      <c r="W78" s="98" t="n">
        <f t="shared" si="64"/>
        <v>3.8192709856685436E-2</v>
      </c>
      <c r="X78" s="98" t="n">
        <f t="shared" si="64"/>
        <v>3.8466730538867289E-2</v>
      </c>
      <c r="Y78" s="98" t="n">
        <f t="shared" si="64"/>
        <v>3.5420465201227769E-2</v>
      </c>
      <c r="Z78" s="98" t="n">
        <f t="shared" si="64"/>
        <v>2.8096645923673114E-2</v>
      </c>
      <c r="AA78" s="98" t="n">
        <f t="shared" si="64"/>
        <v>2.4567408257700318E-2</v>
      </c>
      <c r="AB78" s="98" t="n">
        <f t="shared" si="64"/>
        <v>3.0574782511549436E-2</v>
      </c>
      <c r="AC78" s="98" t="n">
        <f t="shared" si="64"/>
        <v>1.8718659374028279E-2</v>
      </c>
      <c r="AD78" s="98" t="n">
        <f>(AD73/AC73)^4-1</f>
        <v>1.5299895562953081E-2</v>
      </c>
      <c r="AE78" s="98" t="n">
        <f t="shared" si="64"/>
        <v>1.4729668703095777E-2</v>
      </c>
      <c r="AF78" s="98" t="n">
        <f t="shared" si="64"/>
        <v>1.5119603614899724E-2</v>
      </c>
      <c r="AG78" s="98" t="n">
        <f t="shared" si="64"/>
        <v>2.1515602617293128E-2</v>
      </c>
      <c r="AH78" s="98" t="n">
        <f t="shared" si="64"/>
        <v>2.2790850007197161E-2</v>
      </c>
      <c r="AI78" s="98" t="n">
        <f t="shared" si="64"/>
        <v>2.3263295207157642E-2</v>
      </c>
      <c r="AJ78" s="98" t="n">
        <f t="shared" ref="AJ78:AN78" si="65">(AJ73/AI73)^4-1</f>
        <v>2.3889685874715294E-2</v>
      </c>
      <c r="AK78" s="98" t="n">
        <f t="shared" si="65"/>
        <v>2.2412555601408091E-2</v>
      </c>
      <c r="AL78" s="98" t="n">
        <f t="shared" si="65"/>
        <v>2.2147320108405477E-2</v>
      </c>
      <c r="AM78" s="98" t="n">
        <f t="shared" si="65"/>
        <v>2.2772302614111117E-2</v>
      </c>
      <c r="AN78" s="98" t="n">
        <f t="shared" si="65"/>
        <v>2.3247045836330082E-2</v>
      </c>
    </row>
    <row r="79">
      <c r="B79" s="302" t="s">
        <v>1609</v>
      </c>
      <c r="T79" s="98" t="n">
        <f t="shared" ref="T79:AI79" si="66">(T74/S74)^4-1</f>
        <v>1.1273224837508922E-2</v>
      </c>
      <c r="U79" s="98" t="n">
        <f t="shared" si="66"/>
        <v>-2.0755771759674468E-2</v>
      </c>
      <c r="V79" s="98" t="n">
        <f t="shared" si="66"/>
        <v>-3.6761594826687838E-2</v>
      </c>
      <c r="W79" s="98" t="n">
        <f t="shared" si="66"/>
        <v>4.0439782991124273E-2</v>
      </c>
      <c r="X79" s="98" t="n">
        <f t="shared" si="66"/>
        <v>-9.7888013056945944E-4</v>
      </c>
      <c r="Y79" s="98" t="n">
        <f t="shared" si="66"/>
        <v>3.8538954072275589E-2</v>
      </c>
      <c r="Z79" s="98" t="n">
        <f t="shared" si="66"/>
        <v>1.6312742433889582E-2</v>
      </c>
      <c r="AA79" s="98" t="n">
        <f t="shared" si="66"/>
        <v>2.3091210473439983E-2</v>
      </c>
      <c r="AB79" s="98" t="n">
        <f t="shared" si="66"/>
        <v>3.1368022796318673E-2</v>
      </c>
      <c r="AC79" s="98" t="n">
        <f t="shared" si="66"/>
        <v>3.0746187880333675E-2</v>
      </c>
      <c r="AD79" s="98" t="n">
        <f t="shared" si="66"/>
        <v>2.8606309371189242E-2</v>
      </c>
      <c r="AE79" s="98" t="n">
        <f t="shared" si="66"/>
        <v>3.1343868352262882E-2</v>
      </c>
      <c r="AF79" s="98" t="n">
        <f t="shared" si="66"/>
        <v>3.2394354805230341E-2</v>
      </c>
      <c r="AG79" s="98" t="n">
        <f t="shared" si="66"/>
        <v>3.3164637629816696E-2</v>
      </c>
      <c r="AH79" s="98" t="n">
        <f t="shared" si="66"/>
        <v>3.1425713898589613E-2</v>
      </c>
      <c r="AI79" s="98" t="n">
        <f t="shared" si="66"/>
        <v>3.1013053419121528E-2</v>
      </c>
      <c r="AJ79" s="98" t="n">
        <f t="shared" ref="AJ79:AN79" si="67">(AJ74/AI74)^4-1</f>
        <v>3.1015398756455648E-2</v>
      </c>
      <c r="AK79" s="98" t="n">
        <f t="shared" si="67"/>
        <v>3.0542269425562596E-2</v>
      </c>
      <c r="AL79" s="98" t="n">
        <f t="shared" si="67"/>
        <v>3.0334679878840642E-2</v>
      </c>
      <c r="AM79" s="98" t="n">
        <f t="shared" si="67"/>
        <v>2.9994558057691467E-2</v>
      </c>
      <c r="AN79" s="98" t="n">
        <f t="shared" si="67"/>
        <v>2.9803649988641601E-2</v>
      </c>
    </row>
    <row r="82">
      <c r="C82" s="45"/>
      <c r="D82" s="98"/>
      <c r="E82" s="98"/>
      <c r="F82" s="98"/>
      <c r="G82" s="98"/>
      <c r="H82" s="98"/>
      <c r="I82" s="98"/>
      <c r="J82" s="98"/>
      <c r="K82" s="98"/>
      <c r="L82" s="98"/>
      <c r="M82" s="98"/>
    </row>
    <row r="83">
      <c r="C83" s="69"/>
      <c r="D83" s="365"/>
      <c r="E83" s="365"/>
      <c r="F83" s="365"/>
      <c r="G83" s="365"/>
      <c r="H83" s="365"/>
      <c r="I83" s="365"/>
      <c r="J83" s="365"/>
      <c r="K83" s="365"/>
      <c r="L83" s="365"/>
      <c r="M83" s="365"/>
    </row>
    <row r="84">
      <c r="C84" s="362"/>
      <c r="D84" s="365"/>
      <c r="E84" s="365"/>
      <c r="F84" s="365"/>
      <c r="G84" s="365"/>
      <c r="H84" s="365"/>
      <c r="I84" s="365"/>
      <c r="J84" s="365"/>
      <c r="K84" s="365"/>
      <c r="L84" s="365"/>
      <c r="M84" s="365"/>
    </row>
    <row r="85">
      <c r="C85" s="362"/>
      <c r="D85" s="365"/>
      <c r="E85" s="365"/>
      <c r="F85" s="365"/>
      <c r="G85" s="365"/>
      <c r="H85" s="365"/>
      <c r="I85" s="365"/>
      <c r="J85" s="365"/>
      <c r="K85" s="365"/>
      <c r="L85" s="365"/>
      <c r="M85" s="365"/>
    </row>
    <row r="86">
      <c r="C86" s="362"/>
      <c r="D86" s="365"/>
      <c r="E86" s="365"/>
      <c r="F86" s="365"/>
      <c r="G86" s="365"/>
      <c r="H86" s="365"/>
      <c r="I86" s="365"/>
      <c r="J86" s="365"/>
      <c r="K86" s="365"/>
      <c r="L86" s="365"/>
      <c r="M86" s="365"/>
    </row>
    <row r="87">
      <c r="C87" s="362"/>
      <c r="D87" s="365"/>
      <c r="E87" s="365"/>
      <c r="F87" s="365"/>
      <c r="G87" s="365"/>
      <c r="H87" s="365"/>
      <c r="I87" s="365"/>
      <c r="J87" s="365"/>
      <c r="K87" s="365"/>
      <c r="L87" s="365"/>
      <c r="M87" s="365"/>
    </row>
  </sheetData>
  <mergeCells count="3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 ref="AK63:AN63"/>
    <mergeCell ref="AK43:AN43"/>
    <mergeCell ref="U63:X63"/>
    <mergeCell ref="E63:H63"/>
    <mergeCell ref="AG63:AJ63"/>
    <mergeCell ref="AG43:AJ43"/>
    <mergeCell ref="AC63:AF63"/>
    <mergeCell ref="B62:E62"/>
    <mergeCell ref="Q63:R63"/>
    <mergeCell ref="M63:P63"/>
    <mergeCell ref="I63:L63"/>
    <mergeCell ref="D42:AB42"/>
    <mergeCell ref="AC42:AN42"/>
    <mergeCell ref="I9:L9"/>
    <mergeCell ref="M9:P9"/>
    <mergeCell ref="AG9:AJ9"/>
    <mergeCell ref="E9:H9"/>
    <mergeCell ref="Q9:R9"/>
  </mergeCells>
  <pageMargins left="0.7" right="0.7" top="0.75" bottom="0.75" header="0.3" footer="0.3"/>
  <pageSetup paperSize="9" orientation="portrait" horizontalDpi="300" verticalDpi="300"/>
  <drawing r:id="rId1"/>
  <legacyDrawing r:id="rIdvml"/>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9" zoomScaleNormal="110" workbookViewId="0">
      <selection activeCell="A2" sqref="A2"/>
    </sheetView>
  </sheetViews>
  <sheetFormatPr defaultRowHeight="15.0" baseColWidth="10"/>
  <cols>
    <col min="1" max="1" width="70.81640625" hidden="0" customWidth="1"/>
    <col min="17" max="17" width="10.90625" hidden="0" customWidth="1"/>
    <col min="18" max="18" width="10.90625" hidden="0" customWidth="1"/>
  </cols>
  <sheetData>
    <row r="1" ht="35.5" customHeight="1">
      <c r="A1" s="33" t="s">
        <v>1969</v>
      </c>
    </row>
    <row r="2" ht="31.4" customHeight="1">
      <c r="A2" s="368" t="s">
        <v>75</v>
      </c>
      <c r="B2" s="369" t="s">
        <v>194</v>
      </c>
      <c r="C2" s="369" t="s">
        <v>195</v>
      </c>
      <c r="D2" s="369" t="s">
        <v>171</v>
      </c>
      <c r="E2" s="369" t="s">
        <v>193</v>
      </c>
      <c r="F2" s="369" t="s">
        <v>1926</v>
      </c>
      <c r="G2" s="369" t="s">
        <v>1927</v>
      </c>
      <c r="H2" s="369" t="s">
        <v>1928</v>
      </c>
      <c r="I2" s="369" t="s">
        <v>1929</v>
      </c>
      <c r="J2" s="369" t="s">
        <v>1930</v>
      </c>
      <c r="K2" s="369" t="s">
        <v>1931</v>
      </c>
      <c r="L2" s="369" t="s">
        <v>1932</v>
      </c>
      <c r="M2" s="369" t="s">
        <v>1933</v>
      </c>
      <c r="N2" s="369" t="s">
        <v>1934</v>
      </c>
      <c r="O2" s="369" t="s">
        <v>1935</v>
      </c>
      <c r="P2" s="369" t="s">
        <v>1936</v>
      </c>
      <c r="Q2" s="369" t="s">
        <v>1937</v>
      </c>
      <c r="R2" s="369" t="s">
        <v>1938</v>
      </c>
      <c r="S2" s="374" t="s">
        <v>186</v>
      </c>
      <c r="T2" s="370" t="s">
        <v>223</v>
      </c>
    </row>
    <row r="3" ht="15.5" customHeight="1">
      <c r="A3" s="372" t="s">
        <v>1939</v>
      </c>
      <c r="B3" s="371" t="n">
        <v>-0.12</v>
      </c>
      <c r="C3" s="371" t="n">
        <v>-0.12</v>
      </c>
      <c r="D3" s="371" t="n">
        <v>-0.06</v>
      </c>
      <c r="E3" s="371" t="n">
        <v>-0.06</v>
      </c>
      <c r="F3" s="371" t="n">
        <v>-0.06</v>
      </c>
      <c r="G3" s="371" t="n">
        <v>-0.06</v>
      </c>
      <c r="H3" s="371" t="n">
        <v>-0.06</v>
      </c>
      <c r="I3" s="371" t="n">
        <v>-0.06</v>
      </c>
      <c r="J3" s="371" t="n">
        <v>0</v>
      </c>
      <c r="K3" s="371" t="n">
        <v>0</v>
      </c>
      <c r="L3" s="371" t="n">
        <v>0</v>
      </c>
      <c r="M3" s="371" t="n">
        <v>0</v>
      </c>
      <c r="N3" s="371" t="n">
        <v>0</v>
      </c>
      <c r="O3" s="371" t="n">
        <v>0</v>
      </c>
      <c r="P3" s="371" t="n">
        <v>0</v>
      </c>
      <c r="Q3" s="371" t="n">
        <v>0</v>
      </c>
      <c r="R3" s="371" t="n">
        <v>0</v>
      </c>
      <c r="S3" s="375" t="n">
        <f>SUM(B3:M3)</f>
        <v>-0.60000000000000009</v>
      </c>
      <c r="T3" s="375" t="n">
        <f>SUM(B3:R3)</f>
        <v>-0.60000000000000009</v>
      </c>
      <c r="U3" s="95"/>
      <c r="V3" s="95"/>
      <c r="W3" s="95"/>
      <c r="X3" s="376"/>
      <c r="Y3" s="376"/>
      <c r="Z3" s="376"/>
      <c r="AA3" s="376"/>
      <c r="AB3" s="376"/>
      <c r="AC3" s="376"/>
      <c r="AD3" s="376"/>
      <c r="AE3" s="376"/>
      <c r="AG3" s="98"/>
      <c r="AH3" s="98"/>
      <c r="AI3" s="98"/>
      <c r="AJ3" s="98"/>
      <c r="AK3" s="98"/>
      <c r="AL3" s="98"/>
      <c r="AM3" s="98"/>
      <c r="AN3" s="98"/>
      <c r="AO3" s="98"/>
      <c r="AP3" s="98"/>
      <c r="AQ3" s="98"/>
      <c r="AR3" s="98"/>
      <c r="AS3" s="98"/>
      <c r="AT3" s="98"/>
      <c r="AU3" s="98"/>
      <c r="AV3" s="98"/>
      <c r="AW3" s="98"/>
    </row>
    <row r="4" ht="15.5" customHeight="1">
      <c r="A4" s="373" t="s">
        <v>1940</v>
      </c>
      <c r="B4" s="371" t="n">
        <v>-0.12</v>
      </c>
      <c r="C4" s="371" t="n">
        <v>-0.12</v>
      </c>
      <c r="D4" s="371" t="n">
        <v>-0.06</v>
      </c>
      <c r="E4" s="371" t="n">
        <v>-0.06</v>
      </c>
      <c r="F4" s="371" t="n">
        <v>-0.06</v>
      </c>
      <c r="G4" s="371" t="n">
        <v>-0.06</v>
      </c>
      <c r="H4" s="371" t="n">
        <v>-0.06</v>
      </c>
      <c r="I4" s="371" t="n">
        <v>-0.06</v>
      </c>
      <c r="J4" s="371" t="n">
        <v>0</v>
      </c>
      <c r="K4" s="371" t="n">
        <v>0</v>
      </c>
      <c r="L4" s="371" t="n">
        <v>0</v>
      </c>
      <c r="M4" s="371" t="n">
        <v>0</v>
      </c>
      <c r="N4" s="371" t="n">
        <v>0</v>
      </c>
      <c r="O4" s="371" t="n">
        <v>0</v>
      </c>
      <c r="P4" s="371" t="n">
        <v>0</v>
      </c>
      <c r="Q4" s="371" t="n">
        <v>0</v>
      </c>
      <c r="R4" s="371" t="n">
        <v>0</v>
      </c>
      <c r="S4" s="375" t="n">
        <f t="shared" ref="S4:S20" si="0">SUM(B4:M4)</f>
        <v>-0.60000000000000009</v>
      </c>
      <c r="T4" s="375" t="n">
        <f t="shared" ref="T4:T20" si="1">SUM(B4:R4)</f>
        <v>-0.60000000000000009</v>
      </c>
      <c r="U4" s="95"/>
      <c r="V4" s="95"/>
      <c r="W4" s="95"/>
      <c r="X4" s="376"/>
      <c r="Y4" s="376"/>
      <c r="Z4" s="376"/>
      <c r="AA4" s="376"/>
      <c r="AB4" s="376"/>
      <c r="AC4" s="376"/>
      <c r="AD4" s="376"/>
      <c r="AE4" s="376"/>
      <c r="AG4" s="98"/>
      <c r="AH4" s="98"/>
      <c r="AI4" s="98"/>
      <c r="AJ4" s="98"/>
      <c r="AK4" s="98"/>
      <c r="AL4" s="98"/>
      <c r="AM4" s="98"/>
      <c r="AN4" s="98"/>
      <c r="AO4" s="98"/>
      <c r="AP4" s="98"/>
      <c r="AQ4" s="98"/>
      <c r="AR4" s="98"/>
      <c r="AS4" s="98"/>
      <c r="AT4" s="98"/>
      <c r="AU4" s="98"/>
      <c r="AV4" s="98"/>
      <c r="AW4" s="98"/>
    </row>
    <row r="5" ht="15.5" customHeight="1">
      <c r="A5" s="372" t="s">
        <v>1941</v>
      </c>
      <c r="B5" s="371" t="n">
        <v>-3.3000000000000002E-2</v>
      </c>
      <c r="C5" s="371" t="n">
        <v>-3.3000000000000002E-2</v>
      </c>
      <c r="D5" s="371" t="n">
        <v>-3.3000000000000002E-2</v>
      </c>
      <c r="E5" s="371" t="n">
        <v>-3.3000000000000002E-2</v>
      </c>
      <c r="F5" s="371" t="n">
        <v>-3.3000000000000002E-2</v>
      </c>
      <c r="G5" s="371" t="n">
        <v>-3.3000000000000002E-2</v>
      </c>
      <c r="H5" s="371" t="n">
        <v>-3.3000000000000002E-2</v>
      </c>
      <c r="I5" s="371" t="n">
        <v>-3.3000000000000002E-2</v>
      </c>
      <c r="J5" s="371" t="n">
        <v>-3.3000000000000002E-2</v>
      </c>
      <c r="K5" s="371" t="n">
        <v>-3.3000000000000002E-2</v>
      </c>
      <c r="L5" s="371" t="n">
        <v>-3.3000000000000002E-2</v>
      </c>
      <c r="M5" s="371" t="n">
        <v>-3.3000000000000002E-2</v>
      </c>
      <c r="N5" s="371" t="n">
        <v>0</v>
      </c>
      <c r="O5" s="371" t="n">
        <v>0</v>
      </c>
      <c r="P5" s="371" t="n">
        <v>0</v>
      </c>
      <c r="Q5" s="371" t="n">
        <v>0</v>
      </c>
      <c r="R5" s="371" t="n">
        <v>0</v>
      </c>
      <c r="S5" s="375" t="n">
        <f>SUM(B5:N5)</f>
        <v>-0.39600000000000013</v>
      </c>
      <c r="T5" s="375" t="n">
        <f t="shared" si="1"/>
        <v>-0.39600000000000013</v>
      </c>
      <c r="U5" s="95"/>
      <c r="V5" s="95"/>
      <c r="W5" s="95"/>
      <c r="X5" s="376"/>
      <c r="Y5" s="376"/>
      <c r="Z5" s="376"/>
      <c r="AA5" s="376"/>
      <c r="AB5" s="376"/>
      <c r="AC5" s="376"/>
      <c r="AD5" s="376"/>
      <c r="AE5" s="376"/>
      <c r="AG5" s="98"/>
      <c r="AH5" s="98"/>
      <c r="AI5" s="98"/>
      <c r="AJ5" s="98"/>
      <c r="AK5" s="98"/>
      <c r="AL5" s="98"/>
      <c r="AM5" s="98"/>
      <c r="AN5" s="98"/>
      <c r="AO5" s="98"/>
      <c r="AP5" s="98"/>
      <c r="AQ5" s="98"/>
      <c r="AR5" s="98"/>
      <c r="AS5" s="98"/>
      <c r="AT5" s="98"/>
      <c r="AU5" s="98"/>
      <c r="AV5" s="98"/>
      <c r="AW5" s="98"/>
    </row>
    <row r="6" ht="15.5" customHeight="1">
      <c r="A6" s="372" t="s">
        <v>1942</v>
      </c>
      <c r="B6" s="371" t="n">
        <v>-3.3000000000000002E-2</v>
      </c>
      <c r="C6" s="371" t="n">
        <v>-3.3000000000000002E-2</v>
      </c>
      <c r="D6" s="371" t="n">
        <v>-3.3000000000000002E-2</v>
      </c>
      <c r="E6" s="371" t="n">
        <v>-3.3000000000000002E-2</v>
      </c>
      <c r="F6" s="371" t="n">
        <v>-3.3000000000000002E-2</v>
      </c>
      <c r="G6" s="371" t="n">
        <v>-3.3000000000000002E-2</v>
      </c>
      <c r="H6" s="371" t="n">
        <v>-3.3000000000000002E-2</v>
      </c>
      <c r="I6" s="371" t="n">
        <v>-3.3000000000000002E-2</v>
      </c>
      <c r="J6" s="371" t="n">
        <v>-3.3000000000000002E-2</v>
      </c>
      <c r="K6" s="371" t="n">
        <v>-3.3000000000000002E-2</v>
      </c>
      <c r="L6" s="371" t="n">
        <v>-3.3000000000000002E-2</v>
      </c>
      <c r="M6" s="371" t="n">
        <v>-3.3000000000000002E-2</v>
      </c>
      <c r="N6" s="371" t="n">
        <v>0</v>
      </c>
      <c r="O6" s="371" t="n">
        <v>0</v>
      </c>
      <c r="P6" s="371" t="n">
        <v>0</v>
      </c>
      <c r="Q6" s="371" t="n">
        <v>0</v>
      </c>
      <c r="R6" s="371" t="n">
        <v>0</v>
      </c>
      <c r="S6" s="375" t="n">
        <f>SUM(B6:N6)</f>
        <v>-0.39600000000000013</v>
      </c>
      <c r="T6" s="375" t="n">
        <f t="shared" si="1"/>
        <v>-0.39600000000000013</v>
      </c>
      <c r="U6" s="95"/>
      <c r="V6" s="95"/>
      <c r="W6" s="95"/>
      <c r="X6" s="376"/>
      <c r="Y6" s="376"/>
      <c r="Z6" s="376"/>
      <c r="AA6" s="376"/>
      <c r="AB6" s="376"/>
      <c r="AC6" s="376"/>
      <c r="AD6" s="376"/>
      <c r="AE6" s="376"/>
      <c r="AG6" s="98"/>
      <c r="AH6" s="98"/>
      <c r="AI6" s="98"/>
      <c r="AJ6" s="98"/>
      <c r="AK6" s="98"/>
      <c r="AL6" s="98"/>
      <c r="AM6" s="98"/>
      <c r="AN6" s="98"/>
      <c r="AO6" s="98"/>
      <c r="AP6" s="98"/>
      <c r="AQ6" s="98"/>
      <c r="AR6" s="98"/>
      <c r="AS6" s="98"/>
      <c r="AT6" s="98"/>
      <c r="AU6" s="98"/>
      <c r="AV6" s="98"/>
      <c r="AW6" s="98"/>
    </row>
    <row r="7" ht="15.5" customHeight="1">
      <c r="A7" s="372" t="s">
        <v>1943</v>
      </c>
      <c r="B7" s="371" t="n">
        <v>0.22500000000000001</v>
      </c>
      <c r="C7" s="371" t="n">
        <v>0.22500000000000001</v>
      </c>
      <c r="D7" s="371" t="n">
        <v>0.22500000000000001</v>
      </c>
      <c r="E7" s="371" t="n">
        <v>0.22500000000000001</v>
      </c>
      <c r="F7" s="371" t="n">
        <v>0</v>
      </c>
      <c r="G7" s="371" t="n">
        <v>0</v>
      </c>
      <c r="H7" s="371" t="n">
        <v>0</v>
      </c>
      <c r="I7" s="371" t="n">
        <v>0</v>
      </c>
      <c r="J7" s="371" t="n">
        <v>0</v>
      </c>
      <c r="K7" s="371" t="n">
        <v>0</v>
      </c>
      <c r="L7" s="371" t="n">
        <v>0</v>
      </c>
      <c r="M7" s="371" t="n">
        <v>0</v>
      </c>
      <c r="N7" s="371" t="n">
        <v>0</v>
      </c>
      <c r="O7" s="371" t="n">
        <v>0</v>
      </c>
      <c r="P7" s="371" t="n">
        <v>0</v>
      </c>
      <c r="Q7" s="371" t="n">
        <v>0</v>
      </c>
      <c r="R7" s="371" t="n">
        <v>0</v>
      </c>
      <c r="S7" s="375" t="n">
        <f t="shared" si="0"/>
        <v>0.9</v>
      </c>
      <c r="T7" s="375" t="n">
        <f t="shared" si="1"/>
        <v>0.9</v>
      </c>
      <c r="U7" s="95"/>
      <c r="V7" s="95"/>
      <c r="W7" s="95"/>
      <c r="X7" s="376"/>
      <c r="Y7" s="376"/>
      <c r="Z7" s="376"/>
      <c r="AA7" s="376"/>
      <c r="AB7" s="376"/>
      <c r="AC7" s="376"/>
      <c r="AD7" s="376"/>
      <c r="AE7" s="376"/>
      <c r="AG7" s="98"/>
      <c r="AH7" s="98"/>
      <c r="AI7" s="98"/>
      <c r="AJ7" s="98"/>
      <c r="AK7" s="98"/>
      <c r="AL7" s="98"/>
      <c r="AM7" s="98"/>
      <c r="AN7" s="98"/>
      <c r="AO7" s="98"/>
      <c r="AP7" s="98"/>
      <c r="AQ7" s="98"/>
      <c r="AR7" s="98"/>
      <c r="AS7" s="98"/>
      <c r="AT7" s="98"/>
      <c r="AU7" s="98"/>
      <c r="AV7" s="98"/>
      <c r="AW7" s="98"/>
    </row>
    <row r="8" ht="15.5" customHeight="1">
      <c r="A8" s="372" t="s">
        <v>1944</v>
      </c>
      <c r="B8" s="371" t="n">
        <v>0.22500000000000001</v>
      </c>
      <c r="C8" s="371" t="n">
        <v>0.22500000000000001</v>
      </c>
      <c r="D8" s="371" t="n">
        <v>0.22500000000000001</v>
      </c>
      <c r="E8" s="371" t="n">
        <v>0.22500000000000001</v>
      </c>
      <c r="F8" s="371" t="n">
        <v>0</v>
      </c>
      <c r="G8" s="371" t="n">
        <v>0</v>
      </c>
      <c r="H8" s="371" t="n">
        <v>0</v>
      </c>
      <c r="I8" s="371" t="n">
        <v>0</v>
      </c>
      <c r="J8" s="371" t="n">
        <v>0</v>
      </c>
      <c r="K8" s="371" t="n">
        <v>0</v>
      </c>
      <c r="L8" s="371" t="n">
        <v>0</v>
      </c>
      <c r="M8" s="371" t="n">
        <v>0</v>
      </c>
      <c r="N8" s="371" t="n">
        <v>0</v>
      </c>
      <c r="O8" s="371" t="n">
        <v>0</v>
      </c>
      <c r="P8" s="371" t="n">
        <v>0</v>
      </c>
      <c r="Q8" s="371" t="n">
        <v>0</v>
      </c>
      <c r="R8" s="371" t="n">
        <v>0</v>
      </c>
      <c r="S8" s="375" t="n">
        <f t="shared" si="0"/>
        <v>0.9</v>
      </c>
      <c r="T8" s="375" t="n">
        <f t="shared" si="1"/>
        <v>0.9</v>
      </c>
      <c r="U8" s="95"/>
      <c r="V8" s="95"/>
      <c r="W8" s="95"/>
      <c r="X8" s="376"/>
      <c r="Y8" s="376"/>
      <c r="Z8" s="376"/>
      <c r="AA8" s="376"/>
      <c r="AB8" s="376"/>
      <c r="AC8" s="376"/>
      <c r="AD8" s="376"/>
      <c r="AE8" s="376"/>
      <c r="AG8" s="98"/>
      <c r="AH8" s="98"/>
      <c r="AI8" s="98"/>
      <c r="AJ8" s="98"/>
      <c r="AK8" s="98"/>
      <c r="AL8" s="98"/>
      <c r="AM8" s="98"/>
      <c r="AN8" s="98"/>
      <c r="AO8" s="98"/>
      <c r="AP8" s="98"/>
      <c r="AQ8" s="98"/>
      <c r="AR8" s="98"/>
      <c r="AS8" s="98"/>
      <c r="AT8" s="98"/>
      <c r="AU8" s="98"/>
      <c r="AV8" s="98"/>
      <c r="AW8" s="98"/>
    </row>
    <row r="9" ht="15.5" customHeight="1">
      <c r="A9" s="372" t="s">
        <v>1945</v>
      </c>
      <c r="B9" s="371" t="n">
        <v>0.245</v>
      </c>
      <c r="C9" s="371" t="n">
        <v>0.105</v>
      </c>
      <c r="D9" s="371" t="n">
        <v>5.6000000000000001E-2</v>
      </c>
      <c r="E9" s="371" t="n">
        <v>5.6000000000000001E-2</v>
      </c>
      <c r="F9" s="371" t="n">
        <v>5.6000000000000001E-2</v>
      </c>
      <c r="G9" s="371" t="n">
        <v>5.6000000000000001E-2</v>
      </c>
      <c r="H9" s="371" t="n">
        <v>5.6000000000000001E-2</v>
      </c>
      <c r="I9" s="371" t="n">
        <v>5.6000000000000001E-2</v>
      </c>
      <c r="J9" s="371" t="n">
        <v>0</v>
      </c>
      <c r="K9" s="371" t="n">
        <v>0</v>
      </c>
      <c r="L9" s="371" t="n">
        <v>0</v>
      </c>
      <c r="M9" s="371" t="n">
        <v>0</v>
      </c>
      <c r="N9" s="371" t="n">
        <v>0</v>
      </c>
      <c r="O9" s="371" t="n">
        <v>0</v>
      </c>
      <c r="P9" s="371" t="n">
        <v>0</v>
      </c>
      <c r="Q9" s="371" t="n">
        <v>0</v>
      </c>
      <c r="R9" s="371" t="n">
        <v>0</v>
      </c>
      <c r="S9" s="375" t="n">
        <f t="shared" si="0"/>
        <v>0.68600000000000017</v>
      </c>
      <c r="T9" s="375" t="n">
        <f t="shared" si="1"/>
        <v>0.68600000000000017</v>
      </c>
      <c r="U9" s="95"/>
      <c r="V9" s="95"/>
      <c r="W9" s="95"/>
      <c r="X9" s="376"/>
      <c r="Y9" s="376"/>
      <c r="Z9" s="376"/>
      <c r="AA9" s="376"/>
      <c r="AB9" s="376"/>
      <c r="AC9" s="376"/>
      <c r="AD9" s="376"/>
      <c r="AE9" s="376"/>
      <c r="AG9" s="98"/>
      <c r="AH9" s="98"/>
      <c r="AI9" s="98"/>
      <c r="AJ9" s="98"/>
      <c r="AK9" s="98"/>
      <c r="AL9" s="98"/>
      <c r="AM9" s="98"/>
      <c r="AN9" s="98"/>
      <c r="AO9" s="98"/>
      <c r="AP9" s="98"/>
      <c r="AQ9" s="98"/>
      <c r="AR9" s="98"/>
      <c r="AS9" s="98"/>
      <c r="AT9" s="98"/>
      <c r="AU9" s="98"/>
      <c r="AV9" s="98"/>
      <c r="AW9" s="98"/>
    </row>
    <row r="10" ht="15.5" customHeight="1">
      <c r="A10" s="372" t="s">
        <v>1946</v>
      </c>
      <c r="B10" s="371" t="n">
        <v>0.14000000000000001</v>
      </c>
      <c r="C10" s="371" t="n">
        <v>0.1</v>
      </c>
      <c r="D10" s="371" t="n">
        <v>0.1</v>
      </c>
      <c r="E10" s="371" t="n">
        <v>0.05</v>
      </c>
      <c r="F10" s="371" t="n">
        <v>0.05</v>
      </c>
      <c r="G10" s="371" t="n">
        <v>0.05</v>
      </c>
      <c r="H10" s="371" t="n">
        <v>0.05</v>
      </c>
      <c r="I10" s="371" t="n">
        <v>0.05</v>
      </c>
      <c r="J10" s="371" t="n">
        <v>0.05</v>
      </c>
      <c r="K10" s="371" t="n">
        <v>0.03</v>
      </c>
      <c r="L10" s="371" t="n">
        <v>0.03</v>
      </c>
      <c r="M10" s="371" t="n">
        <v>0.03</v>
      </c>
      <c r="N10" s="371" t="n">
        <v>2.5000000000000001E-2</v>
      </c>
      <c r="O10" s="371" t="n">
        <v>0.02</v>
      </c>
      <c r="P10" s="371" t="n">
        <v>1.4999999999999999E-2</v>
      </c>
      <c r="Q10" s="371" t="n">
        <v>0.01</v>
      </c>
      <c r="R10" s="371" t="n">
        <v>5.0000000000000001E-3</v>
      </c>
      <c r="S10" s="375" t="n">
        <f t="shared" si="0"/>
        <v>0.7300000000000002</v>
      </c>
      <c r="T10" s="375" t="n">
        <f t="shared" si="1"/>
        <v>0.80500000000000027</v>
      </c>
      <c r="U10" s="95"/>
      <c r="V10" s="95"/>
      <c r="W10" s="95"/>
      <c r="X10" s="376"/>
      <c r="Y10" s="376"/>
      <c r="Z10" s="376"/>
      <c r="AA10" s="376"/>
      <c r="AB10" s="376"/>
      <c r="AC10" s="376"/>
      <c r="AD10" s="376"/>
      <c r="AE10" s="376"/>
      <c r="AG10" s="98"/>
      <c r="AH10" s="98"/>
      <c r="AI10" s="98"/>
      <c r="AJ10" s="98"/>
      <c r="AK10" s="98"/>
      <c r="AL10" s="98"/>
      <c r="AM10" s="98"/>
      <c r="AN10" s="98"/>
      <c r="AO10" s="98"/>
      <c r="AP10" s="98"/>
      <c r="AQ10" s="98"/>
      <c r="AR10" s="98"/>
      <c r="AS10" s="98"/>
      <c r="AT10" s="98"/>
      <c r="AU10" s="98"/>
      <c r="AV10" s="98"/>
      <c r="AW10" s="98"/>
    </row>
    <row r="11" ht="15.5" customHeight="1">
      <c r="A11" s="372" t="s">
        <v>1947</v>
      </c>
      <c r="B11" s="371" t="n">
        <v>0.315</v>
      </c>
      <c r="C11" s="371" t="n">
        <v>0.315</v>
      </c>
      <c r="D11" s="371" t="n">
        <v>0.09</v>
      </c>
      <c r="E11" s="371" t="n">
        <v>0.09</v>
      </c>
      <c r="F11" s="371" t="n">
        <v>4.4999999999999998E-2</v>
      </c>
      <c r="G11" s="371" t="n">
        <v>4.4999999999999998E-2</v>
      </c>
      <c r="H11" s="371" t="n">
        <v>0</v>
      </c>
      <c r="I11" s="371" t="n">
        <v>0</v>
      </c>
      <c r="J11" s="371" t="n">
        <v>0</v>
      </c>
      <c r="K11" s="371" t="n">
        <v>0</v>
      </c>
      <c r="L11" s="371" t="n">
        <v>0</v>
      </c>
      <c r="M11" s="371" t="n">
        <v>0</v>
      </c>
      <c r="N11" s="371" t="n">
        <v>0</v>
      </c>
      <c r="O11" s="371" t="n">
        <v>0</v>
      </c>
      <c r="P11" s="371" t="n">
        <v>0</v>
      </c>
      <c r="Q11" s="371" t="n">
        <v>0</v>
      </c>
      <c r="R11" s="371" t="n">
        <v>0</v>
      </c>
      <c r="S11" s="375" t="n">
        <f t="shared" si="0"/>
        <v>0.9</v>
      </c>
      <c r="T11" s="375" t="n">
        <f t="shared" si="1"/>
        <v>0.9</v>
      </c>
      <c r="U11" s="95"/>
      <c r="V11" s="95"/>
      <c r="W11" s="95"/>
      <c r="X11" s="376"/>
      <c r="Y11" s="376"/>
      <c r="Z11" s="376"/>
      <c r="AA11" s="376"/>
      <c r="AB11" s="376"/>
      <c r="AC11" s="376"/>
      <c r="AD11" s="376"/>
      <c r="AE11" s="376"/>
      <c r="AG11" s="98"/>
      <c r="AH11" s="98"/>
      <c r="AI11" s="98"/>
      <c r="AJ11" s="98"/>
      <c r="AK11" s="98"/>
      <c r="AL11" s="98"/>
      <c r="AM11" s="98"/>
      <c r="AN11" s="98"/>
      <c r="AO11" s="98"/>
      <c r="AP11" s="98"/>
      <c r="AQ11" s="98"/>
      <c r="AR11" s="98"/>
      <c r="AS11" s="98"/>
      <c r="AT11" s="98"/>
      <c r="AU11" s="98"/>
      <c r="AV11" s="98"/>
      <c r="AW11" s="98"/>
    </row>
    <row r="12" ht="15.75" customHeight="1">
      <c r="A12" s="372" t="s">
        <v>1948</v>
      </c>
      <c r="B12" s="371" t="n">
        <v>0.315</v>
      </c>
      <c r="C12" s="371" t="n">
        <v>0.315</v>
      </c>
      <c r="D12" s="371" t="n">
        <v>0.09</v>
      </c>
      <c r="E12" s="371" t="n">
        <v>0.09</v>
      </c>
      <c r="F12" s="371" t="n">
        <v>4.4999999999999998E-2</v>
      </c>
      <c r="G12" s="371" t="n">
        <v>4.4999999999999998E-2</v>
      </c>
      <c r="H12" s="371" t="n">
        <v>0</v>
      </c>
      <c r="I12" s="371" t="n">
        <v>0</v>
      </c>
      <c r="J12" s="371" t="n">
        <v>0</v>
      </c>
      <c r="K12" s="371" t="n">
        <v>0</v>
      </c>
      <c r="L12" s="371" t="n">
        <v>0</v>
      </c>
      <c r="M12" s="371" t="n">
        <v>0</v>
      </c>
      <c r="N12" s="371" t="n">
        <v>0</v>
      </c>
      <c r="O12" s="371" t="n">
        <v>0</v>
      </c>
      <c r="P12" s="371" t="n">
        <v>0</v>
      </c>
      <c r="Q12" s="371" t="n">
        <v>0</v>
      </c>
      <c r="R12" s="371" t="n">
        <v>0</v>
      </c>
      <c r="S12" s="375" t="n">
        <f t="shared" si="0"/>
        <v>0.9</v>
      </c>
      <c r="T12" s="375" t="n">
        <f t="shared" si="1"/>
        <v>0.9</v>
      </c>
    </row>
    <row r="13" ht="15.75" customHeight="1">
      <c r="A13" s="373" t="s">
        <v>1949</v>
      </c>
      <c r="B13" s="371" t="n">
        <v>4.9500000000000002E-2</v>
      </c>
      <c r="C13" s="371" t="n">
        <v>4.2799999999999998E-2</v>
      </c>
      <c r="D13" s="371" t="n">
        <v>4.0500000000000001E-2</v>
      </c>
      <c r="E13" s="371" t="n">
        <v>3.7999999999999999E-2</v>
      </c>
      <c r="F13" s="371" t="n">
        <v>3.4000000000000002E-2</v>
      </c>
      <c r="G13" s="371" t="n">
        <v>3.4000000000000002E-2</v>
      </c>
      <c r="H13" s="371" t="n">
        <v>3.4000000000000002E-2</v>
      </c>
      <c r="I13" s="371" t="n">
        <v>3.4000000000000002E-2</v>
      </c>
      <c r="J13" s="371" t="n">
        <v>2.7E-2</v>
      </c>
      <c r="K13" s="371" t="n">
        <v>2.7E-2</v>
      </c>
      <c r="L13" s="371" t="n">
        <v>2.7E-2</v>
      </c>
      <c r="M13" s="371" t="n">
        <v>2.7E-2</v>
      </c>
      <c r="N13" s="371" t="n">
        <v>0.09</v>
      </c>
      <c r="O13" s="371" t="n">
        <v>0.09</v>
      </c>
      <c r="P13" s="371" t="n">
        <v>0.09</v>
      </c>
      <c r="Q13" s="371" t="n">
        <v>0.09</v>
      </c>
      <c r="R13" s="371" t="n">
        <v>0</v>
      </c>
      <c r="S13" s="375" t="n">
        <f t="shared" si="0"/>
        <v>0.41480000000000017</v>
      </c>
      <c r="T13" s="375" t="n">
        <f t="shared" si="1"/>
        <v>0.77480000000000004</v>
      </c>
    </row>
    <row r="14" ht="15.75" customHeight="1">
      <c r="A14" s="372" t="s">
        <v>1950</v>
      </c>
      <c r="B14" s="371" t="n">
        <v>0.04</v>
      </c>
      <c r="C14" s="371" t="n">
        <v>0.04</v>
      </c>
      <c r="D14" s="371" t="n">
        <v>1.7000000000000001E-2</v>
      </c>
      <c r="E14" s="371" t="n">
        <v>1.7000000000000001E-2</v>
      </c>
      <c r="F14" s="371" t="n">
        <v>1.7000000000000001E-2</v>
      </c>
      <c r="G14" s="371" t="n">
        <v>1.7000000000000001E-2</v>
      </c>
      <c r="H14" s="371" t="n">
        <v>1.7000000000000001E-2</v>
      </c>
      <c r="I14" s="371" t="n">
        <v>1.7000000000000001E-2</v>
      </c>
      <c r="J14" s="371" t="n">
        <v>1.7000000000000001E-2</v>
      </c>
      <c r="K14" s="371" t="n">
        <v>1.7000000000000001E-2</v>
      </c>
      <c r="L14" s="371" t="n">
        <v>1.7000000000000001E-2</v>
      </c>
      <c r="M14" s="371" t="n">
        <v>1.7000000000000001E-2</v>
      </c>
      <c r="N14" s="371" t="n">
        <v>0</v>
      </c>
      <c r="O14" s="371" t="n">
        <v>0</v>
      </c>
      <c r="P14" s="371" t="n">
        <v>0</v>
      </c>
      <c r="Q14" s="371" t="n">
        <v>0</v>
      </c>
      <c r="R14" s="371" t="n">
        <v>0</v>
      </c>
      <c r="S14" s="375" t="n">
        <f t="shared" si="0"/>
        <v>0.25000000000000011</v>
      </c>
      <c r="T14" s="375" t="n">
        <f t="shared" si="1"/>
        <v>0.25000000000000011</v>
      </c>
    </row>
    <row r="15" ht="15.75" customHeight="1">
      <c r="A15" s="372" t="s">
        <v>1951</v>
      </c>
      <c r="B15" s="371" t="n">
        <v>0.14000000000000001</v>
      </c>
      <c r="C15" s="371" t="n">
        <v>0.1</v>
      </c>
      <c r="D15" s="371" t="n">
        <v>0.1</v>
      </c>
      <c r="E15" s="371" t="n">
        <v>0.05</v>
      </c>
      <c r="F15" s="371" t="n">
        <v>0.05</v>
      </c>
      <c r="G15" s="371" t="n">
        <v>0.05</v>
      </c>
      <c r="H15" s="371" t="n">
        <v>0.05</v>
      </c>
      <c r="I15" s="371" t="n">
        <v>0.05</v>
      </c>
      <c r="J15" s="371" t="n">
        <v>0.05</v>
      </c>
      <c r="K15" s="371" t="n">
        <v>0.03</v>
      </c>
      <c r="L15" s="371" t="n">
        <v>0.03</v>
      </c>
      <c r="M15" s="371" t="n">
        <v>0.03</v>
      </c>
      <c r="N15" s="371" t="n">
        <v>2.5000000000000001E-2</v>
      </c>
      <c r="O15" s="371" t="n">
        <v>0.02</v>
      </c>
      <c r="P15" s="371" t="n">
        <v>1.4999999999999999E-2</v>
      </c>
      <c r="Q15" s="371" t="n">
        <v>0.01</v>
      </c>
      <c r="R15" s="371" t="n">
        <v>5.0000000000000001E-3</v>
      </c>
      <c r="S15" s="375" t="n">
        <f t="shared" si="0"/>
        <v>0.7300000000000002</v>
      </c>
      <c r="T15" s="375" t="n">
        <f t="shared" si="1"/>
        <v>0.80500000000000027</v>
      </c>
    </row>
    <row r="16" ht="15.75" customHeight="1">
      <c r="A16" s="372" t="s">
        <v>1952</v>
      </c>
      <c r="B16" s="371" t="n">
        <v>0.2</v>
      </c>
      <c r="C16" s="371" t="n">
        <v>0.17</v>
      </c>
      <c r="D16" s="371" t="n">
        <v>0.16</v>
      </c>
      <c r="E16" s="371" t="n">
        <v>0.15</v>
      </c>
      <c r="F16" s="371" t="n">
        <v>0.09</v>
      </c>
      <c r="G16" s="371" t="n">
        <v>0.05</v>
      </c>
      <c r="H16" s="371" t="n">
        <v>0.05</v>
      </c>
      <c r="I16" s="371" t="n">
        <v>0.04</v>
      </c>
      <c r="J16" s="371" t="n">
        <v>0</v>
      </c>
      <c r="K16" s="371" t="n">
        <v>0</v>
      </c>
      <c r="L16" s="371" t="n">
        <v>0</v>
      </c>
      <c r="M16" s="371" t="n">
        <v>0</v>
      </c>
      <c r="N16" s="371" t="n">
        <v>0</v>
      </c>
      <c r="O16" s="371" t="n">
        <v>0</v>
      </c>
      <c r="P16" s="371" t="n">
        <v>0</v>
      </c>
      <c r="Q16" s="371" t="n">
        <v>0</v>
      </c>
      <c r="R16" s="371" t="n">
        <v>0</v>
      </c>
      <c r="S16" s="375" t="n">
        <f t="shared" si="0"/>
        <v>0.91000000000000014</v>
      </c>
      <c r="T16" s="375" t="n">
        <f t="shared" si="1"/>
        <v>0.91000000000000014</v>
      </c>
    </row>
    <row r="17" ht="15.75" customHeight="1">
      <c r="A17" s="372" t="s">
        <v>1953</v>
      </c>
      <c r="B17" s="371" t="n">
        <v>0.2</v>
      </c>
      <c r="C17" s="371" t="n">
        <v>0.17</v>
      </c>
      <c r="D17" s="371" t="n">
        <v>0.16</v>
      </c>
      <c r="E17" s="371" t="n">
        <v>0.15</v>
      </c>
      <c r="F17" s="371" t="n">
        <v>0.09</v>
      </c>
      <c r="G17" s="371" t="n">
        <v>0.05</v>
      </c>
      <c r="H17" s="371" t="n">
        <v>0.05</v>
      </c>
      <c r="I17" s="371" t="n">
        <v>0.04</v>
      </c>
      <c r="J17" s="371" t="n">
        <v>0</v>
      </c>
      <c r="K17" s="371" t="n">
        <v>0</v>
      </c>
      <c r="L17" s="371" t="n">
        <v>0</v>
      </c>
      <c r="M17" s="371" t="n">
        <v>0</v>
      </c>
      <c r="N17" s="371" t="n">
        <v>0</v>
      </c>
      <c r="O17" s="371" t="n">
        <v>0</v>
      </c>
      <c r="P17" s="371" t="n">
        <v>0</v>
      </c>
      <c r="Q17" s="371" t="n">
        <v>0</v>
      </c>
      <c r="R17" s="371" t="n">
        <v>0</v>
      </c>
      <c r="S17" s="375" t="n">
        <f t="shared" si="0"/>
        <v>0.91000000000000014</v>
      </c>
      <c r="T17" s="375" t="n">
        <f t="shared" si="1"/>
        <v>0.91000000000000014</v>
      </c>
    </row>
    <row r="18" ht="15.5" customHeight="1">
      <c r="A18" s="373" t="s">
        <v>1954</v>
      </c>
      <c r="B18" s="371" t="n">
        <v>4.9500000000000002E-2</v>
      </c>
      <c r="C18" s="371" t="n">
        <v>4.2799999999999998E-2</v>
      </c>
      <c r="D18" s="371" t="n">
        <v>4.0500000000000001E-2</v>
      </c>
      <c r="E18" s="371" t="n">
        <v>3.7999999999999999E-2</v>
      </c>
      <c r="F18" s="371" t="n">
        <v>3.4000000000000002E-2</v>
      </c>
      <c r="G18" s="371" t="n">
        <v>3.4000000000000002E-2</v>
      </c>
      <c r="H18" s="371" t="n">
        <v>3.4000000000000002E-2</v>
      </c>
      <c r="I18" s="371" t="n">
        <v>3.4000000000000002E-2</v>
      </c>
      <c r="J18" s="371" t="n">
        <v>2.7E-2</v>
      </c>
      <c r="K18" s="371" t="n">
        <v>2.7E-2</v>
      </c>
      <c r="L18" s="371" t="n">
        <v>2.7E-2</v>
      </c>
      <c r="M18" s="371" t="n">
        <v>2.7E-2</v>
      </c>
      <c r="N18" s="371" t="n">
        <v>8.9999999999999993E-3</v>
      </c>
      <c r="O18" s="371" t="n">
        <v>8.9999999999999993E-3</v>
      </c>
      <c r="P18" s="371" t="n">
        <v>8.9999999999999993E-3</v>
      </c>
      <c r="Q18" s="371" t="n">
        <v>8.9999999999999993E-3</v>
      </c>
      <c r="R18" s="371" t="n">
        <v>0</v>
      </c>
      <c r="S18" s="375" t="n">
        <f t="shared" si="0"/>
        <v>0.41480000000000017</v>
      </c>
      <c r="T18" s="375" t="n">
        <f t="shared" si="1"/>
        <v>0.4508000000000002</v>
      </c>
    </row>
    <row r="19" ht="15.5" customHeight="1">
      <c r="A19" s="373" t="s">
        <v>1955</v>
      </c>
      <c r="B19" s="371" t="n">
        <v>0.22500000000000001</v>
      </c>
      <c r="C19" s="371" t="n">
        <v>0.22500000000000001</v>
      </c>
      <c r="D19" s="371" t="n">
        <v>0.22500000000000001</v>
      </c>
      <c r="E19" s="371" t="n">
        <v>0.22500000000000001</v>
      </c>
      <c r="F19" s="371" t="n">
        <v>0</v>
      </c>
      <c r="G19" s="371" t="n">
        <v>0</v>
      </c>
      <c r="H19" s="371" t="n">
        <v>0</v>
      </c>
      <c r="I19" s="371" t="n">
        <v>0</v>
      </c>
      <c r="J19" s="371" t="n">
        <v>0</v>
      </c>
      <c r="K19" s="371" t="n">
        <v>0</v>
      </c>
      <c r="L19" s="371" t="n">
        <v>0</v>
      </c>
      <c r="M19" s="371" t="n">
        <v>0</v>
      </c>
      <c r="N19" s="371" t="n">
        <v>0</v>
      </c>
      <c r="O19" s="371" t="n">
        <v>0</v>
      </c>
      <c r="P19" s="371" t="n">
        <v>0</v>
      </c>
      <c r="Q19" s="371" t="n">
        <v>0</v>
      </c>
      <c r="R19" s="371" t="n">
        <v>0</v>
      </c>
      <c r="S19" s="375" t="n">
        <f t="shared" si="0"/>
        <v>0.9</v>
      </c>
      <c r="T19" s="375" t="n">
        <f t="shared" si="1"/>
        <v>0.9</v>
      </c>
    </row>
    <row r="20" ht="15.5" customHeight="1">
      <c r="A20" s="373" t="s">
        <v>1956</v>
      </c>
      <c r="B20" s="371" t="n">
        <v>0.22500000000000001</v>
      </c>
      <c r="C20" s="371" t="n">
        <v>0.22500000000000001</v>
      </c>
      <c r="D20" s="371" t="n">
        <v>0.22500000000000001</v>
      </c>
      <c r="E20" s="371" t="n">
        <v>0.22500000000000001</v>
      </c>
      <c r="F20" s="371" t="n">
        <v>0</v>
      </c>
      <c r="G20" s="371" t="n">
        <v>0</v>
      </c>
      <c r="H20" s="371" t="n">
        <v>0</v>
      </c>
      <c r="I20" s="371" t="n">
        <v>0</v>
      </c>
      <c r="J20" s="371" t="n">
        <v>0</v>
      </c>
      <c r="K20" s="371" t="n">
        <v>0</v>
      </c>
      <c r="L20" s="371" t="n">
        <v>0</v>
      </c>
      <c r="M20" s="371" t="n">
        <v>0</v>
      </c>
      <c r="N20" s="371" t="n">
        <v>0</v>
      </c>
      <c r="O20" s="371" t="n">
        <v>0</v>
      </c>
      <c r="P20" s="371" t="n">
        <v>0</v>
      </c>
      <c r="Q20" s="371" t="n">
        <v>0</v>
      </c>
      <c r="R20" s="371" t="n">
        <v>0</v>
      </c>
      <c r="S20" s="375" t="n">
        <f t="shared" si="0"/>
        <v>0.9</v>
      </c>
      <c r="T20" s="375" t="n">
        <f t="shared" si="1"/>
        <v>0.9</v>
      </c>
    </row>
  </sheetData>
  <pageMargins left="0.7" right="0.7" top="0.75" bottom="0.75" header="0.3" footer="0.3"/>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2" ySplit="6" topLeftCell="C7" activePane="bottomRight" state="frozen"/>
      <selection pane="topRight" activeCell="C1" sqref="C1"/>
      <selection pane="bottomLeft" activeCell="A7" sqref="A7"/>
      <selection pane="bottomRight" activeCell="I27" sqref="I27"/>
    </sheetView>
  </sheetViews>
  <sheetFormatPr defaultRowHeight="15.0" baseColWidth="10"/>
  <cols>
    <col min="2" max="2" width="52.453125" hidden="0" customWidth="1"/>
    <col min="3" max="3" width="11.453125" hidden="0" customWidth="1"/>
    <col min="4" max="4" width="11.453125" hidden="0" customWidth="1"/>
    <col min="5" max="5" width="11.453125" hidden="0" customWidth="1"/>
    <col min="6" max="6" width="11.453125" hidden="0" customWidth="1"/>
    <col min="7" max="7" width="11.453125" hidden="0" customWidth="1"/>
    <col min="8" max="8" width="12.1796875" hidden="0" customWidth="1"/>
    <col min="9" max="9" width="8.453125" hidden="0" customWidth="1"/>
    <col min="10" max="10" width="10.453125" hidden="0" customWidth="1"/>
    <col min="11" max="11" width="8.453125" hidden="0" customWidth="1"/>
    <col min="12" max="12" width="11.453125" hidden="0" customWidth="1"/>
    <col min="13" max="13" width="9.453125" hidden="0" customWidth="1"/>
    <col min="14" max="14" width="9.453125" hidden="0" customWidth="1"/>
    <col min="15" max="15" width="9.453125" hidden="0" customWidth="1"/>
    <col min="16" max="16" width="9.453125" hidden="0" customWidth="1"/>
    <col min="17" max="17" width="9.453125" hidden="0" customWidth="1"/>
    <col min="18" max="18" width="9.453125" hidden="0" customWidth="1"/>
    <col min="19" max="19" width="9.453125" hidden="0" customWidth="1"/>
    <col min="20" max="20" width="9.453125" hidden="0" customWidth="1"/>
    <col min="21" max="21" width="10.81640625" hidden="0" customWidth="1"/>
    <col min="22" max="22" width="10.81640625" hidden="0" customWidth="1"/>
    <col min="23" max="23" width="10.81640625" hidden="0" customWidth="1"/>
    <col min="24" max="24" width="10.81640625" hidden="0" customWidth="1"/>
    <col min="25" max="25" width="10.81640625" hidden="0" customWidth="1"/>
    <col min="26" max="26" width="11.1796875" hidden="0" customWidth="1"/>
    <col min="27" max="27" width="9.453125" hidden="0" customWidth="1"/>
    <col min="28" max="28" width="9.453125" hidden="0" customWidth="1"/>
    <col min="29" max="29" width="9.453125" hidden="0" customWidth="1"/>
    <col min="30" max="30" width="9.453125" hidden="0" customWidth="1"/>
    <col min="31" max="31" width="9.453125" hidden="0" customWidth="1"/>
    <col min="32" max="32" width="9.453125" hidden="0" customWidth="1"/>
    <col min="33" max="33" width="9.453125" hidden="0" customWidth="1"/>
    <col min="34" max="34" width="9.453125" hidden="0" customWidth="1"/>
    <col min="35" max="35" width="9.453125" hidden="0" customWidth="1"/>
    <col min="36" max="36" width="9.453125" hidden="0" customWidth="1"/>
    <col min="37" max="37" width="9.453125" hidden="0" customWidth="1"/>
    <col min="38" max="38" width="8.453125" hidden="0" customWidth="1"/>
    <col min="39" max="39" width="8.453125" hidden="0" customWidth="1"/>
    <col min="40" max="40" width="8.453125" hidden="0" customWidth="1"/>
    <col min="41" max="41" width="8.453125" hidden="0" customWidth="1"/>
  </cols>
  <sheetData>
    <row r="1">
      <c r="B1" s="266" t="s">
        <v>44</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row>
    <row r="2" ht="14.25" customHeight="1">
      <c r="B2" s="377" t="s">
        <v>189</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c r="AD2" s="377"/>
      <c r="AE2" s="377"/>
      <c r="AF2" s="377"/>
      <c r="AG2" s="377"/>
      <c r="AH2" s="377"/>
    </row>
    <row r="3">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row>
    <row r="4">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row>
    <row r="5">
      <c r="B5" s="377"/>
      <c r="C5" s="377"/>
      <c r="D5" s="377"/>
      <c r="E5" s="377"/>
      <c r="F5" s="377"/>
      <c r="G5" s="377"/>
      <c r="H5" s="377"/>
      <c r="I5" s="377"/>
      <c r="J5" s="377"/>
      <c r="K5" s="377"/>
      <c r="L5" s="377"/>
      <c r="M5" s="377"/>
      <c r="N5" s="377"/>
      <c r="O5" s="377"/>
      <c r="P5" s="377"/>
      <c r="Q5" s="377"/>
      <c r="R5" s="377"/>
      <c r="S5" s="377"/>
      <c r="T5" s="377"/>
      <c r="U5" s="377"/>
      <c r="V5" s="377"/>
      <c r="W5" s="377"/>
      <c r="X5" s="377"/>
      <c r="Y5" s="377"/>
      <c r="Z5" s="377"/>
      <c r="AA5" s="377"/>
      <c r="AB5" s="377"/>
      <c r="AC5" s="377"/>
      <c r="AD5" s="377"/>
      <c r="AE5" s="377"/>
      <c r="AF5" s="377"/>
      <c r="AG5" s="377"/>
      <c r="AH5" s="377"/>
    </row>
    <row r="6" ht="38.9" customHeight="1">
      <c r="B6" s="377"/>
      <c r="C6" s="377"/>
      <c r="D6" s="377"/>
      <c r="E6" s="377"/>
      <c r="F6" s="377"/>
      <c r="G6" s="377"/>
      <c r="H6" s="377"/>
      <c r="I6" s="377"/>
      <c r="J6" s="377"/>
      <c r="K6" s="377"/>
      <c r="L6" s="377"/>
      <c r="M6" s="377"/>
      <c r="N6" s="377"/>
      <c r="O6" s="377"/>
      <c r="P6" s="377"/>
      <c r="Q6" s="377"/>
      <c r="R6" s="377"/>
      <c r="S6" s="377"/>
      <c r="T6" s="377"/>
      <c r="U6" s="377"/>
      <c r="V6" s="377"/>
      <c r="W6" s="377"/>
      <c r="X6" s="377"/>
      <c r="Y6" s="377"/>
      <c r="Z6" s="377"/>
      <c r="AA6" s="377"/>
      <c r="AB6" s="377"/>
      <c r="AC6" s="377"/>
      <c r="AD6" s="377"/>
      <c r="AE6" s="377"/>
      <c r="AF6" s="377"/>
      <c r="AG6" s="377"/>
      <c r="AH6" s="377"/>
    </row>
    <row r="7">
      <c r="B7" s="414"/>
      <c r="C7" s="414"/>
      <c r="D7" s="414"/>
      <c r="E7" s="414"/>
      <c r="F7" s="414"/>
      <c r="G7" s="414"/>
      <c r="H7" s="415"/>
      <c r="I7" s="415"/>
      <c r="J7" s="415"/>
      <c r="K7" s="415"/>
      <c r="L7" s="415"/>
      <c r="M7" s="415"/>
      <c r="N7" s="415"/>
      <c r="O7" s="415"/>
      <c r="P7" s="415"/>
      <c r="Q7" s="415"/>
      <c r="R7" s="415"/>
      <c r="S7" s="415"/>
      <c r="T7" s="415"/>
      <c r="U7" s="415"/>
      <c r="V7" s="415"/>
    </row>
    <row r="8" ht="14.9" customHeight="1">
      <c r="B8" s="268" t="s">
        <v>190</v>
      </c>
      <c r="C8" s="269"/>
      <c r="D8" s="379" t="s">
        <v>191</v>
      </c>
      <c r="E8" s="379"/>
      <c r="F8" s="379"/>
      <c r="G8" s="379"/>
      <c r="H8" s="379"/>
      <c r="I8" s="379"/>
      <c r="J8" s="379"/>
      <c r="K8" s="379"/>
      <c r="L8" s="379"/>
      <c r="M8" s="379"/>
      <c r="N8" s="379"/>
      <c r="O8" s="379"/>
      <c r="P8" s="379"/>
      <c r="Q8" s="379"/>
      <c r="R8" s="379"/>
      <c r="S8" s="379"/>
      <c r="T8" s="379"/>
      <c r="U8" s="379"/>
      <c r="V8" s="379"/>
      <c r="W8" s="379"/>
      <c r="X8" s="379"/>
      <c r="Y8" s="379"/>
      <c r="Z8" s="379"/>
      <c r="AA8" s="379"/>
      <c r="AB8" s="379"/>
      <c r="AC8" s="252" t="s">
        <v>192</v>
      </c>
      <c r="AD8" s="252"/>
      <c r="AE8" s="252"/>
      <c r="AF8" s="252"/>
      <c r="AG8" s="252"/>
      <c r="AH8" s="252"/>
      <c r="AI8" s="252"/>
      <c r="AJ8" s="252"/>
      <c r="AK8" s="252"/>
      <c r="AL8" s="252"/>
      <c r="AM8" s="252"/>
      <c r="AN8" s="253"/>
    </row>
    <row r="9" ht="12.75" customHeight="1">
      <c r="B9" s="270"/>
      <c r="C9" s="271"/>
      <c r="D9" s="274" t="n">
        <v>2018</v>
      </c>
      <c r="E9" s="274" t="n">
        <v>2019</v>
      </c>
      <c r="F9" s="275"/>
      <c r="G9" s="275"/>
      <c r="H9" s="378"/>
      <c r="I9" s="274" t="n">
        <v>2020</v>
      </c>
      <c r="J9" s="275"/>
      <c r="K9" s="275"/>
      <c r="L9" s="378"/>
      <c r="M9" s="274" t="n">
        <v>2021</v>
      </c>
      <c r="N9" s="275"/>
      <c r="O9" s="275"/>
      <c r="P9" s="378"/>
      <c r="Q9" s="274" t="n">
        <v>2022</v>
      </c>
      <c r="R9" s="275"/>
      <c r="S9" s="275"/>
      <c r="T9" s="378"/>
      <c r="U9" s="274" t="n">
        <v>2023</v>
      </c>
      <c r="V9" s="275"/>
      <c r="W9" s="275"/>
      <c r="X9" s="378"/>
      <c r="Y9" s="432"/>
      <c r="Z9" s="382" t="n">
        <v>2024</v>
      </c>
      <c r="AA9" s="382"/>
      <c r="AB9" s="381"/>
      <c r="AC9" s="261" t="n">
        <v>2025</v>
      </c>
      <c r="AD9" s="264"/>
      <c r="AE9" s="264"/>
      <c r="AF9" s="264"/>
      <c r="AG9" s="261" t="n">
        <v>2026</v>
      </c>
      <c r="AH9" s="264"/>
      <c r="AI9" s="264"/>
      <c r="AJ9" s="263"/>
      <c r="AK9" s="261" t="n">
        <v>2027</v>
      </c>
      <c r="AL9" s="264"/>
      <c r="AM9" s="264"/>
      <c r="AN9" s="263"/>
    </row>
    <row r="10" ht="14.9" customHeight="1">
      <c r="B10" s="272"/>
      <c r="C10" s="273"/>
      <c r="D10" s="274" t="s">
        <v>193</v>
      </c>
      <c r="E10" s="274" t="s">
        <v>194</v>
      </c>
      <c r="F10" s="275" t="s">
        <v>195</v>
      </c>
      <c r="G10" s="275" t="s">
        <v>171</v>
      </c>
      <c r="H10" s="276" t="s">
        <v>193</v>
      </c>
      <c r="I10" s="275" t="s">
        <v>194</v>
      </c>
      <c r="J10" s="275" t="s">
        <v>195</v>
      </c>
      <c r="K10" s="275" t="s">
        <v>171</v>
      </c>
      <c r="L10" s="275" t="s">
        <v>193</v>
      </c>
      <c r="M10" s="293" t="s">
        <v>194</v>
      </c>
      <c r="N10" s="294" t="s">
        <v>195</v>
      </c>
      <c r="O10" s="294" t="s">
        <v>171</v>
      </c>
      <c r="P10" s="292" t="s">
        <v>193</v>
      </c>
      <c r="Q10" s="293" t="s">
        <v>194</v>
      </c>
      <c r="R10" s="294" t="s">
        <v>195</v>
      </c>
      <c r="S10" s="294" t="s">
        <v>171</v>
      </c>
      <c r="T10" s="292" t="s">
        <v>193</v>
      </c>
      <c r="U10" s="293" t="s">
        <v>194</v>
      </c>
      <c r="V10" s="294" t="s">
        <v>195</v>
      </c>
      <c r="W10" s="294" t="s">
        <v>171</v>
      </c>
      <c r="X10" s="292" t="s">
        <v>193</v>
      </c>
      <c r="Y10" s="293" t="s">
        <v>194</v>
      </c>
      <c r="Z10" s="295" t="s">
        <v>195</v>
      </c>
      <c r="AA10" s="294" t="s">
        <v>171</v>
      </c>
      <c r="AB10" s="292" t="s">
        <v>193</v>
      </c>
      <c r="AC10" s="293" t="s">
        <v>194</v>
      </c>
      <c r="AD10" s="295" t="s">
        <v>195</v>
      </c>
      <c r="AE10" s="291" t="s">
        <v>171</v>
      </c>
      <c r="AF10" s="291" t="s">
        <v>193</v>
      </c>
      <c r="AG10" s="385" t="s">
        <v>194</v>
      </c>
      <c r="AH10" s="290" t="s">
        <v>195</v>
      </c>
      <c r="AI10" s="290" t="s">
        <v>171</v>
      </c>
      <c r="AJ10" s="430" t="s">
        <v>193</v>
      </c>
      <c r="AK10" s="385" t="s">
        <v>194</v>
      </c>
      <c r="AL10" s="290" t="s">
        <v>195</v>
      </c>
      <c r="AM10" s="290" t="s">
        <v>171</v>
      </c>
      <c r="AN10" s="430" t="s">
        <v>193</v>
      </c>
    </row>
    <row r="11">
      <c r="B11" s="403" t="s">
        <v>78</v>
      </c>
      <c r="C11" s="417" t="s">
        <v>196</v>
      </c>
      <c r="D11" s="405" t="n">
        <f>'Haver Pivoted'!B14</f>
        <v>2.9</v>
      </c>
      <c r="E11" s="428" t="n">
        <f>'Haver Pivoted'!C14</f>
        <v>3.9</v>
      </c>
      <c r="F11" s="428" t="n">
        <f>'Haver Pivoted'!D14</f>
        <v>4.5999999999999996</v>
      </c>
      <c r="G11" s="428" t="n">
        <f>'Haver Pivoted'!E14</f>
        <v>5.4</v>
      </c>
      <c r="H11" s="428" t="n">
        <f>'Haver Pivoted'!F14</f>
        <v>5.7</v>
      </c>
      <c r="I11" s="428" t="n">
        <f>'Haver Pivoted'!G14</f>
        <v>6.3</v>
      </c>
      <c r="J11" s="428" t="n">
        <f>'Haver Pivoted'!H14</f>
        <v>6.3</v>
      </c>
      <c r="K11" s="428" t="n">
        <f>'Haver Pivoted'!I14</f>
        <v>6.3</v>
      </c>
      <c r="L11" s="428" t="n">
        <f>'Haver Pivoted'!J14</f>
        <v>6.5</v>
      </c>
      <c r="M11" s="428" t="n">
        <f>'Haver Pivoted'!K14</f>
        <v>6.9</v>
      </c>
      <c r="N11" s="428" t="n">
        <f>'Haver Pivoted'!L14</f>
        <v>5.8</v>
      </c>
      <c r="O11" s="428" t="n">
        <f>'Haver Pivoted'!M14</f>
        <v>5</v>
      </c>
      <c r="P11" s="428" t="n">
        <f>'Haver Pivoted'!N14</f>
        <v>4.5999999999999996</v>
      </c>
      <c r="Q11" s="286" t="n">
        <f>'Haver Pivoted'!O14</f>
        <v>4.5</v>
      </c>
      <c r="R11" s="286" t="n">
        <f>'Haver Pivoted'!P14</f>
        <v>4.5</v>
      </c>
      <c r="S11" s="275" t="n">
        <f>'Haver Pivoted'!Q14</f>
        <v>4.7</v>
      </c>
      <c r="T11" s="275" t="n">
        <f>'Haver Pivoted'!R14</f>
        <v>5.8</v>
      </c>
      <c r="U11" s="275" t="n">
        <f>'Haver Pivoted'!S14</f>
        <v>6.7</v>
      </c>
      <c r="V11" s="275" t="n">
        <f>'Haver Pivoted'!T14</f>
        <v>6.9</v>
      </c>
      <c r="W11" s="275" t="n">
        <f>'Haver Pivoted'!U14</f>
        <v>8.6</v>
      </c>
      <c r="X11" s="275" t="n">
        <f>'Haver Pivoted'!V14</f>
        <v>14.2</v>
      </c>
      <c r="Y11" s="275" t="n">
        <f>'Haver Pivoted'!W14</f>
        <v>19.399999999999999</v>
      </c>
      <c r="Z11" s="275" t="n">
        <f>'Haver Pivoted'!X14</f>
        <v>20.2</v>
      </c>
      <c r="AA11" s="275" t="n">
        <f>'Haver Pivoted'!Y14</f>
        <v>18.8</v>
      </c>
      <c r="AB11" s="275" t="n">
        <f>'Haver Pivoted'!Z14</f>
        <v>17.7</v>
      </c>
      <c r="AC11" s="275" t="n">
        <f>'Haver Pivoted'!AA14</f>
        <v>16.3</v>
      </c>
      <c r="AD11" s="275" t="n">
        <f>'Haver Pivoted'!AB14</f>
        <v>16.100000000000001</v>
      </c>
      <c r="AE11" s="422" t="n">
        <f t="shared" ref="AE11:AG11" si="0">AE13+AE14+AE21</f>
        <v>35.700000000000003</v>
      </c>
      <c r="AF11" s="422" t="n">
        <f t="shared" si="0"/>
        <v>35.700000000000003</v>
      </c>
      <c r="AG11" s="384" t="n">
        <f t="shared" si="0"/>
        <v>35.700000000000003</v>
      </c>
      <c r="AH11" s="384" t="n">
        <f>AH13+AH14+AH21</f>
        <v>35.700000000000003</v>
      </c>
      <c r="AI11" s="384" t="n">
        <f t="shared" ref="AI11:AN11" si="1">AI13+AI14+AI21</f>
        <v>35.700000000000003</v>
      </c>
      <c r="AJ11" s="384" t="n">
        <f t="shared" si="1"/>
        <v>35.700000000000003</v>
      </c>
      <c r="AK11" s="384" t="n">
        <f t="shared" si="1"/>
        <v>36.700000000000003</v>
      </c>
      <c r="AL11" s="384" t="n">
        <f t="shared" si="1"/>
        <v>37.700000000000003</v>
      </c>
      <c r="AM11" s="384" t="n">
        <f t="shared" si="1"/>
        <v>38.700000000000003</v>
      </c>
      <c r="AN11" s="384" t="n">
        <f t="shared" si="1"/>
        <v>39.700000000000003</v>
      </c>
      <c r="AO11" s="289" t="s">
        <v>197</v>
      </c>
    </row>
    <row r="12">
      <c r="B12" s="431" t="s">
        <v>1852</v>
      </c>
      <c r="C12" s="383"/>
      <c r="D12" s="419"/>
      <c r="E12" s="286"/>
      <c r="F12" s="286"/>
      <c r="G12" s="286"/>
      <c r="H12" s="286"/>
      <c r="I12" s="286"/>
      <c r="J12" s="286"/>
      <c r="K12" s="286"/>
      <c r="L12" s="286"/>
      <c r="M12" s="286"/>
      <c r="N12" s="286"/>
      <c r="O12" s="286"/>
      <c r="P12" s="286"/>
      <c r="Q12" s="286"/>
      <c r="R12" s="286"/>
      <c r="S12" s="275"/>
      <c r="T12" s="275"/>
      <c r="U12" s="275"/>
      <c r="V12" s="275"/>
      <c r="W12" s="275"/>
      <c r="X12" s="275"/>
      <c r="Y12" s="275"/>
      <c r="Z12" s="275"/>
      <c r="AA12" s="275"/>
      <c r="AB12" s="275"/>
      <c r="AC12" s="275"/>
      <c r="AD12" s="275"/>
      <c r="AE12" s="384"/>
      <c r="AF12" s="384"/>
      <c r="AG12" s="384"/>
      <c r="AH12" s="384"/>
      <c r="AI12" s="384"/>
      <c r="AJ12" s="384"/>
      <c r="AK12" s="384"/>
      <c r="AL12" s="384"/>
      <c r="AM12" s="384"/>
      <c r="AN12" s="384"/>
    </row>
    <row r="13">
      <c r="B13" s="413" t="s">
        <v>198</v>
      </c>
      <c r="C13" s="406" t="s">
        <v>199</v>
      </c>
      <c r="D13" s="419" t="n">
        <f>'Haver Pivoted'!B63</f>
        <v>0</v>
      </c>
      <c r="E13" s="286" t="n">
        <f>'Haver Pivoted'!C63</f>
        <v>0</v>
      </c>
      <c r="F13" s="286" t="n">
        <f>'Haver Pivoted'!D63</f>
        <v>0</v>
      </c>
      <c r="G13" s="286" t="n">
        <f>'Haver Pivoted'!E63</f>
        <v>0</v>
      </c>
      <c r="H13" s="286" t="n">
        <f>'Haver Pivoted'!F63</f>
        <v>0</v>
      </c>
      <c r="I13" s="286" t="n">
        <f>'Haver Pivoted'!G63</f>
        <v>0</v>
      </c>
      <c r="J13" s="286" t="n">
        <f>'Haver Pivoted'!H63</f>
        <v>0</v>
      </c>
      <c r="K13" s="286" t="n">
        <f>'Haver Pivoted'!I63</f>
        <v>0</v>
      </c>
      <c r="L13" s="286" t="n">
        <f>'Haver Pivoted'!J63</f>
        <v>0</v>
      </c>
      <c r="M13" s="286" t="n">
        <f>'Haver Pivoted'!K63</f>
        <v>0</v>
      </c>
      <c r="N13" s="286" t="n">
        <f>'Haver Pivoted'!L63</f>
        <v>0</v>
      </c>
      <c r="O13" s="286" t="n">
        <f>'Haver Pivoted'!M63</f>
        <v>0</v>
      </c>
      <c r="P13" s="286" t="n">
        <f>'Haver Pivoted'!N63</f>
        <v>0</v>
      </c>
      <c r="Q13" s="286" t="n">
        <f>'Haver Pivoted'!O63</f>
        <v>0</v>
      </c>
      <c r="R13" s="286" t="n">
        <f>'Haver Pivoted'!P63</f>
        <v>0</v>
      </c>
      <c r="S13" s="275" t="n">
        <f>'Haver Pivoted'!Q63</f>
        <v>0</v>
      </c>
      <c r="T13" s="275" t="n">
        <f>'Haver Pivoted'!R63</f>
        <v>0</v>
      </c>
      <c r="U13" s="275" t="n">
        <f>'Haver Pivoted'!S63</f>
        <v>0</v>
      </c>
      <c r="V13" s="275" t="n">
        <f>'Haver Pivoted'!T63</f>
        <v>0</v>
      </c>
      <c r="W13" s="275" t="n">
        <f>'Haver Pivoted'!U63</f>
        <v>0</v>
      </c>
      <c r="X13" s="275" t="n">
        <f>'Haver Pivoted'!V63</f>
        <v>0</v>
      </c>
      <c r="Y13" s="275" t="n">
        <f>'Haver Pivoted'!W63</f>
        <v>0</v>
      </c>
      <c r="Z13" s="275" t="n">
        <f>'Haver Pivoted'!X63</f>
        <v>0</v>
      </c>
      <c r="AA13" s="275" t="n">
        <f>'Haver Pivoted'!Y63</f>
        <v>0</v>
      </c>
      <c r="AB13" s="275" t="n">
        <f>'Haver Pivoted'!Z63</f>
        <v>0</v>
      </c>
      <c r="AC13" s="275" t="n">
        <f>'Haver Pivoted'!AA63</f>
        <v>0</v>
      </c>
      <c r="AD13" s="275" t="n">
        <f>'Haver Pivoted'!AB63</f>
        <v>0</v>
      </c>
      <c r="AE13" s="384" t="n">
        <f t="shared" ref="AE13:AH13" si="2">AD13*AE24/AD24</f>
        <v>0</v>
      </c>
      <c r="AF13" s="384" t="n">
        <f t="shared" si="2"/>
        <v>0</v>
      </c>
      <c r="AG13" s="384" t="n">
        <f t="shared" si="2"/>
        <v>0</v>
      </c>
      <c r="AH13" s="384" t="n">
        <f t="shared" si="2"/>
        <v>0</v>
      </c>
      <c r="AI13" s="384" t="n">
        <f t="shared" ref="AI13" si="3">AH13*AI24/AH24</f>
        <v>0</v>
      </c>
      <c r="AJ13" s="384" t="n">
        <f>AI13*AJ24/AI24</f>
        <v>0</v>
      </c>
      <c r="AK13" s="384" t="n">
        <f t="shared" ref="AK13:AN13" si="4">AJ13*AK24/AJ24</f>
        <v>0</v>
      </c>
      <c r="AL13" s="384" t="n">
        <f t="shared" si="4"/>
        <v>0</v>
      </c>
      <c r="AM13" s="384" t="n">
        <f t="shared" si="4"/>
        <v>0</v>
      </c>
      <c r="AN13" s="384" t="n">
        <f t="shared" si="4"/>
        <v>0</v>
      </c>
    </row>
    <row r="14">
      <c r="B14" s="413" t="s">
        <v>200</v>
      </c>
      <c r="C14" s="406"/>
      <c r="D14" s="419"/>
      <c r="E14" s="286"/>
      <c r="F14" s="286"/>
      <c r="G14" s="286"/>
      <c r="H14" s="388" t="n">
        <f>SUM(H15:H18)</f>
        <v>0</v>
      </c>
      <c r="I14" s="388" t="n">
        <f t="shared" ref="I14:M14" si="5">SUM(I15:I18)</f>
        <v>0</v>
      </c>
      <c r="J14" s="388" t="n">
        <f t="shared" si="5"/>
        <v>0</v>
      </c>
      <c r="K14" s="388" t="n">
        <f t="shared" si="5"/>
        <v>0</v>
      </c>
      <c r="L14" s="388" t="n">
        <f t="shared" si="5"/>
        <v>0</v>
      </c>
      <c r="M14" s="388" t="n">
        <f t="shared" si="5"/>
        <v>0</v>
      </c>
      <c r="N14" s="393" t="n">
        <f>SUM(N15:N18)</f>
        <v>0</v>
      </c>
      <c r="O14" s="393" t="n">
        <f t="shared" ref="O14:AC14" si="6">SUM(O15:O18)</f>
        <v>0</v>
      </c>
      <c r="P14" s="393" t="n">
        <f t="shared" si="6"/>
        <v>0</v>
      </c>
      <c r="Q14" s="393" t="n">
        <v>0</v>
      </c>
      <c r="R14" s="393" t="n">
        <f t="shared" si="6"/>
        <v>0</v>
      </c>
      <c r="S14" s="393" t="n">
        <f t="shared" si="6"/>
        <v>0</v>
      </c>
      <c r="T14" s="393" t="n">
        <f t="shared" si="6"/>
        <v>0</v>
      </c>
      <c r="U14" s="393" t="n">
        <f t="shared" si="6"/>
        <v>0</v>
      </c>
      <c r="V14" s="388" t="n">
        <f t="shared" si="6"/>
        <v>0</v>
      </c>
      <c r="W14" s="388" t="n">
        <f t="shared" si="6"/>
        <v>0</v>
      </c>
      <c r="X14" s="384" t="n">
        <f>SUM(X15:X18)</f>
        <v>0</v>
      </c>
      <c r="Y14" s="384" t="n">
        <f t="shared" si="6"/>
        <v>0</v>
      </c>
      <c r="Z14" s="384" t="n">
        <f t="shared" si="6"/>
        <v>0</v>
      </c>
      <c r="AA14" s="384" t="n">
        <f t="shared" si="6"/>
        <v>0</v>
      </c>
      <c r="AB14" s="384" t="n">
        <f t="shared" si="6"/>
        <v>0</v>
      </c>
      <c r="AC14" s="384" t="n">
        <f t="shared" si="6"/>
        <v>0</v>
      </c>
      <c r="AD14" s="384" t="n">
        <f t="shared" ref="AD14:AG14" si="7">SUM(AD15:AD18)</f>
        <v>0</v>
      </c>
      <c r="AE14" s="384" t="n">
        <f t="shared" si="7"/>
        <v>0</v>
      </c>
      <c r="AF14" s="384" t="n">
        <f t="shared" si="7"/>
        <v>0</v>
      </c>
      <c r="AG14" s="384" t="n">
        <f t="shared" si="7"/>
        <v>0</v>
      </c>
      <c r="AH14" s="384" t="n">
        <f t="shared" ref="AH14:AI14" si="8">SUM(AH15:AH18)</f>
        <v>0</v>
      </c>
      <c r="AI14" s="384" t="n">
        <f t="shared" si="8"/>
        <v>0</v>
      </c>
      <c r="AJ14" s="384" t="n">
        <f>SUM(AJ15:AJ18)</f>
        <v>0</v>
      </c>
      <c r="AK14" s="384" t="n">
        <f t="shared" ref="AK14:AN14" si="9">SUM(AK15:AK18)</f>
        <v>0</v>
      </c>
      <c r="AL14" s="384" t="n">
        <f t="shared" si="9"/>
        <v>0</v>
      </c>
      <c r="AM14" s="384" t="n">
        <f t="shared" si="9"/>
        <v>0</v>
      </c>
      <c r="AN14" s="384" t="n">
        <f t="shared" si="9"/>
        <v>0</v>
      </c>
    </row>
    <row r="15" ht="18" customHeight="1">
      <c r="B15" s="400" t="s">
        <v>201</v>
      </c>
      <c r="C15" s="267" t="s">
        <v>199</v>
      </c>
      <c r="D15" s="418" t="n">
        <f>'Haver Pivoted'!B63</f>
        <v>0</v>
      </c>
      <c r="E15" s="392" t="n">
        <f>'Haver Pivoted'!C63</f>
        <v>0</v>
      </c>
      <c r="F15" s="392" t="n">
        <f>'Haver Pivoted'!D63</f>
        <v>0</v>
      </c>
      <c r="G15" s="392" t="n">
        <f>'Haver Pivoted'!E63</f>
        <v>0</v>
      </c>
      <c r="H15" s="392" t="n">
        <f>'Haver Pivoted'!F63</f>
        <v>0</v>
      </c>
      <c r="I15" s="392" t="n">
        <f>'Haver Pivoted'!G63</f>
        <v>0</v>
      </c>
      <c r="J15" s="392" t="n">
        <f>'Haver Pivoted'!H63</f>
        <v>0</v>
      </c>
      <c r="K15" s="392" t="n">
        <f>'Haver Pivoted'!I63</f>
        <v>0</v>
      </c>
      <c r="L15" s="392" t="n">
        <f>'Haver Pivoted'!J63</f>
        <v>0</v>
      </c>
      <c r="M15" s="392" t="n">
        <f>'Haver Pivoted'!K63</f>
        <v>0</v>
      </c>
      <c r="N15" s="392" t="n">
        <f>'Haver Pivoted'!L63</f>
        <v>0</v>
      </c>
      <c r="O15" s="392" t="n">
        <f>'Haver Pivoted'!M63</f>
        <v>0</v>
      </c>
      <c r="P15" s="392" t="n">
        <f>'Haver Pivoted'!N63</f>
        <v>0</v>
      </c>
      <c r="Q15" s="392" t="n">
        <f>'Haver Pivoted'!O63</f>
        <v>0</v>
      </c>
      <c r="R15" s="392" t="n">
        <f>'Haver Pivoted'!P63</f>
        <v>0</v>
      </c>
      <c r="S15" s="394" t="n">
        <f>'Haver Pivoted'!Q63</f>
        <v>0</v>
      </c>
      <c r="T15" s="394" t="n">
        <f>'Haver Pivoted'!R63</f>
        <v>0</v>
      </c>
      <c r="U15" s="394" t="n">
        <f>'Haver Pivoted'!S63</f>
        <v>0</v>
      </c>
      <c r="V15" s="394" t="n">
        <f>'Haver Pivoted'!T63</f>
        <v>0</v>
      </c>
      <c r="W15" s="394" t="n">
        <f>'Haver Pivoted'!U63</f>
        <v>0</v>
      </c>
      <c r="X15" s="394" t="n">
        <f>'Haver Pivoted'!V63</f>
        <v>0</v>
      </c>
      <c r="Y15" s="394" t="n">
        <f>'Haver Pivoted'!W63</f>
        <v>0</v>
      </c>
      <c r="Z15" s="394" t="n">
        <f>'Haver Pivoted'!X63</f>
        <v>0</v>
      </c>
      <c r="AA15" s="394" t="n">
        <f>'Haver Pivoted'!Y63</f>
        <v>0</v>
      </c>
      <c r="AB15" s="394" t="n">
        <f>'Haver Pivoted'!Z63</f>
        <v>0</v>
      </c>
      <c r="AC15" s="394" t="n">
        <f>'Haver Pivoted'!AA63</f>
        <v>0</v>
      </c>
      <c r="AD15" s="394" t="n">
        <f>'Haver Pivoted'!AB63</f>
        <v>0</v>
      </c>
      <c r="AE15" s="384" t="n">
        <f t="shared" ref="AE15:AG15" si="10">AE13</f>
        <v>0</v>
      </c>
      <c r="AF15" s="384" t="n">
        <f>AF13</f>
        <v>0</v>
      </c>
      <c r="AG15" s="384" t="n">
        <f t="shared" si="10"/>
        <v>0</v>
      </c>
      <c r="AH15" s="384" t="n">
        <f t="shared" ref="AH15:AJ15" si="11">AH13</f>
        <v>0</v>
      </c>
      <c r="AI15" s="384" t="n">
        <f t="shared" si="11"/>
        <v>0</v>
      </c>
      <c r="AJ15" s="384" t="n">
        <f t="shared" si="11"/>
        <v>0</v>
      </c>
      <c r="AK15" s="384" t="n">
        <f t="shared" ref="AK15:AN15" si="12">AK13</f>
        <v>0</v>
      </c>
      <c r="AL15" s="384" t="n">
        <f t="shared" si="12"/>
        <v>0</v>
      </c>
      <c r="AM15" s="384" t="n">
        <f t="shared" si="12"/>
        <v>0</v>
      </c>
      <c r="AN15" s="384" t="n">
        <f t="shared" si="12"/>
        <v>0</v>
      </c>
    </row>
    <row r="16" ht="18" customHeight="1">
      <c r="B16" s="400" t="s">
        <v>202</v>
      </c>
      <c r="C16" s="267" t="s">
        <v>203</v>
      </c>
      <c r="D16" s="418" t="n">
        <f>'Haver Pivoted'!B59</f>
        <v>0</v>
      </c>
      <c r="E16" s="392" t="n">
        <f>'Haver Pivoted'!C59</f>
        <v>0</v>
      </c>
      <c r="F16" s="392" t="n">
        <f>'Haver Pivoted'!D59</f>
        <v>0</v>
      </c>
      <c r="G16" s="392" t="n">
        <f>'Haver Pivoted'!E59</f>
        <v>0</v>
      </c>
      <c r="H16" s="392" t="n">
        <f>'Haver Pivoted'!F59</f>
        <v>0</v>
      </c>
      <c r="I16" s="392" t="n">
        <f>'Haver Pivoted'!G59</f>
        <v>0</v>
      </c>
      <c r="J16" s="392" t="n">
        <f>'Haver Pivoted'!H59</f>
        <v>0</v>
      </c>
      <c r="K16" s="392" t="n">
        <f>'Haver Pivoted'!I59</f>
        <v>0</v>
      </c>
      <c r="L16" s="392" t="n">
        <f>'Haver Pivoted'!J59</f>
        <v>0</v>
      </c>
      <c r="M16" s="392" t="n">
        <f>'Haver Pivoted'!K59</f>
        <v>0</v>
      </c>
      <c r="N16" s="392" t="n">
        <f>'Haver Pivoted'!L59</f>
        <v>0</v>
      </c>
      <c r="O16" s="392" t="n">
        <f>'Haver Pivoted'!M59</f>
        <v>0</v>
      </c>
      <c r="P16" s="392" t="n">
        <f>'Haver Pivoted'!N59</f>
        <v>0</v>
      </c>
      <c r="Q16" s="392" t="n">
        <f>'Haver Pivoted'!O59</f>
        <v>0</v>
      </c>
      <c r="R16" s="392" t="n">
        <f>'Haver Pivoted'!P59</f>
        <v>0</v>
      </c>
      <c r="S16" s="394" t="n">
        <f>'Haver Pivoted'!Q59</f>
        <v>0</v>
      </c>
      <c r="T16" s="394" t="n">
        <f>'Haver Pivoted'!R59</f>
        <v>0</v>
      </c>
      <c r="U16" s="394" t="n">
        <f>'Haver Pivoted'!S59</f>
        <v>0</v>
      </c>
      <c r="V16" s="394" t="n">
        <f>'Haver Pivoted'!T59</f>
        <v>0</v>
      </c>
      <c r="W16" s="394" t="n">
        <f>'Haver Pivoted'!U59</f>
        <v>0</v>
      </c>
      <c r="X16" s="394" t="n">
        <f>'Haver Pivoted'!V59</f>
        <v>0</v>
      </c>
      <c r="Y16" s="394" t="n">
        <f>'Haver Pivoted'!W59</f>
        <v>0</v>
      </c>
      <c r="Z16" s="394" t="n">
        <f>'Haver Pivoted'!X59</f>
        <v>0</v>
      </c>
      <c r="AA16" s="394" t="n">
        <f>'Haver Pivoted'!Y59</f>
        <v>0</v>
      </c>
      <c r="AB16" s="394" t="n">
        <f>'Haver Pivoted'!Z59</f>
        <v>0</v>
      </c>
      <c r="AC16" s="394" t="n">
        <f>'Haver Pivoted'!AA59</f>
        <v>0</v>
      </c>
      <c r="AD16" s="394" t="n">
        <f>'Haver Pivoted'!AB59</f>
        <v>0</v>
      </c>
      <c r="AE16" s="384" t="n">
        <f t="shared" ref="AE16:AH18" si="13">AD16*AE$24/AD$24</f>
        <v>0</v>
      </c>
      <c r="AF16" s="384" t="n">
        <f t="shared" si="13"/>
        <v>0</v>
      </c>
      <c r="AG16" s="384" t="n">
        <f t="shared" si="13"/>
        <v>0</v>
      </c>
      <c r="AH16" s="384" t="n">
        <f t="shared" si="13"/>
        <v>0</v>
      </c>
      <c r="AI16" s="384" t="n">
        <f t="shared" ref="AI16:AI18" si="14">AH16*AI$24/AH$24</f>
        <v>0</v>
      </c>
      <c r="AJ16" s="384" t="n">
        <f t="shared" ref="AJ16:AJ18" si="15">AI16*AJ$24/AI$24</f>
        <v>0</v>
      </c>
      <c r="AK16" s="384" t="n">
        <f t="shared" ref="AK16:AK18" si="16">AJ16*AK$24/AJ$24</f>
        <v>0</v>
      </c>
      <c r="AL16" s="384" t="n">
        <f t="shared" ref="AL16:AL18" si="17">AK16*AL$24/AK$24</f>
        <v>0</v>
      </c>
      <c r="AM16" s="384" t="n">
        <f t="shared" ref="AM16:AM18" si="18">AL16*AM$24/AL$24</f>
        <v>0</v>
      </c>
      <c r="AN16" s="384" t="n">
        <f t="shared" ref="AN16:AN18" si="19">AM16*AN$24/AM$24</f>
        <v>0</v>
      </c>
    </row>
    <row r="17" ht="18" customHeight="1">
      <c r="B17" s="400" t="s">
        <v>204</v>
      </c>
      <c r="C17" s="267" t="s">
        <v>205</v>
      </c>
      <c r="D17" s="418" t="n">
        <f>'Haver Pivoted'!B60</f>
        <v>0</v>
      </c>
      <c r="E17" s="392" t="n">
        <f>'Haver Pivoted'!C60</f>
        <v>0</v>
      </c>
      <c r="F17" s="392" t="n">
        <f>'Haver Pivoted'!D60</f>
        <v>0</v>
      </c>
      <c r="G17" s="392" t="n">
        <f>'Haver Pivoted'!E60</f>
        <v>0</v>
      </c>
      <c r="H17" s="392" t="n">
        <f>'Haver Pivoted'!F60</f>
        <v>0</v>
      </c>
      <c r="I17" s="392" t="n">
        <f>'Haver Pivoted'!G60</f>
        <v>0</v>
      </c>
      <c r="J17" s="392" t="n">
        <f>'Haver Pivoted'!H60</f>
        <v>0</v>
      </c>
      <c r="K17" s="392" t="n">
        <f>'Haver Pivoted'!I60</f>
        <v>0</v>
      </c>
      <c r="L17" s="392" t="n">
        <f>'Haver Pivoted'!J60</f>
        <v>0</v>
      </c>
      <c r="M17" s="392" t="n">
        <f>'Haver Pivoted'!K60</f>
        <v>0</v>
      </c>
      <c r="N17" s="392" t="n">
        <f>'Haver Pivoted'!L60</f>
        <v>0</v>
      </c>
      <c r="O17" s="392" t="n">
        <f>'Haver Pivoted'!M60</f>
        <v>0</v>
      </c>
      <c r="P17" s="392" t="n">
        <f>'Haver Pivoted'!N60</f>
        <v>0</v>
      </c>
      <c r="Q17" s="392" t="n">
        <f>'Haver Pivoted'!O60</f>
        <v>0</v>
      </c>
      <c r="R17" s="392" t="n">
        <f>'Haver Pivoted'!P60</f>
        <v>0</v>
      </c>
      <c r="S17" s="394" t="n">
        <f>'Haver Pivoted'!Q60</f>
        <v>0</v>
      </c>
      <c r="T17" s="394" t="n">
        <f>'Haver Pivoted'!R60</f>
        <v>0</v>
      </c>
      <c r="U17" s="394" t="n">
        <f>'Haver Pivoted'!S60</f>
        <v>0</v>
      </c>
      <c r="V17" s="394" t="n">
        <f>'Haver Pivoted'!T60</f>
        <v>0</v>
      </c>
      <c r="W17" s="394" t="n">
        <f>'Haver Pivoted'!U60</f>
        <v>0</v>
      </c>
      <c r="X17" s="394" t="n">
        <f>'Haver Pivoted'!V60</f>
        <v>0</v>
      </c>
      <c r="Y17" s="394" t="n">
        <f>'Haver Pivoted'!W60</f>
        <v>0</v>
      </c>
      <c r="Z17" s="394" t="n">
        <f>'Haver Pivoted'!X60</f>
        <v>0</v>
      </c>
      <c r="AA17" s="394" t="n">
        <f>'Haver Pivoted'!Y60</f>
        <v>0</v>
      </c>
      <c r="AB17" s="394" t="n">
        <f>'Haver Pivoted'!Z60</f>
        <v>0</v>
      </c>
      <c r="AC17" s="394" t="n">
        <f>'Haver Pivoted'!AA60</f>
        <v>0</v>
      </c>
      <c r="AD17" s="394" t="n">
        <f>'Haver Pivoted'!AB60</f>
        <v>0</v>
      </c>
      <c r="AE17" s="384" t="n">
        <f t="shared" si="13"/>
        <v>0</v>
      </c>
      <c r="AF17" s="384" t="n">
        <f t="shared" si="13"/>
        <v>0</v>
      </c>
      <c r="AG17" s="384" t="n">
        <f t="shared" si="13"/>
        <v>0</v>
      </c>
      <c r="AH17" s="384" t="n">
        <f t="shared" si="13"/>
        <v>0</v>
      </c>
      <c r="AI17" s="384" t="n">
        <f t="shared" si="14"/>
        <v>0</v>
      </c>
      <c r="AJ17" s="384" t="n">
        <f t="shared" si="15"/>
        <v>0</v>
      </c>
      <c r="AK17" s="384" t="n">
        <f t="shared" si="16"/>
        <v>0</v>
      </c>
      <c r="AL17" s="384" t="n">
        <f t="shared" si="17"/>
        <v>0</v>
      </c>
      <c r="AM17" s="384" t="n">
        <f t="shared" si="18"/>
        <v>0</v>
      </c>
      <c r="AN17" s="384" t="n">
        <f t="shared" si="19"/>
        <v>0</v>
      </c>
    </row>
    <row r="18" ht="18" customHeight="1">
      <c r="B18" s="400" t="s">
        <v>206</v>
      </c>
      <c r="C18" s="267" t="s">
        <v>207</v>
      </c>
      <c r="D18" s="418" t="n">
        <f>'Haver Pivoted'!B61</f>
        <v>0</v>
      </c>
      <c r="E18" s="392" t="n">
        <f>'Haver Pivoted'!C61</f>
        <v>0</v>
      </c>
      <c r="F18" s="392" t="n">
        <f>'Haver Pivoted'!D61</f>
        <v>0</v>
      </c>
      <c r="G18" s="392" t="n">
        <f>'Haver Pivoted'!E61</f>
        <v>0</v>
      </c>
      <c r="H18" s="392" t="n">
        <f>'Haver Pivoted'!F61</f>
        <v>0</v>
      </c>
      <c r="I18" s="392" t="n">
        <f>'Haver Pivoted'!G61</f>
        <v>0</v>
      </c>
      <c r="J18" s="392" t="n">
        <f>'Haver Pivoted'!H61</f>
        <v>0</v>
      </c>
      <c r="K18" s="392" t="n">
        <f>'Haver Pivoted'!I61</f>
        <v>0</v>
      </c>
      <c r="L18" s="392" t="n">
        <f>'Haver Pivoted'!J61</f>
        <v>0</v>
      </c>
      <c r="M18" s="392" t="n">
        <f>'Haver Pivoted'!K61</f>
        <v>0</v>
      </c>
      <c r="N18" s="392" t="n">
        <f>'Haver Pivoted'!L61</f>
        <v>0</v>
      </c>
      <c r="O18" s="392" t="n">
        <f>'Haver Pivoted'!M61</f>
        <v>0</v>
      </c>
      <c r="P18" s="392" t="n">
        <f>'Haver Pivoted'!N61</f>
        <v>0</v>
      </c>
      <c r="Q18" s="392" t="n">
        <f>'Haver Pivoted'!O61</f>
        <v>0</v>
      </c>
      <c r="R18" s="392" t="n">
        <f>'Haver Pivoted'!P61</f>
        <v>0</v>
      </c>
      <c r="S18" s="394" t="n">
        <f>'Haver Pivoted'!Q61</f>
        <v>0</v>
      </c>
      <c r="T18" s="394" t="n">
        <f>'Haver Pivoted'!R61</f>
        <v>0</v>
      </c>
      <c r="U18" s="394" t="n">
        <f>'Haver Pivoted'!S61</f>
        <v>0</v>
      </c>
      <c r="V18" s="394" t="n">
        <f>'Haver Pivoted'!T61</f>
        <v>0</v>
      </c>
      <c r="W18" s="394" t="n">
        <f>'Haver Pivoted'!U61</f>
        <v>0</v>
      </c>
      <c r="X18" s="394" t="n">
        <f>'Haver Pivoted'!V61</f>
        <v>0</v>
      </c>
      <c r="Y18" s="394" t="n">
        <f>'Haver Pivoted'!W61</f>
        <v>0</v>
      </c>
      <c r="Z18" s="394" t="n">
        <f>'Haver Pivoted'!X61</f>
        <v>0</v>
      </c>
      <c r="AA18" s="394" t="n">
        <f>'Haver Pivoted'!Y61</f>
        <v>0</v>
      </c>
      <c r="AB18" s="394" t="n">
        <f>'Haver Pivoted'!Z61</f>
        <v>0</v>
      </c>
      <c r="AC18" s="394" t="n">
        <f>'Haver Pivoted'!AA61</f>
        <v>0</v>
      </c>
      <c r="AD18" s="394" t="n">
        <f>'Haver Pivoted'!AB61</f>
        <v>0</v>
      </c>
      <c r="AE18" s="384" t="n">
        <f t="shared" si="13"/>
        <v>0</v>
      </c>
      <c r="AF18" s="384" t="n">
        <f t="shared" si="13"/>
        <v>0</v>
      </c>
      <c r="AG18" s="384" t="n">
        <f t="shared" si="13"/>
        <v>0</v>
      </c>
      <c r="AH18" s="384" t="n">
        <f t="shared" si="13"/>
        <v>0</v>
      </c>
      <c r="AI18" s="384" t="n">
        <f t="shared" si="14"/>
        <v>0</v>
      </c>
      <c r="AJ18" s="384" t="n">
        <f t="shared" si="15"/>
        <v>0</v>
      </c>
      <c r="AK18" s="384" t="n">
        <f t="shared" si="16"/>
        <v>0</v>
      </c>
      <c r="AL18" s="384" t="n">
        <f t="shared" si="17"/>
        <v>0</v>
      </c>
      <c r="AM18" s="384" t="n">
        <f t="shared" si="18"/>
        <v>0</v>
      </c>
      <c r="AN18" s="384" t="n">
        <f t="shared" si="19"/>
        <v>0</v>
      </c>
    </row>
    <row r="19">
      <c r="B19" s="401" t="s">
        <v>104</v>
      </c>
      <c r="C19" s="289" t="s">
        <v>208</v>
      </c>
      <c r="D19" s="419" t="n">
        <f>'Haver Pivoted'!B64</f>
        <v>0</v>
      </c>
      <c r="E19" s="286" t="n">
        <f>'Haver Pivoted'!C64</f>
        <v>0</v>
      </c>
      <c r="F19" s="286" t="n">
        <f>'Haver Pivoted'!D64</f>
        <v>0</v>
      </c>
      <c r="G19" s="286" t="n">
        <f>'Haver Pivoted'!E64</f>
        <v>0</v>
      </c>
      <c r="H19" s="286" t="n">
        <f>'Haver Pivoted'!F64</f>
        <v>0</v>
      </c>
      <c r="I19" s="286" t="n">
        <f>'Haver Pivoted'!G64</f>
        <v>0</v>
      </c>
      <c r="J19" s="286" t="n">
        <f>'Haver Pivoted'!H64</f>
        <v>0</v>
      </c>
      <c r="K19" s="286" t="n">
        <f>'Haver Pivoted'!I64</f>
        <v>0</v>
      </c>
      <c r="L19" s="286" t="n">
        <f>'Haver Pivoted'!J64</f>
        <v>0</v>
      </c>
      <c r="M19" s="286" t="n">
        <f>'Haver Pivoted'!K64</f>
        <v>0</v>
      </c>
      <c r="N19" s="286" t="n">
        <f>'Haver Pivoted'!L64</f>
        <v>0</v>
      </c>
      <c r="O19" s="286" t="n">
        <f>'Haver Pivoted'!M64</f>
        <v>0</v>
      </c>
      <c r="P19" s="286" t="n">
        <f>'Haver Pivoted'!N64</f>
        <v>0</v>
      </c>
      <c r="Q19" s="392" t="n">
        <f>'Haver Pivoted'!O64</f>
        <v>0</v>
      </c>
      <c r="R19" s="392" t="n">
        <f>'Haver Pivoted'!P64</f>
        <v>0</v>
      </c>
      <c r="S19" s="394" t="n">
        <f>'Haver Pivoted'!Q64</f>
        <v>0</v>
      </c>
      <c r="T19" s="394" t="n">
        <f>'Haver Pivoted'!R64</f>
        <v>0</v>
      </c>
      <c r="U19" s="394" t="n">
        <f>'Haver Pivoted'!S64</f>
        <v>0</v>
      </c>
      <c r="V19" s="394" t="n">
        <f>'Haver Pivoted'!T64</f>
        <v>0</v>
      </c>
      <c r="W19" s="394" t="n">
        <f>'Haver Pivoted'!U64</f>
        <v>0</v>
      </c>
      <c r="X19" s="394" t="n">
        <f>'Haver Pivoted'!V64</f>
        <v>0</v>
      </c>
      <c r="Y19" s="394" t="n">
        <f>'Haver Pivoted'!W64</f>
        <v>0</v>
      </c>
      <c r="Z19" s="394" t="n">
        <f>'Haver Pivoted'!X64</f>
        <v>0</v>
      </c>
      <c r="AA19" s="394" t="n">
        <f>'Haver Pivoted'!Y64</f>
        <v>0</v>
      </c>
      <c r="AB19" s="394" t="n">
        <f>'Haver Pivoted'!Z64</f>
        <v>0</v>
      </c>
      <c r="AC19" s="394" t="n">
        <f>'Haver Pivoted'!AA64</f>
        <v>0</v>
      </c>
      <c r="AD19" s="394" t="n">
        <f>'Haver Pivoted'!AB64</f>
        <v>0</v>
      </c>
      <c r="AE19" s="384"/>
      <c r="AF19" s="384"/>
      <c r="AG19" s="384"/>
      <c r="AH19" s="384"/>
      <c r="AI19" s="384"/>
      <c r="AJ19" s="384"/>
      <c r="AK19" s="384"/>
      <c r="AL19" s="384"/>
      <c r="AM19" s="384"/>
      <c r="AN19" s="384"/>
    </row>
    <row r="20" ht="14.9" customHeight="1">
      <c r="B20" s="416" t="s">
        <v>209</v>
      </c>
      <c r="C20" s="407"/>
      <c r="D20" s="411" t="n">
        <f t="shared" ref="D20:U20" si="20">D11-D21</f>
        <v>0</v>
      </c>
      <c r="E20" s="390" t="n">
        <f t="shared" si="20"/>
        <v>0</v>
      </c>
      <c r="F20" s="390" t="n">
        <f t="shared" si="20"/>
        <v>0</v>
      </c>
      <c r="G20" s="390" t="n">
        <f t="shared" si="20"/>
        <v>0</v>
      </c>
      <c r="H20" s="390" t="n">
        <f t="shared" si="20"/>
        <v>0</v>
      </c>
      <c r="I20" s="390" t="n">
        <f t="shared" si="20"/>
        <v>0</v>
      </c>
      <c r="J20" s="390" t="n">
        <f t="shared" si="20"/>
        <v>0</v>
      </c>
      <c r="K20" s="390" t="n">
        <f t="shared" si="20"/>
        <v>0</v>
      </c>
      <c r="L20" s="390" t="n">
        <f t="shared" si="20"/>
        <v>0</v>
      </c>
      <c r="M20" s="390" t="n">
        <f t="shared" si="20"/>
        <v>0</v>
      </c>
      <c r="N20" s="391" t="n">
        <f t="shared" si="20"/>
        <v>0</v>
      </c>
      <c r="O20" s="391" t="n">
        <f t="shared" si="20"/>
        <v>0</v>
      </c>
      <c r="P20" s="391" t="n">
        <f t="shared" si="20"/>
        <v>0</v>
      </c>
      <c r="Q20" s="391" t="n">
        <f t="shared" si="20"/>
        <v>0</v>
      </c>
      <c r="R20" s="391" t="n">
        <f t="shared" si="20"/>
        <v>0</v>
      </c>
      <c r="S20" s="391" t="n">
        <f t="shared" si="20"/>
        <v>0</v>
      </c>
      <c r="T20" s="391" t="n">
        <f t="shared" si="20"/>
        <v>0</v>
      </c>
      <c r="U20" s="391" t="n">
        <f t="shared" si="20"/>
        <v>0</v>
      </c>
      <c r="V20" s="390" t="n">
        <v>0</v>
      </c>
      <c r="W20" s="390" t="n">
        <v>0</v>
      </c>
      <c r="X20" s="395" t="n">
        <f t="shared" ref="X20:AH20" si="21">X11-X21</f>
        <v>7.3736571428571427</v>
      </c>
      <c r="Y20" s="395" t="n">
        <f t="shared" si="21"/>
        <v>12.317142857142855</v>
      </c>
      <c r="Z20" s="395" t="n">
        <f t="shared" si="21"/>
        <v>-14.7</v>
      </c>
      <c r="AA20" s="395" t="n">
        <f t="shared" si="21"/>
        <v>-16.900000000000002</v>
      </c>
      <c r="AB20" s="395" t="n">
        <f t="shared" si="21"/>
        <v>-18.000000000000004</v>
      </c>
      <c r="AC20" s="395" t="n">
        <f t="shared" si="21"/>
        <v>-19.400000000000002</v>
      </c>
      <c r="AD20" s="395" t="n">
        <f t="shared" si="21"/>
        <v>-19.600000000000001</v>
      </c>
      <c r="AE20" s="395" t="n">
        <f t="shared" si="21"/>
        <v>0</v>
      </c>
      <c r="AF20" s="395" t="n">
        <f t="shared" si="21"/>
        <v>0</v>
      </c>
      <c r="AG20" s="395" t="n">
        <f t="shared" si="21"/>
        <v>0</v>
      </c>
      <c r="AH20" s="395" t="n">
        <f t="shared" si="21"/>
        <v>0</v>
      </c>
      <c r="AI20" s="395" t="n">
        <f t="shared" ref="AI20:AJ20" si="22">AI11-AI21</f>
        <v>0</v>
      </c>
      <c r="AJ20" s="395" t="n">
        <f t="shared" si="22"/>
        <v>0</v>
      </c>
      <c r="AK20" s="395" t="n">
        <f t="shared" ref="AK20:AN20" si="23">AK11-AK21</f>
        <v>0</v>
      </c>
      <c r="AL20" s="395" t="n">
        <f t="shared" si="23"/>
        <v>0</v>
      </c>
      <c r="AM20" s="395" t="n">
        <f t="shared" si="23"/>
        <v>0</v>
      </c>
      <c r="AN20" s="395" t="n">
        <f t="shared" si="23"/>
        <v>0</v>
      </c>
    </row>
    <row r="21" ht="14.9" customHeight="1">
      <c r="B21" s="416" t="s">
        <v>210</v>
      </c>
      <c r="C21" s="407"/>
      <c r="D21" s="411" t="n">
        <f t="shared" ref="D21:I21" si="24">D11</f>
        <v>2.9</v>
      </c>
      <c r="E21" s="390" t="n">
        <f t="shared" si="24"/>
        <v>3.9</v>
      </c>
      <c r="F21" s="390" t="n">
        <f t="shared" si="24"/>
        <v>4.5999999999999996</v>
      </c>
      <c r="G21" s="390" t="n">
        <f t="shared" si="24"/>
        <v>5.4</v>
      </c>
      <c r="H21" s="390" t="n">
        <f t="shared" si="24"/>
        <v>5.7</v>
      </c>
      <c r="I21" s="390" t="n">
        <f t="shared" si="24"/>
        <v>6.3</v>
      </c>
      <c r="J21" s="390" t="n">
        <f>J11-J14-J13</f>
        <v>6.3</v>
      </c>
      <c r="K21" s="390" t="n">
        <f>K11-K14-K13</f>
        <v>6.3</v>
      </c>
      <c r="L21" s="390" t="n">
        <f>L11-L14-L13</f>
        <v>6.5</v>
      </c>
      <c r="M21" s="390" t="n">
        <f>M11-M14-M13</f>
        <v>6.9</v>
      </c>
      <c r="N21" s="391" t="n">
        <f t="shared" ref="N21:U21" si="25">N11-N13-N14</f>
        <v>5.8</v>
      </c>
      <c r="O21" s="391" t="n">
        <f t="shared" si="25"/>
        <v>5</v>
      </c>
      <c r="P21" s="391" t="n">
        <f t="shared" si="25"/>
        <v>4.5999999999999996</v>
      </c>
      <c r="Q21" s="392" t="n">
        <f t="shared" si="25"/>
        <v>4.5</v>
      </c>
      <c r="R21" s="392" t="n">
        <f t="shared" si="25"/>
        <v>4.5</v>
      </c>
      <c r="S21" s="392" t="n">
        <f t="shared" si="25"/>
        <v>4.7</v>
      </c>
      <c r="T21" s="392" t="n">
        <f t="shared" si="25"/>
        <v>5.8</v>
      </c>
      <c r="U21" s="392" t="n">
        <f t="shared" si="25"/>
        <v>6.7</v>
      </c>
      <c r="V21" s="390" t="n">
        <f>U21*V24/U24</f>
        <v>6.8914285714285715</v>
      </c>
      <c r="W21" s="390" t="n">
        <f>V21*W24/V24</f>
        <v>6.8914285714285715</v>
      </c>
      <c r="X21" s="395" t="n">
        <f t="shared" ref="X21:Y21" si="26">W21*X24/W24</f>
        <v>6.8263428571428566</v>
      </c>
      <c r="Y21" s="395" t="n">
        <f t="shared" si="26"/>
        <v>7.0828571428571427</v>
      </c>
      <c r="Z21" s="395" t="n">
        <v>34.9</v>
      </c>
      <c r="AA21" s="395" t="n">
        <v>35.700000000000003</v>
      </c>
      <c r="AB21" s="395" t="n">
        <v>35.700000000000003</v>
      </c>
      <c r="AC21" s="395" t="n">
        <v>35.700000000000003</v>
      </c>
      <c r="AD21" s="395" t="n">
        <v>35.700000000000003</v>
      </c>
      <c r="AE21" s="395" t="n">
        <v>35.700000000000003</v>
      </c>
      <c r="AF21" s="395" t="n">
        <v>35.700000000000003</v>
      </c>
      <c r="AG21" s="395" t="n">
        <v>35.700000000000003</v>
      </c>
      <c r="AH21" s="395" t="n">
        <v>35.700000000000003</v>
      </c>
      <c r="AI21" s="395" t="n">
        <v>35.700000000000003</v>
      </c>
      <c r="AJ21" s="395" t="n">
        <v>35.700000000000003</v>
      </c>
      <c r="AK21" s="395" t="n">
        <v>36.700000000000003</v>
      </c>
      <c r="AL21" s="395" t="n">
        <v>37.700000000000003</v>
      </c>
      <c r="AM21" s="395" t="n">
        <v>38.700000000000003</v>
      </c>
      <c r="AN21" s="395" t="n">
        <v>39.700000000000003</v>
      </c>
      <c r="AO21" s="412" t="s">
        <v>211</v>
      </c>
    </row>
    <row r="22">
      <c r="B22" s="401"/>
      <c r="C22" s="402"/>
      <c r="D22" s="418"/>
      <c r="E22" s="392"/>
      <c r="F22" s="392"/>
      <c r="G22" s="392"/>
      <c r="H22" s="388"/>
      <c r="I22" s="388"/>
      <c r="J22" s="388"/>
      <c r="K22" s="388"/>
      <c r="L22" s="388"/>
      <c r="M22" s="388"/>
      <c r="N22" s="388"/>
      <c r="O22" s="388"/>
      <c r="P22" s="388"/>
      <c r="Q22" s="388"/>
      <c r="R22" s="388"/>
      <c r="S22" s="388"/>
      <c r="T22" s="404"/>
      <c r="U22" s="388"/>
      <c r="V22" s="388"/>
      <c r="W22" s="384"/>
      <c r="X22" s="384"/>
      <c r="Y22" s="384"/>
      <c r="Z22" s="384"/>
      <c r="AA22" s="384"/>
      <c r="AB22" s="384"/>
      <c r="AC22" s="384"/>
      <c r="AD22" s="384"/>
      <c r="AE22" s="384"/>
      <c r="AF22" s="384"/>
      <c r="AG22" s="384"/>
      <c r="AH22" s="384"/>
      <c r="AI22" s="380"/>
      <c r="AJ22" s="380"/>
      <c r="AK22" s="380"/>
      <c r="AL22" s="380"/>
      <c r="AM22" s="380"/>
      <c r="AN22" s="380"/>
    </row>
    <row r="23">
      <c r="B23" s="429" t="s">
        <v>1860</v>
      </c>
      <c r="C23" s="402"/>
      <c r="D23" s="392"/>
      <c r="E23" s="392"/>
      <c r="F23" s="392"/>
      <c r="G23" s="392"/>
      <c r="H23" s="388"/>
      <c r="I23" s="388"/>
      <c r="J23" s="388"/>
      <c r="K23" s="388"/>
      <c r="L23" s="388"/>
      <c r="M23" s="388" t="n">
        <v>6.2329999999999997</v>
      </c>
      <c r="N23" s="388" t="n">
        <v>5.9329999999999998</v>
      </c>
      <c r="O23" s="388" t="n">
        <v>5.0659999999999998</v>
      </c>
      <c r="P23" s="388" t="n">
        <v>4.1660000000000004</v>
      </c>
      <c r="Q23" s="388" t="n">
        <v>3.8</v>
      </c>
      <c r="R23" s="388" t="n">
        <v>3.633</v>
      </c>
      <c r="S23" s="388" t="n">
        <v>3.5329999999999999</v>
      </c>
      <c r="T23" s="404" t="n">
        <v>3.5659999999999998</v>
      </c>
      <c r="U23" s="387" t="n">
        <v>3.5</v>
      </c>
      <c r="V23" s="387" t="n">
        <v>3.5659999999999998</v>
      </c>
      <c r="W23" s="386" t="n">
        <v>3.7</v>
      </c>
      <c r="X23" s="386" t="n">
        <v>3.7330000000000001</v>
      </c>
      <c r="Y23" s="386" t="n">
        <v>3.8</v>
      </c>
      <c r="Z23" s="386" t="n">
        <v>3.8809999999999998</v>
      </c>
      <c r="AA23" s="386" t="n">
        <v>3.915</v>
      </c>
      <c r="AB23" s="386" t="n">
        <v>3.9319999999999999</v>
      </c>
      <c r="AC23" s="386" t="n">
        <v>3.9569999999999999</v>
      </c>
      <c r="AD23" s="386" t="n">
        <v>3.9569999999999999</v>
      </c>
      <c r="AE23" s="386" t="n">
        <v>3.9750000000000001</v>
      </c>
      <c r="AF23" s="386" t="n">
        <v>4.0039999999999996</v>
      </c>
      <c r="AG23" s="386" t="n">
        <v>4.0780000000000003</v>
      </c>
      <c r="AH23" s="386" t="n">
        <v>4.1369999999999996</v>
      </c>
      <c r="AI23" s="433" t="n">
        <v>4.1870000000000003</v>
      </c>
      <c r="AJ23" s="433" t="n">
        <v>4.2279999999999998</v>
      </c>
      <c r="AK23" s="433" t="n">
        <v>4.2699999999999996</v>
      </c>
      <c r="AL23" s="433" t="n">
        <v>4.3049999999999997</v>
      </c>
      <c r="AM23" s="433" t="n">
        <v>4.34</v>
      </c>
      <c r="AN23" s="433" t="n">
        <v>4.3719999999999999</v>
      </c>
      <c r="AO23" s="289" t="n">
        <v>4.399</v>
      </c>
      <c r="AP23" s="289" t="n">
        <v>4.4189999999999996</v>
      </c>
      <c r="AQ23" s="289" t="n">
        <v>4.4359999999999999</v>
      </c>
      <c r="AR23" s="289" t="n">
        <v>4.4489999999999998</v>
      </c>
      <c r="AS23" s="289" t="n">
        <v>4.4630000000000001</v>
      </c>
      <c r="AT23" s="289" t="n">
        <v>4.4710000000000001</v>
      </c>
      <c r="AU23" s="289" t="n">
        <v>4.476</v>
      </c>
      <c r="AV23" s="289" t="n">
        <v>4.4790000000000001</v>
      </c>
      <c r="AW23" s="289" t="n">
        <v>4.484</v>
      </c>
      <c r="AX23" s="289" t="n">
        <v>4.4850000000000003</v>
      </c>
      <c r="AY23" s="289" t="n">
        <v>4.484</v>
      </c>
      <c r="AZ23" s="289" t="n">
        <v>4.4829999999999997</v>
      </c>
      <c r="BA23" s="289" t="n">
        <v>4.4829999999999997</v>
      </c>
      <c r="BB23" s="289" t="n">
        <v>4.4809999999999999</v>
      </c>
      <c r="BC23" s="289" t="n">
        <v>4.4779999999999998</v>
      </c>
      <c r="BD23" s="289" t="n">
        <v>4.4749999999999996</v>
      </c>
      <c r="BE23" s="289" t="n">
        <v>4.4749999999999996</v>
      </c>
      <c r="BF23" s="289" t="n">
        <v>4.4710000000000001</v>
      </c>
      <c r="BG23" s="289" t="n">
        <v>4.4669999999999996</v>
      </c>
      <c r="BH23" s="289" t="n">
        <v>4.4619999999999997</v>
      </c>
      <c r="BI23" s="289" t="n">
        <v>4.4589999999999996</v>
      </c>
      <c r="BJ23" s="289" t="n">
        <v>4.4539999999999997</v>
      </c>
      <c r="BK23" s="289" t="n">
        <v>4.4480000000000004</v>
      </c>
      <c r="BL23" s="289" t="n">
        <v>4.4429999999999996</v>
      </c>
      <c r="BM23" s="289" t="n">
        <v>4.4379999999999997</v>
      </c>
      <c r="BN23" s="289" t="n">
        <v>4.4329999999999998</v>
      </c>
      <c r="BO23" s="289" t="n">
        <v>4.4279999999999999</v>
      </c>
      <c r="BP23" s="289" t="n">
        <v>4.4219999999999997</v>
      </c>
      <c r="BQ23" s="289" t="n">
        <v>4.4219999999999997</v>
      </c>
    </row>
    <row r="24">
      <c r="B24" s="401" t="s">
        <v>1727</v>
      </c>
      <c r="C24" s="289"/>
      <c r="D24" s="419"/>
      <c r="E24" s="286"/>
      <c r="F24" s="286"/>
      <c r="G24" s="286"/>
      <c r="H24" s="388"/>
      <c r="I24" s="388"/>
      <c r="J24" s="388"/>
      <c r="K24" s="388"/>
      <c r="L24" s="388"/>
      <c r="M24" s="388" t="n">
        <f t="shared" ref="M24:U24" si="27">GETPIVOTDATA("Monthly UR",$E$30,"Quarters",M25,"Years",M26)</f>
        <v>6.166666666666667</v>
      </c>
      <c r="N24" s="388" t="n">
        <f t="shared" si="27"/>
        <v>5.7666666666666657</v>
      </c>
      <c r="O24" s="388" t="n">
        <f t="shared" si="27"/>
        <v>5.1333333333333337</v>
      </c>
      <c r="P24" s="388" t="n">
        <f t="shared" si="27"/>
        <v>4.2333333333333334</v>
      </c>
      <c r="Q24" s="388" t="n">
        <f t="shared" si="27"/>
        <v>3.8000000000000003</v>
      </c>
      <c r="R24" s="388" t="n">
        <f t="shared" si="27"/>
        <v>3.6</v>
      </c>
      <c r="S24" s="388" t="n">
        <f t="shared" si="27"/>
        <v>3.5666666666666664</v>
      </c>
      <c r="T24" s="388" t="n">
        <f t="shared" si="27"/>
        <v>3.6</v>
      </c>
      <c r="U24" s="389" t="n">
        <f t="shared" si="27"/>
        <v>3.5</v>
      </c>
      <c r="V24" s="396" t="n">
        <v>3.6</v>
      </c>
      <c r="W24" s="396" t="n">
        <v>3.6</v>
      </c>
      <c r="X24" s="396" t="n">
        <f>V23</f>
        <v>3.5659999999999998</v>
      </c>
      <c r="Y24" s="396" t="n">
        <f t="shared" ref="Y24:AC24" si="28">W23</f>
        <v>3.7</v>
      </c>
      <c r="Z24" s="396" t="n">
        <f t="shared" si="28"/>
        <v>3.7330000000000001</v>
      </c>
      <c r="AA24" s="396" t="n">
        <f t="shared" si="28"/>
        <v>3.8</v>
      </c>
      <c r="AB24" s="396" t="n">
        <f t="shared" si="28"/>
        <v>3.8809999999999998</v>
      </c>
      <c r="AC24" s="396" t="n">
        <f t="shared" si="28"/>
        <v>3.915</v>
      </c>
      <c r="AD24" s="396" t="n">
        <f>AB23</f>
        <v>3.9319999999999999</v>
      </c>
      <c r="AE24" s="396" t="n">
        <f t="shared" ref="AE24:AN24" si="29">AE23</f>
        <v>3.9750000000000001</v>
      </c>
      <c r="AF24" s="396" t="n">
        <f t="shared" si="29"/>
        <v>4.0039999999999996</v>
      </c>
      <c r="AG24" s="396" t="n">
        <f t="shared" si="29"/>
        <v>4.0780000000000003</v>
      </c>
      <c r="AH24" s="396" t="n">
        <f t="shared" si="29"/>
        <v>4.1369999999999996</v>
      </c>
      <c r="AI24" s="396" t="n">
        <f t="shared" si="29"/>
        <v>4.1870000000000003</v>
      </c>
      <c r="AJ24" s="396" t="n">
        <f t="shared" si="29"/>
        <v>4.2279999999999998</v>
      </c>
      <c r="AK24" s="396" t="n">
        <f t="shared" si="29"/>
        <v>4.2699999999999996</v>
      </c>
      <c r="AL24" s="396" t="n">
        <f t="shared" si="29"/>
        <v>4.3049999999999997</v>
      </c>
      <c r="AM24" s="396" t="n">
        <f t="shared" si="29"/>
        <v>4.34</v>
      </c>
      <c r="AN24" s="396" t="n">
        <f t="shared" si="29"/>
        <v>4.3719999999999999</v>
      </c>
    </row>
    <row r="25" ht="15.75" customHeight="1">
      <c r="B25" s="397" t="s">
        <v>1720</v>
      </c>
      <c r="C25" s="398"/>
      <c r="D25" s="399"/>
      <c r="E25" s="399"/>
      <c r="F25" s="399"/>
      <c r="G25" s="399"/>
      <c r="H25" s="399"/>
      <c r="I25" s="399"/>
      <c r="J25" s="399"/>
      <c r="K25" s="399"/>
      <c r="L25" s="399"/>
      <c r="M25" s="399" t="n">
        <v>1</v>
      </c>
      <c r="N25" s="399" t="n">
        <v>2</v>
      </c>
      <c r="O25" s="399" t="n">
        <v>3</v>
      </c>
      <c r="P25" s="399" t="n">
        <v>4</v>
      </c>
      <c r="Q25" s="399" t="n">
        <v>1</v>
      </c>
      <c r="R25" s="399" t="n">
        <v>2</v>
      </c>
      <c r="S25" s="399" t="n">
        <v>3</v>
      </c>
      <c r="T25" s="399" t="n">
        <v>4</v>
      </c>
      <c r="U25" s="399" t="n">
        <v>1</v>
      </c>
      <c r="V25" s="399" t="n">
        <v>2</v>
      </c>
      <c r="W25" s="399" t="n">
        <v>3</v>
      </c>
      <c r="X25" s="399" t="n">
        <v>4</v>
      </c>
      <c r="Y25" s="399" t="n">
        <v>1</v>
      </c>
      <c r="Z25" s="399" t="n">
        <v>2</v>
      </c>
      <c r="AA25" s="399" t="n">
        <v>3</v>
      </c>
      <c r="AB25" s="399" t="n">
        <v>4</v>
      </c>
      <c r="AC25" s="399" t="n">
        <v>1</v>
      </c>
      <c r="AD25" s="399" t="n">
        <v>2</v>
      </c>
      <c r="AE25" s="399" t="n">
        <v>3</v>
      </c>
      <c r="AF25" s="399" t="n">
        <v>4</v>
      </c>
      <c r="AG25" s="399" t="n">
        <v>1</v>
      </c>
      <c r="AH25" s="399" t="n">
        <v>2</v>
      </c>
      <c r="AI25" s="399" t="n">
        <v>3</v>
      </c>
      <c r="AJ25" s="399" t="n">
        <v>4</v>
      </c>
      <c r="AK25" s="399" t="n">
        <v>1</v>
      </c>
      <c r="AL25" s="399" t="n">
        <v>2</v>
      </c>
      <c r="AM25" s="399" t="n">
        <v>3</v>
      </c>
      <c r="AN25" s="399" t="n">
        <v>4</v>
      </c>
    </row>
    <row r="26">
      <c r="B26" s="408" t="s">
        <v>1721</v>
      </c>
      <c r="C26" s="409"/>
      <c r="D26" s="410"/>
      <c r="E26" s="410"/>
      <c r="F26" s="410"/>
      <c r="G26" s="410"/>
      <c r="H26" s="410"/>
      <c r="I26" s="410"/>
      <c r="J26" s="410"/>
      <c r="K26" s="410"/>
      <c r="L26" s="410"/>
      <c r="M26" s="410" t="n">
        <v>2021</v>
      </c>
      <c r="N26" s="410" t="n">
        <v>2021</v>
      </c>
      <c r="O26" s="410" t="n">
        <v>2021</v>
      </c>
      <c r="P26" s="410" t="n">
        <v>2021</v>
      </c>
      <c r="Q26" s="410" t="n">
        <v>2022</v>
      </c>
      <c r="R26" s="410" t="n">
        <v>2022</v>
      </c>
      <c r="S26" s="410" t="n">
        <v>2022</v>
      </c>
      <c r="T26" s="410" t="n">
        <v>2022</v>
      </c>
      <c r="U26" s="410" t="n">
        <v>2023</v>
      </c>
      <c r="V26" s="410" t="n">
        <v>2023</v>
      </c>
      <c r="W26" s="410" t="n">
        <v>2023</v>
      </c>
      <c r="X26" s="410" t="n">
        <v>2023</v>
      </c>
      <c r="Y26" s="410" t="n">
        <v>2024</v>
      </c>
      <c r="Z26" s="410" t="n">
        <v>2024</v>
      </c>
      <c r="AA26" s="410" t="n">
        <v>2024</v>
      </c>
      <c r="AB26" s="410" t="n">
        <v>2024</v>
      </c>
      <c r="AC26" s="410" t="n">
        <v>2025</v>
      </c>
      <c r="AD26" s="410" t="n">
        <v>2025</v>
      </c>
      <c r="AE26" s="410" t="n">
        <v>2025</v>
      </c>
      <c r="AF26" s="410" t="n">
        <v>2025</v>
      </c>
      <c r="AG26" s="410" t="n">
        <v>2026</v>
      </c>
      <c r="AH26" s="410" t="n">
        <v>2026</v>
      </c>
      <c r="AI26" s="410" t="n">
        <v>2026</v>
      </c>
      <c r="AJ26" s="410" t="n">
        <v>2026</v>
      </c>
      <c r="AK26" s="410" t="n">
        <v>2027</v>
      </c>
      <c r="AL26" s="410" t="n">
        <v>2027</v>
      </c>
      <c r="AM26" s="410" t="n">
        <v>2027</v>
      </c>
      <c r="AN26" s="410" t="n">
        <v>2027</v>
      </c>
    </row>
    <row r="27">
      <c r="B27" s="78"/>
      <c r="C27" s="289"/>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387"/>
    </row>
    <row r="28">
      <c r="C28" s="289"/>
      <c r="D28" s="286"/>
      <c r="E28" s="286"/>
      <c r="F28" s="286"/>
      <c r="G28" s="286"/>
      <c r="H28" s="388"/>
      <c r="I28" s="388"/>
      <c r="J28" s="388"/>
      <c r="K28" s="388"/>
      <c r="L28" s="388"/>
      <c r="M28" s="388"/>
      <c r="N28" s="388"/>
      <c r="O28" s="388"/>
      <c r="P28" s="388"/>
      <c r="AI28" s="387"/>
    </row>
    <row r="29">
      <c r="M29" s="289"/>
      <c r="N29" s="289"/>
      <c r="O29" s="289"/>
    </row>
    <row r="30" ht="45" customHeight="1">
      <c r="B30" s="425" t="s">
        <v>213</v>
      </c>
      <c r="C30" s="426" t="s">
        <v>214</v>
      </c>
      <c r="D30" s="423"/>
      <c r="E30" s="45" t="s">
        <v>1710</v>
      </c>
      <c r="F30" s="45" t="s">
        <v>1715</v>
      </c>
      <c r="G30" s="45"/>
      <c r="H30" s="45"/>
      <c r="I30" s="45"/>
      <c r="J30" s="45"/>
      <c r="O30" s="427"/>
    </row>
    <row r="31">
      <c r="B31" s="420" t="n">
        <v>44197</v>
      </c>
      <c r="C31" s="287" t="n">
        <v>6.3</v>
      </c>
      <c r="D31" s="424"/>
      <c r="E31" s="434" t="s">
        <v>1645</v>
      </c>
      <c r="F31" s="78"/>
      <c r="G31" s="78"/>
      <c r="H31" s="89"/>
      <c r="I31" s="78"/>
      <c r="J31" s="89"/>
      <c r="O31" s="289"/>
    </row>
    <row r="32">
      <c r="B32" s="420" t="n">
        <v>44228</v>
      </c>
      <c r="C32" s="287" t="n">
        <v>6.2</v>
      </c>
      <c r="D32" s="424"/>
      <c r="E32" s="148" t="s">
        <v>1711</v>
      </c>
      <c r="F32" s="176" t="n">
        <v>6.166666666666667</v>
      </c>
      <c r="G32" s="78"/>
      <c r="H32" s="89"/>
      <c r="I32" s="78"/>
      <c r="J32" s="89"/>
      <c r="O32" s="289"/>
    </row>
    <row r="33">
      <c r="B33" s="420" t="n">
        <v>44256</v>
      </c>
      <c r="C33" s="287" t="n">
        <v>6</v>
      </c>
      <c r="D33" s="424"/>
      <c r="E33" s="148" t="s">
        <v>1712</v>
      </c>
      <c r="F33" s="176" t="n">
        <v>5.7666666666666657</v>
      </c>
      <c r="G33" s="78"/>
      <c r="H33" s="89"/>
      <c r="I33" s="78"/>
      <c r="J33" s="89"/>
      <c r="O33" s="289"/>
    </row>
    <row r="34">
      <c r="B34" s="420" t="n">
        <v>44287</v>
      </c>
      <c r="C34" s="287" t="n">
        <v>6.1</v>
      </c>
      <c r="D34" s="424"/>
      <c r="E34" s="148" t="s">
        <v>1713</v>
      </c>
      <c r="F34" s="176" t="n">
        <v>5.1333333333333337</v>
      </c>
      <c r="G34" s="78"/>
      <c r="H34" s="89"/>
      <c r="I34" s="78"/>
      <c r="J34" s="89"/>
      <c r="O34" s="289"/>
    </row>
    <row r="35">
      <c r="A35" s="78"/>
      <c r="B35" s="420" t="n">
        <v>44317</v>
      </c>
      <c r="C35" s="287" t="n">
        <v>5.8</v>
      </c>
      <c r="D35" s="424"/>
      <c r="E35" s="148" t="s">
        <v>1714</v>
      </c>
      <c r="F35" s="176" t="n">
        <v>4.2333333333333334</v>
      </c>
      <c r="G35" s="78"/>
      <c r="H35" s="89"/>
      <c r="I35" s="78"/>
      <c r="J35" s="89"/>
      <c r="O35" s="289"/>
    </row>
    <row r="36">
      <c r="A36" s="78"/>
      <c r="B36" s="420" t="n">
        <v>44348</v>
      </c>
      <c r="C36" s="287" t="n">
        <v>5.4</v>
      </c>
      <c r="D36" s="424"/>
      <c r="E36" s="434" t="s">
        <v>1634</v>
      </c>
      <c r="F36" s="176"/>
      <c r="G36" s="78"/>
      <c r="H36" s="89"/>
      <c r="I36" s="78"/>
      <c r="J36" s="89"/>
      <c r="O36" s="289"/>
    </row>
    <row r="37">
      <c r="A37" s="78"/>
      <c r="B37" s="420" t="n">
        <v>44378</v>
      </c>
      <c r="C37" s="287" t="n">
        <v>5.4</v>
      </c>
      <c r="D37" s="424"/>
      <c r="E37" s="148" t="s">
        <v>1711</v>
      </c>
      <c r="F37" s="176" t="n">
        <v>3.8000000000000003</v>
      </c>
      <c r="G37" s="78"/>
      <c r="H37" s="89"/>
      <c r="I37" s="78"/>
      <c r="J37" s="89"/>
      <c r="O37" s="289"/>
    </row>
    <row r="38">
      <c r="A38" s="78"/>
      <c r="B38" s="420" t="n">
        <v>44409</v>
      </c>
      <c r="C38" s="287" t="n">
        <v>5.2</v>
      </c>
      <c r="D38" s="424"/>
      <c r="E38" s="148" t="s">
        <v>1712</v>
      </c>
      <c r="F38" s="176" t="n">
        <v>3.6</v>
      </c>
      <c r="G38" s="78"/>
      <c r="H38" s="89"/>
      <c r="I38" s="78"/>
      <c r="J38" s="89"/>
      <c r="O38" s="289"/>
    </row>
    <row r="39">
      <c r="A39" s="78"/>
      <c r="B39" s="420" t="n">
        <v>44440</v>
      </c>
      <c r="C39" s="287" t="n">
        <v>4.8</v>
      </c>
      <c r="D39" s="424"/>
      <c r="E39" s="148" t="s">
        <v>1713</v>
      </c>
      <c r="F39" s="176" t="n">
        <v>3.5666666666666664</v>
      </c>
      <c r="G39" s="78"/>
      <c r="H39" s="89"/>
      <c r="I39" s="78"/>
      <c r="J39" s="89"/>
      <c r="O39" s="289"/>
    </row>
    <row r="40">
      <c r="A40" s="78"/>
      <c r="B40" s="420" t="n">
        <v>44470</v>
      </c>
      <c r="C40" s="287" t="n">
        <v>4.5999999999999996</v>
      </c>
      <c r="D40" s="424"/>
      <c r="E40" s="148" t="s">
        <v>1714</v>
      </c>
      <c r="F40" s="176" t="n">
        <v>3.6</v>
      </c>
      <c r="G40" s="78"/>
      <c r="H40" s="89"/>
      <c r="I40" s="78"/>
      <c r="J40" s="89"/>
      <c r="O40" s="289"/>
    </row>
    <row r="41">
      <c r="A41" s="78"/>
      <c r="B41" s="420" t="n">
        <v>44501</v>
      </c>
      <c r="C41" s="287" t="n">
        <v>4.2</v>
      </c>
      <c r="D41" s="424"/>
      <c r="E41" s="434" t="s">
        <v>1716</v>
      </c>
      <c r="F41" s="176"/>
      <c r="G41" s="78"/>
      <c r="H41" s="89"/>
      <c r="I41" s="78"/>
      <c r="J41" s="89"/>
      <c r="O41" s="289"/>
      <c r="AI41" s="289"/>
      <c r="AJ41" s="289"/>
      <c r="AK41" s="289"/>
      <c r="AL41" s="289"/>
      <c r="AM41" s="289"/>
      <c r="AN41" s="289"/>
      <c r="AO41" s="289"/>
      <c r="AP41" s="289"/>
      <c r="AQ41" s="289"/>
    </row>
    <row r="42">
      <c r="A42" s="78"/>
      <c r="B42" s="420" t="n">
        <v>44531</v>
      </c>
      <c r="C42" s="287" t="n">
        <v>3.9</v>
      </c>
      <c r="D42" s="424"/>
      <c r="E42" s="148" t="s">
        <v>1711</v>
      </c>
      <c r="F42" s="176" t="n">
        <v>3.5</v>
      </c>
      <c r="G42" s="78"/>
      <c r="H42" s="89"/>
      <c r="I42" s="78"/>
      <c r="J42" s="89"/>
      <c r="O42" s="289"/>
      <c r="AI42" s="289"/>
      <c r="AJ42" s="289"/>
      <c r="AK42" s="289"/>
      <c r="AL42" s="289"/>
      <c r="AM42" s="289"/>
      <c r="AN42" s="289"/>
      <c r="AO42" s="289"/>
      <c r="AP42" s="289"/>
      <c r="AQ42" s="289"/>
    </row>
    <row r="43">
      <c r="A43" s="78"/>
      <c r="B43" s="420" t="n">
        <v>44562</v>
      </c>
      <c r="C43" s="287" t="n">
        <v>4</v>
      </c>
      <c r="D43" s="78"/>
      <c r="E43" s="148" t="s">
        <v>1712</v>
      </c>
      <c r="F43" s="176"/>
      <c r="G43" s="78"/>
      <c r="H43" s="89"/>
      <c r="I43" s="78"/>
      <c r="J43" s="89"/>
      <c r="O43" s="289"/>
    </row>
    <row r="44">
      <c r="A44" s="78"/>
      <c r="B44" s="420" t="n">
        <v>44593</v>
      </c>
      <c r="C44" s="287" t="n">
        <v>3.8</v>
      </c>
      <c r="D44" s="78"/>
      <c r="E44" s="148" t="s">
        <v>1713</v>
      </c>
      <c r="F44" s="176"/>
      <c r="G44" s="78"/>
      <c r="H44" s="89"/>
      <c r="I44" s="78"/>
      <c r="J44" s="89"/>
    </row>
    <row r="45">
      <c r="A45" s="78"/>
      <c r="B45" s="420" t="n">
        <v>44621</v>
      </c>
      <c r="C45" s="287" t="n">
        <v>3.6</v>
      </c>
      <c r="D45" s="78"/>
      <c r="E45" s="148" t="s">
        <v>1714</v>
      </c>
      <c r="F45" s="176"/>
      <c r="G45" s="78"/>
      <c r="H45" s="89"/>
      <c r="I45" s="78"/>
      <c r="J45" s="89"/>
    </row>
    <row r="46">
      <c r="A46" s="78"/>
      <c r="B46" s="420" t="n">
        <v>44652</v>
      </c>
      <c r="C46" s="287" t="n">
        <v>3.6</v>
      </c>
      <c r="D46" s="78"/>
      <c r="E46" s="434" t="s">
        <v>1717</v>
      </c>
      <c r="F46" s="176"/>
      <c r="G46" s="78"/>
      <c r="H46" s="89"/>
      <c r="I46" s="78"/>
      <c r="J46" s="89"/>
    </row>
    <row r="47">
      <c r="A47" s="78"/>
      <c r="B47" s="420" t="n">
        <v>44682</v>
      </c>
      <c r="C47" s="287" t="n">
        <v>3.6</v>
      </c>
      <c r="D47" s="78"/>
      <c r="E47" s="148" t="s">
        <v>1711</v>
      </c>
      <c r="F47" s="176"/>
      <c r="G47" s="78"/>
      <c r="H47" s="89"/>
      <c r="I47" s="78"/>
      <c r="J47" s="89"/>
    </row>
    <row r="48">
      <c r="A48" s="78"/>
      <c r="B48" s="420" t="n">
        <v>44713</v>
      </c>
      <c r="C48" s="287" t="n">
        <v>3.6</v>
      </c>
      <c r="D48" s="78"/>
      <c r="E48" s="148" t="s">
        <v>1712</v>
      </c>
      <c r="F48" s="176"/>
      <c r="G48" s="78"/>
      <c r="H48" s="89"/>
      <c r="I48" s="78"/>
      <c r="J48" s="89"/>
    </row>
    <row r="49">
      <c r="A49" s="78"/>
      <c r="B49" s="420" t="n">
        <v>44743</v>
      </c>
      <c r="C49" s="287" t="n">
        <v>3.5</v>
      </c>
      <c r="D49" s="78"/>
      <c r="E49" s="148" t="s">
        <v>1713</v>
      </c>
      <c r="F49" s="176"/>
      <c r="G49" s="78"/>
      <c r="H49" s="89"/>
      <c r="I49" s="78"/>
      <c r="J49" s="89"/>
    </row>
    <row r="50">
      <c r="A50" s="78"/>
      <c r="B50" s="420" t="n">
        <v>44774</v>
      </c>
      <c r="C50" s="287" t="n">
        <v>3.7</v>
      </c>
      <c r="D50" s="78"/>
      <c r="E50" s="148" t="s">
        <v>1714</v>
      </c>
      <c r="F50" s="176"/>
      <c r="G50" s="78"/>
      <c r="H50" s="89"/>
      <c r="I50" s="78"/>
      <c r="J50" s="89"/>
    </row>
    <row r="51">
      <c r="A51" s="78"/>
      <c r="B51" s="420" t="n">
        <v>44805</v>
      </c>
      <c r="C51" s="287" t="n">
        <v>3.5</v>
      </c>
      <c r="D51" s="78"/>
      <c r="E51" s="434" t="s">
        <v>1718</v>
      </c>
      <c r="F51" s="176"/>
      <c r="G51" s="78"/>
      <c r="H51" s="78"/>
      <c r="I51" s="78"/>
      <c r="J51" s="78"/>
    </row>
    <row r="52">
      <c r="A52" s="78"/>
      <c r="B52" s="420" t="n">
        <v>44835</v>
      </c>
      <c r="C52" s="287" t="n">
        <v>3.7</v>
      </c>
      <c r="D52" s="78"/>
      <c r="E52" s="148" t="s">
        <v>1711</v>
      </c>
      <c r="F52" s="176"/>
      <c r="G52" s="78"/>
      <c r="H52" s="78"/>
      <c r="I52" s="78"/>
      <c r="J52" s="78"/>
    </row>
    <row r="53">
      <c r="A53" s="78"/>
      <c r="B53" s="420" t="n">
        <v>44866</v>
      </c>
      <c r="C53" s="287" t="n">
        <v>3.6</v>
      </c>
      <c r="D53" s="78"/>
      <c r="E53" s="148" t="s">
        <v>1712</v>
      </c>
      <c r="F53" s="176"/>
      <c r="G53" s="78"/>
      <c r="H53" s="78"/>
      <c r="I53" s="78"/>
      <c r="J53" s="78"/>
    </row>
    <row r="54">
      <c r="A54" s="78"/>
      <c r="B54" s="420" t="n">
        <v>44896</v>
      </c>
      <c r="C54" s="287" t="n">
        <v>3.5</v>
      </c>
      <c r="D54" s="78"/>
      <c r="E54" s="148" t="s">
        <v>1713</v>
      </c>
      <c r="F54" s="176"/>
      <c r="G54" s="78"/>
      <c r="H54" s="78"/>
      <c r="I54" s="78"/>
      <c r="J54" s="78"/>
    </row>
    <row r="55">
      <c r="B55" s="420" t="n">
        <v>44927</v>
      </c>
      <c r="C55" s="287" t="n">
        <v>3.4</v>
      </c>
      <c r="D55" s="78"/>
      <c r="E55" s="148" t="s">
        <v>1714</v>
      </c>
      <c r="F55" s="176"/>
      <c r="G55" s="78"/>
      <c r="H55" s="78"/>
      <c r="I55" s="78"/>
      <c r="J55" s="78"/>
    </row>
    <row r="56">
      <c r="B56" s="420" t="n">
        <v>44958</v>
      </c>
      <c r="C56" s="287" t="n">
        <v>3.6</v>
      </c>
      <c r="D56" s="78"/>
      <c r="E56" s="434" t="s">
        <v>1719</v>
      </c>
      <c r="F56" s="176"/>
      <c r="G56" s="78"/>
      <c r="H56" s="78"/>
      <c r="I56" s="78"/>
      <c r="J56" s="78"/>
    </row>
    <row r="57">
      <c r="B57" s="420" t="n">
        <v>44986</v>
      </c>
      <c r="C57" s="287" t="n">
        <v>3.5</v>
      </c>
      <c r="D57" s="78"/>
      <c r="E57" s="148" t="s">
        <v>1711</v>
      </c>
      <c r="F57" s="176"/>
      <c r="G57" s="78"/>
      <c r="H57" s="78"/>
      <c r="I57" s="78"/>
      <c r="J57" s="78"/>
    </row>
    <row r="58">
      <c r="B58" s="420" t="n">
        <v>45017</v>
      </c>
      <c r="C58" s="287"/>
      <c r="D58" s="78"/>
      <c r="E58" s="148" t="s">
        <v>1712</v>
      </c>
      <c r="F58" s="176"/>
      <c r="G58" s="78"/>
      <c r="H58" s="78"/>
      <c r="I58" s="78"/>
      <c r="J58" s="78"/>
    </row>
    <row r="59">
      <c r="B59" s="420" t="n">
        <v>45047</v>
      </c>
      <c r="C59" s="287"/>
      <c r="D59" s="78"/>
      <c r="E59" s="148" t="s">
        <v>1713</v>
      </c>
      <c r="F59" s="176"/>
      <c r="G59" s="78"/>
      <c r="H59" s="78"/>
      <c r="I59" s="78"/>
      <c r="J59" s="78"/>
    </row>
    <row r="60">
      <c r="B60" s="420" t="n">
        <v>45078</v>
      </c>
      <c r="C60" s="287"/>
      <c r="D60" s="78"/>
      <c r="E60" s="148" t="s">
        <v>1714</v>
      </c>
      <c r="F60" s="176"/>
      <c r="G60" s="78"/>
      <c r="H60" s="78"/>
      <c r="I60" s="78"/>
      <c r="J60" s="78"/>
    </row>
    <row r="61">
      <c r="B61" s="420" t="n">
        <v>45108</v>
      </c>
      <c r="C61" s="287"/>
      <c r="D61" s="78"/>
      <c r="E61" s="78"/>
      <c r="F61" s="78"/>
      <c r="G61" s="78"/>
      <c r="H61" s="78"/>
      <c r="I61" s="78"/>
      <c r="J61" s="78"/>
    </row>
    <row r="62">
      <c r="B62" s="420" t="n">
        <v>45139</v>
      </c>
      <c r="C62" s="287"/>
      <c r="D62" s="78"/>
      <c r="E62" s="78"/>
      <c r="F62" s="78"/>
      <c r="G62" s="78"/>
      <c r="H62" s="78"/>
      <c r="I62" s="78"/>
      <c r="J62" s="78"/>
    </row>
    <row r="63">
      <c r="B63" s="420" t="n">
        <v>45170</v>
      </c>
      <c r="C63" s="287"/>
      <c r="D63" s="78"/>
      <c r="E63" s="78"/>
      <c r="F63" s="78"/>
      <c r="G63" s="78"/>
      <c r="H63" s="78"/>
      <c r="I63" s="78"/>
      <c r="J63" s="78"/>
    </row>
    <row r="64">
      <c r="B64" s="420" t="n">
        <v>45200</v>
      </c>
      <c r="C64" s="287"/>
      <c r="D64" s="78"/>
      <c r="E64" s="78"/>
      <c r="F64" s="78"/>
      <c r="G64" s="78"/>
      <c r="H64" s="78"/>
      <c r="I64" s="78"/>
      <c r="J64" s="78"/>
    </row>
    <row r="65">
      <c r="B65" s="420" t="n">
        <v>45231</v>
      </c>
      <c r="C65" s="287"/>
      <c r="D65" s="78"/>
      <c r="E65" s="78"/>
      <c r="F65" s="78"/>
      <c r="G65" s="78"/>
      <c r="H65" s="78"/>
      <c r="I65" s="78"/>
      <c r="J65" s="78"/>
    </row>
    <row r="66">
      <c r="B66" s="420" t="n">
        <v>45261</v>
      </c>
      <c r="C66" s="287"/>
      <c r="D66" s="78"/>
      <c r="E66" s="78"/>
      <c r="F66" s="78"/>
      <c r="G66" s="78"/>
      <c r="H66" s="78"/>
      <c r="I66" s="78"/>
      <c r="J66" s="78"/>
    </row>
    <row r="67">
      <c r="B67" s="420" t="n">
        <v>45292</v>
      </c>
      <c r="C67" s="287"/>
      <c r="D67" s="78"/>
      <c r="E67" s="78"/>
      <c r="F67" s="78"/>
      <c r="G67" s="78"/>
      <c r="H67" s="78"/>
      <c r="I67" s="78"/>
      <c r="J67" s="78"/>
    </row>
    <row r="68">
      <c r="B68" s="420" t="n">
        <v>45323</v>
      </c>
      <c r="C68" s="287"/>
      <c r="D68" s="78"/>
      <c r="E68" s="78"/>
      <c r="F68" s="78"/>
      <c r="G68" s="78"/>
      <c r="H68" s="78"/>
      <c r="I68" s="78"/>
      <c r="J68" s="78"/>
    </row>
    <row r="69">
      <c r="B69" s="420" t="n">
        <v>45352</v>
      </c>
      <c r="C69" s="287"/>
      <c r="D69" s="78"/>
      <c r="E69" s="78"/>
      <c r="F69" s="78"/>
      <c r="G69" s="78"/>
      <c r="H69" s="78"/>
      <c r="I69" s="78"/>
      <c r="J69" s="78"/>
    </row>
    <row r="70">
      <c r="B70" s="420" t="n">
        <v>45383</v>
      </c>
      <c r="C70" s="287"/>
      <c r="D70" s="78"/>
      <c r="E70" s="78"/>
      <c r="F70" s="78"/>
      <c r="G70" s="78"/>
      <c r="H70" s="78"/>
      <c r="I70" s="78"/>
      <c r="J70" s="78"/>
    </row>
    <row r="71">
      <c r="B71" s="420" t="n">
        <v>45413</v>
      </c>
      <c r="C71" s="287"/>
      <c r="D71" s="78"/>
      <c r="E71" s="78"/>
      <c r="F71" s="78"/>
      <c r="G71" s="78"/>
      <c r="H71" s="78"/>
      <c r="I71" s="78"/>
      <c r="J71" s="78"/>
    </row>
    <row r="72">
      <c r="B72" s="420" t="n">
        <v>45444</v>
      </c>
      <c r="C72" s="287"/>
      <c r="D72" s="78"/>
      <c r="E72" s="78"/>
      <c r="F72" s="78"/>
      <c r="G72" s="78"/>
      <c r="H72" s="78"/>
      <c r="I72" s="78"/>
      <c r="J72" s="78"/>
    </row>
    <row r="73">
      <c r="B73" s="420" t="n">
        <v>45474</v>
      </c>
      <c r="C73" s="287"/>
      <c r="D73" s="78"/>
      <c r="E73" s="78"/>
      <c r="F73" s="78"/>
      <c r="G73" s="78"/>
      <c r="H73" s="78"/>
      <c r="I73" s="78"/>
      <c r="J73" s="78"/>
    </row>
    <row r="74">
      <c r="B74" s="420" t="n">
        <v>45505</v>
      </c>
      <c r="C74" s="287"/>
      <c r="D74" s="78"/>
      <c r="E74" s="78"/>
      <c r="F74" s="78"/>
      <c r="G74" s="78"/>
      <c r="H74" s="78"/>
      <c r="I74" s="78"/>
      <c r="J74" s="78"/>
    </row>
    <row r="75">
      <c r="B75" s="420" t="n">
        <v>45536</v>
      </c>
      <c r="C75" s="287"/>
      <c r="D75" s="78"/>
      <c r="E75" s="78"/>
      <c r="F75" s="78"/>
      <c r="G75" s="78"/>
      <c r="H75" s="78"/>
      <c r="I75" s="78"/>
      <c r="J75" s="78"/>
    </row>
    <row r="76">
      <c r="B76" s="420" t="n">
        <v>45566</v>
      </c>
      <c r="C76" s="287"/>
      <c r="D76" s="78"/>
      <c r="E76" s="78"/>
      <c r="F76" s="78"/>
      <c r="G76" s="78"/>
      <c r="H76" s="78"/>
      <c r="I76" s="78"/>
      <c r="J76" s="78"/>
    </row>
    <row r="77">
      <c r="B77" s="420" t="n">
        <v>45597</v>
      </c>
      <c r="C77" s="287"/>
      <c r="D77" s="78"/>
      <c r="E77" s="78"/>
      <c r="F77" s="78"/>
      <c r="G77" s="78"/>
      <c r="H77" s="78"/>
      <c r="I77" s="78"/>
      <c r="J77" s="78"/>
    </row>
    <row r="78">
      <c r="B78" s="420" t="n">
        <v>45627</v>
      </c>
      <c r="C78" s="287"/>
      <c r="D78" s="78"/>
      <c r="E78" s="78"/>
      <c r="F78" s="78"/>
      <c r="G78" s="78"/>
      <c r="H78" s="78"/>
      <c r="I78" s="78"/>
      <c r="J78" s="78"/>
    </row>
    <row r="79">
      <c r="B79" s="420" t="n">
        <v>45658</v>
      </c>
      <c r="C79" s="287"/>
      <c r="D79" s="78"/>
      <c r="E79" s="78"/>
      <c r="F79" s="78"/>
      <c r="G79" s="78"/>
      <c r="H79" s="78"/>
      <c r="I79" s="78"/>
      <c r="J79" s="78"/>
    </row>
    <row r="80">
      <c r="B80" s="420" t="n">
        <v>45689</v>
      </c>
      <c r="C80" s="287"/>
      <c r="D80" s="78"/>
      <c r="E80" s="78"/>
      <c r="F80" s="78"/>
      <c r="G80" s="78"/>
      <c r="H80" s="78"/>
      <c r="I80" s="78"/>
      <c r="J80" s="78"/>
    </row>
    <row r="81">
      <c r="B81" s="420" t="n">
        <v>45717</v>
      </c>
      <c r="C81" s="287"/>
      <c r="D81" s="78"/>
      <c r="E81" s="78"/>
      <c r="F81" s="78"/>
      <c r="G81" s="78"/>
      <c r="H81" s="78"/>
      <c r="I81" s="78"/>
      <c r="J81" s="78"/>
    </row>
    <row r="82">
      <c r="B82" s="420" t="n">
        <v>45748</v>
      </c>
      <c r="C82" s="287"/>
      <c r="D82" s="78"/>
      <c r="E82" s="78"/>
      <c r="F82" s="78"/>
      <c r="G82" s="78"/>
      <c r="H82" s="78"/>
      <c r="I82" s="78"/>
      <c r="J82" s="78"/>
    </row>
    <row r="83">
      <c r="B83" s="420" t="n">
        <v>45778</v>
      </c>
      <c r="C83" s="287"/>
      <c r="D83" s="78"/>
      <c r="E83" s="78"/>
      <c r="F83" s="78"/>
      <c r="G83" s="78"/>
      <c r="H83" s="78"/>
      <c r="I83" s="78"/>
      <c r="J83" s="78"/>
    </row>
    <row r="84">
      <c r="B84" s="420" t="n">
        <v>45809</v>
      </c>
      <c r="C84" s="287"/>
      <c r="D84" s="78"/>
      <c r="E84" s="78"/>
      <c r="F84" s="78"/>
      <c r="G84" s="78"/>
      <c r="H84" s="78"/>
      <c r="I84" s="78"/>
      <c r="J84" s="78"/>
    </row>
    <row r="85">
      <c r="B85" s="420" t="n">
        <v>45839</v>
      </c>
      <c r="C85" s="287"/>
      <c r="D85" s="78"/>
      <c r="E85" s="78"/>
      <c r="F85" s="78"/>
      <c r="G85" s="78"/>
      <c r="H85" s="78"/>
      <c r="I85" s="78"/>
      <c r="J85" s="78"/>
    </row>
    <row r="86">
      <c r="B86" s="420" t="n">
        <v>45870</v>
      </c>
      <c r="C86" s="287"/>
      <c r="D86" s="78"/>
      <c r="E86" s="78"/>
      <c r="F86" s="78"/>
      <c r="G86" s="78"/>
      <c r="H86" s="78"/>
      <c r="I86" s="78"/>
      <c r="J86" s="78"/>
    </row>
    <row r="87">
      <c r="B87" s="420" t="n">
        <v>45901</v>
      </c>
      <c r="C87" s="287"/>
      <c r="D87" s="78"/>
      <c r="E87" s="78"/>
      <c r="F87" s="78"/>
      <c r="G87" s="78"/>
      <c r="H87" s="78"/>
      <c r="I87" s="78"/>
      <c r="J87" s="78"/>
    </row>
    <row r="88">
      <c r="B88" s="420" t="n">
        <v>45931</v>
      </c>
      <c r="C88" s="287"/>
      <c r="D88" s="78"/>
      <c r="E88" s="78"/>
      <c r="F88" s="78"/>
      <c r="G88" s="78"/>
      <c r="H88" s="78"/>
      <c r="I88" s="78"/>
      <c r="J88" s="78"/>
    </row>
    <row r="89">
      <c r="B89" s="420" t="n">
        <v>45962</v>
      </c>
      <c r="C89" s="287"/>
      <c r="D89" s="78"/>
      <c r="E89" s="78"/>
      <c r="F89" s="78"/>
      <c r="G89" s="78"/>
      <c r="H89" s="78"/>
      <c r="I89" s="78"/>
      <c r="J89" s="78"/>
    </row>
    <row r="90">
      <c r="B90" s="420" t="n">
        <v>45992</v>
      </c>
      <c r="C90" s="287"/>
      <c r="D90" s="78"/>
      <c r="E90" s="78"/>
      <c r="F90" s="78"/>
      <c r="G90" s="78"/>
      <c r="H90" s="78"/>
      <c r="I90" s="78"/>
      <c r="J90" s="78"/>
    </row>
    <row r="91">
      <c r="B91" s="420" t="n">
        <v>46023</v>
      </c>
      <c r="C91" s="287"/>
      <c r="D91" s="78"/>
      <c r="E91" s="78"/>
      <c r="F91" s="78"/>
      <c r="G91" s="78"/>
      <c r="H91" s="78"/>
      <c r="I91" s="78"/>
      <c r="J91" s="78"/>
    </row>
    <row r="92">
      <c r="B92" s="420" t="n">
        <v>46054</v>
      </c>
      <c r="C92" s="287"/>
      <c r="D92" s="78"/>
      <c r="E92" s="78"/>
      <c r="F92" s="78"/>
      <c r="G92" s="78"/>
      <c r="H92" s="78"/>
      <c r="I92" s="78"/>
      <c r="J92" s="78"/>
    </row>
    <row r="93">
      <c r="B93" s="420" t="n">
        <v>46082</v>
      </c>
      <c r="C93" s="287"/>
      <c r="D93" s="78"/>
      <c r="E93" s="78"/>
      <c r="F93" s="78"/>
      <c r="G93" s="78"/>
      <c r="H93" s="78"/>
      <c r="I93" s="78"/>
      <c r="J93" s="78"/>
    </row>
    <row r="94">
      <c r="B94" s="420" t="n">
        <v>46113</v>
      </c>
      <c r="C94" s="287"/>
      <c r="D94" s="78"/>
      <c r="E94" s="78"/>
      <c r="F94" s="78"/>
      <c r="G94" s="78"/>
      <c r="H94" s="78"/>
      <c r="I94" s="78"/>
      <c r="J94" s="78"/>
    </row>
    <row r="95">
      <c r="B95" s="420" t="n">
        <v>46143</v>
      </c>
      <c r="C95" s="287"/>
      <c r="D95" s="78"/>
      <c r="E95" s="78"/>
      <c r="F95" s="78"/>
      <c r="G95" s="78"/>
      <c r="H95" s="78"/>
      <c r="I95" s="78"/>
      <c r="J95" s="78"/>
    </row>
    <row r="96">
      <c r="B96" s="420" t="n">
        <v>46174</v>
      </c>
      <c r="C96" s="287"/>
      <c r="D96" s="78"/>
      <c r="E96" s="78"/>
      <c r="F96" s="78"/>
      <c r="G96" s="78"/>
      <c r="H96" s="78"/>
      <c r="I96" s="78"/>
      <c r="J96" s="78"/>
    </row>
    <row r="97">
      <c r="B97" s="420" t="n">
        <v>46204</v>
      </c>
      <c r="C97" s="287"/>
      <c r="D97" s="78"/>
      <c r="E97" s="78"/>
      <c r="F97" s="78"/>
      <c r="G97" s="78"/>
      <c r="H97" s="78"/>
      <c r="I97" s="78"/>
      <c r="J97" s="78"/>
    </row>
    <row r="98">
      <c r="B98" s="420" t="n">
        <v>46235</v>
      </c>
      <c r="C98" s="287"/>
      <c r="D98" s="78"/>
      <c r="E98" s="78"/>
      <c r="F98" s="78"/>
      <c r="G98" s="78"/>
      <c r="H98" s="78"/>
      <c r="I98" s="78"/>
      <c r="J98" s="78"/>
    </row>
    <row r="99">
      <c r="B99" s="420" t="n">
        <v>46266</v>
      </c>
      <c r="C99" s="287"/>
      <c r="D99" s="78"/>
      <c r="E99" s="78"/>
      <c r="F99" s="78"/>
      <c r="G99" s="78"/>
      <c r="H99" s="78"/>
      <c r="I99" s="78"/>
      <c r="J99" s="78"/>
    </row>
    <row r="100">
      <c r="B100" s="420" t="n">
        <v>46296</v>
      </c>
      <c r="C100" s="287"/>
      <c r="D100" s="78"/>
      <c r="E100" s="78"/>
      <c r="F100" s="78"/>
      <c r="G100" s="78"/>
      <c r="H100" s="78"/>
      <c r="I100" s="78"/>
      <c r="J100" s="78"/>
    </row>
    <row r="101">
      <c r="B101" s="420" t="n">
        <v>46327</v>
      </c>
      <c r="C101" s="287"/>
      <c r="D101" s="78"/>
      <c r="E101" s="78"/>
      <c r="F101" s="78"/>
      <c r="G101" s="78"/>
      <c r="H101" s="78"/>
      <c r="I101" s="78"/>
      <c r="J101" s="78"/>
    </row>
    <row r="102">
      <c r="B102" s="421" t="n">
        <v>46357</v>
      </c>
      <c r="C102" s="288"/>
      <c r="D102" s="78"/>
      <c r="E102" s="78"/>
      <c r="F102" s="78"/>
      <c r="G102" s="78"/>
      <c r="H102" s="78"/>
      <c r="I102" s="78"/>
      <c r="J102" s="78"/>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1"/>
  <legacyDrawing r:id="rIdvml"/>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FF00"/>
  </sheetPr>
  <dimension ref="A1"/>
  <sheetViews>
    <sheetView zoomScale="90" zoomScaleNormal="90" workbookViewId="0">
      <selection activeCell="L34" sqref="L34"/>
    </sheetView>
  </sheetViews>
  <sheetFormatPr defaultRowHeight="15.0" baseColWidth="10"/>
  <cols>
    <col min="2" max="2" width="52.453125" hidden="0" customWidth="1"/>
    <col min="3" max="3" width="11.453125" hidden="0" customWidth="1"/>
    <col min="4" max="4" width="11.453125" hidden="0" customWidth="1"/>
    <col min="5" max="5" width="12.81640625" hidden="0" customWidth="1"/>
    <col min="6" max="6" width="10.81640625" hidden="0" customWidth="1"/>
    <col min="7" max="7" width="11.453125" hidden="0" customWidth="1"/>
    <col min="8" max="8" width="12.1796875" hidden="0" customWidth="1"/>
    <col min="9" max="9" width="8.453125" hidden="0" customWidth="1"/>
    <col min="10" max="10" width="10.453125" hidden="0" customWidth="1"/>
    <col min="11" max="11" width="8.453125" hidden="0" customWidth="1"/>
    <col min="12" max="12" width="12.81640625" hidden="0" customWidth="1"/>
    <col min="13" max="13" width="20.453125" hidden="0" customWidth="1"/>
    <col min="14" max="14" width="9.453125" hidden="0" customWidth="1"/>
    <col min="15" max="15" width="9.453125" hidden="0" customWidth="1"/>
    <col min="16" max="16" width="9.453125" hidden="0" customWidth="1"/>
    <col min="17" max="17" width="9.453125" hidden="0" customWidth="1"/>
    <col min="18" max="18" width="9.453125" hidden="0" customWidth="1"/>
    <col min="19" max="19" width="9.453125" hidden="0" customWidth="1"/>
    <col min="20" max="20" width="9.453125" hidden="0" customWidth="1"/>
    <col min="21" max="21" width="10.81640625" hidden="0" customWidth="1"/>
    <col min="22" max="22" width="10.81640625" hidden="0" customWidth="1"/>
    <col min="23" max="23" width="10.81640625" hidden="0" customWidth="1"/>
    <col min="24" max="24" width="10.81640625" hidden="0" customWidth="1"/>
    <col min="25" max="25" width="10.81640625" hidden="0" customWidth="1"/>
    <col min="26" max="26" width="11.1796875" hidden="0" customWidth="1"/>
    <col min="27" max="27" width="9.453125" hidden="0" customWidth="1"/>
    <col min="28" max="28" width="9.453125" hidden="0" customWidth="1"/>
    <col min="29" max="29" width="9.453125" hidden="0" customWidth="1"/>
    <col min="30" max="30" width="9.453125" hidden="0" customWidth="1"/>
    <col min="31" max="31" width="9.453125" hidden="0" customWidth="1"/>
    <col min="32" max="32" width="9.453125" hidden="0" customWidth="1"/>
    <col min="33" max="33" width="8.453125" hidden="0" customWidth="1"/>
    <col min="34" max="34" width="8.453125" hidden="0" customWidth="1"/>
    <col min="35" max="35" width="8.453125" hidden="0" customWidth="1"/>
    <col min="36" max="36" width="8.453125" hidden="0" customWidth="1"/>
  </cols>
  <sheetData>
    <row r="1">
      <c r="B1" s="266" t="s">
        <v>44</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25" customHeight="1">
      <c r="B2" s="377" t="s">
        <v>189</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row>
    <row r="3">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row>
    <row r="4">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row>
    <row r="5">
      <c r="B5" s="377"/>
      <c r="C5" s="377"/>
      <c r="D5" s="377"/>
      <c r="E5" s="377"/>
      <c r="F5" s="377"/>
      <c r="G5" s="377"/>
      <c r="H5" s="377"/>
      <c r="I5" s="377"/>
      <c r="J5" s="377"/>
      <c r="K5" s="377"/>
      <c r="L5" s="377"/>
      <c r="M5" s="377"/>
      <c r="N5" s="377"/>
      <c r="O5" s="377"/>
      <c r="P5" s="377"/>
      <c r="Q5" s="377"/>
      <c r="R5" s="377"/>
      <c r="S5" s="377"/>
      <c r="T5" s="377"/>
      <c r="U5" s="377"/>
      <c r="V5" s="377"/>
      <c r="W5" s="377"/>
      <c r="X5" s="377"/>
      <c r="Y5" s="377"/>
      <c r="Z5" s="377"/>
      <c r="AA5" s="377"/>
      <c r="AB5" s="377"/>
      <c r="AC5" s="377"/>
    </row>
    <row r="6" ht="38.9" customHeight="1">
      <c r="B6" s="377"/>
      <c r="C6" s="377"/>
      <c r="D6" s="377"/>
      <c r="E6" s="377"/>
      <c r="F6" s="377"/>
      <c r="G6" s="377"/>
      <c r="H6" s="377"/>
      <c r="I6" s="377"/>
      <c r="J6" s="377"/>
      <c r="K6" s="377"/>
      <c r="L6" s="377"/>
      <c r="M6" s="377"/>
      <c r="N6" s="377"/>
      <c r="O6" s="377"/>
      <c r="P6" s="377"/>
      <c r="Q6" s="377"/>
      <c r="R6" s="377"/>
      <c r="S6" s="377"/>
      <c r="T6" s="377"/>
      <c r="U6" s="377"/>
      <c r="V6" s="377"/>
      <c r="W6" s="377"/>
      <c r="X6" s="377"/>
      <c r="Y6" s="377"/>
      <c r="Z6" s="377"/>
      <c r="AA6" s="377"/>
      <c r="AB6" s="377"/>
      <c r="AC6" s="377"/>
    </row>
    <row r="7">
      <c r="B7" s="414"/>
      <c r="C7" s="414"/>
      <c r="D7" s="414"/>
      <c r="E7" s="414"/>
      <c r="F7" s="414"/>
      <c r="G7" s="414"/>
      <c r="H7" s="415"/>
      <c r="I7" s="415"/>
      <c r="J7" s="415"/>
      <c r="K7" s="415"/>
      <c r="L7" s="415"/>
      <c r="M7" s="415"/>
      <c r="N7" s="415"/>
      <c r="O7" s="415"/>
      <c r="P7" s="415"/>
      <c r="Q7" s="415"/>
      <c r="R7" s="415"/>
      <c r="S7" s="415"/>
      <c r="T7" s="415"/>
      <c r="U7" s="415"/>
      <c r="V7" s="415"/>
      <c r="W7" s="415"/>
      <c r="X7" s="415"/>
      <c r="Y7" s="415"/>
    </row>
    <row r="8" ht="14.9" customHeight="1">
      <c r="B8" s="268" t="s">
        <v>190</v>
      </c>
      <c r="C8" s="269"/>
      <c r="D8" s="435" t="s">
        <v>191</v>
      </c>
      <c r="E8" s="436"/>
      <c r="F8" s="436"/>
      <c r="G8" s="436"/>
      <c r="H8" s="436"/>
      <c r="I8" s="436"/>
      <c r="J8" s="436"/>
      <c r="K8" s="436"/>
      <c r="L8" s="436"/>
      <c r="M8" s="436"/>
      <c r="N8" s="436"/>
      <c r="O8" s="436"/>
      <c r="P8" s="436"/>
      <c r="Q8" s="436"/>
      <c r="R8" s="436"/>
      <c r="S8" s="436"/>
      <c r="T8" s="437"/>
      <c r="U8" s="438" t="s">
        <v>192</v>
      </c>
      <c r="V8" s="439"/>
      <c r="W8" s="439"/>
      <c r="X8" s="439"/>
      <c r="Y8" s="439"/>
      <c r="Z8" s="439"/>
      <c r="AA8" s="439"/>
      <c r="AB8" s="439"/>
      <c r="AC8" s="440"/>
    </row>
    <row r="9" ht="12.75" customHeight="1">
      <c r="B9" s="270"/>
      <c r="C9" s="271"/>
      <c r="D9" s="254" t="n">
        <v>2018</v>
      </c>
      <c r="E9" s="254" t="n">
        <v>2019</v>
      </c>
      <c r="F9" s="441"/>
      <c r="G9" s="441"/>
      <c r="H9" s="256"/>
      <c r="I9" s="441" t="n">
        <v>2020</v>
      </c>
      <c r="J9" s="441"/>
      <c r="K9" s="441"/>
      <c r="L9" s="441"/>
      <c r="M9" s="254" t="n">
        <v>2021</v>
      </c>
      <c r="N9" s="441"/>
      <c r="O9" s="441"/>
      <c r="P9" s="441"/>
      <c r="Q9" s="259" t="n">
        <v>2022</v>
      </c>
      <c r="R9" s="260"/>
      <c r="S9" s="298"/>
      <c r="T9" s="300"/>
      <c r="U9" s="264" t="n">
        <v>2023</v>
      </c>
      <c r="V9" s="262"/>
      <c r="W9" s="262"/>
      <c r="X9" s="263"/>
      <c r="Y9" s="261" t="n">
        <v>2024</v>
      </c>
      <c r="Z9" s="262"/>
      <c r="AA9" s="262"/>
      <c r="AB9" s="262"/>
      <c r="AC9" s="443" t="n">
        <v>2025</v>
      </c>
    </row>
    <row r="10" ht="14.9" customHeight="1">
      <c r="B10" s="270"/>
      <c r="C10" s="271"/>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6" t="s">
        <v>193</v>
      </c>
      <c r="U10" s="291" t="s">
        <v>194</v>
      </c>
      <c r="V10" s="291" t="s">
        <v>195</v>
      </c>
      <c r="W10" s="291" t="s">
        <v>171</v>
      </c>
      <c r="X10" s="297" t="s">
        <v>193</v>
      </c>
      <c r="Y10" s="296" t="s">
        <v>194</v>
      </c>
      <c r="Z10" s="290" t="s">
        <v>195</v>
      </c>
      <c r="AA10" s="291" t="s">
        <v>171</v>
      </c>
      <c r="AB10" s="291" t="s">
        <v>193</v>
      </c>
      <c r="AC10" s="444" t="s">
        <v>194</v>
      </c>
    </row>
    <row r="11">
      <c r="B11" s="403" t="s">
        <v>78</v>
      </c>
      <c r="C11" s="417" t="s">
        <v>196</v>
      </c>
      <c r="D11" s="405" t="n">
        <f>'Haver Pivoted'!B14</f>
        <v>2.9</v>
      </c>
      <c r="E11" s="457" t="n">
        <f>'Haver Pivoted'!C14</f>
        <v>3.9</v>
      </c>
      <c r="F11" s="457" t="n">
        <f>'Haver Pivoted'!D14</f>
        <v>4.5999999999999996</v>
      </c>
      <c r="G11" s="457" t="n">
        <f>'Haver Pivoted'!E14</f>
        <v>5.4</v>
      </c>
      <c r="H11" s="457" t="n">
        <f>'Haver Pivoted'!F14</f>
        <v>5.7</v>
      </c>
      <c r="I11" s="457" t="n">
        <f>'Haver Pivoted'!G14</f>
        <v>6.3</v>
      </c>
      <c r="J11" s="457" t="n">
        <f>'Haver Pivoted'!H14</f>
        <v>6.3</v>
      </c>
      <c r="K11" s="457" t="n">
        <f>'Haver Pivoted'!I14</f>
        <v>6.3</v>
      </c>
      <c r="L11" s="457" t="n">
        <f>'Haver Pivoted'!J14</f>
        <v>6.5</v>
      </c>
      <c r="M11" s="457" t="n">
        <f>'Haver Pivoted'!K14</f>
        <v>6.9</v>
      </c>
      <c r="N11" s="457" t="n">
        <f>'Haver Pivoted'!L14</f>
        <v>5.8</v>
      </c>
      <c r="O11" s="457" t="n">
        <f>'Haver Pivoted'!M14</f>
        <v>5</v>
      </c>
      <c r="P11" s="457" t="n">
        <f>'Haver Pivoted'!N14</f>
        <v>4.5999999999999996</v>
      </c>
      <c r="Q11" s="457" t="n">
        <f>'Haver Pivoted'!O14</f>
        <v>4.5</v>
      </c>
      <c r="R11" s="457" t="n">
        <f>'Haver Pivoted'!P14</f>
        <v>4.5</v>
      </c>
      <c r="S11" s="255" t="n">
        <f>'Haver Pivoted'!Q14</f>
        <v>4.7</v>
      </c>
      <c r="T11" s="256" t="n">
        <f>'Haver Pivoted'!R14</f>
        <v>5.8</v>
      </c>
      <c r="U11" s="256" t="n">
        <f>'Haver Pivoted'!S14</f>
        <v>6.7</v>
      </c>
      <c r="V11" s="422" t="n">
        <f t="shared" ref="V11:AC11" si="0">V12+V13+V20</f>
        <v>8.8038000000000007</v>
      </c>
      <c r="W11" s="422" t="n">
        <f t="shared" si="0"/>
        <v>9.3780857142857137</v>
      </c>
      <c r="X11" s="422" t="n">
        <f t="shared" si="0"/>
        <v>9.7896571428571413</v>
      </c>
      <c r="Y11" s="422" t="n">
        <f t="shared" si="0"/>
        <v>9.7609428571428563</v>
      </c>
      <c r="Z11" s="422" t="n">
        <f t="shared" si="0"/>
        <v>9.4623142857142835</v>
      </c>
      <c r="AA11" s="422" t="n">
        <f t="shared" si="0"/>
        <v>9.3015142857142834</v>
      </c>
      <c r="AB11" s="422" t="n">
        <f t="shared" si="0"/>
        <v>9.1866571428571415</v>
      </c>
      <c r="AC11" s="446" t="n">
        <f t="shared" si="0"/>
        <v>9.1426285714285687</v>
      </c>
      <c r="AD11" s="289" t="s">
        <v>197</v>
      </c>
    </row>
    <row r="12">
      <c r="B12" s="413" t="s">
        <v>198</v>
      </c>
      <c r="C12" s="406" t="s">
        <v>199</v>
      </c>
      <c r="D12" s="419" t="n">
        <f>'Haver Pivoted'!B63</f>
        <v>0</v>
      </c>
      <c r="E12" s="286" t="n">
        <f>'Haver Pivoted'!C63</f>
        <v>0</v>
      </c>
      <c r="F12" s="286" t="n">
        <f>'Haver Pivoted'!D63</f>
        <v>0</v>
      </c>
      <c r="G12" s="286" t="n">
        <f>'Haver Pivoted'!E63</f>
        <v>0</v>
      </c>
      <c r="H12" s="286" t="n">
        <f>'Haver Pivoted'!F63</f>
        <v>0</v>
      </c>
      <c r="I12" s="286" t="n">
        <f>'Haver Pivoted'!G63</f>
        <v>0</v>
      </c>
      <c r="J12" s="286" t="n">
        <f>'Haver Pivoted'!H63</f>
        <v>0</v>
      </c>
      <c r="K12" s="286" t="n">
        <f>'Haver Pivoted'!I63</f>
        <v>0</v>
      </c>
      <c r="L12" s="286" t="n">
        <f>'Haver Pivoted'!J63</f>
        <v>0</v>
      </c>
      <c r="M12" s="286" t="n">
        <f>'Haver Pivoted'!K63</f>
        <v>0</v>
      </c>
      <c r="N12" s="286" t="n">
        <f>'Haver Pivoted'!L63</f>
        <v>0</v>
      </c>
      <c r="O12" s="286" t="n">
        <f>'Haver Pivoted'!M63</f>
        <v>0</v>
      </c>
      <c r="P12" s="286" t="n">
        <f>'Haver Pivoted'!N63</f>
        <v>0</v>
      </c>
      <c r="Q12" s="286" t="n">
        <f>'Haver Pivoted'!O63</f>
        <v>0</v>
      </c>
      <c r="R12" s="286" t="n">
        <f>'Haver Pivoted'!P63</f>
        <v>0</v>
      </c>
      <c r="S12" s="275" t="n">
        <f>'Haver Pivoted'!Q63</f>
        <v>0</v>
      </c>
      <c r="T12" s="276" t="n">
        <f>'Haver Pivoted'!R63</f>
        <v>0</v>
      </c>
      <c r="U12" s="276" t="n">
        <f>'Haver Pivoted'!S63</f>
        <v>0</v>
      </c>
      <c r="V12" s="384" t="n">
        <f>U12*V23/U23</f>
        <v>0</v>
      </c>
      <c r="W12" s="384" t="n">
        <f t="shared" ref="W12:AB12" si="1">V12*W23/V23</f>
        <v>0</v>
      </c>
      <c r="X12" s="384" t="n">
        <f t="shared" si="1"/>
        <v>0</v>
      </c>
      <c r="Y12" s="384" t="n">
        <f t="shared" si="1"/>
        <v>0</v>
      </c>
      <c r="Z12" s="384" t="n">
        <f t="shared" si="1"/>
        <v>0</v>
      </c>
      <c r="AA12" s="384" t="n">
        <f t="shared" si="1"/>
        <v>0</v>
      </c>
      <c r="AB12" s="384" t="n">
        <f t="shared" si="1"/>
        <v>0</v>
      </c>
      <c r="AC12" s="451" t="n">
        <f>AB12*AC23/AB23</f>
        <v>0</v>
      </c>
    </row>
    <row r="13">
      <c r="B13" s="413" t="s">
        <v>200</v>
      </c>
      <c r="C13" s="406"/>
      <c r="D13" s="419"/>
      <c r="E13" s="286"/>
      <c r="F13" s="286"/>
      <c r="G13" s="286"/>
      <c r="H13" s="388" t="n">
        <f>SUM(H14:H17)</f>
        <v>0</v>
      </c>
      <c r="I13" s="388" t="n">
        <f t="shared" ref="I13:M13" si="2">SUM(I14:I17)</f>
        <v>0</v>
      </c>
      <c r="J13" s="388" t="n">
        <f t="shared" si="2"/>
        <v>0</v>
      </c>
      <c r="K13" s="388" t="n">
        <f t="shared" si="2"/>
        <v>0</v>
      </c>
      <c r="L13" s="388" t="n">
        <f t="shared" si="2"/>
        <v>0</v>
      </c>
      <c r="M13" s="388" t="n">
        <f t="shared" si="2"/>
        <v>0</v>
      </c>
      <c r="N13" s="393" t="n">
        <f>SUM(N14:N17)</f>
        <v>0</v>
      </c>
      <c r="O13" s="393" t="n">
        <f t="shared" ref="O13:AC13" si="3">SUM(O14:O17)</f>
        <v>0</v>
      </c>
      <c r="P13" s="393" t="n">
        <f t="shared" si="3"/>
        <v>0</v>
      </c>
      <c r="Q13" s="393" t="n">
        <v>0</v>
      </c>
      <c r="R13" s="393" t="n">
        <f t="shared" si="3"/>
        <v>0</v>
      </c>
      <c r="S13" s="299" t="n">
        <f t="shared" si="3"/>
        <v>0</v>
      </c>
      <c r="T13" s="452" t="n">
        <f t="shared" si="3"/>
        <v>0</v>
      </c>
      <c r="U13" s="452" t="n">
        <f t="shared" si="3"/>
        <v>0</v>
      </c>
      <c r="V13" s="384" t="n">
        <f t="shared" si="3"/>
        <v>0</v>
      </c>
      <c r="W13" s="384" t="n">
        <f t="shared" si="3"/>
        <v>0</v>
      </c>
      <c r="X13" s="384" t="n">
        <f t="shared" si="3"/>
        <v>0</v>
      </c>
      <c r="Y13" s="384" t="n">
        <f t="shared" si="3"/>
        <v>0</v>
      </c>
      <c r="Z13" s="384" t="n">
        <f t="shared" si="3"/>
        <v>0</v>
      </c>
      <c r="AA13" s="384" t="n">
        <f t="shared" si="3"/>
        <v>0</v>
      </c>
      <c r="AB13" s="384" t="n">
        <f t="shared" si="3"/>
        <v>0</v>
      </c>
      <c r="AC13" s="451" t="n">
        <f t="shared" si="3"/>
        <v>0</v>
      </c>
    </row>
    <row r="14" ht="18" customHeight="1">
      <c r="B14" s="400" t="s">
        <v>201</v>
      </c>
      <c r="C14" s="267" t="s">
        <v>199</v>
      </c>
      <c r="D14" s="418" t="n">
        <f>'Haver Pivoted'!B63</f>
        <v>0</v>
      </c>
      <c r="E14" s="392" t="n">
        <f>'Haver Pivoted'!C63</f>
        <v>0</v>
      </c>
      <c r="F14" s="392" t="n">
        <f>'Haver Pivoted'!D63</f>
        <v>0</v>
      </c>
      <c r="G14" s="392" t="n">
        <f>'Haver Pivoted'!E63</f>
        <v>0</v>
      </c>
      <c r="H14" s="392" t="n">
        <f>'Haver Pivoted'!F63</f>
        <v>0</v>
      </c>
      <c r="I14" s="392" t="n">
        <f>'Haver Pivoted'!G63</f>
        <v>0</v>
      </c>
      <c r="J14" s="392" t="n">
        <f>'Haver Pivoted'!H63</f>
        <v>0</v>
      </c>
      <c r="K14" s="392" t="n">
        <f>'Haver Pivoted'!I63</f>
        <v>0</v>
      </c>
      <c r="L14" s="392" t="n">
        <f>'Haver Pivoted'!J63</f>
        <v>0</v>
      </c>
      <c r="M14" s="392" t="n">
        <f>'Haver Pivoted'!K63</f>
        <v>0</v>
      </c>
      <c r="N14" s="392" t="n">
        <f>'Haver Pivoted'!L63</f>
        <v>0</v>
      </c>
      <c r="O14" s="392" t="n">
        <f>'Haver Pivoted'!M63</f>
        <v>0</v>
      </c>
      <c r="P14" s="392" t="n">
        <f>'Haver Pivoted'!N63</f>
        <v>0</v>
      </c>
      <c r="Q14" s="392" t="n">
        <f>'Haver Pivoted'!O63</f>
        <v>0</v>
      </c>
      <c r="R14" s="392" t="n">
        <f>'Haver Pivoted'!P63</f>
        <v>0</v>
      </c>
      <c r="S14" s="394" t="n">
        <f>'Haver Pivoted'!Q63</f>
        <v>0</v>
      </c>
      <c r="T14" s="450" t="n">
        <f>'Haver Pivoted'!R63</f>
        <v>0</v>
      </c>
      <c r="U14" s="450" t="n">
        <f>'Haver Pivoted'!S63</f>
        <v>0</v>
      </c>
      <c r="V14" s="384" t="n">
        <f t="shared" ref="V14:X14" si="4">V12</f>
        <v>0</v>
      </c>
      <c r="W14" s="384" t="n">
        <f t="shared" si="4"/>
        <v>0</v>
      </c>
      <c r="X14" s="384" t="n">
        <f t="shared" si="4"/>
        <v>0</v>
      </c>
      <c r="Y14" s="384" t="n">
        <f>Y12</f>
        <v>0</v>
      </c>
      <c r="Z14" s="384" t="n">
        <f t="shared" ref="Z14:AC14" si="5">Z12</f>
        <v>0</v>
      </c>
      <c r="AA14" s="384" t="n">
        <f t="shared" si="5"/>
        <v>0</v>
      </c>
      <c r="AB14" s="384" t="n">
        <f t="shared" si="5"/>
        <v>0</v>
      </c>
      <c r="AC14" s="451" t="n">
        <f t="shared" si="5"/>
        <v>0</v>
      </c>
    </row>
    <row r="15" ht="18" customHeight="1">
      <c r="B15" s="400" t="s">
        <v>202</v>
      </c>
      <c r="C15" s="267" t="s">
        <v>203</v>
      </c>
      <c r="D15" s="418" t="n">
        <f>'Haver Pivoted'!B59</f>
        <v>0</v>
      </c>
      <c r="E15" s="392" t="n">
        <f>'Haver Pivoted'!C59</f>
        <v>0</v>
      </c>
      <c r="F15" s="392" t="n">
        <f>'Haver Pivoted'!D59</f>
        <v>0</v>
      </c>
      <c r="G15" s="392" t="n">
        <f>'Haver Pivoted'!E59</f>
        <v>0</v>
      </c>
      <c r="H15" s="392" t="n">
        <f>'Haver Pivoted'!F59</f>
        <v>0</v>
      </c>
      <c r="I15" s="392" t="n">
        <f>'Haver Pivoted'!G59</f>
        <v>0</v>
      </c>
      <c r="J15" s="392" t="n">
        <f>'Haver Pivoted'!H59</f>
        <v>0</v>
      </c>
      <c r="K15" s="392" t="n">
        <f>'Haver Pivoted'!I59</f>
        <v>0</v>
      </c>
      <c r="L15" s="392" t="n">
        <f>'Haver Pivoted'!J59</f>
        <v>0</v>
      </c>
      <c r="M15" s="392" t="n">
        <f>'Haver Pivoted'!K59</f>
        <v>0</v>
      </c>
      <c r="N15" s="392" t="n">
        <f>'Haver Pivoted'!L59</f>
        <v>0</v>
      </c>
      <c r="O15" s="392" t="n">
        <f>'Haver Pivoted'!M59</f>
        <v>0</v>
      </c>
      <c r="P15" s="392" t="n">
        <f>'Haver Pivoted'!N59</f>
        <v>0</v>
      </c>
      <c r="Q15" s="392" t="n">
        <f>'Haver Pivoted'!O59</f>
        <v>0</v>
      </c>
      <c r="R15" s="392" t="n">
        <f>'Haver Pivoted'!P59</f>
        <v>0</v>
      </c>
      <c r="S15" s="394" t="n">
        <f>'Haver Pivoted'!Q59</f>
        <v>0</v>
      </c>
      <c r="T15" s="450" t="n">
        <f>'Haver Pivoted'!R59</f>
        <v>0</v>
      </c>
      <c r="U15" s="450" t="n">
        <f>'Haver Pivoted'!S59</f>
        <v>0</v>
      </c>
      <c r="V15" s="384" t="n">
        <f t="shared" ref="V15:AB17" si="6">U15*V$23/U$23</f>
        <v>0</v>
      </c>
      <c r="W15" s="384" t="n">
        <f t="shared" si="6"/>
        <v>0</v>
      </c>
      <c r="X15" s="384" t="n">
        <f t="shared" si="6"/>
        <v>0</v>
      </c>
      <c r="Y15" s="384" t="n">
        <f t="shared" si="6"/>
        <v>0</v>
      </c>
      <c r="Z15" s="384" t="n">
        <f t="shared" si="6"/>
        <v>0</v>
      </c>
      <c r="AA15" s="384" t="n">
        <f t="shared" si="6"/>
        <v>0</v>
      </c>
      <c r="AB15" s="384" t="n">
        <f t="shared" si="6"/>
        <v>0</v>
      </c>
      <c r="AC15" s="451" t="n">
        <f>AB15*AC$23/AB$23</f>
        <v>0</v>
      </c>
    </row>
    <row r="16" ht="18" customHeight="1">
      <c r="B16" s="400" t="s">
        <v>204</v>
      </c>
      <c r="C16" s="267" t="s">
        <v>205</v>
      </c>
      <c r="D16" s="418" t="n">
        <f>'Haver Pivoted'!B60</f>
        <v>0</v>
      </c>
      <c r="E16" s="392" t="n">
        <f>'Haver Pivoted'!C60</f>
        <v>0</v>
      </c>
      <c r="F16" s="392" t="n">
        <f>'Haver Pivoted'!D60</f>
        <v>0</v>
      </c>
      <c r="G16" s="392" t="n">
        <f>'Haver Pivoted'!E60</f>
        <v>0</v>
      </c>
      <c r="H16" s="392" t="n">
        <f>'Haver Pivoted'!F60</f>
        <v>0</v>
      </c>
      <c r="I16" s="392" t="n">
        <f>'Haver Pivoted'!G60</f>
        <v>0</v>
      </c>
      <c r="J16" s="392" t="n">
        <f>'Haver Pivoted'!H60</f>
        <v>0</v>
      </c>
      <c r="K16" s="392" t="n">
        <f>'Haver Pivoted'!I60</f>
        <v>0</v>
      </c>
      <c r="L16" s="392" t="n">
        <f>'Haver Pivoted'!J60</f>
        <v>0</v>
      </c>
      <c r="M16" s="392" t="n">
        <f>'Haver Pivoted'!K60</f>
        <v>0</v>
      </c>
      <c r="N16" s="392" t="n">
        <f>'Haver Pivoted'!L60</f>
        <v>0</v>
      </c>
      <c r="O16" s="392" t="n">
        <f>'Haver Pivoted'!M60</f>
        <v>0</v>
      </c>
      <c r="P16" s="392" t="n">
        <f>'Haver Pivoted'!N60</f>
        <v>0</v>
      </c>
      <c r="Q16" s="392" t="n">
        <f>'Haver Pivoted'!O60</f>
        <v>0</v>
      </c>
      <c r="R16" s="392" t="n">
        <f>'Haver Pivoted'!P60</f>
        <v>0</v>
      </c>
      <c r="S16" s="394" t="n">
        <f>'Haver Pivoted'!Q60</f>
        <v>0</v>
      </c>
      <c r="T16" s="450" t="n">
        <f>'Haver Pivoted'!R60</f>
        <v>0</v>
      </c>
      <c r="U16" s="450" t="n">
        <f>'Haver Pivoted'!S60</f>
        <v>0</v>
      </c>
      <c r="V16" s="384" t="n">
        <f t="shared" si="6"/>
        <v>0</v>
      </c>
      <c r="W16" s="384" t="n">
        <f t="shared" si="6"/>
        <v>0</v>
      </c>
      <c r="X16" s="384" t="n">
        <f t="shared" si="6"/>
        <v>0</v>
      </c>
      <c r="Y16" s="384" t="n">
        <f t="shared" si="6"/>
        <v>0</v>
      </c>
      <c r="Z16" s="384" t="n">
        <f t="shared" si="6"/>
        <v>0</v>
      </c>
      <c r="AA16" s="384" t="n">
        <f t="shared" si="6"/>
        <v>0</v>
      </c>
      <c r="AB16" s="384" t="n">
        <f t="shared" si="6"/>
        <v>0</v>
      </c>
      <c r="AC16" s="451" t="n">
        <f>AB16*AC$23/AB$23</f>
        <v>0</v>
      </c>
    </row>
    <row r="17" ht="18" customHeight="1">
      <c r="B17" s="400" t="s">
        <v>206</v>
      </c>
      <c r="C17" s="267" t="s">
        <v>207</v>
      </c>
      <c r="D17" s="418" t="n">
        <f>'Haver Pivoted'!B61</f>
        <v>0</v>
      </c>
      <c r="E17" s="392" t="n">
        <f>'Haver Pivoted'!C61</f>
        <v>0</v>
      </c>
      <c r="F17" s="392" t="n">
        <f>'Haver Pivoted'!D61</f>
        <v>0</v>
      </c>
      <c r="G17" s="392" t="n">
        <f>'Haver Pivoted'!E61</f>
        <v>0</v>
      </c>
      <c r="H17" s="392" t="n">
        <f>'Haver Pivoted'!F61</f>
        <v>0</v>
      </c>
      <c r="I17" s="392" t="n">
        <f>'Haver Pivoted'!G61</f>
        <v>0</v>
      </c>
      <c r="J17" s="392" t="n">
        <f>'Haver Pivoted'!H61</f>
        <v>0</v>
      </c>
      <c r="K17" s="392" t="n">
        <f>'Haver Pivoted'!I61</f>
        <v>0</v>
      </c>
      <c r="L17" s="392" t="n">
        <f>'Haver Pivoted'!J61</f>
        <v>0</v>
      </c>
      <c r="M17" s="392" t="n">
        <f>'Haver Pivoted'!K61</f>
        <v>0</v>
      </c>
      <c r="N17" s="392" t="n">
        <f>'Haver Pivoted'!L61</f>
        <v>0</v>
      </c>
      <c r="O17" s="392" t="n">
        <f>'Haver Pivoted'!M61</f>
        <v>0</v>
      </c>
      <c r="P17" s="392" t="n">
        <f>'Haver Pivoted'!N61</f>
        <v>0</v>
      </c>
      <c r="Q17" s="392" t="n">
        <f>'Haver Pivoted'!O61</f>
        <v>0</v>
      </c>
      <c r="R17" s="392" t="n">
        <f>'Haver Pivoted'!P61</f>
        <v>0</v>
      </c>
      <c r="S17" s="394" t="n">
        <f>'Haver Pivoted'!Q61</f>
        <v>0</v>
      </c>
      <c r="T17" s="450" t="n">
        <f>'Haver Pivoted'!R61</f>
        <v>0</v>
      </c>
      <c r="U17" s="450" t="n">
        <f>'Haver Pivoted'!S61</f>
        <v>0</v>
      </c>
      <c r="V17" s="384" t="n">
        <f t="shared" si="6"/>
        <v>0</v>
      </c>
      <c r="W17" s="384" t="n">
        <f t="shared" si="6"/>
        <v>0</v>
      </c>
      <c r="X17" s="384" t="n">
        <f t="shared" si="6"/>
        <v>0</v>
      </c>
      <c r="Y17" s="384" t="n">
        <f t="shared" si="6"/>
        <v>0</v>
      </c>
      <c r="Z17" s="384" t="n">
        <f t="shared" si="6"/>
        <v>0</v>
      </c>
      <c r="AA17" s="384" t="n">
        <f t="shared" si="6"/>
        <v>0</v>
      </c>
      <c r="AB17" s="384" t="n">
        <f t="shared" si="6"/>
        <v>0</v>
      </c>
      <c r="AC17" s="451" t="n">
        <f>AB17*AC$23/AB$23</f>
        <v>0</v>
      </c>
    </row>
    <row r="18">
      <c r="B18" s="401" t="s">
        <v>104</v>
      </c>
      <c r="C18" s="289" t="s">
        <v>208</v>
      </c>
      <c r="D18" s="419" t="n">
        <f>'Haver Pivoted'!B64</f>
        <v>0</v>
      </c>
      <c r="E18" s="286" t="n">
        <f>'Haver Pivoted'!C64</f>
        <v>0</v>
      </c>
      <c r="F18" s="286" t="n">
        <f>'Haver Pivoted'!D64</f>
        <v>0</v>
      </c>
      <c r="G18" s="286" t="n">
        <f>'Haver Pivoted'!E64</f>
        <v>0</v>
      </c>
      <c r="H18" s="286" t="n">
        <f>'Haver Pivoted'!F64</f>
        <v>0</v>
      </c>
      <c r="I18" s="286" t="n">
        <f>'Haver Pivoted'!G64</f>
        <v>0</v>
      </c>
      <c r="J18" s="286" t="n">
        <f>'Haver Pivoted'!H64</f>
        <v>0</v>
      </c>
      <c r="K18" s="286" t="n">
        <f>'Haver Pivoted'!I64</f>
        <v>0</v>
      </c>
      <c r="L18" s="286" t="n">
        <f>'Haver Pivoted'!J64</f>
        <v>0</v>
      </c>
      <c r="M18" s="286" t="n">
        <f>'Haver Pivoted'!K64</f>
        <v>0</v>
      </c>
      <c r="N18" s="286" t="n">
        <f>'Haver Pivoted'!L64</f>
        <v>0</v>
      </c>
      <c r="O18" s="286" t="n">
        <f>'Haver Pivoted'!M64</f>
        <v>0</v>
      </c>
      <c r="P18" s="286" t="n">
        <f>'Haver Pivoted'!N64</f>
        <v>0</v>
      </c>
      <c r="Q18" s="392" t="n">
        <f>'Haver Pivoted'!O64</f>
        <v>0</v>
      </c>
      <c r="R18" s="392" t="n">
        <f>'Haver Pivoted'!P64</f>
        <v>0</v>
      </c>
      <c r="S18" s="394" t="n">
        <f>'Haver Pivoted'!Q64</f>
        <v>0</v>
      </c>
      <c r="T18" s="450" t="n">
        <f>'Haver Pivoted'!R64</f>
        <v>0</v>
      </c>
      <c r="U18" s="450" t="n">
        <f>'Haver Pivoted'!S64</f>
        <v>0</v>
      </c>
      <c r="V18" s="384"/>
      <c r="W18" s="384"/>
      <c r="X18" s="384"/>
      <c r="Y18" s="384"/>
      <c r="Z18" s="384"/>
      <c r="AA18" s="384"/>
      <c r="AB18" s="384"/>
      <c r="AC18" s="451"/>
    </row>
    <row r="19" ht="14.9" customHeight="1">
      <c r="B19" s="416" t="s">
        <v>209</v>
      </c>
      <c r="C19" s="407"/>
      <c r="D19" s="411" t="n">
        <f t="shared" ref="D19:N19" si="7">D11-D20</f>
        <v>0</v>
      </c>
      <c r="E19" s="390" t="n">
        <f t="shared" si="7"/>
        <v>0</v>
      </c>
      <c r="F19" s="390" t="n">
        <f t="shared" si="7"/>
        <v>0</v>
      </c>
      <c r="G19" s="390" t="n">
        <f t="shared" si="7"/>
        <v>0</v>
      </c>
      <c r="H19" s="390" t="n">
        <f t="shared" si="7"/>
        <v>0</v>
      </c>
      <c r="I19" s="390" t="n">
        <f t="shared" si="7"/>
        <v>0</v>
      </c>
      <c r="J19" s="390" t="n">
        <f t="shared" si="7"/>
        <v>0</v>
      </c>
      <c r="K19" s="390" t="n">
        <f t="shared" si="7"/>
        <v>0</v>
      </c>
      <c r="L19" s="390" t="n">
        <f t="shared" si="7"/>
        <v>0</v>
      </c>
      <c r="M19" s="390" t="n">
        <f t="shared" si="7"/>
        <v>0</v>
      </c>
      <c r="N19" s="391" t="n">
        <f t="shared" si="7"/>
        <v>0</v>
      </c>
      <c r="O19" s="391" t="n">
        <f>O11-O20</f>
        <v>0</v>
      </c>
      <c r="P19" s="391" t="n">
        <f t="shared" ref="P19" si="8">P11-P20</f>
        <v>0</v>
      </c>
      <c r="Q19" s="391" t="n">
        <f>Q11-Q20</f>
        <v>0</v>
      </c>
      <c r="R19" s="391" t="n">
        <f>R11-R20</f>
        <v>0</v>
      </c>
      <c r="S19" s="445" t="n">
        <f>S11-S20</f>
        <v>0</v>
      </c>
      <c r="T19" s="449" t="n">
        <f>T11-T20</f>
        <v>0</v>
      </c>
      <c r="U19" s="449" t="n">
        <f>U11-U20</f>
        <v>0</v>
      </c>
      <c r="V19" s="395" t="n">
        <f t="shared" ref="V19:AC19" si="9">V11-V20</f>
        <v>0</v>
      </c>
      <c r="W19" s="395" t="n">
        <f t="shared" si="9"/>
        <v>0</v>
      </c>
      <c r="X19" s="395" t="n">
        <f t="shared" si="9"/>
        <v>0</v>
      </c>
      <c r="Y19" s="395" t="n">
        <f t="shared" si="9"/>
        <v>0</v>
      </c>
      <c r="Z19" s="395" t="n">
        <f t="shared" si="9"/>
        <v>0</v>
      </c>
      <c r="AA19" s="395" t="n">
        <f t="shared" si="9"/>
        <v>0</v>
      </c>
      <c r="AB19" s="395" t="n">
        <f t="shared" si="9"/>
        <v>0</v>
      </c>
      <c r="AC19" s="395" t="n">
        <f t="shared" si="9"/>
        <v>0</v>
      </c>
    </row>
    <row r="20" ht="14.9" customHeight="1">
      <c r="B20" s="416" t="s">
        <v>210</v>
      </c>
      <c r="C20" s="407"/>
      <c r="D20" s="411" t="n">
        <f t="shared" ref="D20:H20" si="10">D11</f>
        <v>2.9</v>
      </c>
      <c r="E20" s="390" t="n">
        <f t="shared" si="10"/>
        <v>3.9</v>
      </c>
      <c r="F20" s="390" t="n">
        <f t="shared" si="10"/>
        <v>4.5999999999999996</v>
      </c>
      <c r="G20" s="390" t="n">
        <f t="shared" si="10"/>
        <v>5.4</v>
      </c>
      <c r="H20" s="390" t="n">
        <f t="shared" si="10"/>
        <v>5.7</v>
      </c>
      <c r="I20" s="390" t="n">
        <f>I11</f>
        <v>6.3</v>
      </c>
      <c r="J20" s="390" t="n">
        <f>J11-J13-J12</f>
        <v>6.3</v>
      </c>
      <c r="K20" s="390" t="n">
        <f>K11-K13-K12</f>
        <v>6.3</v>
      </c>
      <c r="L20" s="390" t="n">
        <f>L11-L13-L12</f>
        <v>6.5</v>
      </c>
      <c r="M20" s="390" t="n">
        <f>M11-M13-M12</f>
        <v>6.9</v>
      </c>
      <c r="N20" s="391" t="n">
        <f t="shared" ref="N20:U20" si="11">N11-N12-N13</f>
        <v>5.8</v>
      </c>
      <c r="O20" s="391" t="n">
        <f t="shared" si="11"/>
        <v>5</v>
      </c>
      <c r="P20" s="391" t="n">
        <f t="shared" si="11"/>
        <v>4.5999999999999996</v>
      </c>
      <c r="Q20" s="392" t="n">
        <f t="shared" si="11"/>
        <v>4.5</v>
      </c>
      <c r="R20" s="392" t="n">
        <f t="shared" si="11"/>
        <v>4.5</v>
      </c>
      <c r="S20" s="394" t="n">
        <f t="shared" si="11"/>
        <v>4.7</v>
      </c>
      <c r="T20" s="450" t="n">
        <f t="shared" si="11"/>
        <v>5.8</v>
      </c>
      <c r="U20" s="450" t="n">
        <f t="shared" si="11"/>
        <v>6.7</v>
      </c>
      <c r="V20" s="395" t="n">
        <f t="shared" ref="V20:AB20" si="12">U20*V23/U23</f>
        <v>8.8038000000000007</v>
      </c>
      <c r="W20" s="395" t="n">
        <f t="shared" si="12"/>
        <v>9.3780857142857137</v>
      </c>
      <c r="X20" s="395" t="n">
        <f t="shared" si="12"/>
        <v>9.7896571428571413</v>
      </c>
      <c r="Y20" s="395" t="n">
        <f t="shared" si="12"/>
        <v>9.7609428571428563</v>
      </c>
      <c r="Z20" s="395" t="n">
        <f t="shared" si="12"/>
        <v>9.4623142857142835</v>
      </c>
      <c r="AA20" s="395" t="n">
        <f t="shared" si="12"/>
        <v>9.3015142857142834</v>
      </c>
      <c r="AB20" s="395" t="n">
        <f t="shared" si="12"/>
        <v>9.1866571428571415</v>
      </c>
      <c r="AC20" s="448" t="n">
        <f>AB20*AC23/AB23</f>
        <v>9.1426285714285687</v>
      </c>
      <c r="AD20" s="412" t="s">
        <v>211</v>
      </c>
    </row>
    <row r="21">
      <c r="B21" s="401"/>
      <c r="C21" s="402"/>
      <c r="D21" s="418"/>
      <c r="E21" s="392"/>
      <c r="F21" s="392"/>
      <c r="G21" s="392"/>
      <c r="H21" s="388"/>
      <c r="I21" s="388"/>
      <c r="J21" s="388"/>
      <c r="K21" s="388"/>
      <c r="L21" s="388"/>
      <c r="M21" s="388"/>
      <c r="N21" s="388"/>
      <c r="O21" s="388"/>
      <c r="P21" s="388"/>
      <c r="Q21" s="388"/>
      <c r="R21" s="388"/>
      <c r="S21" s="388"/>
      <c r="T21" s="460"/>
      <c r="U21" s="388"/>
      <c r="V21" s="384"/>
      <c r="W21" s="384"/>
      <c r="X21" s="384"/>
      <c r="Y21" s="384"/>
      <c r="Z21" s="384"/>
      <c r="AA21" s="384"/>
      <c r="AB21" s="384"/>
      <c r="AC21" s="451"/>
    </row>
    <row r="22">
      <c r="B22" s="289" t="s">
        <v>1647</v>
      </c>
      <c r="C22" s="402"/>
      <c r="D22" s="392"/>
      <c r="E22" s="392"/>
      <c r="F22" s="392"/>
      <c r="G22" s="392"/>
      <c r="H22" s="388"/>
      <c r="I22" s="388"/>
      <c r="J22" s="388"/>
      <c r="K22" s="388"/>
      <c r="L22" s="388"/>
      <c r="M22" s="388"/>
      <c r="N22" s="388"/>
      <c r="O22" s="388"/>
      <c r="P22" s="388"/>
      <c r="Q22" s="388"/>
      <c r="R22" s="388"/>
      <c r="S22" s="388"/>
      <c r="T22" s="404"/>
      <c r="U22" s="387"/>
      <c r="V22" s="386" t="n">
        <v>4.5990000000000002</v>
      </c>
      <c r="W22" s="386" t="n">
        <v>4.899</v>
      </c>
      <c r="X22" s="386" t="n">
        <v>5.1139999999999999</v>
      </c>
      <c r="Y22" s="386" t="n">
        <v>5.0990000000000002</v>
      </c>
      <c r="Z22" s="386" t="n">
        <v>4.9429999999999996</v>
      </c>
      <c r="AA22" s="386" t="n">
        <v>4.859</v>
      </c>
      <c r="AB22" s="386" t="n">
        <v>4.7990000000000004</v>
      </c>
      <c r="AC22" s="386" t="n">
        <v>4.7759999999999998</v>
      </c>
    </row>
    <row r="23">
      <c r="B23" s="401" t="s">
        <v>1706</v>
      </c>
      <c r="C23" s="453"/>
      <c r="D23" s="454"/>
      <c r="E23" s="455"/>
      <c r="F23" s="455"/>
      <c r="G23" s="455"/>
      <c r="H23" s="456"/>
      <c r="I23" s="456"/>
      <c r="J23" s="456"/>
      <c r="K23" s="456"/>
      <c r="L23" s="456"/>
      <c r="M23" s="456" t="n">
        <f>GETPIVOTDATA("Monthly UR",$E$28,"Quarters",M24,"Years",M25)</f>
        <v>6.166666666666667</v>
      </c>
      <c r="N23" s="456" t="n">
        <f t="shared" ref="N23:U23" si="13">GETPIVOTDATA("Monthly UR",$E$28,"Quarters",N24,"Years",N25)</f>
        <v>5.7666666666666657</v>
      </c>
      <c r="O23" s="456" t="n">
        <f t="shared" si="13"/>
        <v>5.1333333333333337</v>
      </c>
      <c r="P23" s="456" t="n">
        <f t="shared" si="13"/>
        <v>4.2333333333333334</v>
      </c>
      <c r="Q23" s="456" t="n">
        <f t="shared" si="13"/>
        <v>3.8000000000000003</v>
      </c>
      <c r="R23" s="456" t="n">
        <f t="shared" si="13"/>
        <v>3.6</v>
      </c>
      <c r="S23" s="456" t="n">
        <f t="shared" si="13"/>
        <v>3.5666666666666664</v>
      </c>
      <c r="T23" s="456" t="n">
        <f t="shared" si="13"/>
        <v>3.6</v>
      </c>
      <c r="U23" s="456" t="n">
        <f t="shared" si="13"/>
        <v>3.5</v>
      </c>
      <c r="V23" s="461" t="n">
        <v>4.5990000000000002</v>
      </c>
      <c r="W23" s="461" t="n">
        <v>4.899</v>
      </c>
      <c r="X23" s="461" t="n">
        <v>5.1139999999999999</v>
      </c>
      <c r="Y23" s="461" t="n">
        <v>5.0990000000000002</v>
      </c>
      <c r="Z23" s="461" t="n">
        <v>4.9429999999999996</v>
      </c>
      <c r="AA23" s="461" t="n">
        <v>4.859</v>
      </c>
      <c r="AB23" s="461" t="n">
        <v>4.7990000000000004</v>
      </c>
      <c r="AC23" s="462" t="n">
        <v>4.7759999999999998</v>
      </c>
      <c r="AD23" s="387" t="s">
        <v>212</v>
      </c>
    </row>
    <row r="24" ht="15.75" customHeight="1">
      <c r="B24" s="458" t="s">
        <v>1720</v>
      </c>
      <c r="C24" s="447"/>
      <c r="D24" s="442"/>
      <c r="E24" s="442"/>
      <c r="F24" s="442"/>
      <c r="G24" s="442"/>
      <c r="H24" s="442"/>
      <c r="I24" s="442"/>
      <c r="J24" s="442"/>
      <c r="K24" s="442"/>
      <c r="L24" s="442"/>
      <c r="M24" s="442" t="n">
        <v>1</v>
      </c>
      <c r="N24" s="442" t="n">
        <v>2</v>
      </c>
      <c r="O24" s="442" t="n">
        <v>3</v>
      </c>
      <c r="P24" s="442" t="n">
        <v>4</v>
      </c>
      <c r="Q24" s="442" t="n">
        <v>1</v>
      </c>
      <c r="R24" s="442" t="n">
        <v>2</v>
      </c>
      <c r="S24" s="442" t="n">
        <v>3</v>
      </c>
      <c r="T24" s="442" t="n">
        <v>4</v>
      </c>
      <c r="U24" s="442" t="n">
        <v>1</v>
      </c>
      <c r="V24" s="442" t="n">
        <v>2</v>
      </c>
      <c r="W24" s="442" t="n">
        <v>3</v>
      </c>
      <c r="X24" s="442" t="n">
        <v>4</v>
      </c>
      <c r="Y24" s="442" t="n">
        <v>1</v>
      </c>
      <c r="Z24" s="442" t="n">
        <v>2</v>
      </c>
      <c r="AA24" s="442" t="n">
        <v>3</v>
      </c>
      <c r="AB24" s="442" t="n">
        <v>4</v>
      </c>
      <c r="AC24" s="442" t="n">
        <v>1</v>
      </c>
      <c r="AD24" s="286" t="n">
        <v>2</v>
      </c>
      <c r="AE24" s="286" t="n">
        <v>3</v>
      </c>
      <c r="AF24" s="286" t="n">
        <v>4</v>
      </c>
    </row>
    <row r="25">
      <c r="B25" s="459" t="s">
        <v>1721</v>
      </c>
      <c r="C25" s="447"/>
      <c r="D25" s="442"/>
      <c r="E25" s="442"/>
      <c r="F25" s="442"/>
      <c r="G25" s="442"/>
      <c r="H25" s="442"/>
      <c r="I25" s="442"/>
      <c r="J25" s="442"/>
      <c r="K25" s="442"/>
      <c r="L25" s="442"/>
      <c r="M25" s="442" t="n">
        <v>2021</v>
      </c>
      <c r="N25" s="442" t="n">
        <v>2021</v>
      </c>
      <c r="O25" s="442" t="n">
        <v>2021</v>
      </c>
      <c r="P25" s="442" t="n">
        <v>2021</v>
      </c>
      <c r="Q25" s="442" t="n">
        <v>2022</v>
      </c>
      <c r="R25" s="442" t="n">
        <v>2022</v>
      </c>
      <c r="S25" s="442" t="n">
        <v>2022</v>
      </c>
      <c r="T25" s="442" t="n">
        <v>2022</v>
      </c>
      <c r="U25" s="442" t="n">
        <v>2023</v>
      </c>
      <c r="V25" s="442" t="n">
        <v>2023</v>
      </c>
      <c r="W25" s="442" t="n">
        <v>2023</v>
      </c>
      <c r="X25" s="442" t="n">
        <v>2023</v>
      </c>
      <c r="Y25" s="442" t="n">
        <v>2024</v>
      </c>
      <c r="Z25" s="442" t="n">
        <v>2024</v>
      </c>
      <c r="AA25" s="442" t="n">
        <v>2024</v>
      </c>
      <c r="AB25" s="442" t="n">
        <v>2024</v>
      </c>
      <c r="AC25" s="442" t="n">
        <v>2025</v>
      </c>
      <c r="AD25" s="387"/>
    </row>
    <row r="26">
      <c r="C26" s="289"/>
      <c r="D26" s="286"/>
      <c r="E26" s="286"/>
      <c r="F26" s="286"/>
      <c r="G26" s="286"/>
      <c r="H26" s="388"/>
      <c r="I26" s="388"/>
      <c r="J26" s="388"/>
      <c r="K26" s="388"/>
      <c r="L26" s="388"/>
      <c r="M26" s="388"/>
      <c r="N26" s="388"/>
      <c r="O26" s="388"/>
      <c r="P26" s="388"/>
      <c r="AD26" s="387"/>
    </row>
    <row r="27">
      <c r="M27" s="289"/>
      <c r="N27" s="289"/>
      <c r="O27" s="289"/>
    </row>
    <row r="28" ht="43.5" customHeight="1">
      <c r="B28" s="425" t="s">
        <v>213</v>
      </c>
      <c r="C28" s="426" t="s">
        <v>214</v>
      </c>
      <c r="D28" s="423"/>
      <c r="E28" s="45" t="s">
        <v>1710</v>
      </c>
      <c r="F28" s="45" t="s">
        <v>1715</v>
      </c>
      <c r="G28" s="45"/>
      <c r="H28" s="45"/>
      <c r="I28" s="45"/>
      <c r="J28" s="45"/>
      <c r="O28" s="427"/>
    </row>
    <row r="29">
      <c r="A29" s="78"/>
      <c r="B29" s="420" t="n">
        <v>44197</v>
      </c>
      <c r="C29" s="287" t="n">
        <v>6.3</v>
      </c>
      <c r="D29" s="424"/>
      <c r="E29" s="434" t="s">
        <v>1645</v>
      </c>
      <c r="F29" s="78"/>
      <c r="G29" s="78"/>
      <c r="H29" s="89"/>
      <c r="I29" s="78"/>
      <c r="J29" s="89"/>
      <c r="O29" s="289"/>
    </row>
    <row r="30">
      <c r="A30" s="78"/>
      <c r="B30" s="420" t="n">
        <v>44228</v>
      </c>
      <c r="C30" s="287" t="n">
        <v>6.2</v>
      </c>
      <c r="D30" s="424"/>
      <c r="E30" s="148" t="s">
        <v>1711</v>
      </c>
      <c r="F30" s="176" t="n">
        <v>6.166666666666667</v>
      </c>
      <c r="G30" s="78"/>
      <c r="H30" s="89"/>
      <c r="I30" s="78"/>
      <c r="J30" s="89"/>
      <c r="O30" s="289"/>
    </row>
    <row r="31">
      <c r="A31" s="78"/>
      <c r="B31" s="420" t="n">
        <v>44256</v>
      </c>
      <c r="C31" s="287" t="n">
        <v>6</v>
      </c>
      <c r="D31" s="424"/>
      <c r="E31" s="148" t="s">
        <v>1712</v>
      </c>
      <c r="F31" s="176" t="n">
        <v>5.7666666666666657</v>
      </c>
      <c r="G31" s="78"/>
      <c r="H31" s="89"/>
      <c r="I31" s="78"/>
      <c r="J31" s="89"/>
      <c r="O31" s="289"/>
    </row>
    <row r="32">
      <c r="A32" s="78"/>
      <c r="B32" s="420" t="n">
        <v>44287</v>
      </c>
      <c r="C32" s="287" t="n">
        <v>6.1</v>
      </c>
      <c r="D32" s="424"/>
      <c r="E32" s="148" t="s">
        <v>1713</v>
      </c>
      <c r="F32" s="176" t="n">
        <v>5.1333333333333337</v>
      </c>
      <c r="G32" s="78"/>
      <c r="H32" s="89"/>
      <c r="I32" s="78"/>
      <c r="J32" s="89"/>
      <c r="O32" s="289"/>
    </row>
    <row r="33">
      <c r="A33" s="78"/>
      <c r="B33" s="420" t="n">
        <v>44317</v>
      </c>
      <c r="C33" s="287" t="n">
        <v>5.8</v>
      </c>
      <c r="D33" s="424"/>
      <c r="E33" s="148" t="s">
        <v>1714</v>
      </c>
      <c r="F33" s="176" t="n">
        <v>4.2333333333333334</v>
      </c>
      <c r="G33" s="78"/>
      <c r="H33" s="89"/>
      <c r="I33" s="78"/>
      <c r="J33" s="89"/>
      <c r="O33" s="289"/>
    </row>
    <row r="34">
      <c r="A34" s="78"/>
      <c r="B34" s="420" t="n">
        <v>44348</v>
      </c>
      <c r="C34" s="287" t="n">
        <v>5.4</v>
      </c>
      <c r="D34" s="424"/>
      <c r="E34" s="434" t="s">
        <v>1634</v>
      </c>
      <c r="F34" s="176"/>
      <c r="G34" s="78"/>
      <c r="H34" s="89"/>
      <c r="I34" s="78"/>
      <c r="J34" s="89"/>
      <c r="O34" s="289"/>
    </row>
    <row r="35">
      <c r="A35" s="78"/>
      <c r="B35" s="420" t="n">
        <v>44378</v>
      </c>
      <c r="C35" s="287" t="n">
        <v>5.4</v>
      </c>
      <c r="D35" s="424"/>
      <c r="E35" s="148" t="s">
        <v>1711</v>
      </c>
      <c r="F35" s="176" t="n">
        <v>3.8000000000000003</v>
      </c>
      <c r="G35" s="78"/>
      <c r="H35" s="89"/>
      <c r="I35" s="78"/>
      <c r="J35" s="89"/>
      <c r="O35" s="289"/>
    </row>
    <row r="36">
      <c r="A36" s="78"/>
      <c r="B36" s="420" t="n">
        <v>44409</v>
      </c>
      <c r="C36" s="287" t="n">
        <v>5.2</v>
      </c>
      <c r="D36" s="424"/>
      <c r="E36" s="148" t="s">
        <v>1712</v>
      </c>
      <c r="F36" s="176" t="n">
        <v>3.6</v>
      </c>
      <c r="G36" s="78"/>
      <c r="H36" s="89"/>
      <c r="I36" s="78"/>
      <c r="J36" s="89"/>
      <c r="O36" s="289"/>
    </row>
    <row r="37">
      <c r="A37" s="78"/>
      <c r="B37" s="420" t="n">
        <v>44440</v>
      </c>
      <c r="C37" s="287" t="n">
        <v>4.8</v>
      </c>
      <c r="D37" s="424"/>
      <c r="E37" s="148" t="s">
        <v>1713</v>
      </c>
      <c r="F37" s="176" t="n">
        <v>3.5666666666666664</v>
      </c>
      <c r="G37" s="78"/>
      <c r="H37" s="89"/>
      <c r="I37" s="78"/>
      <c r="J37" s="89"/>
      <c r="O37" s="289"/>
    </row>
    <row r="38">
      <c r="A38" s="78"/>
      <c r="B38" s="420" t="n">
        <v>44470</v>
      </c>
      <c r="C38" s="287" t="n">
        <v>4.5999999999999996</v>
      </c>
      <c r="D38" s="424"/>
      <c r="E38" s="148" t="s">
        <v>1714</v>
      </c>
      <c r="F38" s="176" t="n">
        <v>3.6</v>
      </c>
      <c r="G38" s="78"/>
      <c r="H38" s="89"/>
      <c r="I38" s="78"/>
      <c r="J38" s="89"/>
      <c r="O38" s="289"/>
    </row>
    <row r="39">
      <c r="A39" s="78"/>
      <c r="B39" s="420" t="n">
        <v>44501</v>
      </c>
      <c r="C39" s="287" t="n">
        <v>4.2</v>
      </c>
      <c r="D39" s="424"/>
      <c r="E39" s="434" t="s">
        <v>1716</v>
      </c>
      <c r="F39" s="176"/>
      <c r="G39" s="78"/>
      <c r="H39" s="89"/>
      <c r="I39" s="78"/>
      <c r="J39" s="89"/>
      <c r="O39" s="289"/>
      <c r="AD39" s="289"/>
      <c r="AE39" s="289"/>
      <c r="AF39" s="289"/>
      <c r="AG39" s="289"/>
      <c r="AH39" s="289"/>
      <c r="AI39" s="289"/>
      <c r="AJ39" s="289"/>
      <c r="AK39" s="289"/>
      <c r="AL39" s="289"/>
    </row>
    <row r="40">
      <c r="A40" s="78"/>
      <c r="B40" s="420" t="n">
        <v>44531</v>
      </c>
      <c r="C40" s="287" t="n">
        <v>3.9</v>
      </c>
      <c r="D40" s="424"/>
      <c r="E40" s="148" t="s">
        <v>1711</v>
      </c>
      <c r="F40" s="176" t="n">
        <v>3.5</v>
      </c>
      <c r="G40" s="78"/>
      <c r="H40" s="89"/>
      <c r="I40" s="78"/>
      <c r="J40" s="89"/>
      <c r="O40" s="289"/>
      <c r="AD40" s="289"/>
      <c r="AE40" s="289"/>
      <c r="AF40" s="289"/>
      <c r="AG40" s="289"/>
      <c r="AH40" s="289"/>
      <c r="AI40" s="289"/>
      <c r="AJ40" s="289"/>
      <c r="AK40" s="289"/>
      <c r="AL40" s="289"/>
    </row>
    <row r="41">
      <c r="A41" s="78"/>
      <c r="B41" s="420" t="n">
        <v>44562</v>
      </c>
      <c r="C41" s="287" t="n">
        <v>4</v>
      </c>
      <c r="D41" s="78"/>
      <c r="E41" s="148" t="s">
        <v>1712</v>
      </c>
      <c r="F41" s="176"/>
      <c r="G41" s="78"/>
      <c r="H41" s="89"/>
      <c r="I41" s="78"/>
      <c r="J41" s="89"/>
      <c r="O41" s="289"/>
    </row>
    <row r="42">
      <c r="A42" s="78"/>
      <c r="B42" s="420" t="n">
        <v>44593</v>
      </c>
      <c r="C42" s="287" t="n">
        <v>3.8</v>
      </c>
      <c r="D42" s="78"/>
      <c r="E42" s="148" t="s">
        <v>1713</v>
      </c>
      <c r="F42" s="176"/>
      <c r="G42" s="78"/>
      <c r="H42" s="89"/>
      <c r="I42" s="78"/>
      <c r="J42" s="89"/>
    </row>
    <row r="43">
      <c r="A43" s="78"/>
      <c r="B43" s="420" t="n">
        <v>44621</v>
      </c>
      <c r="C43" s="287" t="n">
        <v>3.6</v>
      </c>
      <c r="D43" s="78"/>
      <c r="E43" s="148" t="s">
        <v>1714</v>
      </c>
      <c r="F43" s="176"/>
      <c r="G43" s="78"/>
      <c r="H43" s="89"/>
      <c r="I43" s="78"/>
      <c r="J43" s="89"/>
    </row>
    <row r="44">
      <c r="A44" s="78"/>
      <c r="B44" s="420" t="n">
        <v>44652</v>
      </c>
      <c r="C44" s="287" t="n">
        <v>3.6</v>
      </c>
      <c r="D44" s="78"/>
      <c r="E44" s="434" t="s">
        <v>1717</v>
      </c>
      <c r="F44" s="176"/>
      <c r="G44" s="78"/>
      <c r="H44" s="89"/>
      <c r="I44" s="78"/>
      <c r="J44" s="89"/>
    </row>
    <row r="45">
      <c r="A45" s="78"/>
      <c r="B45" s="420" t="n">
        <v>44682</v>
      </c>
      <c r="C45" s="287" t="n">
        <v>3.6</v>
      </c>
      <c r="D45" s="78"/>
      <c r="E45" s="148" t="s">
        <v>1711</v>
      </c>
      <c r="F45" s="176"/>
      <c r="G45" s="78"/>
      <c r="H45" s="89"/>
      <c r="I45" s="78"/>
      <c r="J45" s="89"/>
    </row>
    <row r="46">
      <c r="A46" s="78"/>
      <c r="B46" s="420" t="n">
        <v>44713</v>
      </c>
      <c r="C46" s="287" t="n">
        <v>3.6</v>
      </c>
      <c r="D46" s="78"/>
      <c r="E46" s="148" t="s">
        <v>1712</v>
      </c>
      <c r="F46" s="176"/>
      <c r="G46" s="78"/>
      <c r="H46" s="89"/>
      <c r="I46" s="78"/>
      <c r="J46" s="89"/>
    </row>
    <row r="47">
      <c r="A47" s="78"/>
      <c r="B47" s="420" t="n">
        <v>44743</v>
      </c>
      <c r="C47" s="287" t="n">
        <v>3.5</v>
      </c>
      <c r="D47" s="78"/>
      <c r="E47" s="148" t="s">
        <v>1713</v>
      </c>
      <c r="F47" s="176"/>
      <c r="G47" s="78"/>
      <c r="H47" s="89"/>
      <c r="I47" s="78"/>
      <c r="J47" s="89"/>
    </row>
    <row r="48">
      <c r="A48" s="78"/>
      <c r="B48" s="420" t="n">
        <v>44774</v>
      </c>
      <c r="C48" s="287" t="n">
        <v>3.7</v>
      </c>
      <c r="D48" s="78"/>
      <c r="E48" s="148" t="s">
        <v>1714</v>
      </c>
      <c r="F48" s="176"/>
      <c r="G48" s="78"/>
      <c r="H48" s="89"/>
      <c r="I48" s="78"/>
      <c r="J48" s="89"/>
    </row>
    <row r="49">
      <c r="B49" s="420" t="n">
        <v>44805</v>
      </c>
      <c r="C49" s="287" t="n">
        <v>3.5</v>
      </c>
      <c r="D49" s="78"/>
      <c r="E49" s="434" t="s">
        <v>1718</v>
      </c>
      <c r="F49" s="176"/>
      <c r="G49" s="78"/>
      <c r="H49" s="78"/>
      <c r="I49" s="78"/>
      <c r="J49" s="78"/>
    </row>
    <row r="50">
      <c r="B50" s="420" t="n">
        <v>44835</v>
      </c>
      <c r="C50" s="287" t="n">
        <v>3.7</v>
      </c>
      <c r="D50" s="78"/>
      <c r="E50" s="148" t="s">
        <v>1711</v>
      </c>
      <c r="F50" s="176"/>
      <c r="G50" s="78"/>
      <c r="H50" s="78"/>
      <c r="I50" s="78"/>
      <c r="J50" s="78"/>
    </row>
    <row r="51">
      <c r="B51" s="420" t="n">
        <v>44866</v>
      </c>
      <c r="C51" s="287" t="n">
        <v>3.6</v>
      </c>
      <c r="D51" s="78"/>
      <c r="E51" s="148" t="s">
        <v>1712</v>
      </c>
      <c r="F51" s="176"/>
      <c r="G51" s="78"/>
      <c r="H51" s="78"/>
      <c r="I51" s="78"/>
      <c r="J51" s="78"/>
    </row>
    <row r="52">
      <c r="B52" s="420" t="n">
        <v>44896</v>
      </c>
      <c r="C52" s="287" t="n">
        <v>3.5</v>
      </c>
      <c r="D52" s="78"/>
      <c r="E52" s="148" t="s">
        <v>1713</v>
      </c>
      <c r="F52" s="176"/>
      <c r="G52" s="78"/>
      <c r="H52" s="78"/>
      <c r="I52" s="78"/>
      <c r="J52" s="78"/>
    </row>
    <row r="53">
      <c r="B53" s="420" t="n">
        <v>44927</v>
      </c>
      <c r="C53" s="287" t="n">
        <v>3.4</v>
      </c>
      <c r="D53" s="78"/>
      <c r="E53" s="148" t="s">
        <v>1714</v>
      </c>
      <c r="F53" s="176"/>
      <c r="G53" s="78"/>
      <c r="H53" s="78"/>
      <c r="I53" s="78"/>
      <c r="J53" s="78"/>
    </row>
    <row r="54">
      <c r="B54" s="420" t="n">
        <v>44958</v>
      </c>
      <c r="C54" s="287" t="n">
        <v>3.6</v>
      </c>
      <c r="D54" s="78"/>
      <c r="E54" s="434" t="s">
        <v>1719</v>
      </c>
      <c r="F54" s="176"/>
      <c r="G54" s="78"/>
      <c r="H54" s="78"/>
      <c r="I54" s="78"/>
      <c r="J54" s="78"/>
    </row>
    <row r="55">
      <c r="B55" s="420" t="n">
        <v>44986</v>
      </c>
      <c r="C55" s="287" t="n">
        <v>3.5</v>
      </c>
      <c r="D55" s="78"/>
      <c r="E55" s="148" t="s">
        <v>1711</v>
      </c>
      <c r="F55" s="176"/>
      <c r="G55" s="78"/>
      <c r="H55" s="78"/>
      <c r="I55" s="78"/>
      <c r="J55" s="78"/>
    </row>
    <row r="56">
      <c r="B56" s="420" t="n">
        <v>45017</v>
      </c>
      <c r="C56" s="287"/>
      <c r="D56" s="78"/>
      <c r="E56" s="148" t="s">
        <v>1712</v>
      </c>
      <c r="F56" s="176"/>
      <c r="G56" s="78"/>
      <c r="H56" s="78"/>
      <c r="I56" s="78"/>
      <c r="J56" s="78"/>
    </row>
    <row r="57">
      <c r="B57" s="420" t="n">
        <v>45047</v>
      </c>
      <c r="C57" s="287"/>
      <c r="D57" s="78"/>
      <c r="E57" s="148" t="s">
        <v>1713</v>
      </c>
      <c r="F57" s="176"/>
      <c r="G57" s="78"/>
      <c r="H57" s="78"/>
      <c r="I57" s="78"/>
      <c r="J57" s="78"/>
    </row>
    <row r="58">
      <c r="B58" s="420" t="n">
        <v>45078</v>
      </c>
      <c r="C58" s="287"/>
      <c r="D58" s="78"/>
      <c r="E58" s="148" t="s">
        <v>1714</v>
      </c>
      <c r="F58" s="176"/>
      <c r="G58" s="78"/>
      <c r="H58" s="78"/>
      <c r="I58" s="78"/>
      <c r="J58" s="78"/>
    </row>
    <row r="59">
      <c r="B59" s="420" t="n">
        <v>45108</v>
      </c>
      <c r="C59" s="287"/>
      <c r="D59" s="78"/>
      <c r="E59" s="78"/>
      <c r="F59" s="78"/>
      <c r="G59" s="78"/>
      <c r="H59" s="78"/>
      <c r="I59" s="78"/>
      <c r="J59" s="78"/>
    </row>
    <row r="60">
      <c r="B60" s="420" t="n">
        <v>45139</v>
      </c>
      <c r="C60" s="287"/>
      <c r="D60" s="78"/>
      <c r="E60" s="78"/>
      <c r="F60" s="78"/>
      <c r="G60" s="78"/>
      <c r="H60" s="78"/>
      <c r="I60" s="78"/>
      <c r="J60" s="78"/>
    </row>
    <row r="61">
      <c r="B61" s="420" t="n">
        <v>45170</v>
      </c>
      <c r="C61" s="287"/>
      <c r="D61" s="78"/>
      <c r="E61" s="78"/>
      <c r="F61" s="78"/>
      <c r="G61" s="78"/>
      <c r="H61" s="78"/>
      <c r="I61" s="78"/>
      <c r="J61" s="78"/>
    </row>
    <row r="62">
      <c r="B62" s="420" t="n">
        <v>45200</v>
      </c>
      <c r="C62" s="287"/>
      <c r="D62" s="78"/>
      <c r="E62" s="78"/>
      <c r="F62" s="78"/>
      <c r="G62" s="78"/>
      <c r="H62" s="78"/>
      <c r="I62" s="78"/>
      <c r="J62" s="78"/>
    </row>
    <row r="63">
      <c r="B63" s="420" t="n">
        <v>45231</v>
      </c>
      <c r="C63" s="287"/>
      <c r="D63" s="78"/>
      <c r="E63" s="78"/>
      <c r="F63" s="78"/>
      <c r="G63" s="78"/>
      <c r="H63" s="78"/>
      <c r="I63" s="78"/>
      <c r="J63" s="78"/>
    </row>
    <row r="64">
      <c r="B64" s="420" t="n">
        <v>45261</v>
      </c>
      <c r="C64" s="287"/>
      <c r="D64" s="78"/>
      <c r="E64" s="78"/>
      <c r="F64" s="78"/>
      <c r="G64" s="78"/>
      <c r="H64" s="78"/>
      <c r="I64" s="78"/>
      <c r="J64" s="78"/>
    </row>
    <row r="65">
      <c r="B65" s="420" t="n">
        <v>45292</v>
      </c>
      <c r="C65" s="287"/>
      <c r="D65" s="78"/>
      <c r="E65" s="78"/>
      <c r="F65" s="78"/>
      <c r="G65" s="78"/>
      <c r="H65" s="78"/>
      <c r="I65" s="78"/>
      <c r="J65" s="78"/>
    </row>
    <row r="66">
      <c r="B66" s="420" t="n">
        <v>45323</v>
      </c>
      <c r="C66" s="287"/>
      <c r="D66" s="78"/>
      <c r="E66" s="78"/>
      <c r="F66" s="78"/>
      <c r="G66" s="78"/>
      <c r="H66" s="78"/>
      <c r="I66" s="78"/>
      <c r="J66" s="78"/>
    </row>
    <row r="67">
      <c r="B67" s="420" t="n">
        <v>45352</v>
      </c>
      <c r="C67" s="287"/>
      <c r="D67" s="78"/>
      <c r="E67" s="78"/>
      <c r="F67" s="78"/>
      <c r="G67" s="78"/>
      <c r="H67" s="78"/>
      <c r="I67" s="78"/>
      <c r="J67" s="78"/>
    </row>
    <row r="68">
      <c r="B68" s="420" t="n">
        <v>45383</v>
      </c>
      <c r="C68" s="287"/>
      <c r="D68" s="78"/>
      <c r="E68" s="78"/>
      <c r="F68" s="78"/>
      <c r="G68" s="78"/>
      <c r="H68" s="78"/>
      <c r="I68" s="78"/>
      <c r="J68" s="78"/>
    </row>
    <row r="69">
      <c r="B69" s="420" t="n">
        <v>45413</v>
      </c>
      <c r="C69" s="287"/>
      <c r="D69" s="78"/>
      <c r="E69" s="78"/>
      <c r="F69" s="78"/>
      <c r="G69" s="78"/>
      <c r="H69" s="78"/>
      <c r="I69" s="78"/>
      <c r="J69" s="78"/>
    </row>
    <row r="70">
      <c r="B70" s="420" t="n">
        <v>45444</v>
      </c>
      <c r="C70" s="287"/>
      <c r="D70" s="78"/>
      <c r="E70" s="78"/>
      <c r="F70" s="78"/>
      <c r="G70" s="78"/>
      <c r="H70" s="78"/>
      <c r="I70" s="78"/>
      <c r="J70" s="78"/>
    </row>
    <row r="71">
      <c r="B71" s="420" t="n">
        <v>45474</v>
      </c>
      <c r="C71" s="287"/>
      <c r="D71" s="78"/>
      <c r="E71" s="78"/>
      <c r="F71" s="78"/>
      <c r="G71" s="78"/>
      <c r="H71" s="78"/>
      <c r="I71" s="78"/>
      <c r="J71" s="78"/>
    </row>
    <row r="72">
      <c r="B72" s="420" t="n">
        <v>45505</v>
      </c>
      <c r="C72" s="287"/>
      <c r="D72" s="78"/>
      <c r="E72" s="78"/>
      <c r="F72" s="78"/>
      <c r="G72" s="78"/>
      <c r="H72" s="78"/>
      <c r="I72" s="78"/>
      <c r="J72" s="78"/>
    </row>
    <row r="73">
      <c r="B73" s="420" t="n">
        <v>45536</v>
      </c>
      <c r="C73" s="287"/>
      <c r="D73" s="78"/>
      <c r="E73" s="78"/>
      <c r="F73" s="78"/>
      <c r="G73" s="78"/>
      <c r="H73" s="78"/>
      <c r="I73" s="78"/>
      <c r="J73" s="78"/>
    </row>
    <row r="74">
      <c r="B74" s="420" t="n">
        <v>45566</v>
      </c>
      <c r="C74" s="287"/>
      <c r="D74" s="78"/>
      <c r="E74" s="78"/>
      <c r="F74" s="78"/>
      <c r="G74" s="78"/>
      <c r="H74" s="78"/>
      <c r="I74" s="78"/>
      <c r="J74" s="78"/>
    </row>
    <row r="75">
      <c r="B75" s="420" t="n">
        <v>45597</v>
      </c>
      <c r="C75" s="287"/>
      <c r="D75" s="78"/>
      <c r="E75" s="78"/>
      <c r="F75" s="78"/>
      <c r="G75" s="78"/>
      <c r="H75" s="78"/>
      <c r="I75" s="78"/>
      <c r="J75" s="78"/>
    </row>
    <row r="76">
      <c r="B76" s="420" t="n">
        <v>45627</v>
      </c>
      <c r="C76" s="287"/>
      <c r="D76" s="78"/>
      <c r="E76" s="78"/>
      <c r="F76" s="78"/>
      <c r="G76" s="78"/>
      <c r="H76" s="78"/>
      <c r="I76" s="78"/>
      <c r="J76" s="78"/>
    </row>
    <row r="77">
      <c r="B77" s="420" t="n">
        <v>45658</v>
      </c>
      <c r="C77" s="287"/>
      <c r="D77" s="78"/>
      <c r="E77" s="78"/>
      <c r="F77" s="78"/>
      <c r="G77" s="78"/>
      <c r="H77" s="78"/>
      <c r="I77" s="78"/>
      <c r="J77" s="78"/>
    </row>
    <row r="78">
      <c r="B78" s="420" t="n">
        <v>45689</v>
      </c>
      <c r="C78" s="287"/>
      <c r="D78" s="78"/>
      <c r="E78" s="78"/>
      <c r="F78" s="78"/>
      <c r="G78" s="78"/>
      <c r="H78" s="78"/>
      <c r="I78" s="78"/>
      <c r="J78" s="78"/>
    </row>
    <row r="79">
      <c r="B79" s="420" t="n">
        <v>45717</v>
      </c>
      <c r="C79" s="287"/>
      <c r="D79" s="78"/>
      <c r="E79" s="78"/>
      <c r="F79" s="78"/>
      <c r="G79" s="78"/>
      <c r="H79" s="78"/>
      <c r="I79" s="78"/>
      <c r="J79" s="78"/>
    </row>
    <row r="80">
      <c r="B80" s="420" t="n">
        <v>45748</v>
      </c>
      <c r="C80" s="287"/>
      <c r="D80" s="78"/>
      <c r="E80" s="78"/>
      <c r="F80" s="78"/>
      <c r="G80" s="78"/>
      <c r="H80" s="78"/>
      <c r="I80" s="78"/>
      <c r="J80" s="78"/>
    </row>
    <row r="81">
      <c r="B81" s="420" t="n">
        <v>45778</v>
      </c>
      <c r="C81" s="287"/>
      <c r="D81" s="78"/>
      <c r="E81" s="78"/>
      <c r="F81" s="78"/>
      <c r="G81" s="78"/>
      <c r="H81" s="78"/>
      <c r="I81" s="78"/>
      <c r="J81" s="78"/>
    </row>
    <row r="82">
      <c r="B82" s="420" t="n">
        <v>45809</v>
      </c>
      <c r="C82" s="287"/>
      <c r="D82" s="78"/>
      <c r="E82" s="78"/>
      <c r="F82" s="78"/>
      <c r="G82" s="78"/>
      <c r="H82" s="78"/>
      <c r="I82" s="78"/>
      <c r="J82" s="78"/>
    </row>
    <row r="83">
      <c r="B83" s="420" t="n">
        <v>45839</v>
      </c>
      <c r="C83" s="287"/>
      <c r="D83" s="78"/>
      <c r="E83" s="78"/>
      <c r="F83" s="78"/>
      <c r="G83" s="78"/>
      <c r="H83" s="78"/>
      <c r="I83" s="78"/>
      <c r="J83" s="78"/>
    </row>
    <row r="84">
      <c r="B84" s="420" t="n">
        <v>45870</v>
      </c>
      <c r="C84" s="287"/>
      <c r="D84" s="78"/>
      <c r="E84" s="78"/>
      <c r="F84" s="78"/>
      <c r="G84" s="78"/>
      <c r="H84" s="78"/>
      <c r="I84" s="78"/>
      <c r="J84" s="78"/>
    </row>
    <row r="85">
      <c r="B85" s="420" t="n">
        <v>45901</v>
      </c>
      <c r="C85" s="287"/>
      <c r="D85" s="78"/>
      <c r="E85" s="78"/>
      <c r="F85" s="78"/>
      <c r="G85" s="78"/>
      <c r="H85" s="78"/>
      <c r="I85" s="78"/>
      <c r="J85" s="78"/>
    </row>
    <row r="86">
      <c r="B86" s="420" t="n">
        <v>45931</v>
      </c>
      <c r="C86" s="287"/>
      <c r="D86" s="78"/>
      <c r="E86" s="78"/>
      <c r="F86" s="78"/>
      <c r="G86" s="78"/>
      <c r="H86" s="78"/>
      <c r="I86" s="78"/>
      <c r="J86" s="78"/>
    </row>
    <row r="87">
      <c r="B87" s="420" t="n">
        <v>45962</v>
      </c>
      <c r="C87" s="287"/>
      <c r="D87" s="78"/>
      <c r="E87" s="78"/>
      <c r="F87" s="78"/>
      <c r="G87" s="78"/>
      <c r="H87" s="78"/>
      <c r="I87" s="78"/>
      <c r="J87" s="78"/>
    </row>
    <row r="88">
      <c r="B88" s="420" t="n">
        <v>45992</v>
      </c>
      <c r="C88" s="287"/>
      <c r="D88" s="78"/>
      <c r="E88" s="78"/>
      <c r="F88" s="78"/>
      <c r="G88" s="78"/>
      <c r="H88" s="78"/>
      <c r="I88" s="78"/>
      <c r="J88" s="78"/>
    </row>
    <row r="89">
      <c r="B89" s="420" t="n">
        <v>46023</v>
      </c>
      <c r="C89" s="287"/>
      <c r="D89" s="78"/>
      <c r="E89" s="78"/>
      <c r="F89" s="78"/>
      <c r="G89" s="78"/>
      <c r="H89" s="78"/>
      <c r="I89" s="78"/>
      <c r="J89" s="78"/>
    </row>
    <row r="90">
      <c r="B90" s="420" t="n">
        <v>46054</v>
      </c>
      <c r="C90" s="287"/>
      <c r="D90" s="78"/>
      <c r="E90" s="78"/>
      <c r="F90" s="78"/>
      <c r="G90" s="78"/>
      <c r="H90" s="78"/>
      <c r="I90" s="78"/>
      <c r="J90" s="78"/>
    </row>
    <row r="91">
      <c r="B91" s="420" t="n">
        <v>46082</v>
      </c>
      <c r="C91" s="287"/>
      <c r="D91" s="78"/>
      <c r="E91" s="78"/>
      <c r="F91" s="78"/>
      <c r="G91" s="78"/>
      <c r="H91" s="78"/>
      <c r="I91" s="78"/>
      <c r="J91" s="78"/>
    </row>
    <row r="92">
      <c r="B92" s="420" t="n">
        <v>46113</v>
      </c>
      <c r="C92" s="287"/>
      <c r="D92" s="78"/>
      <c r="E92" s="78"/>
      <c r="F92" s="78"/>
      <c r="G92" s="78"/>
      <c r="H92" s="78"/>
      <c r="I92" s="78"/>
      <c r="J92" s="78"/>
    </row>
    <row r="93">
      <c r="B93" s="420" t="n">
        <v>46143</v>
      </c>
      <c r="C93" s="287"/>
      <c r="D93" s="78"/>
      <c r="E93" s="78"/>
      <c r="F93" s="78"/>
      <c r="G93" s="78"/>
      <c r="H93" s="78"/>
      <c r="I93" s="78"/>
      <c r="J93" s="78"/>
    </row>
    <row r="94">
      <c r="B94" s="420" t="n">
        <v>46174</v>
      </c>
      <c r="C94" s="287"/>
      <c r="D94" s="78"/>
      <c r="E94" s="78"/>
      <c r="F94" s="78"/>
      <c r="G94" s="78"/>
      <c r="H94" s="78"/>
      <c r="I94" s="78"/>
      <c r="J94" s="78"/>
    </row>
    <row r="95">
      <c r="B95" s="420" t="n">
        <v>46204</v>
      </c>
      <c r="C95" s="287"/>
      <c r="D95" s="78"/>
      <c r="E95" s="78"/>
      <c r="F95" s="78"/>
      <c r="G95" s="78"/>
      <c r="H95" s="78"/>
      <c r="I95" s="78"/>
      <c r="J95" s="78"/>
    </row>
    <row r="96">
      <c r="B96" s="420" t="n">
        <v>46235</v>
      </c>
      <c r="C96" s="287"/>
      <c r="D96" s="78"/>
      <c r="E96" s="78"/>
      <c r="F96" s="78"/>
      <c r="G96" s="78"/>
      <c r="H96" s="78"/>
      <c r="I96" s="78"/>
      <c r="J96" s="78"/>
    </row>
    <row r="97">
      <c r="B97" s="420" t="n">
        <v>46266</v>
      </c>
      <c r="C97" s="287"/>
      <c r="D97" s="78"/>
      <c r="E97" s="78"/>
      <c r="F97" s="78"/>
      <c r="G97" s="78"/>
      <c r="H97" s="78"/>
      <c r="I97" s="78"/>
      <c r="J97" s="78"/>
    </row>
    <row r="98">
      <c r="B98" s="420" t="n">
        <v>46296</v>
      </c>
      <c r="C98" s="287"/>
      <c r="D98" s="78"/>
      <c r="E98" s="78"/>
      <c r="F98" s="78"/>
      <c r="G98" s="78"/>
      <c r="H98" s="78"/>
      <c r="I98" s="78"/>
      <c r="J98" s="78"/>
    </row>
    <row r="99">
      <c r="B99" s="420" t="n">
        <v>46327</v>
      </c>
      <c r="C99" s="287"/>
      <c r="D99" s="78"/>
      <c r="E99" s="78"/>
      <c r="F99" s="78"/>
      <c r="G99" s="78"/>
      <c r="H99" s="78"/>
      <c r="I99" s="78"/>
      <c r="J99" s="78"/>
    </row>
    <row r="100">
      <c r="B100" s="421" t="n">
        <v>46357</v>
      </c>
      <c r="C100" s="288"/>
      <c r="D100" s="78"/>
      <c r="E100" s="78"/>
      <c r="F100" s="78"/>
      <c r="G100" s="78"/>
      <c r="H100" s="78"/>
      <c r="I100" s="78"/>
      <c r="J100" s="78"/>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1"/>
  <legacyDrawing r:id="rIdvml"/>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3" zoomScaleNormal="100" workbookViewId="0">
      <pane xSplit="3" ySplit="6" topLeftCell="X9" activePane="bottomRight" state="frozen"/>
      <selection activeCell="A3" sqref="A3"/>
      <selection pane="topRight" activeCell="D3" sqref="D3"/>
      <selection pane="bottomLeft" activeCell="A9" sqref="A9"/>
      <selection pane="bottomRight" activeCell="Y19" sqref="Y19"/>
    </sheetView>
  </sheetViews>
  <sheetFormatPr defaultRowHeight="15.0" baseColWidth="10"/>
  <cols>
    <col min="1" max="1" width="18.54296875" hidden="0" customWidth="1"/>
    <col min="2" max="2" width="40.453125" hidden="0" customWidth="1"/>
    <col min="3" max="3" width="7.1796875" hidden="0" customWidth="1"/>
    <col min="4" max="4" width="11.1796875" hidden="0" customWidth="1"/>
    <col min="5" max="5" width="12.453125" hidden="0" customWidth="1"/>
    <col min="6" max="6" width="7.1796875" hidden="0" customWidth="1"/>
    <col min="7" max="7" width="7.1796875" hidden="0" customWidth="1"/>
    <col min="8" max="8" width="10.453125" hidden="0" customWidth="1"/>
    <col min="9" max="9" width="11.453125" hidden="0" customWidth="1"/>
    <col min="10" max="10" width="7.453125" hidden="0" customWidth="1"/>
    <col min="11" max="11" width="7.453125" hidden="0" customWidth="1"/>
    <col min="12" max="12" width="7.453125" hidden="0" customWidth="1"/>
    <col min="13" max="13" width="7.453125" hidden="0" customWidth="1"/>
    <col min="14" max="14" width="8.1796875" hidden="0" customWidth="1"/>
    <col min="15" max="15" width="8.1796875" hidden="0" customWidth="1"/>
    <col min="16" max="16" width="8.1796875" hidden="0" customWidth="1"/>
    <col min="17" max="17" width="8.1796875" hidden="0" customWidth="1"/>
    <col min="18" max="18" width="8.1796875" hidden="0" customWidth="1"/>
    <col min="19" max="19" width="8.81640625" hidden="0" customWidth="1"/>
    <col min="20" max="20" width="8.1796875" hidden="0" customWidth="1"/>
    <col min="21" max="21" width="8.1796875" hidden="0" customWidth="1"/>
    <col min="22" max="22" width="8.1796875" hidden="0" customWidth="1"/>
    <col min="23" max="23" width="8.1796875" hidden="0" customWidth="1"/>
    <col min="24" max="24" width="8.1796875" hidden="0" customWidth="1"/>
    <col min="25" max="25" width="8.1796875" hidden="0" customWidth="1"/>
    <col min="26" max="26" width="8.1796875" hidden="0" customWidth="1"/>
    <col min="27" max="27" width="8.1796875" hidden="0" customWidth="1"/>
    <col min="28" max="28" width="8.1796875" hidden="0" customWidth="1"/>
    <col min="29" max="29" width="8.1796875" hidden="0" customWidth="1"/>
    <col min="30" max="30" width="8.1796875" hidden="0" customWidth="1"/>
    <col min="31" max="31" width="8.1796875" hidden="0" customWidth="1"/>
    <col min="32" max="32" width="8.1796875" hidden="0" customWidth="1"/>
    <col min="33" max="33" width="8.1796875" hidden="0" customWidth="1"/>
    <col min="34" max="34" width="8.1796875" hidden="0" customWidth="1"/>
    <col min="35" max="35" width="8.1796875" hidden="0" customWidth="1"/>
    <col min="36" max="36" width="8.1796875" hidden="0" customWidth="1"/>
    <col min="37" max="37" width="8.1796875" hidden="0" customWidth="1"/>
    <col min="38" max="38" width="8.1796875" hidden="0" customWidth="1"/>
    <col min="39" max="39" width="8.1796875" hidden="0" customWidth="1"/>
    <col min="40" max="40" width="8.1796875" hidden="0" customWidth="1"/>
    <col min="41" max="41" width="29.453125" hidden="0" customWidth="1"/>
    <col min="42" max="42" width="31.1796875" hidden="0" customWidth="1"/>
    <col min="43" max="43" width="114.81640625" hidden="0" customWidth="1"/>
  </cols>
  <sheetData>
    <row r="1">
      <c r="B1" s="266" t="s">
        <v>125</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468"/>
      <c r="AP1" s="468"/>
    </row>
    <row r="2" ht="14.25" customHeight="1">
      <c r="B2" s="377" t="s">
        <v>243</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c r="AD2" s="377"/>
      <c r="AE2" s="377"/>
      <c r="AF2" s="377"/>
      <c r="AG2" s="377"/>
      <c r="AH2" s="377"/>
      <c r="AI2" s="377"/>
      <c r="AJ2" s="377"/>
      <c r="AK2" s="377"/>
      <c r="AL2" s="377"/>
      <c r="AM2" s="377"/>
      <c r="AN2" s="377"/>
      <c r="AO2" s="377"/>
      <c r="AP2" s="377"/>
    </row>
    <row r="3" ht="50.9" customHeight="1">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c r="AD3" s="377"/>
      <c r="AE3" s="377"/>
      <c r="AF3" s="377"/>
      <c r="AG3" s="377"/>
      <c r="AH3" s="377"/>
      <c r="AI3" s="377"/>
      <c r="AJ3" s="377"/>
      <c r="AK3" s="377"/>
      <c r="AL3" s="377"/>
      <c r="AM3" s="377"/>
      <c r="AN3" s="377"/>
      <c r="AO3" s="377"/>
      <c r="AP3" s="377"/>
    </row>
    <row r="4" ht="5.25" customHeight="1">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c r="AD4" s="377"/>
      <c r="AE4" s="377"/>
      <c r="AF4" s="377"/>
      <c r="AG4" s="377"/>
      <c r="AH4" s="377"/>
      <c r="AI4" s="377"/>
      <c r="AJ4" s="377"/>
      <c r="AK4" s="377"/>
      <c r="AL4" s="377"/>
      <c r="AM4" s="377"/>
      <c r="AN4" s="377"/>
      <c r="AO4" s="377"/>
      <c r="AP4" s="377"/>
    </row>
    <row r="5">
      <c r="B5" s="547" t="s">
        <v>244</v>
      </c>
    </row>
    <row r="6" ht="14.9" customHeight="1">
      <c r="B6" s="268" t="s">
        <v>245</v>
      </c>
      <c r="C6" s="269"/>
      <c r="D6" s="248" t="s">
        <v>191</v>
      </c>
      <c r="E6" s="249"/>
      <c r="F6" s="249"/>
      <c r="G6" s="249"/>
      <c r="H6" s="249"/>
      <c r="I6" s="249"/>
      <c r="J6" s="249"/>
      <c r="K6" s="249"/>
      <c r="L6" s="249"/>
      <c r="M6" s="249"/>
      <c r="N6" s="249"/>
      <c r="O6" s="249"/>
      <c r="P6" s="249"/>
      <c r="Q6" s="249"/>
      <c r="R6" s="249"/>
      <c r="S6" s="249"/>
      <c r="T6" s="249"/>
      <c r="U6" s="249"/>
      <c r="V6" s="249"/>
      <c r="W6" s="249"/>
      <c r="X6" s="249"/>
      <c r="Y6" s="249"/>
      <c r="Z6" s="249"/>
      <c r="AA6" s="249"/>
      <c r="AB6" s="250"/>
      <c r="AC6" s="251" t="s">
        <v>192</v>
      </c>
      <c r="AD6" s="252"/>
      <c r="AE6" s="252"/>
      <c r="AF6" s="252"/>
      <c r="AG6" s="252"/>
      <c r="AH6" s="252"/>
      <c r="AI6" s="252"/>
      <c r="AJ6" s="252"/>
      <c r="AK6" s="252"/>
      <c r="AL6" s="252"/>
      <c r="AM6" s="252"/>
      <c r="AN6" s="253"/>
      <c r="AO6" s="463" t="s">
        <v>246</v>
      </c>
      <c r="AP6" s="463" t="s">
        <v>247</v>
      </c>
    </row>
    <row r="7" ht="24" customHeight="1">
      <c r="B7" s="270"/>
      <c r="C7" s="271"/>
      <c r="D7" s="274" t="n">
        <v>2018</v>
      </c>
      <c r="E7" s="274" t="n">
        <v>2019</v>
      </c>
      <c r="F7" s="275"/>
      <c r="G7" s="275"/>
      <c r="H7" s="378"/>
      <c r="I7" s="274" t="n">
        <v>2020</v>
      </c>
      <c r="J7" s="275"/>
      <c r="K7" s="275"/>
      <c r="L7" s="275"/>
      <c r="M7" s="274" t="n">
        <v>2021</v>
      </c>
      <c r="N7" s="275"/>
      <c r="O7" s="275"/>
      <c r="P7" s="275"/>
      <c r="Q7" s="274" t="n">
        <v>2022</v>
      </c>
      <c r="R7" s="275"/>
      <c r="S7" s="275"/>
      <c r="T7" s="275"/>
      <c r="U7" s="470"/>
      <c r="V7" s="471" t="n">
        <v>2023</v>
      </c>
      <c r="W7" s="471"/>
      <c r="X7" s="472"/>
      <c r="Y7" s="432"/>
      <c r="Z7" s="382" t="n">
        <v>2024</v>
      </c>
      <c r="AA7" s="382"/>
      <c r="AB7" s="381"/>
      <c r="AC7" s="277" t="n">
        <v>2025</v>
      </c>
      <c r="AD7" s="257"/>
      <c r="AE7" s="257"/>
      <c r="AF7" s="257"/>
      <c r="AG7" s="261" t="n">
        <v>2026</v>
      </c>
      <c r="AH7" s="264"/>
      <c r="AI7" s="264"/>
      <c r="AJ7" s="263"/>
      <c r="AK7" s="261" t="n">
        <v>2027</v>
      </c>
      <c r="AL7" s="264"/>
      <c r="AM7" s="264"/>
      <c r="AN7" s="263"/>
      <c r="AO7" s="464"/>
      <c r="AP7" s="464"/>
    </row>
    <row r="8" ht="14.25" customHeight="1">
      <c r="B8" s="272"/>
      <c r="C8" s="273"/>
      <c r="D8" s="274" t="s">
        <v>193</v>
      </c>
      <c r="E8" s="274" t="s">
        <v>194</v>
      </c>
      <c r="F8" s="275" t="s">
        <v>195</v>
      </c>
      <c r="G8" s="275" t="s">
        <v>171</v>
      </c>
      <c r="H8" s="276" t="s">
        <v>193</v>
      </c>
      <c r="I8" s="275" t="s">
        <v>194</v>
      </c>
      <c r="J8" s="275" t="s">
        <v>195</v>
      </c>
      <c r="K8" s="275" t="s">
        <v>171</v>
      </c>
      <c r="L8" s="275" t="s">
        <v>193</v>
      </c>
      <c r="M8" s="274" t="s">
        <v>194</v>
      </c>
      <c r="N8" s="275" t="s">
        <v>195</v>
      </c>
      <c r="O8" s="275" t="s">
        <v>171</v>
      </c>
      <c r="P8" s="275" t="s">
        <v>193</v>
      </c>
      <c r="Q8" s="274" t="s">
        <v>194</v>
      </c>
      <c r="R8" s="275" t="s">
        <v>195</v>
      </c>
      <c r="S8" s="275" t="s">
        <v>171</v>
      </c>
      <c r="T8" s="275" t="s">
        <v>193</v>
      </c>
      <c r="U8" s="293" t="s">
        <v>194</v>
      </c>
      <c r="V8" s="294" t="s">
        <v>195</v>
      </c>
      <c r="W8" s="294" t="s">
        <v>171</v>
      </c>
      <c r="X8" s="292" t="s">
        <v>193</v>
      </c>
      <c r="Y8" s="293" t="s">
        <v>194</v>
      </c>
      <c r="Z8" s="295" t="s">
        <v>195</v>
      </c>
      <c r="AA8" s="294" t="s">
        <v>171</v>
      </c>
      <c r="AB8" s="292" t="s">
        <v>193</v>
      </c>
      <c r="AC8" s="293" t="s">
        <v>194</v>
      </c>
      <c r="AD8" s="295" t="s">
        <v>195</v>
      </c>
      <c r="AE8" s="291" t="s">
        <v>171</v>
      </c>
      <c r="AF8" s="291" t="s">
        <v>193</v>
      </c>
      <c r="AG8" s="296" t="s">
        <v>194</v>
      </c>
      <c r="AH8" s="291" t="s">
        <v>195</v>
      </c>
      <c r="AI8" s="291" t="s">
        <v>171</v>
      </c>
      <c r="AJ8" s="297" t="s">
        <v>193</v>
      </c>
      <c r="AK8" s="296" t="s">
        <v>194</v>
      </c>
      <c r="AL8" s="291" t="s">
        <v>195</v>
      </c>
      <c r="AM8" s="291" t="s">
        <v>171</v>
      </c>
      <c r="AN8" s="297" t="s">
        <v>193</v>
      </c>
      <c r="AO8" s="465"/>
      <c r="AP8" s="465"/>
    </row>
    <row r="9" ht="23.9" customHeight="1">
      <c r="B9" s="501" t="s">
        <v>248</v>
      </c>
      <c r="C9" s="563" t="s">
        <v>249</v>
      </c>
      <c r="D9" s="513" t="n">
        <f>'Haver Pivoted'!B32</f>
        <v>16.600000000000001</v>
      </c>
      <c r="E9" s="514" t="n">
        <f>'Haver Pivoted'!C32</f>
        <v>17.899999999999999</v>
      </c>
      <c r="F9" s="514" t="n">
        <f>'Haver Pivoted'!D32</f>
        <v>19.2</v>
      </c>
      <c r="G9" s="514" t="n">
        <f>'Haver Pivoted'!E32</f>
        <v>19.8</v>
      </c>
      <c r="H9" s="514" t="n">
        <f>'Haver Pivoted'!F32</f>
        <v>20.5</v>
      </c>
      <c r="I9" s="514" t="n">
        <f>'Haver Pivoted'!G32</f>
        <v>22.1</v>
      </c>
      <c r="J9" s="514" t="n">
        <f>'Haver Pivoted'!H32</f>
        <v>22.4</v>
      </c>
      <c r="K9" s="514" t="n">
        <f>'Haver Pivoted'!I32</f>
        <v>23.7</v>
      </c>
      <c r="L9" s="514" t="n">
        <f>'Haver Pivoted'!J32</f>
        <v>24.4</v>
      </c>
      <c r="M9" s="514" t="n">
        <f>'Haver Pivoted'!K32</f>
        <v>32.700000000000003</v>
      </c>
      <c r="N9" s="514" t="n">
        <f>'Haver Pivoted'!L32</f>
        <v>25.6</v>
      </c>
      <c r="O9" s="514" t="n">
        <f>'Haver Pivoted'!M32</f>
        <v>39.299999999999997</v>
      </c>
      <c r="P9" s="514" t="n">
        <f>'Haver Pivoted'!N32</f>
        <v>34.299999999999997</v>
      </c>
      <c r="Q9" s="514" t="n">
        <f>'Haver Pivoted'!O32</f>
        <v>33.4</v>
      </c>
      <c r="R9" s="514" t="n">
        <f>'Haver Pivoted'!P32</f>
        <v>32.6</v>
      </c>
      <c r="S9" s="515" t="n">
        <f>'Haver Pivoted'!Q32</f>
        <v>33.6</v>
      </c>
      <c r="T9" s="515" t="n">
        <f>'Haver Pivoted'!R32</f>
        <v>33.299999999999997</v>
      </c>
      <c r="U9" s="490" t="n">
        <f>'Haver Pivoted'!S32</f>
        <v>34.1</v>
      </c>
      <c r="V9" s="490" t="n">
        <f>'Haver Pivoted'!T32</f>
        <v>35.4</v>
      </c>
      <c r="W9" s="490" t="n">
        <f>'Haver Pivoted'!U32</f>
        <v>36.799999999999997</v>
      </c>
      <c r="X9" s="490" t="n">
        <f>'Haver Pivoted'!V32</f>
        <v>39.299999999999997</v>
      </c>
      <c r="Y9" s="490" t="n">
        <f>'Haver Pivoted'!W32</f>
        <v>44.3</v>
      </c>
      <c r="Z9" s="490" t="n">
        <f>'Haver Pivoted'!X32</f>
        <v>45</v>
      </c>
      <c r="AA9" s="490" t="n">
        <f>'Haver Pivoted'!Y32</f>
        <v>45.9</v>
      </c>
      <c r="AB9" s="490" t="n">
        <f>'Haver Pivoted'!Z32</f>
        <v>47</v>
      </c>
      <c r="AC9" s="490" t="n">
        <f>'Haver Pivoted'!AA32</f>
        <v>47.8</v>
      </c>
      <c r="AD9" s="490" t="n">
        <f>'Haver Pivoted'!AB32</f>
        <v>48.7</v>
      </c>
      <c r="AE9" s="492" t="e">
        <f>AE10+AE11</f>
        <v>#DIV/0!</v>
      </c>
      <c r="AF9" s="492" t="e">
        <f>AF10+AF11</f>
        <v>#DIV/0!</v>
      </c>
      <c r="AG9" s="492" t="e">
        <f t="shared" ref="AG9:AM9" si="0">AG10+AG11</f>
        <v>#DIV/0!</v>
      </c>
      <c r="AH9" s="492" t="e">
        <f t="shared" si="0"/>
        <v>#DIV/0!</v>
      </c>
      <c r="AI9" s="492" t="e">
        <f t="shared" si="0"/>
        <v>#DIV/0!</v>
      </c>
      <c r="AJ9" s="492" t="e">
        <f t="shared" si="0"/>
        <v>#DIV/0!</v>
      </c>
      <c r="AK9" s="492" t="e">
        <f t="shared" si="0"/>
        <v>#DIV/0!</v>
      </c>
      <c r="AL9" s="492" t="e">
        <f t="shared" si="0"/>
        <v>#DIV/0!</v>
      </c>
      <c r="AM9" s="492" t="e">
        <f t="shared" si="0"/>
        <v>#DIV/0!</v>
      </c>
      <c r="AN9" s="492" t="e">
        <f>AN10+AN11</f>
        <v>#DIV/0!</v>
      </c>
      <c r="AO9" s="533"/>
      <c r="AP9" s="564"/>
    </row>
    <row r="10" ht="27.65" customHeight="1">
      <c r="B10" s="570" t="s">
        <v>91</v>
      </c>
      <c r="C10" s="392" t="s">
        <v>250</v>
      </c>
      <c r="D10" s="520" t="n">
        <f>'Haver Pivoted'!B40</f>
        <v>0</v>
      </c>
      <c r="E10" s="580" t="n">
        <f>'Haver Pivoted'!C40</f>
        <v>0</v>
      </c>
      <c r="F10" s="580" t="n">
        <f>'Haver Pivoted'!D40</f>
        <v>0</v>
      </c>
      <c r="G10" s="580" t="n">
        <f>'Haver Pivoted'!E40</f>
        <v>0</v>
      </c>
      <c r="H10" s="580" t="n">
        <f>'Haver Pivoted'!F40</f>
        <v>0</v>
      </c>
      <c r="I10" s="580" t="n">
        <f>'Haver Pivoted'!G40</f>
        <v>0</v>
      </c>
      <c r="J10" s="580" t="n">
        <f>'Haver Pivoted'!H40</f>
        <v>0</v>
      </c>
      <c r="K10" s="580" t="n">
        <f>'Haver Pivoted'!I40</f>
        <v>0</v>
      </c>
      <c r="L10" s="580" t="n">
        <f>'Haver Pivoted'!J40</f>
        <v>0</v>
      </c>
      <c r="M10" s="580" t="n">
        <f>'Haver Pivoted'!K40</f>
        <v>0</v>
      </c>
      <c r="N10" s="580" t="n">
        <f>'Haver Pivoted'!L40</f>
        <v>0</v>
      </c>
      <c r="O10" s="580" t="n">
        <f>'Haver Pivoted'!M40</f>
        <v>0</v>
      </c>
      <c r="P10" s="578" t="n">
        <f>'Haver Pivoted'!N40</f>
        <v>0</v>
      </c>
      <c r="Q10" s="580" t="n">
        <f>'Haver Pivoted'!O40</f>
        <v>0</v>
      </c>
      <c r="R10" s="580" t="n">
        <f>'Haver Pivoted'!P40</f>
        <v>0</v>
      </c>
      <c r="S10" s="489" t="n">
        <f>'Haver Pivoted'!Q40</f>
        <v>0</v>
      </c>
      <c r="T10" s="489" t="n">
        <f>'Haver Pivoted'!R40</f>
        <v>0</v>
      </c>
      <c r="U10" s="489" t="n">
        <f>'Haver Pivoted'!S40</f>
        <v>0</v>
      </c>
      <c r="V10" s="489" t="n">
        <f>'Haver Pivoted'!T40</f>
        <v>0</v>
      </c>
      <c r="W10" s="489" t="n">
        <f>'Haver Pivoted'!U40</f>
        <v>0</v>
      </c>
      <c r="X10" s="489" t="n">
        <f>'Haver Pivoted'!V40</f>
        <v>0</v>
      </c>
      <c r="Y10" s="489" t="n">
        <f>'Haver Pivoted'!W40</f>
        <v>0</v>
      </c>
      <c r="Z10" s="489" t="n">
        <f>'Haver Pivoted'!X40</f>
        <v>0</v>
      </c>
      <c r="AA10" s="489" t="n">
        <f>'Haver Pivoted'!Y40</f>
        <v>0</v>
      </c>
      <c r="AB10" s="489" t="n">
        <f>'Haver Pivoted'!Z40</f>
        <v>0</v>
      </c>
      <c r="AC10" s="489" t="n">
        <f>'Haver Pivoted'!AA40</f>
        <v>0</v>
      </c>
      <c r="AD10" s="489" t="n">
        <f>'Haver Pivoted'!AB40</f>
        <v>0</v>
      </c>
      <c r="AE10" s="493" t="e">
        <f>Medicaid!AE28</f>
        <v>#DIV/0!</v>
      </c>
      <c r="AF10" s="493" t="e">
        <f>Medicaid!AF28</f>
        <v>#DIV/0!</v>
      </c>
      <c r="AG10" s="493" t="e">
        <f>Medicaid!AG28</f>
        <v>#DIV/0!</v>
      </c>
      <c r="AH10" s="493" t="e">
        <f>Medicaid!AH28</f>
        <v>#DIV/0!</v>
      </c>
      <c r="AI10" s="493" t="e">
        <f>Medicaid!AI28</f>
        <v>#DIV/0!</v>
      </c>
      <c r="AJ10" s="493" t="e">
        <f>Medicaid!AJ28</f>
        <v>#DIV/0!</v>
      </c>
      <c r="AK10" s="493" t="e">
        <f>Medicaid!AK28</f>
        <v>#DIV/0!</v>
      </c>
      <c r="AL10" s="493" t="e">
        <f>Medicaid!AL28</f>
        <v>#DIV/0!</v>
      </c>
      <c r="AM10" s="493" t="e">
        <f>Medicaid!AM28</f>
        <v>#DIV/0!</v>
      </c>
      <c r="AN10" s="493" t="e">
        <f>Medicaid!AN28</f>
        <v>#DIV/0!</v>
      </c>
      <c r="AO10" s="505"/>
      <c r="AP10" s="553"/>
    </row>
    <row r="11" ht="17.25" customHeight="1">
      <c r="B11" s="401" t="s">
        <v>251</v>
      </c>
      <c r="C11" s="392"/>
      <c r="D11" s="520" t="n">
        <f t="shared" ref="D11:G11" si="1">D9-D10</f>
        <v>16.600000000000001</v>
      </c>
      <c r="E11" s="580" t="n">
        <f t="shared" si="1"/>
        <v>17.899999999999999</v>
      </c>
      <c r="F11" s="580" t="n">
        <f t="shared" si="1"/>
        <v>19.2</v>
      </c>
      <c r="G11" s="580" t="n">
        <f t="shared" si="1"/>
        <v>19.8</v>
      </c>
      <c r="H11" s="580" t="n">
        <f>H9-H10</f>
        <v>20.5</v>
      </c>
      <c r="I11" s="580" t="n">
        <f t="shared" ref="I11:N11" si="2">I9-I10</f>
        <v>22.1</v>
      </c>
      <c r="J11" s="580" t="n">
        <f t="shared" si="2"/>
        <v>22.4</v>
      </c>
      <c r="K11" s="580" t="n">
        <f t="shared" si="2"/>
        <v>23.7</v>
      </c>
      <c r="L11" s="580" t="n">
        <f t="shared" si="2"/>
        <v>24.4</v>
      </c>
      <c r="M11" s="580" t="n">
        <f t="shared" si="2"/>
        <v>32.700000000000003</v>
      </c>
      <c r="N11" s="580" t="n">
        <f t="shared" si="2"/>
        <v>25.6</v>
      </c>
      <c r="O11" s="580" t="n">
        <f t="shared" ref="O11:T11" si="3">O9-O10</f>
        <v>39.299999999999997</v>
      </c>
      <c r="P11" s="578" t="n">
        <f t="shared" si="3"/>
        <v>34.299999999999997</v>
      </c>
      <c r="Q11" s="580" t="n">
        <f t="shared" si="3"/>
        <v>33.4</v>
      </c>
      <c r="R11" s="580" t="n">
        <f t="shared" si="3"/>
        <v>32.6</v>
      </c>
      <c r="S11" s="489" t="n">
        <f t="shared" si="3"/>
        <v>33.6</v>
      </c>
      <c r="T11" s="489" t="n">
        <f t="shared" si="3"/>
        <v>33.299999999999997</v>
      </c>
      <c r="U11" s="489" t="n">
        <f t="shared" ref="U11:Z11" si="4">U9-U10</f>
        <v>34.1</v>
      </c>
      <c r="V11" s="489" t="n">
        <f t="shared" si="4"/>
        <v>35.4</v>
      </c>
      <c r="W11" s="489" t="n">
        <f t="shared" si="4"/>
        <v>36.799999999999997</v>
      </c>
      <c r="X11" s="489" t="n">
        <f t="shared" si="4"/>
        <v>39.299999999999997</v>
      </c>
      <c r="Y11" s="489" t="n">
        <f t="shared" si="4"/>
        <v>44.3</v>
      </c>
      <c r="Z11" s="489" t="n">
        <f t="shared" si="4"/>
        <v>45</v>
      </c>
      <c r="AA11" s="489" t="n">
        <f t="shared" ref="AA11" si="5">AA9-AA10</f>
        <v>45.9</v>
      </c>
      <c r="AB11" s="489" t="n">
        <f>AB9-AB10</f>
        <v>47</v>
      </c>
      <c r="AC11" s="489" t="n">
        <f>AC9-AC10</f>
        <v>47.8</v>
      </c>
      <c r="AD11" s="489" t="n">
        <f>AD9-AD10</f>
        <v>48.7</v>
      </c>
      <c r="AE11" s="493" t="n">
        <f t="shared" ref="AE11:AH11" si="6">SUM(AE12:AE20)</f>
        <v>24.258698532119332</v>
      </c>
      <c r="AF11" s="493" t="n">
        <f t="shared" si="6"/>
        <v>24.497729351105178</v>
      </c>
      <c r="AG11" s="493" t="n">
        <f t="shared" si="6"/>
        <v>24.739115437928223</v>
      </c>
      <c r="AH11" s="493" t="n">
        <f t="shared" si="6"/>
        <v>24.982880000000002</v>
      </c>
      <c r="AI11" s="493" t="n">
        <f t="shared" ref="AI11:AM11" si="7">SUM(AI12:AI20)</f>
        <v>25.229046473404104</v>
      </c>
      <c r="AJ11" s="493" t="n">
        <f t="shared" si="7"/>
        <v>25.477638525149384</v>
      </c>
      <c r="AK11" s="493" t="n">
        <f t="shared" si="7"/>
        <v>25.728680055445352</v>
      </c>
      <c r="AL11" s="493" t="n">
        <f t="shared" si="7"/>
        <v>25.9821952</v>
      </c>
      <c r="AM11" s="493" t="n">
        <f t="shared" si="7"/>
        <v>26.238208332340268</v>
      </c>
      <c r="AN11" s="493" t="n">
        <f>SUM(AN12:AN20)</f>
        <v>26.496744066155358</v>
      </c>
      <c r="AO11" s="505"/>
      <c r="AP11" s="553"/>
    </row>
    <row r="12" ht="16.399999999999999" customHeight="1">
      <c r="B12" s="510" t="s">
        <v>101</v>
      </c>
      <c r="C12" s="537" t="s">
        <v>252</v>
      </c>
      <c r="D12" s="574"/>
      <c r="E12" s="537"/>
      <c r="F12" s="537"/>
      <c r="G12" s="537"/>
      <c r="H12" s="580"/>
      <c r="I12" s="580"/>
      <c r="J12" s="580" t="n">
        <f>'Haver Pivoted'!H56</f>
        <v>0</v>
      </c>
      <c r="K12" s="580"/>
      <c r="L12" s="580"/>
      <c r="M12" s="580"/>
      <c r="N12" s="580"/>
      <c r="O12" s="527" t="n">
        <v>0</v>
      </c>
      <c r="P12" s="393" t="n">
        <v>0</v>
      </c>
      <c r="Q12" s="527" t="n">
        <v>0</v>
      </c>
      <c r="R12" s="527" t="n">
        <v>0</v>
      </c>
      <c r="S12" s="527" t="n">
        <v>0</v>
      </c>
      <c r="T12" s="527" t="n">
        <v>0</v>
      </c>
      <c r="U12" s="527" t="n">
        <v>0</v>
      </c>
      <c r="V12" s="527" t="n">
        <v>0</v>
      </c>
      <c r="W12" s="527" t="n">
        <v>0</v>
      </c>
      <c r="X12" s="493" t="n">
        <v>0</v>
      </c>
      <c r="Y12" s="493" t="n">
        <v>0</v>
      </c>
      <c r="Z12" s="493" t="n">
        <v>0</v>
      </c>
      <c r="AA12" s="493" t="n">
        <v>0</v>
      </c>
      <c r="AB12" s="493" t="n">
        <v>0</v>
      </c>
      <c r="AC12" s="493" t="n">
        <v>0</v>
      </c>
      <c r="AD12" s="493" t="n">
        <v>0</v>
      </c>
      <c r="AE12" s="493"/>
      <c r="AF12" s="493"/>
      <c r="AG12" s="493"/>
      <c r="AH12" s="493"/>
      <c r="AI12" s="493"/>
      <c r="AJ12" s="493"/>
      <c r="AK12" s="493"/>
      <c r="AL12" s="493"/>
      <c r="AM12" s="493"/>
      <c r="AN12" s="493"/>
      <c r="AO12" s="505" t="n">
        <f t="shared" ref="AO12:AO17" si="8">SUM(I12:Y12)/4</f>
        <v>0</v>
      </c>
      <c r="AP12" s="553" t="n">
        <f>AO24</f>
        <v>150</v>
      </c>
    </row>
    <row r="13">
      <c r="B13" s="510" t="s">
        <v>102</v>
      </c>
      <c r="C13" s="537" t="s">
        <v>253</v>
      </c>
      <c r="D13" s="574"/>
      <c r="E13" s="537"/>
      <c r="F13" s="537"/>
      <c r="G13" s="537"/>
      <c r="H13" s="580"/>
      <c r="I13" s="580"/>
      <c r="J13" s="580" t="n">
        <f>'Haver Pivoted'!H57</f>
        <v>0</v>
      </c>
      <c r="K13" s="580" t="n">
        <f>'Haver Pivoted'!I57</f>
        <v>0</v>
      </c>
      <c r="L13" s="580" t="n">
        <f>'Haver Pivoted'!J57</f>
        <v>0</v>
      </c>
      <c r="M13" s="580" t="n">
        <f>'Haver Pivoted'!K57</f>
        <v>0</v>
      </c>
      <c r="N13" s="580" t="n">
        <f>'Haver Pivoted'!L57</f>
        <v>0</v>
      </c>
      <c r="O13" s="580" t="n">
        <f>'Haver Pivoted'!M57</f>
        <v>0</v>
      </c>
      <c r="P13" s="578" t="n">
        <f>'Haver Pivoted'!N57</f>
        <v>0</v>
      </c>
      <c r="Q13" s="580" t="n">
        <f>'Haver Pivoted'!O57</f>
        <v>0</v>
      </c>
      <c r="R13" s="580" t="n">
        <f>'Haver Pivoted'!P57</f>
        <v>0</v>
      </c>
      <c r="S13" s="489" t="n">
        <f>'Haver Pivoted'!Q57</f>
        <v>0</v>
      </c>
      <c r="T13" s="489" t="n">
        <f>'Haver Pivoted'!R57</f>
        <v>0</v>
      </c>
      <c r="U13" s="491" t="n">
        <f>U25+U29+U35</f>
        <v>60.929333333333297</v>
      </c>
      <c r="V13" s="491" t="n">
        <f t="shared" ref="V13:AC13" si="9">V25+V29+V35</f>
        <v>60.929333333333297</v>
      </c>
      <c r="W13" s="491" t="n">
        <f>W25+W29+W35</f>
        <v>60.929333333333297</v>
      </c>
      <c r="X13" s="491" t="n">
        <f t="shared" si="9"/>
        <v>54.244333333333302</v>
      </c>
      <c r="Y13" s="491" t="n">
        <f t="shared" si="9"/>
        <v>50.911000000000001</v>
      </c>
      <c r="Z13" s="491" t="n">
        <f t="shared" si="9"/>
        <v>31.911000000000001</v>
      </c>
      <c r="AA13" s="491" t="n">
        <f t="shared" si="9"/>
        <v>31.911000000000001</v>
      </c>
      <c r="AB13" s="491" t="n">
        <f t="shared" si="9"/>
        <v>23.099</v>
      </c>
      <c r="AC13" s="491" t="n">
        <f t="shared" si="9"/>
        <v>23.099</v>
      </c>
      <c r="AD13" s="491" t="n">
        <f>AD25+AD29+AD35</f>
        <v>23.099</v>
      </c>
      <c r="AE13" s="491"/>
      <c r="AF13" s="491"/>
      <c r="AG13" s="491"/>
      <c r="AH13" s="491"/>
      <c r="AI13" s="491"/>
      <c r="AJ13" s="491"/>
      <c r="AK13" s="491"/>
      <c r="AL13" s="491"/>
      <c r="AM13" s="491"/>
      <c r="AN13" s="491"/>
      <c r="AO13" s="505" t="n">
        <f t="shared" si="8"/>
        <v>71.985833333333304</v>
      </c>
      <c r="AP13" s="553" t="n">
        <f>AO25+AO29+AO35</f>
        <v>225.76349999999994</v>
      </c>
      <c r="AQ13" s="434" t="n">
        <f>SUM(J13:R13)/4</f>
        <v>0</v>
      </c>
    </row>
    <row r="14">
      <c r="B14" s="510" t="s">
        <v>103</v>
      </c>
      <c r="C14" s="516" t="s">
        <v>218</v>
      </c>
      <c r="D14" s="507"/>
      <c r="E14" s="516"/>
      <c r="F14" s="516"/>
      <c r="G14" s="516"/>
      <c r="H14" s="580"/>
      <c r="I14" s="580"/>
      <c r="J14" s="580" t="n">
        <f>'Haver Pivoted'!H58</f>
        <v>0</v>
      </c>
      <c r="K14" s="580" t="n">
        <f>'Haver Pivoted'!I58</f>
        <v>0</v>
      </c>
      <c r="L14" s="580" t="n">
        <f>'Haver Pivoted'!J58</f>
        <v>0</v>
      </c>
      <c r="M14" s="580" t="n">
        <f>'Haver Pivoted'!K58</f>
        <v>0</v>
      </c>
      <c r="N14" s="580" t="n">
        <f>'Haver Pivoted'!L58</f>
        <v>0</v>
      </c>
      <c r="O14" s="580" t="n">
        <f>'Haver Pivoted'!M58</f>
        <v>0</v>
      </c>
      <c r="P14" s="578" t="n">
        <f>'Haver Pivoted'!N58</f>
        <v>0</v>
      </c>
      <c r="Q14" s="580" t="n">
        <f>'Haver Pivoted'!O58</f>
        <v>0</v>
      </c>
      <c r="R14" s="580" t="n">
        <f>'Haver Pivoted'!P58</f>
        <v>0</v>
      </c>
      <c r="S14" s="489" t="n">
        <f>'Haver Pivoted'!Q58</f>
        <v>0</v>
      </c>
      <c r="T14" s="489" t="n">
        <f>'Haver Pivoted'!R58</f>
        <v>0</v>
      </c>
      <c r="U14" s="489" t="n">
        <f>'Haver Pivoted'!S58</f>
        <v>0</v>
      </c>
      <c r="V14" s="489" t="n">
        <f>'Haver Pivoted'!T58</f>
        <v>0</v>
      </c>
      <c r="W14" s="489" t="n">
        <f>'Haver Pivoted'!U58</f>
        <v>0</v>
      </c>
      <c r="X14" s="489" t="n">
        <f>'Haver Pivoted'!V58</f>
        <v>0</v>
      </c>
      <c r="Y14" s="489" t="n">
        <f>'Haver Pivoted'!W58</f>
        <v>0</v>
      </c>
      <c r="Z14" s="489" t="n">
        <f>'Haver Pivoted'!X58</f>
        <v>0</v>
      </c>
      <c r="AA14" s="489" t="n">
        <f>'Haver Pivoted'!Y58</f>
        <v>0</v>
      </c>
      <c r="AB14" s="489" t="n">
        <f>'Haver Pivoted'!Z58</f>
        <v>0</v>
      </c>
      <c r="AC14" s="489" t="n">
        <f>'Haver Pivoted'!AA58</f>
        <v>0</v>
      </c>
      <c r="AD14" s="489" t="n">
        <f>'Haver Pivoted'!AB58</f>
        <v>0</v>
      </c>
      <c r="AE14" s="493"/>
      <c r="AF14" s="493"/>
      <c r="AG14" s="493"/>
      <c r="AH14" s="493"/>
      <c r="AI14" s="493"/>
      <c r="AJ14" s="493"/>
      <c r="AK14" s="493"/>
      <c r="AL14" s="493"/>
      <c r="AM14" s="493"/>
      <c r="AN14" s="493"/>
      <c r="AO14" s="505" t="n">
        <f t="shared" si="8"/>
        <v>0</v>
      </c>
      <c r="AP14" s="553" t="n">
        <f>AO26+AO30+AO36</f>
        <v>34.125000000000007</v>
      </c>
    </row>
    <row r="15" ht="15.75" customHeight="1">
      <c r="B15" s="510" t="s">
        <v>254</v>
      </c>
      <c r="C15" s="516"/>
      <c r="D15" s="507"/>
      <c r="E15" s="516"/>
      <c r="F15" s="516"/>
      <c r="G15" s="516"/>
      <c r="H15" s="580"/>
      <c r="I15" s="580"/>
      <c r="J15" s="580"/>
      <c r="K15" s="580"/>
      <c r="L15" s="580"/>
      <c r="M15" s="580" t="n">
        <f>M28</f>
        <v>9.6666666666666661</v>
      </c>
      <c r="N15" s="527" t="n">
        <f t="shared" ref="N15:AC15" si="10">N28</f>
        <v>9.6666666666666661</v>
      </c>
      <c r="O15" s="527" t="n">
        <f t="shared" si="10"/>
        <v>9.6666666666666661</v>
      </c>
      <c r="P15" s="393" t="n">
        <f>P28</f>
        <v>9.6666666666666661</v>
      </c>
      <c r="Q15" s="527" t="n">
        <f>Q28</f>
        <v>9.6666666666666661</v>
      </c>
      <c r="R15" s="527" t="n">
        <f t="shared" si="10"/>
        <v>9.6666666666666661</v>
      </c>
      <c r="S15" s="527" t="n">
        <f t="shared" si="10"/>
        <v>9.6666666666666661</v>
      </c>
      <c r="T15" s="527" t="n">
        <f t="shared" si="10"/>
        <v>9.6666666666666661</v>
      </c>
      <c r="U15" s="527" t="n">
        <f t="shared" si="10"/>
        <v>9.6666666666666661</v>
      </c>
      <c r="V15" s="527" t="n">
        <f t="shared" si="10"/>
        <v>9.6666666666666661</v>
      </c>
      <c r="W15" s="527" t="n">
        <f t="shared" si="10"/>
        <v>9.6666666666666661</v>
      </c>
      <c r="X15" s="493" t="n">
        <f t="shared" si="10"/>
        <v>9.6666666666666661</v>
      </c>
      <c r="Y15" s="493" t="n">
        <f t="shared" si="10"/>
        <v>0</v>
      </c>
      <c r="Z15" s="493" t="n">
        <f t="shared" si="10"/>
        <v>0</v>
      </c>
      <c r="AA15" s="493" t="n">
        <f t="shared" si="10"/>
        <v>0</v>
      </c>
      <c r="AB15" s="493" t="n">
        <f t="shared" si="10"/>
        <v>0</v>
      </c>
      <c r="AC15" s="493" t="n">
        <f t="shared" si="10"/>
        <v>0</v>
      </c>
      <c r="AD15" s="493" t="n">
        <f t="shared" ref="AD15" si="11">AD28</f>
        <v>0</v>
      </c>
      <c r="AE15" s="493"/>
      <c r="AF15" s="493"/>
      <c r="AG15" s="493"/>
      <c r="AH15" s="493"/>
      <c r="AI15" s="493"/>
      <c r="AJ15" s="493"/>
      <c r="AK15" s="493"/>
      <c r="AL15" s="493"/>
      <c r="AM15" s="493"/>
      <c r="AN15" s="493"/>
      <c r="AO15" s="505" t="n">
        <f t="shared" si="8"/>
        <v>29.000000000000004</v>
      </c>
      <c r="AP15" s="554" t="n">
        <f>AO28</f>
        <v>29.000000000000004</v>
      </c>
      <c r="AQ15" s="523" t="s">
        <v>255</v>
      </c>
      <c r="AR15" s="523"/>
      <c r="AS15" s="523"/>
    </row>
    <row r="16" ht="31.4" customHeight="1">
      <c r="B16" s="510" t="s">
        <v>256</v>
      </c>
      <c r="C16" s="516"/>
      <c r="D16" s="507"/>
      <c r="E16" s="516"/>
      <c r="F16" s="516"/>
      <c r="G16" s="516"/>
      <c r="H16" s="580"/>
      <c r="I16" s="580"/>
      <c r="J16" s="580"/>
      <c r="K16" s="580"/>
      <c r="L16" s="580"/>
      <c r="M16" s="580" t="n">
        <f>M32+M31</f>
        <v>12</v>
      </c>
      <c r="N16" s="527" t="n">
        <f>N32+N31</f>
        <v>12</v>
      </c>
      <c r="O16" s="527" t="n">
        <f>O32+O31</f>
        <v>12</v>
      </c>
      <c r="P16" s="393" t="n">
        <f t="shared" ref="P16:AC16" si="12">P32+P31</f>
        <v>12</v>
      </c>
      <c r="Q16" s="527" t="n">
        <f t="shared" si="12"/>
        <v>12</v>
      </c>
      <c r="R16" s="527" t="n">
        <f t="shared" si="12"/>
        <v>12</v>
      </c>
      <c r="S16" s="527" t="n">
        <f t="shared" si="12"/>
        <v>12</v>
      </c>
      <c r="T16" s="527" t="n">
        <f t="shared" si="12"/>
        <v>12</v>
      </c>
      <c r="U16" s="527" t="n">
        <f t="shared" si="12"/>
        <v>12</v>
      </c>
      <c r="V16" s="527" t="n">
        <f t="shared" si="12"/>
        <v>12</v>
      </c>
      <c r="W16" s="527" t="n">
        <f t="shared" si="12"/>
        <v>12</v>
      </c>
      <c r="X16" s="493" t="n">
        <f t="shared" si="12"/>
        <v>12</v>
      </c>
      <c r="Y16" s="493" t="n">
        <f t="shared" si="12"/>
        <v>0</v>
      </c>
      <c r="Z16" s="493" t="n">
        <f t="shared" si="12"/>
        <v>0</v>
      </c>
      <c r="AA16" s="493" t="n">
        <f t="shared" si="12"/>
        <v>0</v>
      </c>
      <c r="AB16" s="493" t="n">
        <f t="shared" si="12"/>
        <v>0</v>
      </c>
      <c r="AC16" s="493" t="n">
        <f t="shared" si="12"/>
        <v>0</v>
      </c>
      <c r="AD16" s="493" t="n">
        <f t="shared" ref="AD16" si="13">AD32+AD31</f>
        <v>0</v>
      </c>
      <c r="AE16" s="493"/>
      <c r="AF16" s="493"/>
      <c r="AG16" s="493"/>
      <c r="AH16" s="493"/>
      <c r="AI16" s="493"/>
      <c r="AJ16" s="493"/>
      <c r="AK16" s="493"/>
      <c r="AL16" s="493"/>
      <c r="AM16" s="493"/>
      <c r="AN16" s="493"/>
      <c r="AO16" s="505" t="n">
        <f t="shared" si="8"/>
        <v>36</v>
      </c>
      <c r="AP16" s="553" t="n">
        <f>SUM(AO31:AO32)+AO37</f>
        <v>130.3365</v>
      </c>
      <c r="AQ16" s="523" t="s">
        <v>257</v>
      </c>
      <c r="AR16" s="523"/>
      <c r="AS16" s="523"/>
    </row>
    <row r="17">
      <c r="B17" s="510" t="s">
        <v>258</v>
      </c>
      <c r="C17" s="516"/>
      <c r="D17" s="507"/>
      <c r="E17" s="516"/>
      <c r="F17" s="516"/>
      <c r="G17" s="516"/>
      <c r="H17" s="580"/>
      <c r="I17" s="580"/>
      <c r="J17" s="580"/>
      <c r="K17" s="580"/>
      <c r="L17" s="580"/>
      <c r="M17" s="580"/>
      <c r="N17" s="527" t="n">
        <f>N37</f>
        <v>59.256</v>
      </c>
      <c r="O17" s="527" t="n">
        <f>O37</f>
        <v>59.256</v>
      </c>
      <c r="P17" s="393" t="n">
        <f>P37</f>
        <v>35.671000000000006</v>
      </c>
      <c r="Q17" s="527" t="n">
        <f>Q37</f>
        <v>35.671000000000006</v>
      </c>
      <c r="R17" s="527" t="n">
        <f t="shared" ref="R17:AC17" si="14">R37</f>
        <v>35.671000000000006</v>
      </c>
      <c r="S17" s="527" t="n">
        <f t="shared" si="14"/>
        <v>35.671000000000006</v>
      </c>
      <c r="T17" s="527" t="n">
        <f t="shared" si="14"/>
        <v>24.216000000000001</v>
      </c>
      <c r="U17" s="527" t="n">
        <f t="shared" si="14"/>
        <v>24.216000000000001</v>
      </c>
      <c r="V17" s="527" t="n">
        <f t="shared" si="14"/>
        <v>24.216000000000001</v>
      </c>
      <c r="W17" s="527" t="n">
        <f t="shared" si="14"/>
        <v>24.216000000000001</v>
      </c>
      <c r="X17" s="493" t="n">
        <f t="shared" si="14"/>
        <v>9.6430000000000007</v>
      </c>
      <c r="Y17" s="493" t="n">
        <f t="shared" si="14"/>
        <v>9.6430000000000007</v>
      </c>
      <c r="Z17" s="493" t="n">
        <f t="shared" si="14"/>
        <v>9.6430000000000007</v>
      </c>
      <c r="AA17" s="493" t="n">
        <f t="shared" si="14"/>
        <v>9.6430000000000007</v>
      </c>
      <c r="AB17" s="493" t="n">
        <f t="shared" si="14"/>
        <v>4.5789999999999997</v>
      </c>
      <c r="AC17" s="493" t="n">
        <f t="shared" si="14"/>
        <v>4.5789999999999997</v>
      </c>
      <c r="AD17" s="493" t="n">
        <f>AD37</f>
        <v>4.5789999999999997</v>
      </c>
      <c r="AE17" s="493"/>
      <c r="AF17" s="493"/>
      <c r="AG17" s="493"/>
      <c r="AH17" s="493"/>
      <c r="AI17" s="493"/>
      <c r="AJ17" s="493"/>
      <c r="AK17" s="493"/>
      <c r="AL17" s="493"/>
      <c r="AM17" s="493"/>
      <c r="AN17" s="493"/>
      <c r="AO17" s="505" t="n">
        <f t="shared" si="8"/>
        <v>94.336500000000001</v>
      </c>
      <c r="AP17" s="553"/>
      <c r="AQ17" s="523"/>
      <c r="AR17" s="523"/>
      <c r="AS17" s="523"/>
    </row>
    <row r="18" ht="54" customHeight="1">
      <c r="B18" s="560" t="s">
        <v>690</v>
      </c>
      <c r="C18" s="516"/>
      <c r="D18" s="507"/>
      <c r="E18" s="516"/>
      <c r="F18" s="516"/>
      <c r="G18" s="516"/>
      <c r="H18" s="580"/>
      <c r="I18" s="580"/>
      <c r="J18" s="580"/>
      <c r="K18" s="580"/>
      <c r="L18" s="580"/>
      <c r="M18" s="580"/>
      <c r="N18" s="527" t="n">
        <v>-40</v>
      </c>
      <c r="O18" s="527" t="n">
        <v>-40</v>
      </c>
      <c r="P18" s="393" t="n">
        <f>-51</f>
        <v>-51</v>
      </c>
      <c r="Q18" s="527" t="n">
        <f>-51</f>
        <v>-51</v>
      </c>
      <c r="R18" s="527" t="n">
        <v>-51</v>
      </c>
      <c r="S18" s="527" t="n">
        <f>-51</f>
        <v>-51</v>
      </c>
      <c r="T18" s="527" t="n">
        <v>0</v>
      </c>
      <c r="U18" s="527" t="n">
        <v>0</v>
      </c>
      <c r="V18" s="527" t="n">
        <v>0</v>
      </c>
      <c r="W18" s="527" t="n">
        <v>0</v>
      </c>
      <c r="X18" s="493" t="n">
        <v>-4</v>
      </c>
      <c r="Y18" s="493" t="n">
        <v>-4</v>
      </c>
      <c r="Z18" s="493" t="n">
        <v>-4</v>
      </c>
      <c r="AA18" s="493" t="n">
        <v>-4</v>
      </c>
      <c r="AB18" s="493" t="n">
        <v>-4</v>
      </c>
      <c r="AC18" s="493" t="n">
        <v>-4</v>
      </c>
      <c r="AD18" s="493" t="n">
        <v>-3</v>
      </c>
      <c r="AE18" s="493" t="n">
        <v>0</v>
      </c>
      <c r="AF18" s="493" t="n">
        <v>0</v>
      </c>
      <c r="AG18" s="493" t="n">
        <v>0</v>
      </c>
      <c r="AH18" s="493" t="n">
        <v>0</v>
      </c>
      <c r="AI18" s="493" t="n">
        <v>0</v>
      </c>
      <c r="AJ18" s="493" t="n">
        <v>0</v>
      </c>
      <c r="AK18" s="493" t="n">
        <v>0</v>
      </c>
      <c r="AL18" s="493" t="n">
        <v>0</v>
      </c>
      <c r="AM18" s="493" t="n">
        <v>0</v>
      </c>
      <c r="AN18" s="493" t="n">
        <v>0</v>
      </c>
      <c r="AO18" s="505"/>
      <c r="AP18" s="553"/>
      <c r="AQ18" s="523"/>
      <c r="AR18" s="523"/>
      <c r="AS18" s="523"/>
    </row>
    <row r="19" ht="15.75" customHeight="1">
      <c r="B19" s="510" t="s">
        <v>259</v>
      </c>
      <c r="C19" s="537" t="s">
        <v>260</v>
      </c>
      <c r="D19" s="507"/>
      <c r="E19" s="516"/>
      <c r="F19" s="516"/>
      <c r="G19" s="516"/>
      <c r="H19" s="580"/>
      <c r="I19" s="580"/>
      <c r="J19" s="580"/>
      <c r="K19" s="580" t="n">
        <f>'Haver Pivoted'!I56</f>
        <v>0</v>
      </c>
      <c r="L19" s="580" t="n">
        <f>'Haver Pivoted'!J56</f>
        <v>0</v>
      </c>
      <c r="M19" s="580" t="n">
        <f>'Haver Pivoted'!K56</f>
        <v>0</v>
      </c>
      <c r="N19" s="580" t="n">
        <f>'Haver Pivoted'!L56</f>
        <v>0</v>
      </c>
      <c r="O19" s="580" t="n">
        <f>'Haver Pivoted'!M56</f>
        <v>0</v>
      </c>
      <c r="P19" s="578" t="n">
        <f>'Haver Pivoted'!N56</f>
        <v>0</v>
      </c>
      <c r="Q19" s="580" t="n">
        <f>'Haver Pivoted'!O56</f>
        <v>0</v>
      </c>
      <c r="R19" s="580" t="n">
        <f>'Haver Pivoted'!P56</f>
        <v>0</v>
      </c>
      <c r="S19" s="489" t="n">
        <f>'Haver Pivoted'!Q56</f>
        <v>0</v>
      </c>
      <c r="T19" s="489" t="n">
        <f>'Haver Pivoted'!R56</f>
        <v>0</v>
      </c>
      <c r="U19" s="489" t="n">
        <f>'Haver Pivoted'!S56</f>
        <v>0</v>
      </c>
      <c r="V19" s="489" t="n">
        <f>'Haver Pivoted'!T56</f>
        <v>0</v>
      </c>
      <c r="W19" s="489" t="n">
        <f>'Haver Pivoted'!U56</f>
        <v>0</v>
      </c>
      <c r="X19" s="489" t="n">
        <f>'Haver Pivoted'!V56</f>
        <v>0</v>
      </c>
      <c r="Y19" s="489" t="n">
        <f>'Haver Pivoted'!W56</f>
        <v>0</v>
      </c>
      <c r="Z19" s="489" t="n">
        <f>'Haver Pivoted'!X56</f>
        <v>0</v>
      </c>
      <c r="AA19" s="489" t="n">
        <f>'Haver Pivoted'!Y56</f>
        <v>0</v>
      </c>
      <c r="AB19" s="489" t="n">
        <f>'Haver Pivoted'!Z56</f>
        <v>0</v>
      </c>
      <c r="AC19" s="489" t="n">
        <f>'Haver Pivoted'!AA56</f>
        <v>0</v>
      </c>
      <c r="AD19" s="489" t="n">
        <f>'Haver Pivoted'!AB56</f>
        <v>0</v>
      </c>
      <c r="AE19" s="486" t="n">
        <v>0</v>
      </c>
      <c r="AF19" s="486" t="n">
        <v>0</v>
      </c>
      <c r="AG19" s="486" t="n">
        <v>0</v>
      </c>
      <c r="AH19" s="486" t="n">
        <v>0</v>
      </c>
      <c r="AI19" s="486" t="n">
        <v>0</v>
      </c>
      <c r="AJ19" s="486" t="n">
        <v>0</v>
      </c>
      <c r="AK19" s="486" t="n">
        <v>0</v>
      </c>
      <c r="AL19" s="486" t="n">
        <v>0</v>
      </c>
      <c r="AM19" s="486" t="n">
        <v>0</v>
      </c>
      <c r="AN19" s="486" t="n">
        <v>0</v>
      </c>
      <c r="AO19" s="505" t="n">
        <f>SUM(I19:Y19)/4</f>
        <v>0</v>
      </c>
      <c r="AP19" s="553" t="n">
        <f>AO34</f>
        <v>362.04999999999995</v>
      </c>
      <c r="AQ19" s="545"/>
      <c r="AS19" s="523"/>
    </row>
    <row r="20" ht="15.75" customHeight="1">
      <c r="A20" s="525"/>
      <c r="B20" s="524" t="s">
        <v>261</v>
      </c>
      <c r="C20" s="536"/>
      <c r="D20" s="534" t="n">
        <f t="shared" ref="D20:T20" si="15">D11-SUM(D12:D19)</f>
        <v>16.600000000000001</v>
      </c>
      <c r="E20" s="536" t="n">
        <f t="shared" si="15"/>
        <v>17.899999999999999</v>
      </c>
      <c r="F20" s="536" t="n">
        <f t="shared" si="15"/>
        <v>19.2</v>
      </c>
      <c r="G20" s="536" t="n">
        <f t="shared" si="15"/>
        <v>19.8</v>
      </c>
      <c r="H20" s="536" t="n">
        <f t="shared" si="15"/>
        <v>20.5</v>
      </c>
      <c r="I20" s="536" t="n">
        <f t="shared" si="15"/>
        <v>22.1</v>
      </c>
      <c r="J20" s="536" t="n">
        <f t="shared" si="15"/>
        <v>22.4</v>
      </c>
      <c r="K20" s="536" t="n">
        <f t="shared" si="15"/>
        <v>23.7</v>
      </c>
      <c r="L20" s="536" t="n">
        <f t="shared" si="15"/>
        <v>24.4</v>
      </c>
      <c r="M20" s="536" t="n">
        <f t="shared" si="15"/>
        <v>11.033333333333339</v>
      </c>
      <c r="N20" s="536" t="n">
        <f t="shared" si="15"/>
        <v>-15.322666666666656</v>
      </c>
      <c r="O20" s="536" t="n">
        <f t="shared" si="15"/>
        <v>-1.6226666666666603</v>
      </c>
      <c r="P20" s="477" t="n">
        <f t="shared" si="15"/>
        <v>27.962333333333326</v>
      </c>
      <c r="Q20" s="536" t="n">
        <f t="shared" si="15"/>
        <v>27.062333333333328</v>
      </c>
      <c r="R20" s="536" t="n">
        <f t="shared" si="15"/>
        <v>26.262333333333331</v>
      </c>
      <c r="S20" s="512" t="n">
        <f t="shared" si="15"/>
        <v>27.262333333333331</v>
      </c>
      <c r="T20" s="512" t="n">
        <f t="shared" si="15"/>
        <v>-12.582666666666668</v>
      </c>
      <c r="U20" s="512" t="n">
        <f t="shared" ref="U20:Z20" si="16">U11-SUM(U12:U19)</f>
        <v>-72.711999999999961</v>
      </c>
      <c r="V20" s="512" t="n">
        <f t="shared" si="16"/>
        <v>-71.411999999999949</v>
      </c>
      <c r="W20" s="512" t="n">
        <f t="shared" si="16"/>
        <v>-70.011999999999958</v>
      </c>
      <c r="X20" s="512" t="n">
        <f t="shared" si="16"/>
        <v>-42.253999999999976</v>
      </c>
      <c r="Y20" s="512" t="n">
        <f t="shared" si="16"/>
        <v>-12.254000000000005</v>
      </c>
      <c r="Z20" s="512" t="n">
        <f t="shared" si="16"/>
        <v>7.445999999999998</v>
      </c>
      <c r="AA20" s="512" t="n">
        <f>AA11-SUM(AA12:AA19)</f>
        <v>8.3459999999999965</v>
      </c>
      <c r="AB20" s="512" t="n">
        <f>AB11-SUM(AB12:AB19)</f>
        <v>23.321999999999999</v>
      </c>
      <c r="AC20" s="512" t="n">
        <f>AC11-SUM(AC12:AC19)</f>
        <v>24.121999999999996</v>
      </c>
      <c r="AD20" s="512" t="n">
        <f>AD11-SUM(AD12:AD19)</f>
        <v>24.022000000000002</v>
      </c>
      <c r="AE20" s="290" t="n">
        <f>AD20*(1.04)^0.25</f>
        <v>24.258698532119332</v>
      </c>
      <c r="AF20" s="290" t="n">
        <f>AE20*(1.04)^0.25</f>
        <v>24.497729351105178</v>
      </c>
      <c r="AG20" s="290" t="n">
        <f t="shared" ref="AG20:AI20" si="17">AF20*(1.04)^0.25</f>
        <v>24.739115437928223</v>
      </c>
      <c r="AH20" s="290" t="n">
        <f t="shared" si="17"/>
        <v>24.982880000000002</v>
      </c>
      <c r="AI20" s="290" t="n">
        <f t="shared" si="17"/>
        <v>25.229046473404104</v>
      </c>
      <c r="AJ20" s="290" t="n">
        <f>AI20*(1.04)^0.25</f>
        <v>25.477638525149384</v>
      </c>
      <c r="AK20" s="290" t="n">
        <f>AJ20*(1.04)^0.25</f>
        <v>25.728680055445352</v>
      </c>
      <c r="AL20" s="290" t="n">
        <f>AK20*(1.04)^0.25</f>
        <v>25.9821952</v>
      </c>
      <c r="AM20" s="290" t="n">
        <f>AL20*(1.04)^0.25</f>
        <v>26.238208332340268</v>
      </c>
      <c r="AN20" s="290" t="n">
        <f>AM20*(1.04)^0.25</f>
        <v>26.496744066155358</v>
      </c>
      <c r="AO20" s="558"/>
      <c r="AP20" s="555"/>
      <c r="AQ20" s="523" t="s">
        <v>262</v>
      </c>
      <c r="AR20" s="523"/>
      <c r="AS20" s="523"/>
    </row>
    <row r="21" ht="15.75" customHeight="1">
      <c r="A21" s="20"/>
      <c r="B21" s="495"/>
      <c r="C21" s="516"/>
      <c r="D21" s="516"/>
      <c r="E21" s="516"/>
      <c r="F21" s="516"/>
      <c r="G21" s="516"/>
      <c r="H21" s="516"/>
      <c r="I21" s="516"/>
      <c r="J21" s="516"/>
      <c r="K21" s="516"/>
      <c r="L21" s="516"/>
      <c r="M21" s="516"/>
      <c r="N21" s="516"/>
      <c r="O21" s="516"/>
      <c r="P21" s="529"/>
      <c r="Q21" s="516"/>
      <c r="R21" s="516"/>
      <c r="AO21" s="393"/>
      <c r="AP21" s="529"/>
      <c r="AQ21" s="523"/>
      <c r="AR21" s="523"/>
      <c r="AS21" s="523"/>
    </row>
    <row r="22" ht="27" customHeight="1">
      <c r="B22" s="466" t="s">
        <v>264</v>
      </c>
      <c r="C22" s="467"/>
      <c r="D22" s="467"/>
      <c r="E22" s="467"/>
      <c r="F22" s="467"/>
      <c r="G22" s="467"/>
      <c r="H22" s="467"/>
      <c r="I22" s="467"/>
      <c r="J22" s="467"/>
      <c r="K22" s="467"/>
      <c r="L22" s="467"/>
      <c r="M22" s="467"/>
      <c r="N22" s="467"/>
      <c r="O22" s="467"/>
      <c r="P22" s="467"/>
      <c r="Q22" s="467"/>
      <c r="R22" s="467"/>
      <c r="S22" s="467"/>
      <c r="T22" s="467"/>
      <c r="U22" s="467"/>
      <c r="V22" s="467"/>
      <c r="W22" s="467"/>
      <c r="X22" s="467"/>
      <c r="Y22" s="467"/>
      <c r="Z22" s="467"/>
      <c r="AA22" s="467"/>
      <c r="AB22" s="467"/>
      <c r="AC22" s="467"/>
      <c r="AD22" s="467"/>
      <c r="AE22" s="467"/>
      <c r="AF22" s="467"/>
      <c r="AG22" s="467"/>
      <c r="AH22" s="467"/>
      <c r="AI22" s="467"/>
      <c r="AJ22" s="467"/>
      <c r="AK22" s="467"/>
      <c r="AL22" s="467"/>
      <c r="AM22" s="467"/>
      <c r="AN22" s="467"/>
      <c r="AO22" s="498" t="s">
        <v>246</v>
      </c>
      <c r="AP22" s="556"/>
    </row>
    <row r="23" ht="17.899999999999999" customHeight="1">
      <c r="B23" s="562" t="s">
        <v>265</v>
      </c>
      <c r="C23" s="516"/>
      <c r="D23" s="507"/>
      <c r="E23" s="516"/>
      <c r="F23" s="516"/>
      <c r="G23" s="516"/>
      <c r="H23" s="527"/>
      <c r="I23" s="527"/>
      <c r="J23" s="481" t="n">
        <f>SUM(J24:J26)</f>
        <v>692.8</v>
      </c>
      <c r="K23" s="481" t="n">
        <f t="shared" ref="K23:P23" si="18">SUM(K24:K26)</f>
        <v>39.200000000000003</v>
      </c>
      <c r="L23" s="481" t="n">
        <f t="shared" si="18"/>
        <v>29</v>
      </c>
      <c r="M23" s="481" t="n">
        <f t="shared" si="18"/>
        <v>27</v>
      </c>
      <c r="N23" s="481" t="n">
        <f t="shared" si="18"/>
        <v>18</v>
      </c>
      <c r="O23" s="481" t="n">
        <f t="shared" si="18"/>
        <v>0</v>
      </c>
      <c r="P23" s="389" t="n">
        <f t="shared" si="18"/>
        <v>0</v>
      </c>
      <c r="Q23" s="481"/>
      <c r="R23" s="481"/>
      <c r="S23" s="481"/>
      <c r="T23" s="486"/>
      <c r="U23" s="486"/>
      <c r="V23" s="486"/>
      <c r="W23" s="486"/>
      <c r="X23" s="486"/>
      <c r="Y23" s="486"/>
      <c r="Z23" s="486"/>
      <c r="AA23" s="486"/>
      <c r="AB23" s="486"/>
      <c r="AC23" s="486"/>
      <c r="AD23" s="486"/>
      <c r="AE23" s="486"/>
      <c r="AF23" s="486"/>
      <c r="AG23" s="486"/>
      <c r="AH23" s="486"/>
      <c r="AI23" s="486"/>
      <c r="AJ23" s="486"/>
      <c r="AK23" s="486"/>
      <c r="AL23" s="486"/>
      <c r="AM23" s="486"/>
      <c r="AN23" s="486"/>
      <c r="AO23" s="505" t="n">
        <f t="shared" ref="AO23:AO36" si="19">SUM(I23:Y23)/4</f>
        <v>201.5</v>
      </c>
      <c r="AP23" s="400" t="s">
        <v>266</v>
      </c>
      <c r="AQ23" s="267"/>
    </row>
    <row r="24">
      <c r="B24" s="526" t="s">
        <v>101</v>
      </c>
      <c r="C24" s="516"/>
      <c r="D24" s="507"/>
      <c r="E24" s="516"/>
      <c r="F24" s="516"/>
      <c r="G24" s="516"/>
      <c r="H24" s="527"/>
      <c r="I24" s="527"/>
      <c r="J24" s="481" t="n">
        <f>C44*4</f>
        <v>600</v>
      </c>
      <c r="K24" s="481"/>
      <c r="L24" s="481"/>
      <c r="M24" s="481"/>
      <c r="N24" s="481"/>
      <c r="O24" s="481"/>
      <c r="P24" s="389"/>
      <c r="Q24" s="481"/>
      <c r="R24" s="481"/>
      <c r="S24" s="481"/>
      <c r="T24" s="486"/>
      <c r="U24" s="486"/>
      <c r="V24" s="486"/>
      <c r="W24" s="486"/>
      <c r="X24" s="486"/>
      <c r="Y24" s="486"/>
      <c r="Z24" s="486"/>
      <c r="AA24" s="486"/>
      <c r="AB24" s="486"/>
      <c r="AC24" s="486"/>
      <c r="AD24" s="486"/>
      <c r="AE24" s="486"/>
      <c r="AF24" s="486"/>
      <c r="AG24" s="486"/>
      <c r="AH24" s="486"/>
      <c r="AI24" s="486"/>
      <c r="AJ24" s="486"/>
      <c r="AK24" s="486"/>
      <c r="AL24" s="486"/>
      <c r="AM24" s="486"/>
      <c r="AN24" s="486"/>
      <c r="AO24" s="505" t="n">
        <f t="shared" si="19"/>
        <v>150</v>
      </c>
      <c r="AP24" s="481"/>
    </row>
    <row r="25" ht="15" customHeight="1">
      <c r="B25" s="526" t="s">
        <v>102</v>
      </c>
      <c r="C25" s="516"/>
      <c r="D25" s="507"/>
      <c r="E25" s="516"/>
      <c r="F25" s="516"/>
      <c r="G25" s="516"/>
      <c r="H25" s="527"/>
      <c r="I25" s="527"/>
      <c r="J25" s="481" t="n">
        <v>28.4</v>
      </c>
      <c r="K25" s="481" t="n">
        <v>15.8</v>
      </c>
      <c r="L25" s="481" t="n">
        <v>15.2</v>
      </c>
      <c r="M25" s="481" t="n">
        <v>10.9</v>
      </c>
      <c r="N25" s="481" t="n">
        <v>18</v>
      </c>
      <c r="O25" s="481"/>
      <c r="P25" s="389"/>
      <c r="Q25" s="481"/>
      <c r="R25" s="481"/>
      <c r="S25" s="481" t="n">
        <v>20</v>
      </c>
      <c r="T25" s="522" t="n">
        <v>10</v>
      </c>
      <c r="U25" s="486"/>
      <c r="V25" s="486"/>
      <c r="W25" s="486"/>
      <c r="X25" s="486"/>
      <c r="Y25" s="486"/>
      <c r="Z25" s="486"/>
      <c r="AA25" s="486"/>
      <c r="AB25" s="486"/>
      <c r="AC25" s="486"/>
      <c r="AD25" s="486"/>
      <c r="AE25" s="486"/>
      <c r="AF25" s="486"/>
      <c r="AG25" s="486"/>
      <c r="AH25" s="486"/>
      <c r="AI25" s="486"/>
      <c r="AJ25" s="486"/>
      <c r="AK25" s="486"/>
      <c r="AL25" s="486"/>
      <c r="AM25" s="486"/>
      <c r="AN25" s="486"/>
      <c r="AO25" s="505" t="n">
        <f t="shared" si="19"/>
        <v>29.575000000000003</v>
      </c>
      <c r="AP25" s="481"/>
    </row>
    <row r="26">
      <c r="B26" s="526" t="s">
        <v>103</v>
      </c>
      <c r="C26" s="516"/>
      <c r="D26" s="507"/>
      <c r="E26" s="516"/>
      <c r="F26" s="516"/>
      <c r="G26" s="516"/>
      <c r="H26" s="527"/>
      <c r="I26" s="527"/>
      <c r="J26" s="392" t="n">
        <v>64.400000000000006</v>
      </c>
      <c r="K26" s="392" t="n">
        <v>23.4</v>
      </c>
      <c r="L26" s="392" t="n">
        <v>13.8</v>
      </c>
      <c r="M26" s="392" t="n">
        <v>16.100000000000001</v>
      </c>
      <c r="N26" s="481"/>
      <c r="O26" s="481"/>
      <c r="P26" s="389"/>
      <c r="Q26" s="481"/>
      <c r="R26" s="481"/>
      <c r="S26" s="481"/>
      <c r="T26" s="486"/>
      <c r="U26" s="486"/>
      <c r="V26" s="486"/>
      <c r="W26" s="486"/>
      <c r="X26" s="486"/>
      <c r="Y26" s="486"/>
      <c r="Z26" s="486"/>
      <c r="AA26" s="486"/>
      <c r="AB26" s="486"/>
      <c r="AC26" s="486"/>
      <c r="AD26" s="486"/>
      <c r="AE26" s="486"/>
      <c r="AF26" s="486"/>
      <c r="AG26" s="486"/>
      <c r="AH26" s="486"/>
      <c r="AI26" s="486"/>
      <c r="AJ26" s="486"/>
      <c r="AK26" s="486"/>
      <c r="AL26" s="486"/>
      <c r="AM26" s="486"/>
      <c r="AN26" s="486"/>
      <c r="AO26" s="505" t="n">
        <f t="shared" si="19"/>
        <v>29.425000000000004</v>
      </c>
      <c r="AP26" s="481"/>
    </row>
    <row r="27" ht="16.5" customHeight="1">
      <c r="B27" s="562" t="s">
        <v>267</v>
      </c>
      <c r="C27" s="516"/>
      <c r="D27" s="507"/>
      <c r="E27" s="516"/>
      <c r="F27" s="516"/>
      <c r="G27" s="516"/>
      <c r="H27" s="527"/>
      <c r="I27" s="527"/>
      <c r="J27" s="527"/>
      <c r="K27" s="527"/>
      <c r="L27" s="527"/>
      <c r="M27" s="481" t="n">
        <f>SUM(M28:M32)</f>
        <v>43</v>
      </c>
      <c r="N27" s="481" t="n">
        <f t="shared" ref="N27:AD27" si="20">SUM(N28:N32)</f>
        <v>70</v>
      </c>
      <c r="O27" s="481" t="n">
        <f t="shared" si="20"/>
        <v>59.999999999999964</v>
      </c>
      <c r="P27" s="389" t="n">
        <f t="shared" si="20"/>
        <v>50</v>
      </c>
      <c r="Q27" s="481" t="n">
        <f t="shared" si="20"/>
        <v>44.999999999999964</v>
      </c>
      <c r="R27" s="481" t="n">
        <f t="shared" si="20"/>
        <v>44.999999999999964</v>
      </c>
      <c r="S27" s="481" t="n">
        <f t="shared" si="20"/>
        <v>44.999999999999964</v>
      </c>
      <c r="T27" s="486" t="n">
        <f t="shared" si="20"/>
        <v>44.999999999999964</v>
      </c>
      <c r="U27" s="486" t="n">
        <f t="shared" si="20"/>
        <v>44.999999999999964</v>
      </c>
      <c r="V27" s="486" t="n">
        <f t="shared" si="20"/>
        <v>44.999999999999964</v>
      </c>
      <c r="W27" s="486" t="n">
        <f t="shared" si="20"/>
        <v>44.999999999999964</v>
      </c>
      <c r="X27" s="486" t="n">
        <f>SUM(X28:X32)</f>
        <v>44.999999999999964</v>
      </c>
      <c r="Y27" s="486" t="n">
        <f t="shared" si="20"/>
        <v>19</v>
      </c>
      <c r="Z27" s="486" t="n">
        <f t="shared" si="20"/>
        <v>0</v>
      </c>
      <c r="AA27" s="486" t="n">
        <f t="shared" si="20"/>
        <v>0</v>
      </c>
      <c r="AB27" s="486" t="n">
        <f t="shared" si="20"/>
        <v>0</v>
      </c>
      <c r="AC27" s="486" t="n">
        <f t="shared" si="20"/>
        <v>0</v>
      </c>
      <c r="AD27" s="486" t="n">
        <f t="shared" si="20"/>
        <v>0</v>
      </c>
      <c r="AE27" s="486"/>
      <c r="AF27" s="486"/>
      <c r="AG27" s="486"/>
      <c r="AH27" s="486"/>
      <c r="AI27" s="486"/>
      <c r="AJ27" s="486"/>
      <c r="AK27" s="486"/>
      <c r="AL27" s="486"/>
      <c r="AM27" s="486"/>
      <c r="AN27" s="486"/>
      <c r="AO27" s="505" t="n">
        <f t="shared" si="19"/>
        <v>150.49999999999991</v>
      </c>
      <c r="AP27" s="400" t="s">
        <v>268</v>
      </c>
      <c r="AQ27" s="267"/>
    </row>
    <row r="28">
      <c r="B28" s="526" t="s">
        <v>254</v>
      </c>
      <c r="C28" s="516"/>
      <c r="D28" s="507"/>
      <c r="E28" s="516"/>
      <c r="F28" s="516"/>
      <c r="G28" s="516"/>
      <c r="H28" s="527"/>
      <c r="I28" s="527"/>
      <c r="J28" s="527"/>
      <c r="K28" s="527"/>
      <c r="L28" s="527"/>
      <c r="M28" s="481" t="n">
        <f>C47/12*4</f>
        <v>9.6666666666666661</v>
      </c>
      <c r="N28" s="481" t="n">
        <f>M28</f>
        <v>9.6666666666666661</v>
      </c>
      <c r="O28" s="481" t="n">
        <f t="shared" ref="O28:X28" si="21">N28</f>
        <v>9.6666666666666661</v>
      </c>
      <c r="P28" s="389" t="n">
        <f t="shared" si="21"/>
        <v>9.6666666666666661</v>
      </c>
      <c r="Q28" s="481" t="n">
        <f t="shared" si="21"/>
        <v>9.6666666666666661</v>
      </c>
      <c r="R28" s="481" t="n">
        <f t="shared" si="21"/>
        <v>9.6666666666666661</v>
      </c>
      <c r="S28" s="481" t="n">
        <f t="shared" si="21"/>
        <v>9.6666666666666661</v>
      </c>
      <c r="T28" s="486" t="n">
        <f t="shared" si="21"/>
        <v>9.6666666666666661</v>
      </c>
      <c r="U28" s="486" t="n">
        <f t="shared" si="21"/>
        <v>9.6666666666666661</v>
      </c>
      <c r="V28" s="486" t="n">
        <f t="shared" si="21"/>
        <v>9.6666666666666661</v>
      </c>
      <c r="W28" s="486" t="n">
        <f t="shared" si="21"/>
        <v>9.6666666666666661</v>
      </c>
      <c r="X28" s="486" t="n">
        <f t="shared" si="21"/>
        <v>9.6666666666666661</v>
      </c>
      <c r="Y28" s="493"/>
      <c r="Z28" s="493"/>
      <c r="AA28" s="493"/>
      <c r="AB28" s="493"/>
      <c r="AC28" s="493"/>
      <c r="AD28" s="493"/>
      <c r="AE28" s="493"/>
      <c r="AF28" s="493"/>
      <c r="AG28" s="493"/>
      <c r="AH28" s="493"/>
      <c r="AI28" s="493"/>
      <c r="AJ28" s="493"/>
      <c r="AK28" s="493"/>
      <c r="AL28" s="493"/>
      <c r="AM28" s="493"/>
      <c r="AN28" s="493"/>
      <c r="AO28" s="505" t="n">
        <f t="shared" si="19"/>
        <v>29.000000000000004</v>
      </c>
      <c r="AP28" s="400"/>
      <c r="AQ28" s="267"/>
    </row>
    <row r="29" ht="41.9" customHeight="1">
      <c r="B29" s="526" t="s">
        <v>102</v>
      </c>
      <c r="C29" s="516"/>
      <c r="D29" s="507"/>
      <c r="E29" s="516"/>
      <c r="F29" s="516"/>
      <c r="G29" s="516"/>
      <c r="H29" s="527"/>
      <c r="I29" s="527"/>
      <c r="J29" s="527"/>
      <c r="K29" s="527"/>
      <c r="L29" s="527"/>
      <c r="M29" s="549" t="n">
        <f>C58/12*4 - 7</f>
        <v>20.333333333333332</v>
      </c>
      <c r="N29" s="549" t="n">
        <f>C58/12*4 + 20</f>
        <v>47.333333333333329</v>
      </c>
      <c r="O29" s="549" t="n">
        <v>37.3333333333333</v>
      </c>
      <c r="P29" s="478" t="n">
        <v>27.333333333333332</v>
      </c>
      <c r="Q29" s="549" t="n">
        <v>22.3333333333333</v>
      </c>
      <c r="R29" s="549" t="n">
        <v>22.3333333333333</v>
      </c>
      <c r="S29" s="549" t="n">
        <v>22.3333333333333</v>
      </c>
      <c r="T29" s="497" t="n">
        <v>22.3333333333333</v>
      </c>
      <c r="U29" s="497" t="n">
        <v>22.3333333333333</v>
      </c>
      <c r="V29" s="497" t="n">
        <v>22.3333333333333</v>
      </c>
      <c r="W29" s="497" t="n">
        <v>22.3333333333333</v>
      </c>
      <c r="X29" s="497" t="n">
        <v>22.3333333333333</v>
      </c>
      <c r="Y29" s="497" t="n">
        <v>19</v>
      </c>
      <c r="Z29" s="497"/>
      <c r="AA29" s="497"/>
      <c r="AB29" s="497"/>
      <c r="AC29" s="497"/>
      <c r="AD29" s="497"/>
      <c r="AE29" s="497"/>
      <c r="AF29" s="497"/>
      <c r="AG29" s="497"/>
      <c r="AH29" s="497"/>
      <c r="AI29" s="497"/>
      <c r="AJ29" s="497"/>
      <c r="AK29" s="497"/>
      <c r="AL29" s="497"/>
      <c r="AM29" s="497"/>
      <c r="AN29" s="497"/>
      <c r="AO29" s="505" t="n">
        <f t="shared" si="19"/>
        <v>82.499999999999943</v>
      </c>
      <c r="AP29" s="568" t="s">
        <v>269</v>
      </c>
    </row>
    <row r="30">
      <c r="B30" s="526" t="s">
        <v>103</v>
      </c>
      <c r="C30" s="516"/>
      <c r="D30" s="507"/>
      <c r="E30" s="516"/>
      <c r="F30" s="516"/>
      <c r="G30" s="516"/>
      <c r="H30" s="527"/>
      <c r="I30" s="527"/>
      <c r="J30" s="527"/>
      <c r="K30" s="527"/>
      <c r="L30" s="527"/>
      <c r="M30" s="481" t="n">
        <f>C59/12*4</f>
        <v>1</v>
      </c>
      <c r="N30" s="481" t="n">
        <f>C59/12*4</f>
        <v>1</v>
      </c>
      <c r="O30" s="481" t="n">
        <f t="shared" ref="O30:X30" si="22">$C$59/12*4</f>
        <v>1</v>
      </c>
      <c r="P30" s="389" t="n">
        <f t="shared" si="22"/>
        <v>1</v>
      </c>
      <c r="Q30" s="481" t="n">
        <f t="shared" si="22"/>
        <v>1</v>
      </c>
      <c r="R30" s="481" t="n">
        <f t="shared" si="22"/>
        <v>1</v>
      </c>
      <c r="S30" s="481" t="n">
        <f t="shared" si="22"/>
        <v>1</v>
      </c>
      <c r="T30" s="486" t="n">
        <f t="shared" si="22"/>
        <v>1</v>
      </c>
      <c r="U30" s="486" t="n">
        <f t="shared" si="22"/>
        <v>1</v>
      </c>
      <c r="V30" s="486" t="n">
        <f t="shared" si="22"/>
        <v>1</v>
      </c>
      <c r="W30" s="486" t="n">
        <f t="shared" si="22"/>
        <v>1</v>
      </c>
      <c r="X30" s="486" t="n">
        <f t="shared" si="22"/>
        <v>1</v>
      </c>
      <c r="Y30" s="493"/>
      <c r="Z30" s="493"/>
      <c r="AA30" s="493"/>
      <c r="AB30" s="493"/>
      <c r="AC30" s="493"/>
      <c r="AD30" s="493"/>
      <c r="AE30" s="493"/>
      <c r="AF30" s="493"/>
      <c r="AG30" s="493"/>
      <c r="AH30" s="493"/>
      <c r="AI30" s="493"/>
      <c r="AJ30" s="493"/>
      <c r="AK30" s="493"/>
      <c r="AL30" s="493"/>
      <c r="AM30" s="493"/>
      <c r="AN30" s="493"/>
      <c r="AO30" s="505" t="n">
        <f t="shared" si="19"/>
        <v>3</v>
      </c>
      <c r="AP30" s="527"/>
    </row>
    <row r="31" ht="13.4" customHeight="1">
      <c r="B31" s="526" t="s">
        <v>270</v>
      </c>
      <c r="C31" s="516"/>
      <c r="D31" s="507"/>
      <c r="E31" s="516"/>
      <c r="F31" s="516"/>
      <c r="G31" s="516"/>
      <c r="H31" s="527"/>
      <c r="I31" s="527"/>
      <c r="J31" s="527"/>
      <c r="K31" s="527"/>
      <c r="L31" s="527"/>
      <c r="M31" s="481" t="n">
        <f t="shared" ref="M31:X31" si="23">$C$60/12*4</f>
        <v>11.333333333333334</v>
      </c>
      <c r="N31" s="481" t="n">
        <f t="shared" si="23"/>
        <v>11.333333333333334</v>
      </c>
      <c r="O31" s="481" t="n">
        <f t="shared" si="23"/>
        <v>11.333333333333334</v>
      </c>
      <c r="P31" s="389" t="n">
        <f t="shared" si="23"/>
        <v>11.333333333333334</v>
      </c>
      <c r="Q31" s="481" t="n">
        <f t="shared" si="23"/>
        <v>11.333333333333334</v>
      </c>
      <c r="R31" s="481" t="n">
        <f t="shared" si="23"/>
        <v>11.333333333333334</v>
      </c>
      <c r="S31" s="481" t="n">
        <f t="shared" si="23"/>
        <v>11.333333333333334</v>
      </c>
      <c r="T31" s="486" t="n">
        <f t="shared" si="23"/>
        <v>11.333333333333334</v>
      </c>
      <c r="U31" s="486" t="n">
        <f t="shared" si="23"/>
        <v>11.333333333333334</v>
      </c>
      <c r="V31" s="486" t="n">
        <f t="shared" si="23"/>
        <v>11.333333333333334</v>
      </c>
      <c r="W31" s="486" t="n">
        <f t="shared" si="23"/>
        <v>11.333333333333334</v>
      </c>
      <c r="X31" s="486" t="n">
        <f t="shared" si="23"/>
        <v>11.333333333333334</v>
      </c>
      <c r="Y31" s="493"/>
      <c r="Z31" s="493"/>
      <c r="AA31" s="493"/>
      <c r="AB31" s="493"/>
      <c r="AC31" s="493"/>
      <c r="AD31" s="493"/>
      <c r="AE31" s="493"/>
      <c r="AF31" s="493"/>
      <c r="AG31" s="493"/>
      <c r="AH31" s="493"/>
      <c r="AI31" s="493"/>
      <c r="AJ31" s="493"/>
      <c r="AK31" s="493"/>
      <c r="AL31" s="493"/>
      <c r="AM31" s="493"/>
      <c r="AN31" s="493"/>
      <c r="AO31" s="505" t="n">
        <f t="shared" si="19"/>
        <v>33.999999999999993</v>
      </c>
      <c r="AP31" s="527"/>
    </row>
    <row r="32" ht="29.25" customHeight="1">
      <c r="B32" s="526" t="s">
        <v>271</v>
      </c>
      <c r="C32" s="516"/>
      <c r="D32" s="507"/>
      <c r="E32" s="516"/>
      <c r="F32" s="516"/>
      <c r="G32" s="516"/>
      <c r="H32" s="527"/>
      <c r="I32" s="527"/>
      <c r="J32" s="527"/>
      <c r="K32" s="527"/>
      <c r="L32" s="527"/>
      <c r="M32" s="481" t="n">
        <f t="shared" ref="M32:X32" si="24">$C$61/12*4</f>
        <v>0.66666666666666663</v>
      </c>
      <c r="N32" s="481" t="n">
        <f t="shared" si="24"/>
        <v>0.66666666666666663</v>
      </c>
      <c r="O32" s="481" t="n">
        <f t="shared" si="24"/>
        <v>0.66666666666666663</v>
      </c>
      <c r="P32" s="389" t="n">
        <f t="shared" si="24"/>
        <v>0.66666666666666663</v>
      </c>
      <c r="Q32" s="481" t="n">
        <f t="shared" si="24"/>
        <v>0.66666666666666663</v>
      </c>
      <c r="R32" s="481" t="n">
        <f t="shared" si="24"/>
        <v>0.66666666666666663</v>
      </c>
      <c r="S32" s="481" t="n">
        <f t="shared" si="24"/>
        <v>0.66666666666666663</v>
      </c>
      <c r="T32" s="486" t="n">
        <f t="shared" si="24"/>
        <v>0.66666666666666663</v>
      </c>
      <c r="U32" s="486" t="n">
        <f t="shared" si="24"/>
        <v>0.66666666666666663</v>
      </c>
      <c r="V32" s="486" t="n">
        <f t="shared" si="24"/>
        <v>0.66666666666666663</v>
      </c>
      <c r="W32" s="486" t="n">
        <f t="shared" si="24"/>
        <v>0.66666666666666663</v>
      </c>
      <c r="X32" s="486" t="n">
        <f t="shared" si="24"/>
        <v>0.66666666666666663</v>
      </c>
      <c r="Y32" s="493"/>
      <c r="Z32" s="493"/>
      <c r="AA32" s="493"/>
      <c r="AB32" s="493"/>
      <c r="AC32" s="493"/>
      <c r="AD32" s="493"/>
      <c r="AE32" s="493"/>
      <c r="AF32" s="493"/>
      <c r="AG32" s="493"/>
      <c r="AH32" s="493"/>
      <c r="AI32" s="493"/>
      <c r="AJ32" s="493"/>
      <c r="AK32" s="493"/>
      <c r="AL32" s="493"/>
      <c r="AM32" s="493"/>
      <c r="AN32" s="493"/>
      <c r="AO32" s="505" t="n">
        <f t="shared" si="19"/>
        <v>2</v>
      </c>
      <c r="AP32" s="527"/>
    </row>
    <row r="33" ht="44.25" customHeight="1">
      <c r="B33" s="562" t="s">
        <v>272</v>
      </c>
      <c r="C33" s="516"/>
      <c r="D33" s="507"/>
      <c r="E33" s="516"/>
      <c r="F33" s="516"/>
      <c r="G33" s="516"/>
      <c r="H33" s="527"/>
      <c r="I33" s="527"/>
      <c r="J33" s="527"/>
      <c r="K33" s="527"/>
      <c r="L33" s="527"/>
      <c r="M33" s="481"/>
      <c r="N33" s="481" t="n">
        <f t="shared" ref="N33:AC33" si="25">SUM(N34:N38)</f>
        <v>954.03959999999972</v>
      </c>
      <c r="O33" s="481" t="n">
        <f t="shared" si="25"/>
        <v>85.500399999999999</v>
      </c>
      <c r="P33" s="389" t="n">
        <f t="shared" si="25"/>
        <v>83.481000000000009</v>
      </c>
      <c r="Q33" s="481" t="n">
        <f t="shared" si="25"/>
        <v>662.76099999999997</v>
      </c>
      <c r="R33" s="481" t="n">
        <f t="shared" si="25"/>
        <v>83.481000000000009</v>
      </c>
      <c r="S33" s="481" t="n">
        <f t="shared" si="25"/>
        <v>83.481000000000009</v>
      </c>
      <c r="T33" s="486" t="n">
        <f t="shared" si="25"/>
        <v>62.811999999999998</v>
      </c>
      <c r="U33" s="486" t="n">
        <f t="shared" si="25"/>
        <v>62.811999999999998</v>
      </c>
      <c r="V33" s="486" t="n">
        <f t="shared" si="25"/>
        <v>62.811999999999998</v>
      </c>
      <c r="W33" s="486" t="n">
        <f t="shared" si="25"/>
        <v>62.811999999999998</v>
      </c>
      <c r="X33" s="486" t="n">
        <f t="shared" si="25"/>
        <v>41.554000000000002</v>
      </c>
      <c r="Y33" s="486" t="n">
        <f t="shared" si="25"/>
        <v>41.554000000000002</v>
      </c>
      <c r="Z33" s="486" t="n">
        <f t="shared" si="25"/>
        <v>41.554000000000002</v>
      </c>
      <c r="AA33" s="486" t="n">
        <f t="shared" si="25"/>
        <v>41.554000000000002</v>
      </c>
      <c r="AB33" s="486" t="n">
        <f t="shared" si="25"/>
        <v>27.678000000000001</v>
      </c>
      <c r="AC33" s="486" t="n">
        <f t="shared" si="25"/>
        <v>27.678000000000001</v>
      </c>
      <c r="AD33" s="486" t="n">
        <f>SUM(AD34:AD38)</f>
        <v>27.678000000000001</v>
      </c>
      <c r="AE33" s="486"/>
      <c r="AF33" s="486"/>
      <c r="AG33" s="486"/>
      <c r="AH33" s="486"/>
      <c r="AI33" s="486"/>
      <c r="AJ33" s="486"/>
      <c r="AK33" s="486"/>
      <c r="AL33" s="486"/>
      <c r="AM33" s="486"/>
      <c r="AN33" s="486"/>
      <c r="AO33" s="505" t="n">
        <f t="shared" si="19"/>
        <v>571.77499999999986</v>
      </c>
      <c r="AP33" s="400" t="s">
        <v>273</v>
      </c>
      <c r="AQ33" s="267"/>
    </row>
    <row r="34" ht="17.899999999999999" customHeight="1">
      <c r="B34" s="526" t="s">
        <v>259</v>
      </c>
      <c r="C34" s="516"/>
      <c r="D34" s="507"/>
      <c r="E34" s="516"/>
      <c r="F34" s="516"/>
      <c r="G34" s="516"/>
      <c r="H34" s="527"/>
      <c r="I34" s="527"/>
      <c r="J34" s="527"/>
      <c r="K34" s="527"/>
      <c r="L34" s="527"/>
      <c r="M34" s="481"/>
      <c r="N34" s="481" t="n">
        <f>0.6*C63*4</f>
        <v>868.91999999999985</v>
      </c>
      <c r="O34" s="481"/>
      <c r="P34" s="389"/>
      <c r="Q34" s="481" t="n">
        <f>0.4*C63*4</f>
        <v>579.28</v>
      </c>
      <c r="R34" s="481"/>
      <c r="S34" s="481"/>
      <c r="T34" s="486"/>
      <c r="U34" s="486"/>
      <c r="V34" s="486"/>
      <c r="W34" s="486"/>
      <c r="X34" s="486"/>
      <c r="Y34" s="486"/>
      <c r="Z34" s="486"/>
      <c r="AA34" s="486"/>
      <c r="AB34" s="486"/>
      <c r="AC34" s="486"/>
      <c r="AD34" s="486"/>
      <c r="AE34" s="486"/>
      <c r="AF34" s="486"/>
      <c r="AG34" s="486"/>
      <c r="AH34" s="486"/>
      <c r="AI34" s="486"/>
      <c r="AJ34" s="486"/>
      <c r="AK34" s="486"/>
      <c r="AL34" s="486"/>
      <c r="AM34" s="486"/>
      <c r="AN34" s="486"/>
      <c r="AO34" s="505" t="n">
        <f t="shared" si="19"/>
        <v>362.04999999999995</v>
      </c>
      <c r="AP34" s="545" t="s">
        <v>274</v>
      </c>
      <c r="AQ34" s="545"/>
    </row>
    <row r="35">
      <c r="B35" s="526" t="s">
        <v>102</v>
      </c>
      <c r="C35" s="516"/>
      <c r="D35" s="507"/>
      <c r="E35" s="516"/>
      <c r="F35" s="516"/>
      <c r="G35" s="516"/>
      <c r="H35" s="527"/>
      <c r="I35" s="527"/>
      <c r="J35" s="527"/>
      <c r="K35" s="527"/>
      <c r="L35" s="527"/>
      <c r="M35" s="481"/>
      <c r="N35" s="481" t="n">
        <f>'ARP Quarterly'!D9</f>
        <v>24.693999999999999</v>
      </c>
      <c r="O35" s="481" t="n">
        <f>'ARP Quarterly'!E9</f>
        <v>24.693999999999999</v>
      </c>
      <c r="P35" s="389" t="n">
        <f>'ARP Quarterly'!F9</f>
        <v>46.79</v>
      </c>
      <c r="Q35" s="481" t="n">
        <f>'ARP Quarterly'!G9</f>
        <v>46.79</v>
      </c>
      <c r="R35" s="481" t="n">
        <f>'ARP Quarterly'!H9</f>
        <v>46.79</v>
      </c>
      <c r="S35" s="481" t="n">
        <f>'ARP Quarterly'!I9</f>
        <v>46.79</v>
      </c>
      <c r="T35" s="486" t="n">
        <f>'ARP Quarterly'!J9</f>
        <v>38.595999999999997</v>
      </c>
      <c r="U35" s="486" t="n">
        <f>'ARP Quarterly'!K9</f>
        <v>38.595999999999997</v>
      </c>
      <c r="V35" s="486" t="n">
        <f>'ARP Quarterly'!L9</f>
        <v>38.595999999999997</v>
      </c>
      <c r="W35" s="486" t="n">
        <f>'ARP Quarterly'!M9</f>
        <v>38.595999999999997</v>
      </c>
      <c r="X35" s="486" t="n">
        <f>'ARP Quarterly'!N9</f>
        <v>31.911000000000001</v>
      </c>
      <c r="Y35" s="486" t="n">
        <f>'ARP Quarterly'!O9</f>
        <v>31.911000000000001</v>
      </c>
      <c r="Z35" s="486" t="n">
        <f>'ARP Quarterly'!P9</f>
        <v>31.911000000000001</v>
      </c>
      <c r="AA35" s="486" t="n">
        <f>'ARP Quarterly'!Q9</f>
        <v>31.911000000000001</v>
      </c>
      <c r="AB35" s="486" t="n">
        <f>'ARP Quarterly'!R9</f>
        <v>23.099</v>
      </c>
      <c r="AC35" s="486" t="n">
        <f>'ARP Quarterly'!S9</f>
        <v>23.099</v>
      </c>
      <c r="AD35" s="486" t="n">
        <f>'ARP Quarterly'!T9</f>
        <v>23.099</v>
      </c>
      <c r="AE35" s="486"/>
      <c r="AF35" s="486"/>
      <c r="AG35" s="486"/>
      <c r="AH35" s="486"/>
      <c r="AI35" s="486"/>
      <c r="AJ35" s="486"/>
      <c r="AK35" s="486"/>
      <c r="AL35" s="486"/>
      <c r="AM35" s="486"/>
      <c r="AN35" s="486"/>
      <c r="AO35" s="505" t="n">
        <f t="shared" si="19"/>
        <v>113.68849999999999</v>
      </c>
      <c r="AP35" s="481"/>
    </row>
    <row r="36">
      <c r="B36" s="526" t="s">
        <v>103</v>
      </c>
      <c r="C36" s="516"/>
      <c r="D36" s="507"/>
      <c r="E36" s="516"/>
      <c r="F36" s="516"/>
      <c r="G36" s="516"/>
      <c r="H36" s="527"/>
      <c r="I36" s="527"/>
      <c r="J36" s="527"/>
      <c r="K36" s="527"/>
      <c r="L36" s="527"/>
      <c r="M36" s="481"/>
      <c r="N36" s="481" t="n">
        <f>'ARP Quarterly'!D14</f>
        <v>1.1696</v>
      </c>
      <c r="O36" s="481" t="n">
        <f>'ARP Quarterly'!E14</f>
        <v>1.5503999999999998</v>
      </c>
      <c r="P36" s="389" t="n">
        <f>'ARP Quarterly'!F14</f>
        <v>1.02</v>
      </c>
      <c r="Q36" s="481" t="n">
        <f>'ARP Quarterly'!G14</f>
        <v>1.02</v>
      </c>
      <c r="R36" s="481" t="n">
        <f>'ARP Quarterly'!H14</f>
        <v>1.02</v>
      </c>
      <c r="S36" s="481" t="n">
        <f>'ARP Quarterly'!I14</f>
        <v>1.02</v>
      </c>
      <c r="T36" s="486" t="n">
        <f>'ARP Quarterly'!J14</f>
        <v>0</v>
      </c>
      <c r="U36" s="486" t="n">
        <f>'ARP Quarterly'!K14</f>
        <v>0</v>
      </c>
      <c r="V36" s="486" t="n">
        <f>'ARP Quarterly'!L14</f>
        <v>0</v>
      </c>
      <c r="W36" s="486" t="n">
        <f>'ARP Quarterly'!M14</f>
        <v>0</v>
      </c>
      <c r="X36" s="486" t="n">
        <f>'ARP Quarterly'!N14</f>
        <v>0</v>
      </c>
      <c r="Y36" s="486" t="n">
        <f>'ARP Quarterly'!O14</f>
        <v>0</v>
      </c>
      <c r="Z36" s="486" t="n">
        <f>'ARP Quarterly'!P14</f>
        <v>0</v>
      </c>
      <c r="AA36" s="486" t="n">
        <f>'ARP Quarterly'!Q14</f>
        <v>0</v>
      </c>
      <c r="AB36" s="486" t="n">
        <f>'ARP Quarterly'!R14</f>
        <v>0</v>
      </c>
      <c r="AC36" s="486" t="n">
        <f>'ARP Quarterly'!S14</f>
        <v>0</v>
      </c>
      <c r="AD36" s="486" t="n">
        <f>'ARP Quarterly'!T14</f>
        <v>0</v>
      </c>
      <c r="AE36" s="486"/>
      <c r="AF36" s="486"/>
      <c r="AG36" s="486"/>
      <c r="AH36" s="486"/>
      <c r="AI36" s="486"/>
      <c r="AJ36" s="486"/>
      <c r="AK36" s="486"/>
      <c r="AL36" s="486"/>
      <c r="AM36" s="486"/>
      <c r="AN36" s="486"/>
      <c r="AO36" s="505" t="n">
        <f t="shared" si="19"/>
        <v>1.6999999999999997</v>
      </c>
      <c r="AP36" s="481"/>
    </row>
    <row r="37">
      <c r="B37" s="526" t="s">
        <v>275</v>
      </c>
      <c r="C37" s="516"/>
      <c r="D37" s="507"/>
      <c r="E37" s="516"/>
      <c r="F37" s="516"/>
      <c r="G37" s="516"/>
      <c r="H37" s="527"/>
      <c r="I37" s="527"/>
      <c r="J37" s="527"/>
      <c r="K37" s="527"/>
      <c r="L37" s="527"/>
      <c r="M37" s="481"/>
      <c r="N37" s="481" t="n">
        <f>'ARP Quarterly'!D10</f>
        <v>59.256</v>
      </c>
      <c r="O37" s="481" t="n">
        <f>'ARP Quarterly'!E10</f>
        <v>59.256</v>
      </c>
      <c r="P37" s="389" t="n">
        <f>'ARP Quarterly'!F10</f>
        <v>35.671000000000006</v>
      </c>
      <c r="Q37" s="481" t="n">
        <f>'ARP Quarterly'!G10</f>
        <v>35.671000000000006</v>
      </c>
      <c r="R37" s="481" t="n">
        <f>'ARP Quarterly'!H10</f>
        <v>35.671000000000006</v>
      </c>
      <c r="S37" s="481" t="n">
        <f>'ARP Quarterly'!I10</f>
        <v>35.671000000000006</v>
      </c>
      <c r="T37" s="486" t="n">
        <f>'ARP Quarterly'!J10</f>
        <v>24.216000000000001</v>
      </c>
      <c r="U37" s="486" t="n">
        <f>'ARP Quarterly'!K10</f>
        <v>24.216000000000001</v>
      </c>
      <c r="V37" s="486" t="n">
        <f>'ARP Quarterly'!L10</f>
        <v>24.216000000000001</v>
      </c>
      <c r="W37" s="486" t="n">
        <f>'ARP Quarterly'!M10</f>
        <v>24.216000000000001</v>
      </c>
      <c r="X37" s="486" t="n">
        <f>'ARP Quarterly'!N10</f>
        <v>9.6430000000000007</v>
      </c>
      <c r="Y37" s="486" t="n">
        <f>'ARP Quarterly'!O10</f>
        <v>9.6430000000000007</v>
      </c>
      <c r="Z37" s="486" t="n">
        <f>'ARP Quarterly'!P10</f>
        <v>9.6430000000000007</v>
      </c>
      <c r="AA37" s="486" t="n">
        <f>'ARP Quarterly'!Q10</f>
        <v>9.6430000000000007</v>
      </c>
      <c r="AB37" s="486" t="n">
        <f>'ARP Quarterly'!R10</f>
        <v>4.5789999999999997</v>
      </c>
      <c r="AC37" s="486" t="n">
        <f>'ARP Quarterly'!S10</f>
        <v>4.5789999999999997</v>
      </c>
      <c r="AD37" s="486" t="n">
        <f>'ARP Quarterly'!T10</f>
        <v>4.5789999999999997</v>
      </c>
      <c r="AE37" s="486"/>
      <c r="AF37" s="486"/>
      <c r="AG37" s="486"/>
      <c r="AH37" s="486"/>
      <c r="AI37" s="486"/>
      <c r="AJ37" s="486"/>
      <c r="AK37" s="486"/>
      <c r="AL37" s="486"/>
      <c r="AM37" s="486"/>
      <c r="AN37" s="486"/>
      <c r="AO37" s="505" t="n">
        <f>SUM(I37:Y37)/4</f>
        <v>94.336500000000001</v>
      </c>
      <c r="AP37" s="481"/>
    </row>
    <row r="38">
      <c r="A38" s="20"/>
      <c r="B38" s="540"/>
      <c r="C38" s="536"/>
      <c r="D38" s="534"/>
      <c r="E38" s="536"/>
      <c r="F38" s="536"/>
      <c r="G38" s="536"/>
      <c r="H38" s="542"/>
      <c r="I38" s="542"/>
      <c r="J38" s="542"/>
      <c r="K38" s="542"/>
      <c r="L38" s="542"/>
      <c r="M38" s="482"/>
      <c r="N38" s="482"/>
      <c r="O38" s="482"/>
      <c r="P38" s="479"/>
      <c r="Q38" s="482"/>
      <c r="R38" s="482"/>
      <c r="S38" s="482"/>
      <c r="T38" s="546"/>
      <c r="U38" s="546"/>
      <c r="V38" s="546"/>
      <c r="W38" s="546"/>
      <c r="X38" s="546"/>
      <c r="Y38" s="546"/>
      <c r="Z38" s="546"/>
      <c r="AA38" s="546"/>
      <c r="AB38" s="546"/>
      <c r="AC38" s="546"/>
      <c r="AD38" s="546"/>
      <c r="AE38" s="546"/>
      <c r="AF38" s="546"/>
      <c r="AG38" s="546"/>
      <c r="AH38" s="546"/>
      <c r="AI38" s="546"/>
      <c r="AJ38" s="546"/>
      <c r="AK38" s="546"/>
      <c r="AL38" s="546"/>
      <c r="AM38" s="546"/>
      <c r="AN38" s="546"/>
      <c r="AO38" s="557"/>
      <c r="AP38" s="481"/>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row>
    <row r="39">
      <c r="B39" s="495"/>
      <c r="C39" s="516"/>
      <c r="D39" s="516"/>
      <c r="E39" s="516"/>
      <c r="F39" s="516"/>
      <c r="G39" s="516"/>
      <c r="H39" s="516"/>
      <c r="I39" s="516"/>
      <c r="J39" s="516"/>
      <c r="K39" s="516"/>
      <c r="L39" s="516"/>
      <c r="M39" s="516"/>
      <c r="N39" s="516"/>
      <c r="O39" s="516"/>
      <c r="P39" s="529"/>
      <c r="Q39" s="516"/>
      <c r="R39" s="516"/>
      <c r="S39" s="516"/>
      <c r="T39" s="516"/>
      <c r="U39" s="516"/>
      <c r="V39" s="516"/>
      <c r="W39" s="516"/>
      <c r="X39" s="516"/>
      <c r="Y39" s="516"/>
      <c r="Z39" s="516"/>
      <c r="AA39" s="516"/>
      <c r="AB39" s="516"/>
      <c r="AC39" s="516"/>
      <c r="AD39" s="516"/>
      <c r="AE39" s="516"/>
      <c r="AF39" s="516"/>
      <c r="AG39" s="516"/>
      <c r="AH39" s="516"/>
      <c r="AI39" s="516"/>
      <c r="AJ39" s="516"/>
      <c r="AK39" s="516"/>
      <c r="AL39" s="516"/>
      <c r="AM39" s="516"/>
      <c r="AN39" s="516"/>
      <c r="AO39" s="516"/>
      <c r="AP39" s="516"/>
    </row>
    <row r="40">
      <c r="B40" s="495"/>
      <c r="C40" s="516"/>
      <c r="D40" s="516"/>
      <c r="E40" s="516"/>
      <c r="F40" s="516"/>
      <c r="G40" s="516"/>
      <c r="H40" s="516"/>
      <c r="I40" s="516"/>
      <c r="J40" s="516"/>
      <c r="K40" s="516"/>
      <c r="L40" s="516"/>
      <c r="M40" s="516"/>
      <c r="N40" s="516"/>
      <c r="O40" s="516"/>
      <c r="P40" s="529"/>
      <c r="Q40" s="516"/>
      <c r="R40" s="516"/>
      <c r="S40" s="516"/>
      <c r="T40" s="516"/>
      <c r="U40" s="516"/>
      <c r="V40" s="516"/>
      <c r="W40" s="516"/>
      <c r="X40" s="516"/>
      <c r="Y40" s="516"/>
      <c r="Z40" s="516"/>
      <c r="AA40" s="516"/>
      <c r="AB40" s="516"/>
      <c r="AC40" s="516"/>
      <c r="AD40" s="516"/>
      <c r="AE40" s="516"/>
      <c r="AF40" s="516"/>
      <c r="AG40" s="516"/>
      <c r="AH40" s="516"/>
      <c r="AI40" s="516"/>
      <c r="AJ40" s="516"/>
      <c r="AK40" s="516"/>
      <c r="AL40" s="516"/>
      <c r="AM40" s="516"/>
      <c r="AN40" s="516"/>
      <c r="AO40" s="516"/>
      <c r="AP40" s="516"/>
    </row>
    <row r="41" ht="17.899999999999999" customHeight="1">
      <c r="B41" s="547" t="s">
        <v>276</v>
      </c>
      <c r="H41" s="527"/>
      <c r="I41" s="527"/>
      <c r="J41" s="527"/>
      <c r="K41" s="527"/>
      <c r="L41" s="527"/>
      <c r="M41" s="527"/>
      <c r="N41" s="527"/>
      <c r="O41" s="527"/>
      <c r="P41" s="393"/>
      <c r="Q41" s="527"/>
      <c r="R41" s="527"/>
      <c r="S41" s="527"/>
      <c r="T41" s="527"/>
      <c r="U41" s="527"/>
      <c r="V41" s="527"/>
      <c r="W41" s="527"/>
      <c r="X41" s="527"/>
      <c r="Y41" s="527"/>
      <c r="Z41" s="527"/>
      <c r="AA41" s="527"/>
      <c r="AB41" s="527"/>
      <c r="AC41" s="527"/>
      <c r="AD41" s="527"/>
      <c r="AE41" s="527"/>
      <c r="AF41" s="527"/>
      <c r="AG41" s="527"/>
      <c r="AH41" s="527"/>
      <c r="AI41" s="527"/>
      <c r="AJ41" s="527"/>
      <c r="AK41" s="527"/>
      <c r="AL41" s="527"/>
      <c r="AM41" s="527"/>
      <c r="AN41" s="527"/>
      <c r="AO41" s="527"/>
      <c r="AP41" s="527"/>
    </row>
    <row r="42" ht="29.9" customHeight="1">
      <c r="B42" s="565" t="s">
        <v>277</v>
      </c>
      <c r="C42" s="566" t="s">
        <v>278</v>
      </c>
      <c r="D42" s="567" t="s">
        <v>279</v>
      </c>
      <c r="E42" s="552" t="s">
        <v>280</v>
      </c>
      <c r="F42" s="527"/>
      <c r="G42" s="527"/>
      <c r="H42" s="527"/>
      <c r="I42" s="527"/>
      <c r="J42" s="527"/>
      <c r="K42" s="527"/>
      <c r="L42" s="527"/>
      <c r="M42" s="527"/>
      <c r="N42" s="527"/>
      <c r="O42" s="527"/>
      <c r="P42" s="393"/>
      <c r="Q42" s="527"/>
      <c r="R42" s="527"/>
      <c r="S42" s="527"/>
      <c r="T42" s="527"/>
      <c r="U42" s="527"/>
      <c r="V42" s="527"/>
      <c r="W42" s="527"/>
    </row>
    <row r="43" ht="18.75" customHeight="1">
      <c r="B43" s="571" t="s">
        <v>281</v>
      </c>
      <c r="C43" s="543" t="n">
        <f>SUM(C44:C49)</f>
        <v>898.11599999999999</v>
      </c>
      <c r="D43" s="527" t="n">
        <f>SUM(D44:D48)</f>
        <v>2.4166666666666665</v>
      </c>
      <c r="E43" s="511" t="n">
        <f>SUM(E44:E48)</f>
        <v>850.30233333333331</v>
      </c>
      <c r="F43" s="527"/>
      <c r="G43" s="527"/>
      <c r="H43" s="527"/>
      <c r="I43" s="527"/>
      <c r="J43" s="527"/>
      <c r="K43" s="527"/>
      <c r="L43" s="527"/>
      <c r="M43" s="527"/>
      <c r="N43" s="527"/>
      <c r="O43" s="527"/>
      <c r="P43" s="393"/>
      <c r="Q43" s="527"/>
      <c r="R43" s="527"/>
      <c r="S43" s="527"/>
      <c r="T43" s="527"/>
      <c r="U43" s="527"/>
      <c r="V43" s="527"/>
      <c r="W43" s="527"/>
    </row>
    <row r="44">
      <c r="B44" s="570" t="s">
        <v>101</v>
      </c>
      <c r="C44" s="543" t="n">
        <f>C53</f>
        <v>150</v>
      </c>
      <c r="D44" s="527" t="n">
        <f>SUM(H12:M12)/4</f>
        <v>0</v>
      </c>
      <c r="E44" s="505" t="n">
        <f>C44-D44</f>
        <v>150</v>
      </c>
      <c r="F44" s="527"/>
      <c r="G44" s="527"/>
      <c r="H44" s="527"/>
      <c r="I44" s="532"/>
      <c r="J44" s="532"/>
      <c r="K44" s="532"/>
      <c r="L44" s="532"/>
      <c r="M44" s="532"/>
      <c r="N44" s="532"/>
      <c r="O44" s="532"/>
      <c r="P44" s="577"/>
      <c r="Q44" s="527"/>
      <c r="R44" s="527"/>
      <c r="S44" s="527"/>
      <c r="T44" s="527"/>
      <c r="U44" s="527"/>
      <c r="V44" s="527"/>
      <c r="W44" s="527"/>
    </row>
    <row r="45">
      <c r="B45" s="570" t="s">
        <v>102</v>
      </c>
      <c r="C45" s="572" t="n">
        <f>C54+C58+C64</f>
        <v>273.16899999999998</v>
      </c>
      <c r="D45" s="527" t="n">
        <f>SUM(H13:M13)/4</f>
        <v>0</v>
      </c>
      <c r="E45" s="505" t="n">
        <f>C45-D45</f>
        <v>273.16899999999998</v>
      </c>
      <c r="F45" s="527"/>
      <c r="G45" s="527"/>
      <c r="H45" s="527"/>
      <c r="I45" s="532"/>
      <c r="J45" s="532"/>
      <c r="K45" s="532"/>
      <c r="L45" s="532"/>
      <c r="M45" s="532"/>
      <c r="N45" s="532"/>
      <c r="O45" s="532"/>
      <c r="P45" s="577"/>
      <c r="Q45" s="527"/>
      <c r="R45" s="527"/>
      <c r="S45" s="527"/>
      <c r="T45" s="527"/>
      <c r="U45" s="527"/>
      <c r="V45" s="527"/>
      <c r="W45" s="527"/>
    </row>
    <row r="46">
      <c r="B46" s="570" t="s">
        <v>103</v>
      </c>
      <c r="C46" s="418" t="n">
        <f>C55+C65+C59</f>
        <v>38.5</v>
      </c>
      <c r="D46" s="527" t="n">
        <f>SUM(H14:M14)/4</f>
        <v>0</v>
      </c>
      <c r="E46" s="505" t="n">
        <f>C46-D46</f>
        <v>38.5</v>
      </c>
      <c r="F46" s="527"/>
      <c r="G46" s="527"/>
      <c r="H46" s="527"/>
      <c r="I46" s="532"/>
      <c r="J46" s="532"/>
      <c r="K46" s="532"/>
      <c r="L46" s="532"/>
      <c r="M46" s="532"/>
      <c r="N46" s="532"/>
      <c r="O46" s="532"/>
      <c r="P46" s="577"/>
      <c r="Q46" s="468"/>
      <c r="R46" s="468"/>
      <c r="S46" s="468"/>
      <c r="T46" s="468"/>
      <c r="U46" s="468"/>
      <c r="V46" s="468"/>
      <c r="W46" s="468"/>
      <c r="X46" s="468"/>
      <c r="Y46" s="468"/>
      <c r="Z46" s="468"/>
      <c r="AA46" s="468"/>
      <c r="AB46" s="468"/>
      <c r="AC46" s="468"/>
      <c r="AD46" s="468"/>
      <c r="AE46" s="468"/>
      <c r="AF46" s="468"/>
      <c r="AG46" s="468"/>
      <c r="AH46" s="468"/>
      <c r="AI46" s="468"/>
      <c r="AJ46" s="468"/>
      <c r="AK46" s="468"/>
      <c r="AL46" s="468"/>
      <c r="AM46" s="468"/>
      <c r="AN46" s="468"/>
      <c r="AO46" s="468"/>
      <c r="AP46" s="468"/>
      <c r="AQ46" s="468"/>
      <c r="AR46" s="468"/>
      <c r="AS46" s="468"/>
    </row>
    <row r="47" ht="17.25" customHeight="1">
      <c r="B47" s="570" t="s">
        <v>282</v>
      </c>
      <c r="C47" s="418" t="n">
        <f>C57</f>
        <v>29</v>
      </c>
      <c r="D47" s="527" t="n">
        <f>SUM(H15:M15)/4</f>
        <v>2.4166666666666665</v>
      </c>
      <c r="E47" s="505" t="n">
        <f>C47-D47</f>
        <v>26.583333333333332</v>
      </c>
      <c r="F47" s="527"/>
      <c r="G47" s="527"/>
      <c r="H47" s="527"/>
      <c r="I47" s="532"/>
      <c r="J47" s="532"/>
      <c r="K47" s="532"/>
      <c r="L47" s="532"/>
      <c r="M47" s="532"/>
      <c r="N47" s="532"/>
      <c r="O47" s="532"/>
      <c r="P47" s="577"/>
      <c r="Q47" s="286"/>
      <c r="R47" s="286"/>
      <c r="S47" s="286"/>
      <c r="T47" s="286"/>
      <c r="U47" s="286"/>
      <c r="V47" s="286"/>
      <c r="W47" s="286"/>
      <c r="X47" s="286"/>
      <c r="Y47" s="286"/>
      <c r="Z47" s="286"/>
      <c r="AA47" s="286"/>
      <c r="AB47" s="286"/>
      <c r="AC47" s="286"/>
      <c r="AD47" s="286"/>
      <c r="AE47" s="286"/>
      <c r="AF47" s="286"/>
      <c r="AG47" s="286"/>
      <c r="AH47" s="286"/>
      <c r="AI47" s="286"/>
      <c r="AJ47" s="286"/>
      <c r="AK47" s="286"/>
      <c r="AL47" s="286"/>
      <c r="AM47" s="286"/>
      <c r="AN47" s="286"/>
      <c r="AO47" s="286"/>
      <c r="AP47" s="286"/>
      <c r="AQ47" s="286"/>
      <c r="AR47" s="286"/>
      <c r="AS47" s="286"/>
    </row>
    <row r="48" ht="15.75" customHeight="1">
      <c r="B48" s="570" t="s">
        <v>259</v>
      </c>
      <c r="C48" s="418" t="n">
        <f>C63</f>
        <v>362.04999999999995</v>
      </c>
      <c r="D48" s="527" t="n">
        <v>0</v>
      </c>
      <c r="E48" s="505" t="n">
        <f>C48-D48</f>
        <v>362.04999999999995</v>
      </c>
      <c r="F48" s="527"/>
      <c r="G48" s="527"/>
      <c r="H48" s="527"/>
      <c r="I48" s="532"/>
      <c r="J48" s="532"/>
      <c r="K48" s="532"/>
      <c r="L48" s="532"/>
      <c r="M48" s="532"/>
      <c r="N48" s="532"/>
      <c r="O48" s="532"/>
      <c r="P48" s="577"/>
      <c r="Q48" s="286"/>
      <c r="R48" s="286"/>
      <c r="S48" s="286"/>
      <c r="T48" s="286"/>
      <c r="U48" s="286"/>
      <c r="V48" s="286"/>
      <c r="W48" s="286"/>
      <c r="X48" s="286"/>
      <c r="Y48" s="286"/>
      <c r="Z48" s="286"/>
      <c r="AA48" s="286"/>
      <c r="AB48" s="286"/>
      <c r="AC48" s="286"/>
      <c r="AD48" s="286"/>
      <c r="AE48" s="286"/>
      <c r="AF48" s="286"/>
      <c r="AG48" s="286"/>
      <c r="AH48" s="286"/>
      <c r="AI48" s="286"/>
      <c r="AJ48" s="286"/>
      <c r="AK48" s="286"/>
      <c r="AL48" s="286"/>
      <c r="AM48" s="286"/>
      <c r="AN48" s="286"/>
      <c r="AO48" s="286"/>
      <c r="AP48" s="286"/>
      <c r="AQ48" s="286"/>
      <c r="AR48" s="286"/>
      <c r="AS48" s="286"/>
    </row>
    <row r="49" ht="15" customHeight="1">
      <c r="B49" s="569" t="s">
        <v>283</v>
      </c>
      <c r="C49" s="543" t="n">
        <f>C66+C67+C60+C61</f>
        <v>45.396999999999998</v>
      </c>
      <c r="D49" s="527"/>
      <c r="E49" s="505"/>
      <c r="F49" s="527"/>
      <c r="G49" s="527"/>
      <c r="H49" s="527"/>
      <c r="I49" s="532"/>
      <c r="J49" s="532"/>
      <c r="K49" s="532"/>
      <c r="L49" s="532"/>
      <c r="M49" s="532"/>
      <c r="N49" s="532"/>
      <c r="O49" s="532"/>
      <c r="P49" s="577"/>
      <c r="Q49" s="527"/>
      <c r="R49" s="527"/>
      <c r="S49" s="527"/>
      <c r="T49" s="527"/>
      <c r="U49" s="527"/>
      <c r="V49" s="527"/>
      <c r="W49" s="527"/>
    </row>
    <row r="50" ht="5.25" customHeight="1">
      <c r="B50" s="569"/>
      <c r="C50" s="543"/>
      <c r="D50" s="527"/>
      <c r="E50" s="505"/>
      <c r="F50" s="527"/>
      <c r="G50" s="527"/>
      <c r="H50" s="527"/>
      <c r="I50" s="532"/>
      <c r="J50" s="532"/>
      <c r="K50" s="532"/>
      <c r="L50" s="532"/>
      <c r="M50" s="532"/>
      <c r="N50" s="532"/>
      <c r="O50" s="532"/>
      <c r="P50" s="577"/>
      <c r="Q50" s="527"/>
      <c r="R50" s="527"/>
      <c r="S50" s="527"/>
      <c r="T50" s="527"/>
      <c r="U50" s="527"/>
      <c r="V50" s="527"/>
      <c r="W50" s="527"/>
    </row>
    <row r="51" ht="18.75" customHeight="1">
      <c r="B51" s="571" t="s">
        <v>284</v>
      </c>
      <c r="C51" s="418" t="n">
        <f>C52+C56+C62</f>
        <v>898.11599999999999</v>
      </c>
      <c r="D51" s="527"/>
      <c r="E51" s="505"/>
      <c r="F51" s="527"/>
      <c r="G51" s="527"/>
      <c r="H51" s="527"/>
      <c r="I51" s="532"/>
      <c r="J51" s="532"/>
      <c r="K51" s="532"/>
      <c r="L51" s="532"/>
      <c r="M51" s="532"/>
      <c r="N51" s="532"/>
      <c r="O51" s="532"/>
      <c r="P51" s="577"/>
      <c r="Q51" s="527"/>
      <c r="R51" s="527"/>
      <c r="S51" s="527"/>
      <c r="T51" s="527"/>
      <c r="U51" s="527"/>
      <c r="V51" s="527"/>
      <c r="W51" s="527"/>
    </row>
    <row r="52" ht="16.399999999999999" customHeight="1">
      <c r="B52" s="562" t="s">
        <v>265</v>
      </c>
      <c r="C52" s="418" t="n">
        <f>SUM(C53:C55)</f>
        <v>199</v>
      </c>
      <c r="D52" s="527"/>
      <c r="E52" s="505"/>
      <c r="F52" s="527"/>
      <c r="G52" s="527"/>
      <c r="H52" s="527"/>
      <c r="I52" s="532"/>
      <c r="J52" s="532"/>
      <c r="K52" s="532"/>
      <c r="L52" s="532"/>
      <c r="M52" s="532"/>
      <c r="N52" s="532"/>
      <c r="O52" s="532"/>
      <c r="P52" s="577"/>
      <c r="Q52" s="527"/>
      <c r="R52" s="527"/>
      <c r="S52" s="527"/>
      <c r="T52" s="527"/>
      <c r="U52" s="527"/>
      <c r="V52" s="527"/>
      <c r="W52" s="527"/>
    </row>
    <row r="53" ht="20.9" customHeight="1">
      <c r="B53" s="526" t="s">
        <v>101</v>
      </c>
      <c r="C53" s="418" t="n">
        <v>150</v>
      </c>
      <c r="D53" s="527"/>
      <c r="E53" s="505"/>
      <c r="F53" s="527"/>
      <c r="G53" s="527"/>
      <c r="H53" s="527"/>
      <c r="I53" s="532"/>
      <c r="J53" s="532"/>
      <c r="K53" s="532"/>
      <c r="L53" s="532"/>
      <c r="M53" s="532"/>
      <c r="N53" s="532"/>
      <c r="O53" s="532"/>
      <c r="P53" s="577"/>
      <c r="Q53" s="527"/>
      <c r="R53" s="527"/>
      <c r="S53" s="527"/>
      <c r="T53" s="527"/>
      <c r="U53" s="527"/>
      <c r="V53" s="527"/>
      <c r="W53" s="527"/>
    </row>
    <row r="54" ht="16.5" customHeight="1">
      <c r="B54" s="526" t="s">
        <v>102</v>
      </c>
      <c r="C54" s="572" t="n">
        <v>22</v>
      </c>
      <c r="D54" s="392"/>
      <c r="E54" s="505"/>
      <c r="F54" s="527"/>
      <c r="G54" s="527"/>
      <c r="H54" s="527"/>
      <c r="I54" s="532"/>
      <c r="J54" s="532"/>
      <c r="K54" s="532"/>
      <c r="L54" s="532"/>
      <c r="M54" s="532"/>
      <c r="N54" s="532"/>
      <c r="O54" s="532"/>
      <c r="P54" s="577"/>
      <c r="Q54" s="527"/>
      <c r="R54" s="527"/>
      <c r="S54" s="527"/>
      <c r="T54" s="527"/>
      <c r="U54" s="527"/>
      <c r="V54" s="527"/>
      <c r="W54" s="527"/>
    </row>
    <row r="55">
      <c r="B55" s="526" t="s">
        <v>103</v>
      </c>
      <c r="C55" s="418" t="n">
        <v>27</v>
      </c>
      <c r="D55" s="527"/>
      <c r="E55" s="505"/>
      <c r="F55" s="516"/>
      <c r="G55" s="527"/>
      <c r="H55" s="527"/>
      <c r="I55" s="532"/>
      <c r="J55" s="532"/>
      <c r="K55" s="532"/>
      <c r="L55" s="532"/>
      <c r="M55" s="532"/>
      <c r="N55" s="532"/>
      <c r="P55" s="577"/>
      <c r="Q55" s="527"/>
      <c r="R55" s="527"/>
      <c r="S55" s="527"/>
      <c r="T55" s="527"/>
      <c r="U55" s="527"/>
      <c r="V55" s="527"/>
      <c r="W55" s="527"/>
    </row>
    <row r="56" ht="15" customHeight="1">
      <c r="B56" s="562" t="s">
        <v>267</v>
      </c>
      <c r="C56" s="418" t="n">
        <f>SUM(C57:C61)</f>
        <v>150</v>
      </c>
      <c r="D56" s="527"/>
      <c r="E56" s="505"/>
      <c r="F56" s="527"/>
      <c r="G56" s="527"/>
      <c r="H56" s="527"/>
      <c r="I56" s="527"/>
      <c r="J56" s="527"/>
      <c r="K56" s="527"/>
      <c r="L56" s="527"/>
      <c r="M56" s="527"/>
      <c r="N56" s="527"/>
      <c r="P56" s="393"/>
      <c r="Q56" s="527"/>
      <c r="R56" s="527"/>
      <c r="S56" s="527"/>
      <c r="T56" s="527"/>
      <c r="U56" s="527"/>
      <c r="V56" s="527"/>
      <c r="W56" s="527"/>
    </row>
    <row r="57" ht="17.25" customHeight="1">
      <c r="B57" s="526" t="s">
        <v>254</v>
      </c>
      <c r="C57" s="418" t="n">
        <f>'Response and Relief Act Score'!F7</f>
        <v>29</v>
      </c>
      <c r="D57" s="527"/>
      <c r="E57" s="505"/>
      <c r="F57" s="527"/>
      <c r="G57" s="527"/>
      <c r="H57" s="527"/>
      <c r="I57" s="527"/>
    </row>
    <row r="58">
      <c r="B58" s="526" t="s">
        <v>102</v>
      </c>
      <c r="C58" s="418" t="n">
        <f>'Response and Relief Act Score'!F5</f>
        <v>82</v>
      </c>
      <c r="D58" s="527"/>
      <c r="E58" s="505"/>
      <c r="F58" s="527"/>
      <c r="G58" s="527"/>
      <c r="H58" s="527"/>
      <c r="I58" s="527"/>
      <c r="J58" s="527"/>
      <c r="K58" s="527"/>
      <c r="L58" s="527"/>
      <c r="M58" s="527"/>
      <c r="N58" s="527"/>
      <c r="P58" s="393"/>
      <c r="Q58" s="527"/>
      <c r="R58" s="527"/>
      <c r="S58" s="527"/>
      <c r="T58" s="527"/>
      <c r="U58" s="527"/>
      <c r="V58" s="527"/>
      <c r="W58" s="527"/>
    </row>
    <row r="59">
      <c r="B59" s="526" t="s">
        <v>103</v>
      </c>
      <c r="C59" s="418" t="n">
        <f>'Response and Relief Act Score'!F6</f>
        <v>3</v>
      </c>
      <c r="D59" s="527"/>
      <c r="E59" s="505"/>
      <c r="F59" s="527"/>
      <c r="G59" s="527"/>
      <c r="H59" s="527"/>
      <c r="I59" s="527"/>
      <c r="J59" s="527"/>
      <c r="K59" s="527"/>
      <c r="L59" s="527"/>
      <c r="M59" s="527"/>
      <c r="N59" s="527"/>
      <c r="P59" s="393"/>
      <c r="Q59" s="527"/>
      <c r="R59" s="527"/>
      <c r="S59" s="527"/>
      <c r="T59" s="527"/>
      <c r="U59" s="527"/>
      <c r="V59" s="527"/>
      <c r="W59" s="527"/>
    </row>
    <row r="60" ht="29.25" customHeight="1">
      <c r="B60" s="526" t="s">
        <v>270</v>
      </c>
      <c r="C60" s="418" t="n">
        <f>'Response and Relief Act Score'!F9</f>
        <v>34</v>
      </c>
      <c r="D60" s="527"/>
      <c r="E60" s="505"/>
      <c r="F60" s="527"/>
      <c r="G60" s="527"/>
      <c r="H60" s="527"/>
      <c r="I60" s="548"/>
      <c r="J60" s="527"/>
      <c r="K60" s="527"/>
      <c r="L60" s="527"/>
      <c r="M60" s="527"/>
      <c r="N60" s="527"/>
      <c r="O60" s="532"/>
      <c r="P60" s="393"/>
      <c r="Q60" s="527"/>
      <c r="R60" s="527"/>
      <c r="S60" s="527"/>
      <c r="T60" s="527"/>
      <c r="U60" s="527"/>
      <c r="V60" s="527"/>
      <c r="W60" s="527"/>
    </row>
    <row r="61" ht="12.75" customHeight="1">
      <c r="B61" s="526" t="s">
        <v>271</v>
      </c>
      <c r="C61" s="418" t="n">
        <f>'Response and Relief Act Score'!F8</f>
        <v>2</v>
      </c>
      <c r="D61" s="527"/>
      <c r="E61" s="505"/>
      <c r="F61" s="527"/>
      <c r="G61" s="527"/>
      <c r="H61" s="527"/>
      <c r="I61" s="527"/>
      <c r="J61" s="527"/>
      <c r="K61" s="527"/>
      <c r="L61" s="527"/>
      <c r="M61" s="527"/>
      <c r="N61" s="527"/>
      <c r="O61" s="527"/>
      <c r="P61" s="393"/>
      <c r="Q61" s="527"/>
      <c r="R61" s="527"/>
      <c r="S61" s="527"/>
      <c r="T61" s="527"/>
      <c r="U61" s="527"/>
      <c r="V61" s="527"/>
      <c r="W61" s="527"/>
    </row>
    <row r="62">
      <c r="A62" s="539"/>
      <c r="B62" s="535" t="s">
        <v>272</v>
      </c>
      <c r="C62" s="543" t="n">
        <f>SUM(C63:C67)</f>
        <v>549.11599999999999</v>
      </c>
      <c r="D62" s="527"/>
      <c r="E62" s="505"/>
      <c r="F62" s="527"/>
      <c r="G62" s="527"/>
      <c r="H62" s="527"/>
      <c r="I62" s="527"/>
      <c r="J62" s="527"/>
      <c r="K62" s="527"/>
      <c r="L62" s="527"/>
      <c r="M62" s="527"/>
      <c r="N62" s="527"/>
      <c r="P62" s="393"/>
      <c r="Q62" s="527"/>
      <c r="R62" s="527"/>
      <c r="S62" s="527"/>
      <c r="T62" s="527"/>
      <c r="U62" s="527"/>
      <c r="V62" s="527"/>
      <c r="W62" s="527"/>
    </row>
    <row r="63" ht="16.399999999999999" customHeight="1">
      <c r="A63" s="539"/>
      <c r="B63" s="538" t="s">
        <v>259</v>
      </c>
      <c r="C63" s="543" t="n">
        <f>'ARP Score'!AJ16</f>
        <v>362.04999999999995</v>
      </c>
      <c r="D63" s="527"/>
      <c r="E63" s="505"/>
      <c r="F63" s="527"/>
      <c r="G63" s="527"/>
      <c r="H63" s="527"/>
      <c r="I63" s="527"/>
      <c r="J63" s="527"/>
      <c r="K63" s="527"/>
      <c r="L63" s="527"/>
      <c r="M63" s="527"/>
      <c r="N63" s="527"/>
      <c r="O63" s="527"/>
      <c r="P63" s="393"/>
      <c r="Q63" s="527"/>
      <c r="R63" s="527"/>
      <c r="S63" s="527"/>
      <c r="T63" s="527"/>
      <c r="U63" s="527"/>
      <c r="V63" s="527"/>
      <c r="W63" s="527"/>
    </row>
    <row r="64" ht="15" customHeight="1">
      <c r="A64" s="469"/>
      <c r="B64" s="538" t="s">
        <v>102</v>
      </c>
      <c r="C64" s="543" t="n">
        <f>'ARP Score'!AL16</f>
        <v>169.16899999999998</v>
      </c>
      <c r="D64" s="527"/>
      <c r="E64" s="505"/>
      <c r="F64" s="527"/>
      <c r="G64" s="527"/>
      <c r="H64" s="527"/>
      <c r="I64" s="527"/>
      <c r="J64" s="527"/>
      <c r="K64" s="527"/>
      <c r="L64" s="527"/>
      <c r="M64" s="527"/>
      <c r="N64" s="527"/>
      <c r="O64" s="527"/>
      <c r="P64" s="393"/>
      <c r="Q64" s="541"/>
      <c r="R64" s="527"/>
      <c r="S64" s="527"/>
      <c r="T64" s="527"/>
      <c r="U64" s="527"/>
      <c r="V64" s="527"/>
      <c r="W64" s="527"/>
    </row>
    <row r="65">
      <c r="A65" s="469"/>
      <c r="B65" s="538" t="s">
        <v>103</v>
      </c>
      <c r="C65" s="543" t="n">
        <f>'ARP Score'!AK16</f>
        <v>8.5</v>
      </c>
      <c r="D65" s="527"/>
      <c r="E65" s="505"/>
      <c r="F65" s="527"/>
      <c r="G65" s="527"/>
      <c r="H65" s="527"/>
      <c r="I65" s="527"/>
      <c r="J65" s="527"/>
      <c r="K65" s="527"/>
      <c r="L65" s="527"/>
      <c r="M65" s="527"/>
      <c r="N65" s="527"/>
      <c r="O65" s="527"/>
      <c r="P65" s="393"/>
      <c r="Q65" s="527"/>
      <c r="R65" s="527"/>
      <c r="S65" s="527"/>
      <c r="T65" s="527"/>
      <c r="U65" s="527"/>
      <c r="V65" s="527"/>
      <c r="W65" s="527"/>
    </row>
    <row r="66" ht="17.25" customHeight="1">
      <c r="A66" s="539"/>
      <c r="B66" s="538" t="s">
        <v>275</v>
      </c>
      <c r="C66" s="543" t="n">
        <f>'ARP Score'!AM16</f>
        <v>0.79700000000000004</v>
      </c>
      <c r="D66" s="527"/>
      <c r="E66" s="505"/>
      <c r="F66" s="527"/>
      <c r="G66" s="527"/>
      <c r="H66" s="527"/>
      <c r="I66" s="527"/>
      <c r="J66" s="527"/>
      <c r="K66" s="527"/>
      <c r="L66" s="527"/>
      <c r="M66" s="527"/>
      <c r="N66" s="527"/>
      <c r="O66" s="527"/>
      <c r="P66" s="393"/>
      <c r="Q66" s="527"/>
      <c r="R66" s="527"/>
      <c r="S66" s="527"/>
      <c r="T66" s="527"/>
      <c r="U66" s="527"/>
      <c r="V66" s="527"/>
      <c r="W66" s="527"/>
    </row>
    <row r="67" ht="17.25" customHeight="1">
      <c r="A67" s="539"/>
      <c r="B67" s="540" t="s">
        <v>285</v>
      </c>
      <c r="C67" s="544" t="n">
        <f>'ARP Score'!AN16</f>
        <v>8.6</v>
      </c>
      <c r="D67" s="542"/>
      <c r="E67" s="530"/>
      <c r="F67" s="527"/>
      <c r="G67" s="527"/>
      <c r="H67" s="527"/>
      <c r="I67" s="527"/>
      <c r="J67" s="527"/>
      <c r="K67" s="527"/>
      <c r="L67" s="527"/>
      <c r="M67" s="527"/>
      <c r="N67" s="527"/>
      <c r="O67" s="527"/>
      <c r="P67" s="393"/>
      <c r="Q67" s="527"/>
      <c r="R67" s="527"/>
      <c r="S67" s="527"/>
      <c r="T67" s="527"/>
      <c r="U67" s="527"/>
      <c r="V67" s="527"/>
      <c r="W67" s="527"/>
    </row>
    <row r="68" ht="17.25" customHeight="1">
      <c r="B68" s="538"/>
      <c r="C68" s="581"/>
      <c r="D68" s="581"/>
      <c r="E68" s="581"/>
      <c r="F68" s="581"/>
      <c r="G68" s="581"/>
      <c r="H68" s="527"/>
      <c r="I68" s="527"/>
      <c r="J68" s="527"/>
      <c r="K68" s="527"/>
      <c r="L68" s="527"/>
      <c r="M68" s="527"/>
      <c r="N68" s="527"/>
      <c r="O68" s="527"/>
      <c r="P68" s="393"/>
      <c r="Q68" s="527"/>
      <c r="R68" s="527"/>
      <c r="S68" s="527"/>
      <c r="T68" s="527"/>
      <c r="U68" s="527"/>
      <c r="V68" s="527"/>
      <c r="W68" s="527"/>
      <c r="X68" s="527"/>
      <c r="Y68" s="527"/>
      <c r="Z68" s="527"/>
      <c r="AA68" s="527"/>
      <c r="AB68" s="527"/>
      <c r="AC68" s="527"/>
      <c r="AD68" s="527"/>
      <c r="AE68" s="527"/>
      <c r="AF68" s="527"/>
      <c r="AG68" s="527"/>
      <c r="AH68" s="527"/>
      <c r="AI68" s="527"/>
      <c r="AJ68" s="527"/>
      <c r="AK68" s="527"/>
      <c r="AL68" s="527"/>
      <c r="AM68" s="527"/>
      <c r="AN68" s="527"/>
      <c r="AO68" s="527"/>
      <c r="AP68" s="527"/>
    </row>
    <row r="69" ht="17.25" customHeight="1">
      <c r="B69" s="528" t="s">
        <v>286</v>
      </c>
      <c r="C69" s="581"/>
      <c r="D69" s="581"/>
      <c r="E69" s="581"/>
      <c r="F69" s="581"/>
      <c r="G69" s="581"/>
      <c r="H69" s="527"/>
      <c r="I69" s="527"/>
      <c r="J69" s="527"/>
      <c r="K69" s="527"/>
      <c r="L69" s="527"/>
      <c r="M69" s="527"/>
      <c r="N69" s="527"/>
      <c r="O69" s="527"/>
      <c r="P69" s="393"/>
      <c r="Q69" s="527"/>
      <c r="R69" s="527"/>
      <c r="S69" s="527"/>
      <c r="T69" s="527"/>
      <c r="U69" s="527"/>
      <c r="V69" s="527"/>
      <c r="W69" s="527"/>
      <c r="X69" s="527"/>
      <c r="Y69" s="527"/>
      <c r="Z69" s="527"/>
      <c r="AA69" s="527"/>
      <c r="AB69" s="527"/>
      <c r="AC69" s="527"/>
      <c r="AD69" s="527"/>
      <c r="AE69" s="527"/>
      <c r="AF69" s="527"/>
      <c r="AG69" s="527"/>
      <c r="AH69" s="527"/>
      <c r="AI69" s="527"/>
      <c r="AJ69" s="527"/>
      <c r="AK69" s="527"/>
      <c r="AL69" s="527"/>
      <c r="AM69" s="527"/>
      <c r="AN69" s="527"/>
      <c r="AO69" s="527"/>
      <c r="AP69" s="527"/>
    </row>
    <row r="70" ht="14.9" customHeight="1">
      <c r="B70" s="268" t="s">
        <v>287</v>
      </c>
      <c r="C70" s="269"/>
      <c r="D70" s="248" t="s">
        <v>191</v>
      </c>
      <c r="E70" s="249"/>
      <c r="F70" s="249"/>
      <c r="G70" s="249"/>
      <c r="H70" s="249"/>
      <c r="I70" s="249"/>
      <c r="J70" s="249"/>
      <c r="K70" s="249"/>
      <c r="L70" s="249"/>
      <c r="M70" s="249"/>
      <c r="N70" s="249"/>
      <c r="O70" s="249"/>
      <c r="P70" s="249"/>
      <c r="Q70" s="249"/>
      <c r="R70" s="249"/>
      <c r="S70" s="249"/>
      <c r="T70" s="249"/>
      <c r="U70" s="249"/>
      <c r="V70" s="249"/>
      <c r="W70" s="249"/>
      <c r="X70" s="249"/>
      <c r="Y70" s="249"/>
      <c r="Z70" s="249"/>
      <c r="AA70" s="250"/>
      <c r="AB70" s="251" t="s">
        <v>192</v>
      </c>
      <c r="AC70" s="252"/>
      <c r="AD70" s="252"/>
      <c r="AE70" s="252"/>
      <c r="AF70" s="252"/>
      <c r="AG70" s="252"/>
      <c r="AH70" s="252"/>
      <c r="AI70" s="252"/>
      <c r="AJ70" s="252"/>
      <c r="AK70" s="252"/>
      <c r="AL70" s="252"/>
      <c r="AM70" s="252"/>
      <c r="AN70" s="253"/>
      <c r="AO70" s="468"/>
      <c r="AP70" s="468"/>
    </row>
    <row r="71">
      <c r="B71" s="270"/>
      <c r="C71" s="271"/>
      <c r="D71" s="254" t="n">
        <v>2018</v>
      </c>
      <c r="E71" s="254" t="n">
        <v>2019</v>
      </c>
      <c r="F71" s="441"/>
      <c r="G71" s="441"/>
      <c r="H71" s="256"/>
      <c r="I71" s="254" t="n">
        <v>2020</v>
      </c>
      <c r="J71" s="441"/>
      <c r="K71" s="441"/>
      <c r="L71" s="441"/>
      <c r="M71" s="254" t="n">
        <v>2021</v>
      </c>
      <c r="N71" s="441"/>
      <c r="O71" s="441"/>
      <c r="P71" s="441"/>
      <c r="Q71" s="259" t="n">
        <v>2022</v>
      </c>
      <c r="R71" s="260"/>
      <c r="S71" s="298"/>
      <c r="T71" s="298"/>
      <c r="U71" s="254" t="n">
        <v>2023</v>
      </c>
      <c r="V71" s="255"/>
      <c r="W71" s="255"/>
      <c r="X71" s="256"/>
      <c r="Y71" s="298"/>
      <c r="Z71" s="304" t="n">
        <v>2024</v>
      </c>
      <c r="AA71" s="304"/>
      <c r="AB71" s="301"/>
      <c r="AC71" s="261" t="n">
        <v>2025</v>
      </c>
      <c r="AD71" s="264"/>
      <c r="AE71" s="264"/>
      <c r="AF71" s="263"/>
      <c r="AG71" s="261" t="n">
        <v>2026</v>
      </c>
      <c r="AH71" s="264"/>
      <c r="AI71" s="264"/>
      <c r="AJ71" s="263"/>
      <c r="AK71" s="261" t="n">
        <v>2027</v>
      </c>
      <c r="AL71" s="264"/>
      <c r="AM71" s="264"/>
      <c r="AN71" s="263"/>
      <c r="AO71" s="289"/>
      <c r="AP71" s="289"/>
    </row>
    <row r="72">
      <c r="B72" s="272"/>
      <c r="C72" s="273"/>
      <c r="D72" s="274" t="s">
        <v>193</v>
      </c>
      <c r="E72" s="274" t="s">
        <v>194</v>
      </c>
      <c r="F72" s="275" t="s">
        <v>195</v>
      </c>
      <c r="G72" s="275" t="s">
        <v>171</v>
      </c>
      <c r="H72" s="276" t="s">
        <v>193</v>
      </c>
      <c r="I72" s="275" t="s">
        <v>194</v>
      </c>
      <c r="J72" s="275" t="s">
        <v>195</v>
      </c>
      <c r="K72" s="275" t="s">
        <v>171</v>
      </c>
      <c r="L72" s="275" t="s">
        <v>193</v>
      </c>
      <c r="M72" s="274" t="s">
        <v>194</v>
      </c>
      <c r="N72" s="275" t="s">
        <v>195</v>
      </c>
      <c r="O72" s="275" t="s">
        <v>171</v>
      </c>
      <c r="P72" s="275" t="s">
        <v>193</v>
      </c>
      <c r="Q72" s="274" t="s">
        <v>194</v>
      </c>
      <c r="R72" s="275" t="s">
        <v>195</v>
      </c>
      <c r="S72" s="275" t="s">
        <v>171</v>
      </c>
      <c r="T72" s="275" t="s">
        <v>193</v>
      </c>
      <c r="U72" s="293" t="s">
        <v>194</v>
      </c>
      <c r="V72" s="294" t="s">
        <v>195</v>
      </c>
      <c r="W72" s="294" t="s">
        <v>171</v>
      </c>
      <c r="X72" s="292" t="s">
        <v>193</v>
      </c>
      <c r="Y72" s="294" t="s">
        <v>194</v>
      </c>
      <c r="Z72" s="295" t="s">
        <v>195</v>
      </c>
      <c r="AA72" s="294" t="s">
        <v>171</v>
      </c>
      <c r="AB72" s="291" t="s">
        <v>193</v>
      </c>
      <c r="AC72" s="296" t="s">
        <v>194</v>
      </c>
      <c r="AD72" s="290" t="s">
        <v>195</v>
      </c>
      <c r="AE72" s="291" t="s">
        <v>171</v>
      </c>
      <c r="AF72" s="297" t="s">
        <v>193</v>
      </c>
      <c r="AG72" s="385" t="s">
        <v>194</v>
      </c>
      <c r="AH72" s="290" t="s">
        <v>195</v>
      </c>
      <c r="AI72" s="290" t="s">
        <v>171</v>
      </c>
      <c r="AJ72" s="430" t="s">
        <v>193</v>
      </c>
      <c r="AK72" s="385" t="s">
        <v>194</v>
      </c>
      <c r="AL72" s="290" t="s">
        <v>195</v>
      </c>
      <c r="AM72" s="290" t="s">
        <v>171</v>
      </c>
      <c r="AN72" s="430" t="s">
        <v>193</v>
      </c>
      <c r="AO72" s="78"/>
      <c r="AP72" s="78"/>
    </row>
    <row r="73" ht="29.25" customHeight="1">
      <c r="B73" s="501" t="s">
        <v>288</v>
      </c>
      <c r="C73" s="563"/>
      <c r="D73" s="502"/>
      <c r="E73" s="503"/>
      <c r="F73" s="503"/>
      <c r="G73" s="503"/>
      <c r="H73" s="504" t="n">
        <f t="shared" ref="H73:O73" si="26">SUM(H75:H83)</f>
        <v>20.5</v>
      </c>
      <c r="I73" s="504" t="n">
        <f t="shared" si="26"/>
        <v>22.1</v>
      </c>
      <c r="J73" s="504" t="n">
        <f t="shared" si="26"/>
        <v>57.4</v>
      </c>
      <c r="K73" s="504" t="n">
        <f t="shared" si="26"/>
        <v>68.7</v>
      </c>
      <c r="L73" s="504" t="n">
        <f t="shared" si="26"/>
        <v>69.400000000000006</v>
      </c>
      <c r="M73" s="504" t="n">
        <f t="shared" si="26"/>
        <v>72.7</v>
      </c>
      <c r="N73" s="504" t="n">
        <f t="shared" si="26"/>
        <v>46.344000000000008</v>
      </c>
      <c r="O73" s="504" t="n">
        <f t="shared" si="26"/>
        <v>60.044000000000004</v>
      </c>
      <c r="P73" s="576" t="n">
        <f>SUM(P75:P84)</f>
        <v>74.24985199999999</v>
      </c>
      <c r="Q73" s="504" t="n">
        <f>SUM(Q75:Q84)</f>
        <v>124.72527479999997</v>
      </c>
      <c r="R73" s="504" t="n">
        <f>SUM(R75:R84)</f>
        <v>167.279032</v>
      </c>
      <c r="S73" s="504" t="n">
        <f>SUM(S75:S84)</f>
        <v>178.22486800000001</v>
      </c>
      <c r="T73" s="521" t="n">
        <f t="shared" ref="T73:AB73" si="27">SUM(T75:T84)</f>
        <v>139.69092799999999</v>
      </c>
      <c r="U73" s="481" t="n">
        <f>SUM(U75:U84)</f>
        <v>130.07454319999999</v>
      </c>
      <c r="V73" s="481" t="n">
        <f>SUM(V75:V84)</f>
        <v>130.16872000000001</v>
      </c>
      <c r="W73" s="481" t="n">
        <f>SUM(W75:W84)</f>
        <v>124.865944</v>
      </c>
      <c r="X73" s="481" t="n">
        <f t="shared" si="27"/>
        <v>142.23394399999998</v>
      </c>
      <c r="Y73" s="559" t="n">
        <f t="shared" si="27"/>
        <v>156.73394400000001</v>
      </c>
      <c r="Z73" s="559" t="n">
        <f t="shared" si="27"/>
        <v>164.65410900000001</v>
      </c>
      <c r="AA73" s="559" t="n">
        <f>SUM(AA75:AA84)</f>
        <v>167.46432999999999</v>
      </c>
      <c r="AB73" s="559" t="n">
        <f t="shared" si="27"/>
        <v>184.6163257</v>
      </c>
      <c r="AC73" s="486" t="n">
        <f>SUM(AC75:AC84)</f>
        <v>165.98499700000002</v>
      </c>
      <c r="AD73" s="486" t="n">
        <f>SUM(AD75:AD84)</f>
        <v>158.58561950000001</v>
      </c>
      <c r="AE73" s="486" t="n">
        <f t="shared" ref="AE73:AJ73" si="28">SUM(AE75:AE84)</f>
        <v>158.69862653211933</v>
      </c>
      <c r="AF73" s="486" t="n">
        <f t="shared" si="28"/>
        <v>154.92704815110517</v>
      </c>
      <c r="AG73" s="486" t="n">
        <f t="shared" si="28"/>
        <v>155.16843423792824</v>
      </c>
      <c r="AH73" s="486" t="n">
        <f t="shared" si="28"/>
        <v>152.6091988</v>
      </c>
      <c r="AI73" s="486" t="n">
        <f t="shared" si="28"/>
        <v>153.85536527340412</v>
      </c>
      <c r="AJ73" s="486" t="n">
        <f t="shared" si="28"/>
        <v>153.10395732514939</v>
      </c>
      <c r="AK73" s="486" t="n">
        <f t="shared" ref="AK73:AN73" si="29">SUM(AK75:AK84)</f>
        <v>153.35499885544536</v>
      </c>
      <c r="AL73" s="486" t="n">
        <f t="shared" si="29"/>
        <v>153.60851400000001</v>
      </c>
      <c r="AM73" s="486" t="n">
        <f>SUM(AM75:AM84)</f>
        <v>153.86452713234027</v>
      </c>
      <c r="AN73" s="486" t="n">
        <f t="shared" si="29"/>
        <v>154.12306286615535</v>
      </c>
      <c r="AO73" s="494"/>
      <c r="AP73" s="494"/>
    </row>
    <row r="74" ht="19.399999999999999" customHeight="1">
      <c r="B74" s="571" t="s">
        <v>289</v>
      </c>
      <c r="C74" s="392"/>
      <c r="D74" s="418"/>
      <c r="E74" s="392"/>
      <c r="F74" s="392"/>
      <c r="G74" s="392"/>
      <c r="H74" s="481"/>
      <c r="I74" s="481"/>
      <c r="J74" s="481"/>
      <c r="K74" s="481"/>
      <c r="L74" s="481"/>
      <c r="M74" s="481"/>
      <c r="N74" s="481"/>
      <c r="O74" s="481"/>
      <c r="P74" s="388"/>
      <c r="Q74" s="481"/>
      <c r="R74" s="481"/>
      <c r="S74" s="481"/>
      <c r="T74" s="481"/>
      <c r="U74" s="481"/>
      <c r="V74" s="481"/>
      <c r="W74" s="481"/>
      <c r="X74" s="481"/>
      <c r="Y74" s="487"/>
      <c r="Z74" s="487"/>
      <c r="AA74" s="487"/>
      <c r="AB74" s="487"/>
      <c r="AC74" s="487"/>
      <c r="AD74" s="487"/>
      <c r="AE74" s="487"/>
      <c r="AF74" s="487"/>
      <c r="AG74" s="486"/>
      <c r="AH74" s="486"/>
      <c r="AI74" s="486"/>
      <c r="AJ74" s="486"/>
      <c r="AK74" s="486"/>
      <c r="AL74" s="486"/>
      <c r="AM74" s="486"/>
      <c r="AN74" s="486"/>
      <c r="AO74" s="494"/>
      <c r="AP74" s="494"/>
    </row>
    <row r="75">
      <c r="B75" s="510" t="s">
        <v>103</v>
      </c>
      <c r="C75" s="516"/>
      <c r="D75" s="507"/>
      <c r="E75" s="516"/>
      <c r="F75" s="516"/>
      <c r="G75" s="516"/>
      <c r="H75" s="481"/>
      <c r="I75" s="481"/>
      <c r="J75" s="481" t="n">
        <f t="shared" ref="J75:AG75" si="30">J14</f>
        <v>0</v>
      </c>
      <c r="K75" s="481" t="n">
        <f t="shared" si="30"/>
        <v>0</v>
      </c>
      <c r="L75" s="481" t="n">
        <f t="shared" si="30"/>
        <v>0</v>
      </c>
      <c r="M75" s="481" t="n">
        <f t="shared" si="30"/>
        <v>0</v>
      </c>
      <c r="N75" s="481" t="n">
        <f t="shared" si="30"/>
        <v>0</v>
      </c>
      <c r="O75" s="481" t="n">
        <f t="shared" si="30"/>
        <v>0</v>
      </c>
      <c r="P75" s="388" t="n">
        <f t="shared" si="30"/>
        <v>0</v>
      </c>
      <c r="Q75" s="481" t="n">
        <f t="shared" si="30"/>
        <v>0</v>
      </c>
      <c r="R75" s="481" t="n">
        <f t="shared" si="30"/>
        <v>0</v>
      </c>
      <c r="S75" s="481" t="n">
        <f t="shared" si="30"/>
        <v>0</v>
      </c>
      <c r="T75" s="481" t="n">
        <f t="shared" si="30"/>
        <v>0</v>
      </c>
      <c r="U75" s="481" t="n">
        <f t="shared" si="30"/>
        <v>0</v>
      </c>
      <c r="V75" s="481" t="n">
        <f t="shared" si="30"/>
        <v>0</v>
      </c>
      <c r="W75" s="481" t="n">
        <f t="shared" si="30"/>
        <v>0</v>
      </c>
      <c r="X75" s="481" t="n">
        <f t="shared" si="30"/>
        <v>0</v>
      </c>
      <c r="Y75" s="487" t="n">
        <f t="shared" si="30"/>
        <v>0</v>
      </c>
      <c r="Z75" s="487" t="n">
        <f t="shared" si="30"/>
        <v>0</v>
      </c>
      <c r="AA75" s="487" t="n">
        <f t="shared" si="30"/>
        <v>0</v>
      </c>
      <c r="AB75" s="487" t="n">
        <f t="shared" si="30"/>
        <v>0</v>
      </c>
      <c r="AC75" s="487" t="n">
        <f t="shared" si="30"/>
        <v>0</v>
      </c>
      <c r="AD75" s="487" t="n">
        <f t="shared" si="30"/>
        <v>0</v>
      </c>
      <c r="AE75" s="487" t="n">
        <f t="shared" si="30"/>
        <v>0</v>
      </c>
      <c r="AF75" s="487" t="n">
        <f t="shared" si="30"/>
        <v>0</v>
      </c>
      <c r="AG75" s="486" t="n">
        <f t="shared" si="30"/>
        <v>0</v>
      </c>
      <c r="AH75" s="486" t="n">
        <f t="shared" ref="AH75:AI75" si="31">AH14</f>
        <v>0</v>
      </c>
      <c r="AI75" s="486" t="n">
        <f t="shared" si="31"/>
        <v>0</v>
      </c>
      <c r="AJ75" s="486" t="n">
        <f t="shared" ref="AJ75:AN75" si="32">AJ14</f>
        <v>0</v>
      </c>
      <c r="AK75" s="486" t="n">
        <f>AK14</f>
        <v>0</v>
      </c>
      <c r="AL75" s="486" t="n">
        <f t="shared" si="32"/>
        <v>0</v>
      </c>
      <c r="AM75" s="486" t="n">
        <f t="shared" si="32"/>
        <v>0</v>
      </c>
      <c r="AN75" s="486" t="n">
        <f t="shared" si="32"/>
        <v>0</v>
      </c>
      <c r="AO75" s="481"/>
      <c r="AP75" s="481"/>
    </row>
    <row r="76">
      <c r="B76" s="510" t="s">
        <v>254</v>
      </c>
      <c r="C76" s="516"/>
      <c r="D76" s="507"/>
      <c r="E76" s="516"/>
      <c r="F76" s="516"/>
      <c r="G76" s="516"/>
      <c r="H76" s="481"/>
      <c r="I76" s="481"/>
      <c r="J76" s="481"/>
      <c r="K76" s="481"/>
      <c r="L76" s="481"/>
      <c r="M76" s="481" t="n">
        <f>M28</f>
        <v>9.6666666666666661</v>
      </c>
      <c r="N76" s="481" t="n">
        <f t="shared" ref="N76:AC76" si="33">N28</f>
        <v>9.6666666666666661</v>
      </c>
      <c r="O76" s="481" t="n">
        <f t="shared" si="33"/>
        <v>9.6666666666666661</v>
      </c>
      <c r="P76" s="388" t="n">
        <f t="shared" si="33"/>
        <v>9.6666666666666661</v>
      </c>
      <c r="Q76" s="481" t="n">
        <f>Q28</f>
        <v>9.6666666666666661</v>
      </c>
      <c r="R76" s="481" t="n">
        <f>R28</f>
        <v>9.6666666666666661</v>
      </c>
      <c r="S76" s="481" t="n">
        <f>S28</f>
        <v>9.6666666666666661</v>
      </c>
      <c r="T76" s="481" t="n">
        <f t="shared" si="33"/>
        <v>9.6666666666666661</v>
      </c>
      <c r="U76" s="481" t="n">
        <f t="shared" si="33"/>
        <v>9.6666666666666661</v>
      </c>
      <c r="V76" s="481" t="n">
        <f t="shared" si="33"/>
        <v>9.6666666666666661</v>
      </c>
      <c r="W76" s="481" t="n">
        <f t="shared" si="33"/>
        <v>9.6666666666666661</v>
      </c>
      <c r="X76" s="481" t="n">
        <f t="shared" si="33"/>
        <v>9.6666666666666661</v>
      </c>
      <c r="Y76" s="487" t="n">
        <f t="shared" si="33"/>
        <v>0</v>
      </c>
      <c r="Z76" s="487" t="n">
        <f t="shared" si="33"/>
        <v>0</v>
      </c>
      <c r="AA76" s="487" t="n">
        <f t="shared" si="33"/>
        <v>0</v>
      </c>
      <c r="AB76" s="487" t="n">
        <f t="shared" si="33"/>
        <v>0</v>
      </c>
      <c r="AC76" s="487" t="n">
        <f t="shared" si="33"/>
        <v>0</v>
      </c>
      <c r="AD76" s="487" t="n">
        <f t="shared" ref="AD76:AG76" si="34">AD28</f>
        <v>0</v>
      </c>
      <c r="AE76" s="487" t="n">
        <f t="shared" si="34"/>
        <v>0</v>
      </c>
      <c r="AF76" s="487" t="n">
        <f t="shared" si="34"/>
        <v>0</v>
      </c>
      <c r="AG76" s="486" t="n">
        <f t="shared" si="34"/>
        <v>0</v>
      </c>
      <c r="AH76" s="486" t="n">
        <f t="shared" ref="AH76:AI76" si="35">AH28</f>
        <v>0</v>
      </c>
      <c r="AI76" s="486" t="n">
        <f t="shared" si="35"/>
        <v>0</v>
      </c>
      <c r="AJ76" s="486" t="n">
        <f t="shared" ref="AJ76:AN76" si="36">AJ28</f>
        <v>0</v>
      </c>
      <c r="AK76" s="486" t="n">
        <f t="shared" si="36"/>
        <v>0</v>
      </c>
      <c r="AL76" s="486" t="n">
        <f t="shared" si="36"/>
        <v>0</v>
      </c>
      <c r="AM76" s="486" t="n">
        <f t="shared" si="36"/>
        <v>0</v>
      </c>
      <c r="AN76" s="486" t="n">
        <f t="shared" si="36"/>
        <v>0</v>
      </c>
      <c r="AO76" s="481"/>
      <c r="AP76" s="481"/>
    </row>
    <row r="77">
      <c r="B77" s="510" t="s">
        <v>290</v>
      </c>
      <c r="C77" s="516"/>
      <c r="D77" s="507"/>
      <c r="E77" s="516"/>
      <c r="F77" s="516"/>
      <c r="G77" s="516"/>
      <c r="H77" s="481"/>
      <c r="I77" s="481"/>
      <c r="J77" s="481"/>
      <c r="K77" s="481"/>
      <c r="L77" s="481"/>
      <c r="M77" s="481" t="n">
        <f t="shared" ref="M77:AG77" si="37">M16</f>
        <v>12</v>
      </c>
      <c r="N77" s="481" t="n">
        <f t="shared" si="37"/>
        <v>12</v>
      </c>
      <c r="O77" s="481" t="n">
        <f t="shared" si="37"/>
        <v>12</v>
      </c>
      <c r="P77" s="388" t="n">
        <f t="shared" si="37"/>
        <v>12</v>
      </c>
      <c r="Q77" s="481" t="n">
        <f t="shared" si="37"/>
        <v>12</v>
      </c>
      <c r="R77" s="481" t="n">
        <f t="shared" si="37"/>
        <v>12</v>
      </c>
      <c r="S77" s="481" t="n">
        <f t="shared" si="37"/>
        <v>12</v>
      </c>
      <c r="T77" s="481" t="n">
        <f t="shared" si="37"/>
        <v>12</v>
      </c>
      <c r="U77" s="481" t="n">
        <f t="shared" si="37"/>
        <v>12</v>
      </c>
      <c r="V77" s="481" t="n">
        <f t="shared" si="37"/>
        <v>12</v>
      </c>
      <c r="W77" s="481" t="n">
        <f t="shared" si="37"/>
        <v>12</v>
      </c>
      <c r="X77" s="481" t="n">
        <f t="shared" si="37"/>
        <v>12</v>
      </c>
      <c r="Y77" s="487" t="n">
        <f t="shared" si="37"/>
        <v>0</v>
      </c>
      <c r="Z77" s="487" t="n">
        <f t="shared" si="37"/>
        <v>0</v>
      </c>
      <c r="AA77" s="487" t="n">
        <f t="shared" si="37"/>
        <v>0</v>
      </c>
      <c r="AB77" s="487" t="n">
        <f t="shared" si="37"/>
        <v>0</v>
      </c>
      <c r="AC77" s="487" t="n">
        <f t="shared" si="37"/>
        <v>0</v>
      </c>
      <c r="AD77" s="487" t="n">
        <f t="shared" si="37"/>
        <v>0</v>
      </c>
      <c r="AE77" s="487" t="n">
        <f t="shared" si="37"/>
        <v>0</v>
      </c>
      <c r="AF77" s="487" t="n">
        <f t="shared" si="37"/>
        <v>0</v>
      </c>
      <c r="AG77" s="486" t="n">
        <f t="shared" si="37"/>
        <v>0</v>
      </c>
      <c r="AH77" s="486" t="n">
        <f t="shared" ref="AH77:AI77" si="38">AH16</f>
        <v>0</v>
      </c>
      <c r="AI77" s="486" t="n">
        <f t="shared" si="38"/>
        <v>0</v>
      </c>
      <c r="AJ77" s="486" t="n">
        <f t="shared" ref="AJ77:AN77" si="39">AJ16</f>
        <v>0</v>
      </c>
      <c r="AK77" s="486" t="n">
        <f t="shared" si="39"/>
        <v>0</v>
      </c>
      <c r="AL77" s="486" t="n">
        <f t="shared" si="39"/>
        <v>0</v>
      </c>
      <c r="AM77" s="486" t="n">
        <f t="shared" si="39"/>
        <v>0</v>
      </c>
      <c r="AN77" s="486" t="n">
        <f t="shared" si="39"/>
        <v>0</v>
      </c>
      <c r="AO77" s="481"/>
      <c r="AP77" s="481"/>
    </row>
    <row r="78">
      <c r="B78" s="510" t="s">
        <v>291</v>
      </c>
      <c r="C78" s="516"/>
      <c r="D78" s="507"/>
      <c r="E78" s="516"/>
      <c r="F78" s="516"/>
      <c r="G78" s="516"/>
      <c r="H78" s="537" t="n">
        <f t="shared" ref="H78:AH78" si="40">H20</f>
        <v>20.5</v>
      </c>
      <c r="I78" s="537" t="n">
        <f t="shared" si="40"/>
        <v>22.1</v>
      </c>
      <c r="J78" s="537" t="n">
        <f t="shared" si="40"/>
        <v>22.4</v>
      </c>
      <c r="K78" s="537" t="n">
        <f t="shared" si="40"/>
        <v>23.7</v>
      </c>
      <c r="L78" s="537" t="n">
        <f t="shared" si="40"/>
        <v>24.4</v>
      </c>
      <c r="M78" s="537" t="n">
        <f t="shared" si="40"/>
        <v>11.033333333333339</v>
      </c>
      <c r="N78" s="537" t="n">
        <f t="shared" si="40"/>
        <v>-15.322666666666656</v>
      </c>
      <c r="O78" s="537" t="n">
        <f t="shared" si="40"/>
        <v>-1.6226666666666603</v>
      </c>
      <c r="P78" s="480" t="n">
        <f t="shared" si="40"/>
        <v>27.962333333333326</v>
      </c>
      <c r="Q78" s="537" t="n">
        <f t="shared" si="40"/>
        <v>27.062333333333328</v>
      </c>
      <c r="R78" s="537" t="n">
        <f t="shared" si="40"/>
        <v>26.262333333333331</v>
      </c>
      <c r="S78" s="537" t="n">
        <f t="shared" si="40"/>
        <v>27.262333333333331</v>
      </c>
      <c r="T78" s="537" t="n">
        <f t="shared" si="40"/>
        <v>-12.582666666666668</v>
      </c>
      <c r="U78" s="499" t="n">
        <f t="shared" si="40"/>
        <v>-72.711999999999961</v>
      </c>
      <c r="V78" s="537" t="n">
        <f t="shared" si="40"/>
        <v>-71.411999999999949</v>
      </c>
      <c r="W78" s="537" t="n">
        <f t="shared" si="40"/>
        <v>-70.011999999999958</v>
      </c>
      <c r="X78" s="537" t="n">
        <f t="shared" si="40"/>
        <v>-42.253999999999976</v>
      </c>
      <c r="Y78" s="488" t="n">
        <f t="shared" si="40"/>
        <v>-12.254000000000005</v>
      </c>
      <c r="Z78" s="488" t="n">
        <f t="shared" si="40"/>
        <v>7.445999999999998</v>
      </c>
      <c r="AA78" s="488" t="n">
        <f>AA20</f>
        <v>8.3459999999999965</v>
      </c>
      <c r="AB78" s="488" t="n">
        <f t="shared" si="40"/>
        <v>23.321999999999999</v>
      </c>
      <c r="AC78" s="488" t="n">
        <f t="shared" si="40"/>
        <v>24.121999999999996</v>
      </c>
      <c r="AD78" s="488" t="n">
        <f>AD20</f>
        <v>24.022000000000002</v>
      </c>
      <c r="AE78" s="488" t="n">
        <f t="shared" si="40"/>
        <v>24.258698532119332</v>
      </c>
      <c r="AF78" s="488" t="n">
        <f t="shared" si="40"/>
        <v>24.497729351105178</v>
      </c>
      <c r="AG78" s="473" t="n">
        <f t="shared" si="40"/>
        <v>24.739115437928223</v>
      </c>
      <c r="AH78" s="473" t="n">
        <f t="shared" si="40"/>
        <v>24.982880000000002</v>
      </c>
      <c r="AI78" s="473" t="n">
        <f t="shared" ref="AI78:AJ78" si="41">AI20</f>
        <v>25.229046473404104</v>
      </c>
      <c r="AJ78" s="473" t="n">
        <f t="shared" si="41"/>
        <v>25.477638525149384</v>
      </c>
      <c r="AK78" s="473" t="n">
        <f t="shared" ref="AK78:AN78" si="42">AK20</f>
        <v>25.728680055445352</v>
      </c>
      <c r="AL78" s="473" t="n">
        <f t="shared" si="42"/>
        <v>25.9821952</v>
      </c>
      <c r="AM78" s="473" t="n">
        <f t="shared" si="42"/>
        <v>26.238208332340268</v>
      </c>
      <c r="AN78" s="473" t="n">
        <f t="shared" si="42"/>
        <v>26.496744066155358</v>
      </c>
      <c r="AO78" s="537"/>
      <c r="AP78" s="537"/>
    </row>
    <row r="79">
      <c r="B79" s="510" t="s">
        <v>1085</v>
      </c>
      <c r="C79" s="516"/>
      <c r="D79" s="507"/>
      <c r="E79" s="516"/>
      <c r="F79" s="516"/>
      <c r="G79" s="516"/>
      <c r="H79" s="537"/>
      <c r="I79" s="537"/>
      <c r="J79" s="537"/>
      <c r="K79" s="537"/>
      <c r="L79" s="537"/>
      <c r="M79" s="537"/>
      <c r="N79" s="537"/>
      <c r="O79" s="537"/>
      <c r="P79" s="480"/>
      <c r="Q79" s="537"/>
      <c r="R79" s="537"/>
      <c r="S79" s="483" t="n">
        <f>'IRA and CHIPS'!E184</f>
        <v>0</v>
      </c>
      <c r="T79" s="483" t="n">
        <f>'IRA and CHIPS'!F184</f>
        <v>6.8000000000000005E-2</v>
      </c>
      <c r="U79" s="483" t="n">
        <f>'IRA and CHIPS'!G184</f>
        <v>6.8000000000000005E-2</v>
      </c>
      <c r="V79" s="483" t="n">
        <f>'IRA and CHIPS'!H184</f>
        <v>6.8000000000000005E-2</v>
      </c>
      <c r="W79" s="483" t="n">
        <f>'IRA and CHIPS'!I184</f>
        <v>6.8000000000000005E-2</v>
      </c>
      <c r="X79" s="483" t="n">
        <f>'IRA and CHIPS'!J184</f>
        <v>1.363</v>
      </c>
      <c r="Y79" s="496" t="n">
        <f>'IRA and CHIPS'!K184</f>
        <v>1.363</v>
      </c>
      <c r="Z79" s="496" t="n">
        <f>'IRA and CHIPS'!L184</f>
        <v>1.363</v>
      </c>
      <c r="AA79" s="496" t="n">
        <f>'IRA and CHIPS'!M184</f>
        <v>1.363</v>
      </c>
      <c r="AB79" s="496" t="n">
        <f>'IRA and CHIPS'!N184</f>
        <v>2.4329999999999998</v>
      </c>
      <c r="AC79" s="496" t="n">
        <f>'IRA and CHIPS'!O184</f>
        <v>2.4329999999999998</v>
      </c>
      <c r="AD79" s="496" t="n">
        <f>'IRA and CHIPS'!P184</f>
        <v>2.4329999999999998</v>
      </c>
      <c r="AE79" s="496" t="n">
        <f>'IRA and CHIPS'!Q184</f>
        <v>2.4329999999999998</v>
      </c>
      <c r="AF79" s="496" t="n">
        <f>'IRA and CHIPS'!R184</f>
        <v>2.8029999999999999</v>
      </c>
      <c r="AG79" s="496" t="n">
        <f>'IRA and CHIPS'!S184</f>
        <v>2.8029999999999999</v>
      </c>
      <c r="AH79" s="496"/>
      <c r="AI79" s="496" t="n">
        <f>'IRA and CHIPS'!U184</f>
        <v>0</v>
      </c>
      <c r="AJ79" s="496"/>
      <c r="AK79" s="496"/>
      <c r="AL79" s="496"/>
      <c r="AM79" s="496"/>
      <c r="AN79" s="496"/>
      <c r="AO79" s="537"/>
      <c r="AP79" s="537"/>
    </row>
    <row r="80" ht="14.9" customHeight="1">
      <c r="B80" s="551" t="s">
        <v>292</v>
      </c>
      <c r="C80" s="516"/>
      <c r="D80" s="507"/>
      <c r="E80" s="516"/>
      <c r="F80" s="516"/>
      <c r="G80" s="516"/>
      <c r="H80" s="481"/>
      <c r="I80" s="481"/>
      <c r="J80" s="481"/>
      <c r="K80" s="481"/>
      <c r="L80" s="481"/>
      <c r="M80" s="481"/>
      <c r="N80" s="481"/>
      <c r="O80" s="481"/>
      <c r="P80" s="388"/>
      <c r="Q80" s="481"/>
      <c r="R80" s="481"/>
      <c r="S80" s="481"/>
      <c r="T80" s="481"/>
      <c r="U80" s="481"/>
      <c r="V80" s="481"/>
      <c r="W80" s="481"/>
      <c r="X80" s="481"/>
      <c r="Y80" s="487"/>
      <c r="Z80" s="487"/>
      <c r="AA80" s="487"/>
      <c r="AB80" s="487"/>
      <c r="AC80" s="487"/>
      <c r="AD80" s="487"/>
      <c r="AE80" s="487"/>
      <c r="AF80" s="487"/>
      <c r="AG80" s="486"/>
      <c r="AH80" s="486"/>
      <c r="AI80" s="486"/>
      <c r="AJ80" s="486"/>
      <c r="AK80" s="486"/>
      <c r="AL80" s="486"/>
      <c r="AM80" s="486"/>
      <c r="AN80" s="486"/>
      <c r="AO80" s="481"/>
      <c r="AP80" s="481"/>
    </row>
    <row r="81" ht="14.9" customHeight="1">
      <c r="B81" s="510" t="s">
        <v>102</v>
      </c>
      <c r="C81" s="516"/>
      <c r="D81" s="507"/>
      <c r="E81" s="516"/>
      <c r="F81" s="516"/>
      <c r="G81" s="516"/>
      <c r="H81" s="481"/>
      <c r="I81" s="481"/>
      <c r="J81" s="481" t="n">
        <f t="shared" ref="J81:Y81" si="43">J13</f>
        <v>0</v>
      </c>
      <c r="K81" s="481" t="n">
        <f t="shared" si="43"/>
        <v>0</v>
      </c>
      <c r="L81" s="481" t="n">
        <f t="shared" si="43"/>
        <v>0</v>
      </c>
      <c r="M81" s="481" t="n">
        <f t="shared" si="43"/>
        <v>0</v>
      </c>
      <c r="N81" s="481" t="n">
        <f t="shared" si="43"/>
        <v>0</v>
      </c>
      <c r="O81" s="481" t="n">
        <f t="shared" si="43"/>
        <v>0</v>
      </c>
      <c r="P81" s="388" t="n">
        <f t="shared" si="43"/>
        <v>0</v>
      </c>
      <c r="Q81" s="481" t="n">
        <f t="shared" si="43"/>
        <v>0</v>
      </c>
      <c r="R81" s="481" t="n">
        <f t="shared" si="43"/>
        <v>0</v>
      </c>
      <c r="S81" s="481" t="n">
        <f t="shared" si="43"/>
        <v>0</v>
      </c>
      <c r="T81" s="481" t="n">
        <f t="shared" si="43"/>
        <v>0</v>
      </c>
      <c r="U81" s="481" t="n">
        <f t="shared" si="43"/>
        <v>60.929333333333297</v>
      </c>
      <c r="V81" s="481" t="n">
        <f t="shared" si="43"/>
        <v>60.929333333333297</v>
      </c>
      <c r="W81" s="481" t="n">
        <f t="shared" si="43"/>
        <v>60.929333333333297</v>
      </c>
      <c r="X81" s="481" t="n">
        <f t="shared" si="43"/>
        <v>54.244333333333302</v>
      </c>
      <c r="Y81" s="486" t="n">
        <f t="shared" si="43"/>
        <v>50.911000000000001</v>
      </c>
      <c r="Z81" s="487" t="n">
        <f>Z25+Z29+'ARP Quarterly'!P28</f>
        <v>44.428388999999996</v>
      </c>
      <c r="AA81" s="487" t="n">
        <f>AA25+AA29+'ARP Quarterly'!Q28</f>
        <v>46.338610000000003</v>
      </c>
      <c r="AB81" s="487" t="n">
        <f>AB25+AB29+'ARP Quarterly'!R28</f>
        <v>47.279744500000007</v>
      </c>
      <c r="AC81" s="487" t="n">
        <f>AC25+AC29+'ARP Quarterly'!S28</f>
        <v>46.283419000000009</v>
      </c>
      <c r="AD81" s="487" t="n">
        <f>AD25+AD29+'ARP Quarterly'!T28</f>
        <v>45.578489500000011</v>
      </c>
      <c r="AE81" s="487" t="n">
        <f>AE25+AE29+'ARP Quarterly'!U28</f>
        <v>45.454798000000011</v>
      </c>
      <c r="AF81" s="487" t="n">
        <f>AF25+AF29+'ARP Quarterly'!V28</f>
        <v>45.360580000000013</v>
      </c>
      <c r="AG81" s="486" t="n">
        <f>AF81</f>
        <v>45.360580000000013</v>
      </c>
      <c r="AH81" s="486" t="n">
        <f>AG81</f>
        <v>45.360580000000013</v>
      </c>
      <c r="AI81" s="486" t="n">
        <f>AH81</f>
        <v>45.360580000000013</v>
      </c>
      <c r="AJ81" s="486" t="n">
        <f>AI81</f>
        <v>45.360580000000013</v>
      </c>
      <c r="AK81" s="486" t="n">
        <f t="shared" ref="AK81:AN81" si="44">AJ81</f>
        <v>45.360580000000013</v>
      </c>
      <c r="AL81" s="486" t="n">
        <f t="shared" si="44"/>
        <v>45.360580000000013</v>
      </c>
      <c r="AM81" s="486" t="n">
        <f t="shared" si="44"/>
        <v>45.360580000000013</v>
      </c>
      <c r="AN81" s="486" t="n">
        <f t="shared" si="44"/>
        <v>45.360580000000013</v>
      </c>
      <c r="AO81" s="495"/>
      <c r="AP81" s="481"/>
    </row>
    <row r="82">
      <c r="B82" s="510" t="s">
        <v>101</v>
      </c>
      <c r="C82" s="537"/>
      <c r="D82" s="574"/>
      <c r="E82" s="537"/>
      <c r="F82" s="537"/>
      <c r="G82" s="537"/>
      <c r="H82" s="481"/>
      <c r="I82" s="481"/>
      <c r="J82" s="481" t="n">
        <v>35</v>
      </c>
      <c r="K82" s="481" t="n">
        <v>45</v>
      </c>
      <c r="L82" s="481" t="n">
        <v>45</v>
      </c>
      <c r="M82" s="481" t="n">
        <v>40</v>
      </c>
      <c r="N82" s="481" t="n">
        <v>40</v>
      </c>
      <c r="O82" s="481" t="n">
        <v>40</v>
      </c>
      <c r="P82" s="388" t="n">
        <v>40</v>
      </c>
      <c r="Q82" s="481" t="n">
        <v>50</v>
      </c>
      <c r="R82" s="481" t="n">
        <v>50</v>
      </c>
      <c r="S82" s="481" t="n">
        <v>50</v>
      </c>
      <c r="T82" s="481" t="n">
        <v>50</v>
      </c>
      <c r="U82" s="500" t="n">
        <v>40</v>
      </c>
      <c r="V82" s="481" t="n">
        <v>30</v>
      </c>
      <c r="W82" s="481" t="n">
        <v>20</v>
      </c>
      <c r="X82" s="481" t="n">
        <v>15</v>
      </c>
      <c r="Y82" s="487" t="n">
        <v>10</v>
      </c>
      <c r="Z82" s="487" t="n">
        <v>0</v>
      </c>
      <c r="AA82" s="487" t="n">
        <v>0</v>
      </c>
      <c r="AB82" s="487" t="n">
        <v>0</v>
      </c>
      <c r="AC82" s="487" t="n">
        <v>0</v>
      </c>
      <c r="AD82" s="487" t="n">
        <v>0</v>
      </c>
      <c r="AE82" s="487" t="n">
        <v>0</v>
      </c>
      <c r="AF82" s="487" t="n">
        <v>0</v>
      </c>
      <c r="AG82" s="486" t="n">
        <v>0</v>
      </c>
      <c r="AH82" s="486"/>
      <c r="AI82" s="486" t="n">
        <v>1</v>
      </c>
      <c r="AJ82" s="486"/>
      <c r="AK82" s="486"/>
      <c r="AL82" s="486"/>
      <c r="AM82" s="486"/>
      <c r="AN82" s="486"/>
      <c r="AO82" s="476"/>
    </row>
    <row r="83" ht="28.5" customHeight="1">
      <c r="B83" s="524" t="s">
        <v>293</v>
      </c>
      <c r="C83" s="536"/>
      <c r="D83" s="507"/>
      <c r="E83" s="516"/>
      <c r="F83" s="516"/>
      <c r="G83" s="516"/>
      <c r="H83" s="481"/>
      <c r="I83" s="481"/>
      <c r="J83" s="481"/>
      <c r="K83" s="481"/>
      <c r="L83" s="481"/>
      <c r="M83" s="481"/>
      <c r="N83" s="481" t="n">
        <f>'ARP Quarterly'!D47</f>
        <v>0</v>
      </c>
      <c r="O83" s="481" t="n">
        <f>'ARP Quarterly'!E47</f>
        <v>0</v>
      </c>
      <c r="P83" s="388" t="n">
        <f>'ARP Quarterly'!F47</f>
        <v>34.620851999999999</v>
      </c>
      <c r="Q83" s="481" t="n">
        <f>'ARP Quarterly'!G47</f>
        <v>50.996274799999995</v>
      </c>
      <c r="R83" s="481" t="n">
        <f>'ARP Quarterly'!H47</f>
        <v>69.350031999999999</v>
      </c>
      <c r="S83" s="481" t="n">
        <f>'ARP Quarterly'!I47</f>
        <v>79.295867999999999</v>
      </c>
      <c r="T83" s="481" t="n">
        <f>'ARP Quarterly'!J47</f>
        <v>80.538927999999999</v>
      </c>
      <c r="U83" s="481" t="n">
        <f>'ARP Quarterly'!K47</f>
        <v>80.122543199999996</v>
      </c>
      <c r="V83" s="481" t="n">
        <f>'ARP Quarterly'!L47</f>
        <v>88.916719999999998</v>
      </c>
      <c r="W83" s="482" t="n">
        <f>'ARP Quarterly'!M47</f>
        <v>92.213943999999998</v>
      </c>
      <c r="X83" s="482" t="n">
        <f>'ARP Quarterly'!N47</f>
        <v>92.213943999999998</v>
      </c>
      <c r="Y83" s="561" t="n">
        <f>'ARP Quarterly'!O47</f>
        <v>94.213943999999998</v>
      </c>
      <c r="Z83" s="561" t="n">
        <f>'ARP Quarterly'!P47</f>
        <v>98.916719999999998</v>
      </c>
      <c r="AA83" s="561" t="n">
        <f>'ARP Quarterly'!Q47</f>
        <v>98.916719999999998</v>
      </c>
      <c r="AB83" s="561" t="n">
        <f>'ARP Quarterly'!R47</f>
        <v>99.081581199999988</v>
      </c>
      <c r="AC83" s="561" t="n">
        <f>'ARP Quarterly'!S47</f>
        <v>93.146578000000005</v>
      </c>
      <c r="AD83" s="561" t="n">
        <f>'ARP Quarterly'!T47</f>
        <v>86.552129999999991</v>
      </c>
      <c r="AE83" s="561" t="n">
        <f>'ARP Quarterly'!U47</f>
        <v>86.552129999999991</v>
      </c>
      <c r="AF83" s="561" t="n">
        <f>'ARP Quarterly'!V47</f>
        <v>82.265738799999994</v>
      </c>
      <c r="AG83" s="546" t="n">
        <f>AF83</f>
        <v>82.265738799999994</v>
      </c>
      <c r="AH83" s="546" t="n">
        <f>AG83</f>
        <v>82.265738799999994</v>
      </c>
      <c r="AI83" s="546" t="n">
        <f>AH83</f>
        <v>82.265738799999994</v>
      </c>
      <c r="AJ83" s="546" t="n">
        <f>AI83</f>
        <v>82.265738799999994</v>
      </c>
      <c r="AK83" s="546" t="n">
        <f t="shared" ref="AK83:AN83" si="45">AJ83</f>
        <v>82.265738799999994</v>
      </c>
      <c r="AL83" s="546" t="n">
        <f t="shared" si="45"/>
        <v>82.265738799999994</v>
      </c>
      <c r="AM83" s="546" t="n">
        <f t="shared" si="45"/>
        <v>82.265738799999994</v>
      </c>
      <c r="AN83" s="546" t="n">
        <f t="shared" si="45"/>
        <v>82.265738799999994</v>
      </c>
      <c r="AO83" s="550"/>
    </row>
    <row r="84" ht="55.4" customHeight="1">
      <c r="B84" s="531" t="s">
        <v>739</v>
      </c>
      <c r="C84" s="303"/>
      <c r="D84" s="579"/>
      <c r="E84" s="303"/>
      <c r="F84" s="303"/>
      <c r="G84" s="303"/>
      <c r="H84" s="303"/>
      <c r="I84" s="303"/>
      <c r="J84" s="303"/>
      <c r="K84" s="303"/>
      <c r="L84" s="303"/>
      <c r="M84" s="303"/>
      <c r="N84" s="303"/>
      <c r="O84" s="303"/>
      <c r="P84" s="303" t="n">
        <v>-50</v>
      </c>
      <c r="Q84" s="303" t="n">
        <v>-25</v>
      </c>
      <c r="R84" s="303"/>
      <c r="S84" s="303"/>
      <c r="T84" s="303"/>
      <c r="U84" s="575"/>
      <c r="V84" s="506"/>
      <c r="W84" s="303"/>
      <c r="X84" s="303"/>
      <c r="Y84" s="303" t="n">
        <v>12.5</v>
      </c>
      <c r="Z84" s="303" t="n">
        <v>12.5</v>
      </c>
      <c r="AA84" s="303" t="n">
        <v>12.5</v>
      </c>
      <c r="AB84" s="506" t="n">
        <v>12.5</v>
      </c>
      <c r="AC84" s="575"/>
      <c r="AD84" s="289"/>
      <c r="AE84" s="289"/>
      <c r="AF84" s="289"/>
      <c r="AG84" s="289"/>
      <c r="AH84" s="289"/>
      <c r="AI84" s="289"/>
      <c r="AJ84" s="289"/>
      <c r="AK84" s="289"/>
      <c r="AL84" s="289"/>
      <c r="AM84" s="289"/>
      <c r="AN84" s="289"/>
    </row>
    <row r="85">
      <c r="B85" s="427"/>
      <c r="C85" s="289"/>
      <c r="D85" s="289"/>
      <c r="E85" s="289"/>
      <c r="F85" s="289"/>
      <c r="G85" s="289"/>
      <c r="H85" s="289"/>
      <c r="I85" s="289"/>
      <c r="J85" s="289"/>
      <c r="K85" s="289"/>
      <c r="L85" s="289"/>
      <c r="M85" s="289"/>
      <c r="Z85" s="289"/>
      <c r="AA85" s="289"/>
      <c r="AB85" s="289"/>
      <c r="AC85" s="289"/>
      <c r="AD85" s="289"/>
      <c r="AE85" s="289"/>
      <c r="AF85" s="289"/>
      <c r="AG85" s="289"/>
      <c r="AH85" s="289"/>
      <c r="AI85" s="289"/>
      <c r="AJ85" s="289"/>
      <c r="AK85" s="289"/>
      <c r="AL85" s="289"/>
      <c r="AM85" s="289"/>
      <c r="AN85" s="289"/>
    </row>
    <row r="86">
      <c r="B86" s="427"/>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row>
    <row r="87" ht="14.5" customHeight="1">
      <c r="B87" s="427"/>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row>
    <row r="88">
      <c r="B88" s="266" t="s">
        <v>92</v>
      </c>
      <c r="C88" s="266"/>
      <c r="D88" s="266"/>
      <c r="E88" s="266"/>
      <c r="F88" s="266"/>
      <c r="G88" s="266"/>
      <c r="H88" s="266"/>
      <c r="I88" s="266"/>
      <c r="J88" s="266"/>
      <c r="K88" s="266"/>
      <c r="L88" s="266"/>
      <c r="M88" s="266"/>
      <c r="N88" s="266"/>
      <c r="O88" s="266"/>
      <c r="P88" s="266"/>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468"/>
      <c r="AP88" s="468"/>
    </row>
    <row r="89" ht="19.399999999999999" customHeight="1">
      <c r="B89" s="377" t="s">
        <v>1731</v>
      </c>
      <c r="C89" s="377"/>
      <c r="D89" s="377"/>
      <c r="E89" s="377"/>
      <c r="F89" s="377"/>
      <c r="G89" s="377"/>
      <c r="H89" s="377"/>
      <c r="I89" s="377"/>
      <c r="J89" s="377"/>
      <c r="K89" s="377"/>
      <c r="L89" s="377"/>
      <c r="M89" s="377"/>
      <c r="N89" s="377"/>
      <c r="O89" s="377"/>
      <c r="P89" s="377"/>
      <c r="Q89" s="377"/>
      <c r="R89" s="377"/>
      <c r="S89" s="377"/>
      <c r="T89" s="377"/>
      <c r="U89" s="377"/>
      <c r="V89" s="377"/>
      <c r="W89" s="377"/>
      <c r="X89" s="377"/>
      <c r="Y89" s="377"/>
      <c r="Z89" s="377"/>
      <c r="AA89" s="377"/>
      <c r="AB89" s="377"/>
      <c r="AC89" s="377"/>
      <c r="AD89" s="377"/>
      <c r="AE89" s="377"/>
      <c r="AF89" s="377"/>
      <c r="AG89" s="377"/>
      <c r="AH89" s="377"/>
      <c r="AI89" s="377"/>
      <c r="AJ89" s="377"/>
      <c r="AK89" s="377"/>
      <c r="AL89" s="377"/>
      <c r="AM89" s="377"/>
      <c r="AN89" s="377"/>
      <c r="AO89" s="377"/>
      <c r="AP89" s="377"/>
    </row>
    <row r="90" ht="11.9" customHeight="1">
      <c r="B90" s="267"/>
      <c r="C90" s="267"/>
      <c r="D90" s="267"/>
      <c r="E90" s="267"/>
      <c r="F90" s="267"/>
      <c r="G90" s="267"/>
      <c r="H90" s="267"/>
      <c r="I90" s="267"/>
      <c r="J90" s="267"/>
      <c r="K90" s="267"/>
      <c r="L90" s="267"/>
      <c r="M90" s="267"/>
      <c r="V90" s="286"/>
      <c r="W90" s="286"/>
      <c r="X90" s="286"/>
      <c r="Y90" s="286"/>
      <c r="Z90" s="286"/>
      <c r="AA90" s="286"/>
      <c r="AB90" s="286"/>
      <c r="AC90" s="286"/>
      <c r="AD90" s="286"/>
      <c r="AE90" s="286"/>
      <c r="AF90" s="286"/>
      <c r="AG90" s="286"/>
      <c r="AH90" s="286"/>
      <c r="AI90" s="286"/>
      <c r="AJ90" s="286"/>
      <c r="AK90" s="286"/>
      <c r="AL90" s="286"/>
      <c r="AM90" s="286"/>
      <c r="AN90" s="286"/>
      <c r="AO90" s="286"/>
      <c r="AP90" s="286"/>
    </row>
    <row r="91" ht="14.9" customHeight="1">
      <c r="B91" s="268" t="s">
        <v>190</v>
      </c>
      <c r="C91" s="269"/>
      <c r="D91" s="248" t="s">
        <v>191</v>
      </c>
      <c r="E91" s="249"/>
      <c r="F91" s="249"/>
      <c r="G91" s="249"/>
      <c r="H91" s="249"/>
      <c r="I91" s="249"/>
      <c r="J91" s="249"/>
      <c r="K91" s="249"/>
      <c r="L91" s="249"/>
      <c r="M91" s="249"/>
      <c r="N91" s="249"/>
      <c r="O91" s="249"/>
      <c r="P91" s="249"/>
      <c r="Q91" s="249"/>
      <c r="R91" s="249"/>
      <c r="S91" s="249"/>
      <c r="T91" s="249"/>
      <c r="U91" s="249"/>
      <c r="V91" s="249"/>
      <c r="W91" s="249"/>
      <c r="X91" s="249"/>
      <c r="Y91" s="249"/>
      <c r="Z91" s="249"/>
      <c r="AA91" s="250"/>
      <c r="AB91" s="251" t="s">
        <v>192</v>
      </c>
      <c r="AC91" s="252"/>
      <c r="AD91" s="252"/>
      <c r="AE91" s="252"/>
      <c r="AF91" s="252"/>
      <c r="AG91" s="252"/>
      <c r="AH91" s="252"/>
      <c r="AI91" s="252"/>
      <c r="AJ91" s="252"/>
      <c r="AK91" s="252"/>
      <c r="AL91" s="252"/>
      <c r="AM91" s="252"/>
      <c r="AN91" s="253"/>
      <c r="AO91" s="468"/>
      <c r="AP91" s="468"/>
    </row>
    <row r="92">
      <c r="B92" s="270"/>
      <c r="C92" s="271"/>
      <c r="D92" s="441" t="n">
        <v>2018</v>
      </c>
      <c r="E92" s="254" t="n">
        <v>2019</v>
      </c>
      <c r="F92" s="441"/>
      <c r="G92" s="441"/>
      <c r="H92" s="256"/>
      <c r="I92" s="254" t="n">
        <v>2020</v>
      </c>
      <c r="J92" s="441"/>
      <c r="K92" s="441"/>
      <c r="L92" s="441"/>
      <c r="M92" s="254" t="n">
        <v>2021</v>
      </c>
      <c r="N92" s="441"/>
      <c r="O92" s="441"/>
      <c r="P92" s="441"/>
      <c r="Q92" s="254" t="n">
        <v>2022</v>
      </c>
      <c r="R92" s="255"/>
      <c r="S92" s="255"/>
      <c r="T92" s="255"/>
      <c r="U92" s="254" t="n">
        <v>2023</v>
      </c>
      <c r="V92" s="255"/>
      <c r="W92" s="255"/>
      <c r="X92" s="256"/>
      <c r="Y92" s="298"/>
      <c r="Z92" s="304" t="n">
        <v>2024</v>
      </c>
      <c r="AA92" s="304"/>
      <c r="AB92" s="475"/>
      <c r="AC92" s="261" t="n">
        <v>2025</v>
      </c>
      <c r="AD92" s="264"/>
      <c r="AE92" s="264"/>
      <c r="AF92" s="263"/>
      <c r="AG92" s="261" t="n">
        <v>2026</v>
      </c>
      <c r="AH92" s="264"/>
      <c r="AI92" s="264"/>
      <c r="AJ92" s="263"/>
      <c r="AK92" s="261" t="n">
        <v>2027</v>
      </c>
      <c r="AL92" s="264"/>
      <c r="AM92" s="264"/>
      <c r="AN92" s="263"/>
      <c r="AO92" s="286"/>
      <c r="AP92" s="286"/>
    </row>
    <row r="93">
      <c r="B93" s="270"/>
      <c r="C93" s="271"/>
      <c r="D93" s="275" t="s">
        <v>193</v>
      </c>
      <c r="E93" s="274" t="s">
        <v>194</v>
      </c>
      <c r="F93" s="275" t="s">
        <v>195</v>
      </c>
      <c r="G93" s="275" t="s">
        <v>171</v>
      </c>
      <c r="H93" s="276" t="s">
        <v>193</v>
      </c>
      <c r="I93" s="275" t="s">
        <v>194</v>
      </c>
      <c r="J93" s="275" t="s">
        <v>195</v>
      </c>
      <c r="K93" s="275" t="s">
        <v>171</v>
      </c>
      <c r="L93" s="275" t="s">
        <v>193</v>
      </c>
      <c r="M93" s="274" t="s">
        <v>194</v>
      </c>
      <c r="N93" s="275" t="s">
        <v>195</v>
      </c>
      <c r="O93" s="275" t="s">
        <v>171</v>
      </c>
      <c r="P93" s="275" t="s">
        <v>193</v>
      </c>
      <c r="Q93" s="274" t="s">
        <v>194</v>
      </c>
      <c r="R93" s="275" t="s">
        <v>195</v>
      </c>
      <c r="S93" s="275" t="s">
        <v>171</v>
      </c>
      <c r="T93" s="275" t="s">
        <v>193</v>
      </c>
      <c r="U93" s="274" t="s">
        <v>194</v>
      </c>
      <c r="V93" s="275" t="s">
        <v>195</v>
      </c>
      <c r="W93" s="275" t="s">
        <v>171</v>
      </c>
      <c r="X93" s="276" t="s">
        <v>193</v>
      </c>
      <c r="Y93" s="275" t="s">
        <v>194</v>
      </c>
      <c r="Z93" s="299" t="s">
        <v>195</v>
      </c>
      <c r="AA93" s="275" t="s">
        <v>171</v>
      </c>
      <c r="AB93" s="257" t="s">
        <v>193</v>
      </c>
      <c r="AC93" s="277" t="s">
        <v>194</v>
      </c>
      <c r="AD93" s="492" t="s">
        <v>195</v>
      </c>
      <c r="AE93" s="257" t="s">
        <v>171</v>
      </c>
      <c r="AF93" s="258" t="s">
        <v>193</v>
      </c>
      <c r="AG93" s="385" t="s">
        <v>194</v>
      </c>
      <c r="AH93" s="290" t="s">
        <v>195</v>
      </c>
      <c r="AI93" s="290" t="s">
        <v>171</v>
      </c>
      <c r="AJ93" s="474" t="s">
        <v>193</v>
      </c>
      <c r="AK93" s="385" t="s">
        <v>194</v>
      </c>
      <c r="AL93" s="290" t="s">
        <v>195</v>
      </c>
      <c r="AM93" s="290" t="s">
        <v>171</v>
      </c>
      <c r="AN93" s="430" t="s">
        <v>193</v>
      </c>
      <c r="AO93" s="286"/>
      <c r="AP93" s="286"/>
    </row>
    <row r="94" ht="14.9" customHeight="1">
      <c r="B94" s="573" t="s">
        <v>294</v>
      </c>
      <c r="C94" s="517" t="s">
        <v>295</v>
      </c>
      <c r="D94" s="518"/>
      <c r="E94" s="519"/>
      <c r="F94" s="519"/>
      <c r="G94" s="519"/>
      <c r="H94" s="484" t="n">
        <f>'Haver Pivoted'!F41</f>
        <v>5.4640000000000004</v>
      </c>
      <c r="I94" s="484" t="n">
        <f>'Haver Pivoted'!G41</f>
        <v>6.3120000000000003</v>
      </c>
      <c r="J94" s="484" t="n">
        <f>'Haver Pivoted'!H41</f>
        <v>5.7560000000000002</v>
      </c>
      <c r="K94" s="484" t="n">
        <f>'Haver Pivoted'!I41</f>
        <v>5.6440000000000001</v>
      </c>
      <c r="L94" s="484" t="n">
        <f>'Haver Pivoted'!J41</f>
        <v>5.6680000000000001</v>
      </c>
      <c r="M94" s="484" t="n">
        <f>'Haver Pivoted'!K41</f>
        <v>5.2160000000000002</v>
      </c>
      <c r="N94" s="484" t="n">
        <f>'Haver Pivoted'!L41</f>
        <v>6.7240000000000002</v>
      </c>
      <c r="O94" s="484" t="n">
        <f>'Haver Pivoted'!M41</f>
        <v>5.7</v>
      </c>
      <c r="P94" s="484" t="n">
        <f>'Haver Pivoted'!N41</f>
        <v>5.74</v>
      </c>
      <c r="Q94" s="484" t="n">
        <f>'Haver Pivoted'!O41</f>
        <v>6.2080000000000002</v>
      </c>
      <c r="R94" s="484" t="n">
        <f>AVERAGE($H$94:$N$94)</f>
        <v>5.8262857142857154</v>
      </c>
      <c r="S94" s="484" t="n">
        <f t="shared" ref="S94" si="46">AVERAGE($H$94:$N$94)</f>
        <v>5.8262857142857154</v>
      </c>
      <c r="T94" s="484" t="n">
        <f>AVERAGE($H$94:$N$94)+T95</f>
        <v>6.6452857142857154</v>
      </c>
      <c r="U94" s="484" t="n">
        <f>AVERAGE($H$94:$N$94)+U95</f>
        <v>6.6452857142857154</v>
      </c>
      <c r="V94" s="484" t="n">
        <f>AVERAGE($H$94:$N$94)+V95</f>
        <v>6.6452857142857154</v>
      </c>
      <c r="W94" s="484" t="n">
        <f>AVERAGE($H$94:$N$94)+W95</f>
        <v>6.6452857142857154</v>
      </c>
      <c r="X94" s="509" t="n">
        <f>AVERAGE($H$94:$N$94)+X95</f>
        <v>8.3042857142857152</v>
      </c>
      <c r="Y94" s="509" t="n">
        <f t="shared" ref="Y94:AC94" si="47">AVERAGE($H$94:$N$94)+Y95</f>
        <v>8.3042857142857152</v>
      </c>
      <c r="Z94" s="509" t="n">
        <f>AVERAGE($H$94:$N$94)+Z95</f>
        <v>8.3042857142857152</v>
      </c>
      <c r="AA94" s="509" t="n">
        <f t="shared" si="47"/>
        <v>8.3042857142857152</v>
      </c>
      <c r="AB94" s="509" t="n">
        <f t="shared" si="47"/>
        <v>9.8982857142857164</v>
      </c>
      <c r="AC94" s="509" t="n">
        <f t="shared" si="47"/>
        <v>9.8982857142857164</v>
      </c>
      <c r="AD94" s="509" t="n">
        <f>AVERAGE($H$94:$N$94)+AD95</f>
        <v>5.8262857142857154</v>
      </c>
      <c r="AE94" s="509" t="n">
        <f>AVERAGE($H$94:$N$94)+AE95</f>
        <v>5.8262857142857154</v>
      </c>
      <c r="AF94" s="509" t="n">
        <f t="shared" ref="AF94" si="48">AVERAGE($H$94:$N$94)+AF95</f>
        <v>5.8262857142857154</v>
      </c>
      <c r="AG94" s="509" t="n">
        <f>AVERAGE($H$94:$N$94)+AG95</f>
        <v>5.8262857142857154</v>
      </c>
      <c r="AH94" s="509" t="n">
        <f>AVERAGE($H$94:$N$94)+AH95</f>
        <v>5.8262857142857154</v>
      </c>
      <c r="AI94" s="509" t="n">
        <f>AVERAGE($H$94:$N$94)+AI95</f>
        <v>5.8262857142857154</v>
      </c>
      <c r="AJ94" s="509" t="n">
        <f>AVERAGE($H$94:$N$94)+AJ95</f>
        <v>5.8262857142857154</v>
      </c>
      <c r="AK94" s="509" t="n">
        <f t="shared" ref="AK94:AM94" si="49">AVERAGE($H$94:$N$94)+AK95</f>
        <v>5.8262857142857154</v>
      </c>
      <c r="AL94" s="509" t="n">
        <f t="shared" si="49"/>
        <v>5.8262857142857154</v>
      </c>
      <c r="AM94" s="509" t="n">
        <f t="shared" si="49"/>
        <v>5.8262857142857154</v>
      </c>
      <c r="AN94" s="509" t="n">
        <f>AVERAGE($H$94:$N$94)+AN95</f>
        <v>5.8262857142857154</v>
      </c>
      <c r="AO94" s="390"/>
      <c r="AP94" s="390"/>
    </row>
    <row r="95">
      <c r="B95" s="302" t="s">
        <v>1084</v>
      </c>
      <c r="C95" s="77"/>
      <c r="D95" s="302"/>
      <c r="E95" s="77"/>
      <c r="F95" s="77"/>
      <c r="G95" s="77"/>
      <c r="H95" s="77"/>
      <c r="I95" s="77"/>
      <c r="J95" s="77"/>
      <c r="K95" s="77"/>
      <c r="L95" s="77"/>
      <c r="M95" s="77"/>
      <c r="N95" s="77"/>
      <c r="O95" s="77"/>
      <c r="P95" s="77"/>
      <c r="Q95" s="77"/>
      <c r="R95" s="77"/>
      <c r="S95" s="485" t="n">
        <f>'IRA and CHIPS'!E185</f>
        <v>0</v>
      </c>
      <c r="T95" s="485" t="n">
        <f>'IRA and CHIPS'!F185</f>
        <v>0.81899999999999995</v>
      </c>
      <c r="U95" s="485" t="n">
        <f>'IRA and CHIPS'!G185</f>
        <v>0.81899999999999995</v>
      </c>
      <c r="V95" s="485" t="n">
        <f>'IRA and CHIPS'!H185</f>
        <v>0.81899999999999995</v>
      </c>
      <c r="W95" s="485" t="n">
        <f>'IRA and CHIPS'!I185</f>
        <v>0.81899999999999995</v>
      </c>
      <c r="X95" s="508" t="n">
        <f>'IRA and CHIPS'!J185</f>
        <v>2.4780000000000002</v>
      </c>
      <c r="Y95" s="508" t="n">
        <f>'IRA and CHIPS'!K185</f>
        <v>2.4780000000000002</v>
      </c>
      <c r="Z95" s="508" t="n">
        <f>'IRA and CHIPS'!L185</f>
        <v>2.4780000000000002</v>
      </c>
      <c r="AA95" s="508" t="n">
        <f>'IRA and CHIPS'!M185</f>
        <v>2.4780000000000002</v>
      </c>
      <c r="AB95" s="508" t="n">
        <f>'IRA and CHIPS'!N185</f>
        <v>4.0720000000000001</v>
      </c>
      <c r="AC95" s="508" t="n">
        <f>'IRA and CHIPS'!O185</f>
        <v>4.0720000000000001</v>
      </c>
      <c r="AD95" s="508" t="n">
        <f>'IRA and CHIPS'!T185</f>
        <v>0</v>
      </c>
      <c r="AE95" s="508" t="n">
        <v>0</v>
      </c>
      <c r="AF95" s="508" t="n">
        <v>0</v>
      </c>
      <c r="AG95" s="508" t="n">
        <v>0</v>
      </c>
      <c r="AH95" s="508" t="n">
        <v>0</v>
      </c>
      <c r="AI95" s="508" t="n">
        <v>0</v>
      </c>
      <c r="AJ95" s="508" t="n">
        <v>0</v>
      </c>
      <c r="AK95" s="508" t="n">
        <v>0</v>
      </c>
      <c r="AL95" s="508" t="n">
        <v>0</v>
      </c>
      <c r="AM95" s="508" t="n">
        <v>0</v>
      </c>
      <c r="AN95" s="508" t="n">
        <v>0</v>
      </c>
    </row>
    <row r="96" ht="18.75" customHeight="1"/>
    <row r="97" ht="21.75" customHeight="1"/>
  </sheetData>
  <mergeCells count="47">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AP27:AQ28"/>
    <mergeCell ref="AP33:AQ33"/>
    <mergeCell ref="AG7:AJ7"/>
    <mergeCell ref="AG71:AJ71"/>
    <mergeCell ref="AP6:AP8"/>
    <mergeCell ref="AO6:AO8"/>
    <mergeCell ref="AK7:AN7"/>
    <mergeCell ref="AK92:AN92"/>
    <mergeCell ref="D70:AA70"/>
    <mergeCell ref="U71:X71"/>
    <mergeCell ref="AB70:AN70"/>
    <mergeCell ref="U92:X92"/>
    <mergeCell ref="D91:AA91"/>
    <mergeCell ref="AB91:AN91"/>
    <mergeCell ref="AG92:AJ92"/>
    <mergeCell ref="AC92:AF92"/>
    <mergeCell ref="AK71:AN71"/>
  </mergeCells>
  <pageMargins left="0.7" right="0.7" top="0.75" bottom="0.75" header="0.3" footer="0.3"/>
  <pageSetup orientation="portrait"/>
  <drawing r:id="rId1"/>
  <legacyDrawing r:id="rIdvml"/>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2" ySplit="4" topLeftCell="AS34" activePane="bottomRight" state="frozen"/>
      <selection pane="topRight" activeCell="C1" sqref="C1"/>
      <selection pane="bottomLeft" activeCell="A5" sqref="A5"/>
      <selection pane="bottomRight" activeCell="C44" sqref="C44"/>
    </sheetView>
  </sheetViews>
  <sheetFormatPr defaultRowHeight="15.0" baseColWidth="10"/>
  <cols>
    <col min="1" max="1" width="17.1796875" hidden="0" customWidth="1"/>
    <col min="2" max="2" width="63.81640625" hidden="0" customWidth="1"/>
    <col min="3" max="3" width="18" hidden="0" customWidth="1"/>
    <col min="4" max="4" width="10" hidden="0" customWidth="1"/>
    <col min="5" max="5" width="10" hidden="0" customWidth="1"/>
    <col min="6" max="6" width="10" hidden="0" customWidth="1"/>
    <col min="7" max="7" width="10" hidden="0" customWidth="1"/>
    <col min="8" max="8" width="14.1796875" hidden="0" customWidth="1"/>
    <col min="9" max="9" width="10.1796875" hidden="0" customWidth="1"/>
    <col min="10" max="10" width="11.81640625" hidden="0" customWidth="1"/>
    <col min="11" max="11" width="13.453125" hidden="0" customWidth="1"/>
    <col min="12" max="12" width="11.453125" hidden="0" customWidth="1"/>
    <col min="13" max="13" width="12" hidden="0" customWidth="1"/>
    <col min="14" max="14" width="9" hidden="0" customWidth="1"/>
    <col min="15" max="15" width="10.1796875" hidden="0" customWidth="1"/>
    <col min="16" max="16" width="10.1796875" hidden="0" customWidth="1"/>
    <col min="17" max="17" width="12.1796875" hidden="0" customWidth="1"/>
    <col min="18" max="18" width="10" hidden="0" customWidth="1"/>
    <col min="19" max="19" width="9" hidden="0" customWidth="1"/>
    <col min="20" max="20" width="8.81640625" hidden="0" customWidth="1"/>
    <col min="21" max="21" width="8.81640625" hidden="0" customWidth="1"/>
    <col min="22" max="22" width="8.81640625" hidden="0" customWidth="1"/>
    <col min="23" max="23" width="8.81640625" hidden="0" customWidth="1"/>
    <col min="24" max="24" width="8.81640625" hidden="0" customWidth="1"/>
    <col min="25" max="25" width="8.81640625" hidden="0" customWidth="1"/>
    <col min="26" max="26" width="8.81640625" hidden="0" customWidth="1"/>
    <col min="38" max="38" width="14.1796875" hidden="0" customWidth="1"/>
    <col min="44" max="44" width="7.6328125" hidden="0" customWidth="1"/>
    <col min="46" max="46" width="10.1796875" hidden="0" customWidth="1"/>
  </cols>
  <sheetData>
    <row r="1" ht="20.25" customHeight="1">
      <c r="B1" s="266" t="s">
        <v>296</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row>
    <row r="2" ht="14.25" customHeight="1">
      <c r="B2" s="267" t="s">
        <v>297</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E2" s="267"/>
      <c r="AF2" s="267"/>
      <c r="AG2" s="267"/>
      <c r="AH2" s="267"/>
    </row>
    <row r="3" ht="9" customHeight="1">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267"/>
      <c r="AE3" s="267"/>
      <c r="AF3" s="267"/>
      <c r="AG3" s="267"/>
      <c r="AH3" s="267"/>
    </row>
    <row r="4" ht="27" customHeight="1">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c r="AD4" s="267"/>
      <c r="AE4" s="267"/>
      <c r="AF4" s="267"/>
      <c r="AG4" s="267"/>
      <c r="AH4" s="267"/>
      <c r="AJ4" s="650"/>
      <c r="AK4" s="650"/>
      <c r="AL4" s="650"/>
      <c r="AM4" s="650"/>
      <c r="AN4" s="650"/>
      <c r="AO4" s="650"/>
      <c r="AP4" s="650"/>
      <c r="AQ4" s="650"/>
      <c r="AR4" s="650"/>
    </row>
    <row r="5">
      <c r="B5" s="427"/>
      <c r="AC5" s="387"/>
      <c r="AD5" s="387"/>
      <c r="AE5" s="387"/>
      <c r="AF5" s="387"/>
      <c r="AG5" s="387"/>
      <c r="AH5" s="387"/>
      <c r="AI5" s="387"/>
      <c r="AJ5" s="387"/>
      <c r="AK5" s="387"/>
    </row>
    <row r="6" ht="14.9" customHeight="1">
      <c r="B6" s="583"/>
      <c r="C6" s="584"/>
      <c r="D6" s="582" t="s">
        <v>191</v>
      </c>
      <c r="E6" s="582"/>
      <c r="F6" s="582"/>
      <c r="G6" s="582"/>
      <c r="H6" s="582"/>
      <c r="I6" s="582"/>
      <c r="J6" s="582"/>
      <c r="K6" s="582"/>
      <c r="L6" s="582"/>
      <c r="M6" s="582"/>
      <c r="N6" s="582"/>
      <c r="O6" s="582"/>
      <c r="P6" s="582"/>
      <c r="Q6" s="582"/>
      <c r="R6" s="582"/>
      <c r="S6" s="582"/>
      <c r="T6" s="582"/>
      <c r="U6" s="582"/>
      <c r="V6" s="582"/>
      <c r="W6" s="582"/>
      <c r="X6" s="582"/>
      <c r="Y6" s="582"/>
      <c r="Z6" s="582"/>
      <c r="AA6" s="582"/>
      <c r="AB6" s="582"/>
      <c r="AC6" s="252" t="s">
        <v>192</v>
      </c>
      <c r="AD6" s="252"/>
      <c r="AE6" s="252"/>
      <c r="AF6" s="252"/>
      <c r="AG6" s="252"/>
      <c r="AH6" s="252"/>
      <c r="AI6" s="252"/>
      <c r="AJ6" s="252"/>
      <c r="AK6" s="252"/>
      <c r="AL6" s="252"/>
      <c r="AM6" s="252"/>
      <c r="AN6" s="253"/>
    </row>
    <row r="7" ht="14.9" customHeight="1">
      <c r="B7" s="585"/>
      <c r="C7" s="586"/>
      <c r="D7" s="587" t="n">
        <v>2018</v>
      </c>
      <c r="E7" s="587" t="n">
        <v>2019</v>
      </c>
      <c r="F7" s="588"/>
      <c r="G7" s="588"/>
      <c r="H7" s="589"/>
      <c r="I7" s="587" t="n">
        <v>2020</v>
      </c>
      <c r="J7" s="588"/>
      <c r="K7" s="588"/>
      <c r="L7" s="588"/>
      <c r="M7" s="587" t="n">
        <v>2021</v>
      </c>
      <c r="N7" s="588"/>
      <c r="O7" s="588"/>
      <c r="P7" s="588"/>
      <c r="Q7" s="587" t="n">
        <v>2022</v>
      </c>
      <c r="R7" s="588"/>
      <c r="S7" s="588"/>
      <c r="T7" s="589"/>
      <c r="U7" s="432"/>
      <c r="V7" s="382" t="n">
        <v>2023</v>
      </c>
      <c r="W7" s="382"/>
      <c r="X7" s="381"/>
      <c r="Y7" s="658"/>
      <c r="Z7" s="382" t="n">
        <v>2024</v>
      </c>
      <c r="AA7" s="382"/>
      <c r="AB7" s="381"/>
      <c r="AC7" s="261" t="n">
        <v>2025</v>
      </c>
      <c r="AD7" s="264"/>
      <c r="AE7" s="264"/>
      <c r="AF7" s="263"/>
      <c r="AG7" s="261" t="n">
        <v>2026</v>
      </c>
      <c r="AH7" s="264"/>
      <c r="AI7" s="264"/>
      <c r="AJ7" s="263"/>
      <c r="AK7" s="261" t="n">
        <v>2027</v>
      </c>
      <c r="AL7" s="264"/>
      <c r="AM7" s="264"/>
      <c r="AN7" s="263"/>
    </row>
    <row r="8">
      <c r="B8" s="585"/>
      <c r="C8" s="586"/>
      <c r="D8" s="587" t="s">
        <v>193</v>
      </c>
      <c r="E8" s="587" t="s">
        <v>194</v>
      </c>
      <c r="F8" s="588" t="s">
        <v>195</v>
      </c>
      <c r="G8" s="588" t="s">
        <v>171</v>
      </c>
      <c r="H8" s="637" t="s">
        <v>193</v>
      </c>
      <c r="I8" s="588" t="s">
        <v>194</v>
      </c>
      <c r="J8" s="588" t="s">
        <v>195</v>
      </c>
      <c r="K8" s="588" t="s">
        <v>171</v>
      </c>
      <c r="L8" s="588" t="s">
        <v>193</v>
      </c>
      <c r="M8" s="612" t="s">
        <v>194</v>
      </c>
      <c r="N8" s="613" t="s">
        <v>195</v>
      </c>
      <c r="O8" s="613" t="s">
        <v>171</v>
      </c>
      <c r="P8" s="613" t="s">
        <v>193</v>
      </c>
      <c r="Q8" s="612" t="s">
        <v>194</v>
      </c>
      <c r="R8" s="613" t="s">
        <v>195</v>
      </c>
      <c r="S8" s="613" t="s">
        <v>171</v>
      </c>
      <c r="T8" s="614" t="s">
        <v>193</v>
      </c>
      <c r="U8" s="293" t="s">
        <v>194</v>
      </c>
      <c r="V8" s="294" t="s">
        <v>195</v>
      </c>
      <c r="W8" s="294" t="s">
        <v>171</v>
      </c>
      <c r="X8" s="292" t="s">
        <v>193</v>
      </c>
      <c r="Y8" s="294" t="s">
        <v>194</v>
      </c>
      <c r="Z8" s="295" t="s">
        <v>195</v>
      </c>
      <c r="AA8" s="294" t="s">
        <v>171</v>
      </c>
      <c r="AB8" s="294" t="s">
        <v>193</v>
      </c>
      <c r="AC8" s="293" t="s">
        <v>194</v>
      </c>
      <c r="AD8" s="295" t="s">
        <v>195</v>
      </c>
      <c r="AE8" s="291" t="s">
        <v>171</v>
      </c>
      <c r="AF8" s="297" t="s">
        <v>193</v>
      </c>
      <c r="AG8" s="385" t="s">
        <v>194</v>
      </c>
      <c r="AH8" s="290" t="s">
        <v>195</v>
      </c>
      <c r="AI8" s="290" t="s">
        <v>171</v>
      </c>
      <c r="AJ8" s="430" t="s">
        <v>193</v>
      </c>
      <c r="AK8" s="385" t="s">
        <v>194</v>
      </c>
      <c r="AL8" s="290" t="s">
        <v>195</v>
      </c>
      <c r="AM8" s="290" t="s">
        <v>171</v>
      </c>
      <c r="AN8" s="430" t="s">
        <v>193</v>
      </c>
    </row>
    <row r="9" ht="18" customHeight="1">
      <c r="B9" s="632" t="s">
        <v>1899</v>
      </c>
      <c r="C9" s="633"/>
      <c r="D9" s="634"/>
      <c r="E9" s="634"/>
      <c r="F9" s="634"/>
      <c r="G9" s="634"/>
      <c r="H9" s="634"/>
      <c r="I9" s="634"/>
      <c r="J9" s="634"/>
      <c r="K9" s="634"/>
      <c r="L9" s="634"/>
      <c r="M9" s="610" t="n">
        <v>1609.9</v>
      </c>
      <c r="N9" s="610" t="n">
        <v>1588.5</v>
      </c>
      <c r="O9" s="610" t="n">
        <v>1576.4</v>
      </c>
      <c r="P9" s="610" t="n">
        <v>1602.5</v>
      </c>
      <c r="Q9" s="610" t="n">
        <v>1606.5</v>
      </c>
      <c r="R9" s="610" t="n">
        <v>1622.1</v>
      </c>
      <c r="S9" s="610" t="n">
        <v>1641.4</v>
      </c>
      <c r="T9" s="610" t="n">
        <v>1694.2</v>
      </c>
      <c r="U9" s="610" t="n">
        <v>1731.6</v>
      </c>
      <c r="V9" s="610" t="n">
        <v>1741.8</v>
      </c>
      <c r="W9" s="610" t="n">
        <v>1780.9</v>
      </c>
      <c r="X9" s="610" t="n">
        <v>1796.2</v>
      </c>
      <c r="Y9" s="610" t="n">
        <v>1810.3</v>
      </c>
      <c r="Z9" s="611" t="n">
        <v>1842.2</v>
      </c>
      <c r="AA9" s="611" t="n">
        <v>1893.4</v>
      </c>
      <c r="AB9" s="611" t="n">
        <v>1899.3</v>
      </c>
      <c r="AC9" s="611" t="n">
        <v>1905.1</v>
      </c>
      <c r="AD9" s="611" t="n">
        <f t="shared" ref="AD9:BI9" si="0">AD10+AD11</f>
        <v>1910.7</v>
      </c>
      <c r="AE9" s="611" t="n">
        <f t="shared" si="0"/>
        <v>1935.5</v>
      </c>
      <c r="AF9" s="611" t="n">
        <f t="shared" si="0"/>
        <v>1947.1</v>
      </c>
      <c r="AG9" s="611" t="n">
        <f t="shared" si="0"/>
        <v>1982.1</v>
      </c>
      <c r="AH9" s="611" t="n">
        <f t="shared" si="0"/>
        <v>1997.5</v>
      </c>
      <c r="AI9" s="611" t="n">
        <f t="shared" si="0"/>
        <v>2014.7</v>
      </c>
      <c r="AJ9" s="611" t="n">
        <f t="shared" si="0"/>
        <v>2024.9</v>
      </c>
      <c r="AK9" s="611" t="n">
        <f t="shared" si="0"/>
        <v>2034.5</v>
      </c>
      <c r="AL9" s="611" t="n">
        <f t="shared" si="0"/>
        <v>2045.6000000000001</v>
      </c>
      <c r="AM9" s="611" t="n">
        <f t="shared" si="0"/>
        <v>2057.1999999999998</v>
      </c>
      <c r="AN9" s="611" t="e">
        <f t="shared" si="0"/>
        <v>#REF!</v>
      </c>
      <c r="AO9" s="611" t="e">
        <f t="shared" si="0"/>
        <v>#REF!</v>
      </c>
      <c r="AP9" s="611" t="e">
        <f t="shared" si="0"/>
        <v>#REF!</v>
      </c>
      <c r="AQ9" s="611" t="e">
        <f t="shared" si="0"/>
        <v>#REF!</v>
      </c>
      <c r="AR9" s="611" t="n">
        <f t="shared" si="0"/>
        <v>2047.6</v>
      </c>
      <c r="AS9" s="611" t="n">
        <f t="shared" si="0"/>
        <v>2057.4</v>
      </c>
      <c r="AT9" s="611" t="n">
        <f t="shared" si="0"/>
        <v>2068.8000000000002</v>
      </c>
      <c r="AU9" s="611" t="n">
        <f t="shared" si="0"/>
        <v>2080.3000000000002</v>
      </c>
      <c r="AV9" s="611" t="n">
        <f t="shared" si="0"/>
        <v>2091.8000000000002</v>
      </c>
      <c r="AW9" s="611" t="n">
        <f t="shared" si="0"/>
        <v>2103.1999999999998</v>
      </c>
      <c r="AX9" s="611" t="n">
        <f t="shared" si="0"/>
        <v>2114.6999999999998</v>
      </c>
      <c r="AY9" s="611" t="n">
        <f t="shared" si="0"/>
        <v>2124.6999999999998</v>
      </c>
      <c r="AZ9" s="611" t="n">
        <f t="shared" si="0"/>
        <v>2134.8000000000002</v>
      </c>
      <c r="BA9" s="611" t="n">
        <f t="shared" si="0"/>
        <v>2144.9</v>
      </c>
      <c r="BB9" s="611" t="n">
        <f t="shared" si="0"/>
        <v>2156.6</v>
      </c>
      <c r="BC9" s="611" t="n">
        <f t="shared" si="0"/>
        <v>2169.1</v>
      </c>
      <c r="BD9" s="611" t="n">
        <f t="shared" si="0"/>
        <v>2181.9</v>
      </c>
      <c r="BE9" s="611" t="n">
        <f t="shared" si="0"/>
        <v>2194.8000000000002</v>
      </c>
      <c r="BF9" s="611" t="n">
        <f t="shared" si="0"/>
        <v>2207.5</v>
      </c>
      <c r="BG9" s="611" t="n">
        <f t="shared" si="0"/>
        <v>2221.3000000000002</v>
      </c>
      <c r="BH9" s="611" t="n">
        <f t="shared" si="0"/>
        <v>2235.5</v>
      </c>
      <c r="BI9" s="611" t="n">
        <f t="shared" si="0"/>
        <v>2249.3000000000002</v>
      </c>
      <c r="BJ9" s="611" t="n">
        <v>2263.1999999999998</v>
      </c>
      <c r="BK9" s="611" t="n">
        <v>2277.4</v>
      </c>
      <c r="BL9" s="611" t="n">
        <v>2290.6999999999998</v>
      </c>
      <c r="BM9" s="611" t="n">
        <v>2304.1999999999998</v>
      </c>
      <c r="BN9" s="611" t="n">
        <v>2317.3000000000002</v>
      </c>
      <c r="BO9" s="611" t="n">
        <v>2330.5</v>
      </c>
      <c r="BP9" s="611" t="n">
        <v>2343.6</v>
      </c>
      <c r="BQ9" s="611" t="n">
        <v>2356.9</v>
      </c>
      <c r="BR9" t="n">
        <v>2370.1999999999998</v>
      </c>
      <c r="BS9" t="n">
        <v>2383.6999999999998</v>
      </c>
      <c r="BT9" t="n">
        <v>2397.6</v>
      </c>
    </row>
    <row r="10" ht="18" customHeight="1">
      <c r="B10" s="599" t="s">
        <v>1900</v>
      </c>
      <c r="C10" s="595"/>
      <c r="D10" s="620"/>
      <c r="E10" s="620"/>
      <c r="F10" s="620"/>
      <c r="G10" s="620"/>
      <c r="H10" s="620"/>
      <c r="I10" s="620"/>
      <c r="J10" s="620"/>
      <c r="K10" s="620"/>
      <c r="L10" s="620"/>
      <c r="M10" s="610"/>
      <c r="N10" s="610"/>
      <c r="O10" s="610"/>
      <c r="P10" s="610"/>
      <c r="Q10" s="610"/>
      <c r="R10" s="610"/>
      <c r="S10" s="610"/>
      <c r="T10" s="610"/>
      <c r="U10" s="610"/>
      <c r="V10" s="610"/>
      <c r="W10" s="610"/>
      <c r="X10" s="610"/>
      <c r="Y10" s="610"/>
      <c r="Z10" s="611"/>
      <c r="AA10" s="611"/>
      <c r="AB10" s="611"/>
      <c r="AC10" s="611"/>
      <c r="AD10" s="611"/>
      <c r="AE10" s="611" t="n">
        <f>4.8*4</f>
        <v>19.2</v>
      </c>
      <c r="AF10" s="596" t="n">
        <v>25</v>
      </c>
      <c r="AG10" s="596" t="n">
        <v>50</v>
      </c>
      <c r="AH10" s="596" t="n">
        <v>55</v>
      </c>
      <c r="AI10" s="596" t="n">
        <v>61</v>
      </c>
      <c r="AJ10" s="611" t="n">
        <f>61.2</f>
        <v>61.2</v>
      </c>
      <c r="AK10" s="611" t="n">
        <f t="shared" ref="AK10:AM10" si="1">61.2</f>
        <v>61.2</v>
      </c>
      <c r="AL10" s="611" t="n">
        <f t="shared" si="1"/>
        <v>61.2</v>
      </c>
      <c r="AM10" s="611" t="n">
        <f t="shared" si="1"/>
        <v>61.2</v>
      </c>
      <c r="AN10" s="611" t="e">
        <f>#REF!</f>
        <v>#REF!</v>
      </c>
      <c r="AO10" s="611" t="e">
        <f>#REF!</f>
        <v>#REF!</v>
      </c>
      <c r="AP10" s="611" t="e">
        <f>#REF!</f>
        <v>#REF!</v>
      </c>
      <c r="AQ10" s="611" t="e">
        <f>#REF!</f>
        <v>#REF!</v>
      </c>
      <c r="AR10" s="611"/>
      <c r="AS10" s="611"/>
      <c r="AT10" s="611"/>
      <c r="AU10" s="611"/>
      <c r="AV10" s="611"/>
      <c r="AW10" s="611"/>
      <c r="AX10" s="611"/>
      <c r="AY10" s="611"/>
      <c r="AZ10" s="611"/>
      <c r="BA10" s="611"/>
      <c r="BB10" s="611"/>
      <c r="BC10" s="611"/>
      <c r="BD10" s="611"/>
      <c r="BE10" s="611"/>
      <c r="BF10" s="611"/>
      <c r="BG10" s="611"/>
      <c r="BH10" s="611"/>
      <c r="BI10" s="611"/>
      <c r="BJ10" s="611"/>
      <c r="BK10" s="611"/>
      <c r="BL10" s="611"/>
      <c r="BM10" s="611"/>
      <c r="BN10" s="611"/>
      <c r="BO10" s="611"/>
      <c r="BP10" s="611"/>
      <c r="BQ10" s="611"/>
    </row>
    <row r="11" ht="18" customHeight="1">
      <c r="B11" s="636" t="s">
        <v>1899</v>
      </c>
      <c r="C11" s="595"/>
      <c r="D11" s="620"/>
      <c r="E11" s="620"/>
      <c r="F11" s="620"/>
      <c r="G11" s="620"/>
      <c r="H11" s="620"/>
      <c r="I11" s="620"/>
      <c r="J11" s="620"/>
      <c r="K11" s="620"/>
      <c r="L11" s="620"/>
      <c r="M11" s="610" t="n">
        <v>1609.9</v>
      </c>
      <c r="N11" s="610" t="n">
        <v>1588.5</v>
      </c>
      <c r="O11" s="610" t="n">
        <v>1576.4</v>
      </c>
      <c r="P11" s="610" t="n">
        <v>1602.5</v>
      </c>
      <c r="Q11" s="610" t="n">
        <v>1606.5</v>
      </c>
      <c r="R11" s="610" t="n">
        <v>1622.1</v>
      </c>
      <c r="S11" s="610" t="n">
        <v>1641.4</v>
      </c>
      <c r="T11" s="610" t="n">
        <v>1694.2</v>
      </c>
      <c r="U11" s="610" t="n">
        <v>1731.6</v>
      </c>
      <c r="V11" s="610" t="n">
        <v>1741.8</v>
      </c>
      <c r="W11" s="610" t="n">
        <v>1780.9</v>
      </c>
      <c r="X11" s="610" t="n">
        <v>1796.2</v>
      </c>
      <c r="Y11" s="610" t="n">
        <v>1810.3</v>
      </c>
      <c r="Z11" s="611" t="n">
        <v>1842.2</v>
      </c>
      <c r="AA11" s="611" t="n">
        <v>1893.4</v>
      </c>
      <c r="AB11" s="611" t="n">
        <v>1899.3</v>
      </c>
      <c r="AC11" s="611" t="n">
        <v>1905.1</v>
      </c>
      <c r="AD11" s="611" t="n">
        <v>1910.7</v>
      </c>
      <c r="AE11" s="611" t="n">
        <v>1916.3</v>
      </c>
      <c r="AF11" s="611" t="n">
        <v>1922.1</v>
      </c>
      <c r="AG11" s="611" t="n">
        <v>1932.1</v>
      </c>
      <c r="AH11" s="611" t="n">
        <v>1942.5</v>
      </c>
      <c r="AI11" s="611" t="n">
        <v>1953.7</v>
      </c>
      <c r="AJ11" s="611" t="n">
        <v>1963.7</v>
      </c>
      <c r="AK11" s="611" t="n">
        <v>1973.3</v>
      </c>
      <c r="AL11" s="611" t="n">
        <v>1984.4</v>
      </c>
      <c r="AM11" s="611" t="n">
        <v>1996</v>
      </c>
      <c r="AN11" s="611" t="n">
        <v>2006.3</v>
      </c>
      <c r="AO11" s="611" t="n">
        <v>2016.1</v>
      </c>
      <c r="AP11" s="611" t="n">
        <v>2026.1</v>
      </c>
      <c r="AQ11" s="611" t="n">
        <v>2036.2</v>
      </c>
      <c r="AR11" s="611" t="n">
        <v>2047.6</v>
      </c>
      <c r="AS11" s="611" t="n">
        <v>2057.4</v>
      </c>
      <c r="AT11" s="611" t="n">
        <v>2068.8000000000002</v>
      </c>
      <c r="AU11" s="611" t="n">
        <v>2080.3000000000002</v>
      </c>
      <c r="AV11" s="611" t="n">
        <v>2091.8000000000002</v>
      </c>
      <c r="AW11" s="611" t="n">
        <v>2103.1999999999998</v>
      </c>
      <c r="AX11" s="611" t="n">
        <v>2114.6999999999998</v>
      </c>
      <c r="AY11" s="611" t="n">
        <v>2124.6999999999998</v>
      </c>
      <c r="AZ11" s="611" t="n">
        <v>2134.8000000000002</v>
      </c>
      <c r="BA11" s="611" t="n">
        <v>2144.9</v>
      </c>
      <c r="BB11" s="611" t="n">
        <v>2156.6</v>
      </c>
      <c r="BC11" s="611" t="n">
        <v>2169.1</v>
      </c>
      <c r="BD11" s="611" t="n">
        <v>2181.9</v>
      </c>
      <c r="BE11" s="611" t="n">
        <v>2194.8000000000002</v>
      </c>
      <c r="BF11" s="611" t="n">
        <v>2207.5</v>
      </c>
      <c r="BG11" s="611" t="n">
        <v>2221.3000000000002</v>
      </c>
      <c r="BH11" s="611" t="n">
        <v>2235.5</v>
      </c>
      <c r="BI11" s="611" t="n">
        <v>2249.3000000000002</v>
      </c>
      <c r="BJ11" s="611" t="n">
        <v>2263.1999999999998</v>
      </c>
      <c r="BK11" s="611" t="n">
        <v>2277.4</v>
      </c>
      <c r="BL11" s="611" t="n">
        <v>2290.6999999999998</v>
      </c>
      <c r="BM11" s="611" t="n">
        <v>2304.1999999999998</v>
      </c>
      <c r="BN11" s="611" t="n">
        <v>2317.3000000000002</v>
      </c>
      <c r="BO11" s="611" t="n">
        <v>2330.5</v>
      </c>
      <c r="BP11" s="611" t="n">
        <v>2343.6</v>
      </c>
      <c r="BQ11" s="611" t="n">
        <v>2356.9</v>
      </c>
      <c r="BR11" t="n">
        <v>2370.1999999999998</v>
      </c>
      <c r="BS11" t="n">
        <v>2383.6999999999998</v>
      </c>
      <c r="BT11" t="n">
        <v>2397.6</v>
      </c>
    </row>
    <row r="12" ht="18" customHeight="1">
      <c r="B12" s="636" t="s">
        <v>1898</v>
      </c>
      <c r="C12" s="595"/>
      <c r="D12" s="620"/>
      <c r="E12" s="620"/>
      <c r="F12" s="620"/>
      <c r="G12" s="620"/>
      <c r="H12" s="620"/>
      <c r="I12" s="620"/>
      <c r="J12" s="620"/>
      <c r="K12" s="620"/>
      <c r="L12" s="620"/>
      <c r="M12" s="597"/>
      <c r="N12" s="598" t="n">
        <f t="shared" ref="N12:AS12" si="2">((N9/M9)^4-1)*100</f>
        <v>-5.212018496634907</v>
      </c>
      <c r="O12" s="598" t="n">
        <f t="shared" si="2"/>
        <v>-3.0122625536379122</v>
      </c>
      <c r="P12" s="598" t="n">
        <f t="shared" si="2"/>
        <v>6.7889823709596397</v>
      </c>
      <c r="Q12" s="598" t="n">
        <f t="shared" si="2"/>
        <v>1.00218447093261</v>
      </c>
      <c r="R12" s="598" t="n">
        <f t="shared" si="2"/>
        <v>3.9411643848529243</v>
      </c>
      <c r="S12" s="598" t="n">
        <f t="shared" si="2"/>
        <v>4.844878118550211</v>
      </c>
      <c r="T12" s="598" t="n">
        <f t="shared" si="2"/>
        <v>13.501341155021663</v>
      </c>
      <c r="U12" s="598" t="n">
        <f t="shared" si="2"/>
        <v>9.1268448948295564</v>
      </c>
      <c r="V12" s="598" t="n">
        <f t="shared" si="2"/>
        <v>2.3771030680354466</v>
      </c>
      <c r="W12" s="598" t="n">
        <f t="shared" si="2"/>
        <v>9.286115814204333</v>
      </c>
      <c r="X12" s="598" t="n">
        <f t="shared" si="2"/>
        <v>3.4810037287705597</v>
      </c>
      <c r="Y12" s="598" t="n">
        <f t="shared" si="2"/>
        <v>3.1771286181233149</v>
      </c>
      <c r="Z12" s="598" t="n">
        <f t="shared" si="2"/>
        <v>7.2370618046588842</v>
      </c>
      <c r="AA12" s="598" t="n">
        <f t="shared" si="2"/>
        <v>11.58925529022785</v>
      </c>
      <c r="AB12" s="598" t="n">
        <f t="shared" si="2"/>
        <v>1.2522730976384899</v>
      </c>
      <c r="AC12" s="598" t="n">
        <f t="shared" si="2"/>
        <v>1.2271093164039293</v>
      </c>
      <c r="AD12" s="598" t="n">
        <f t="shared" si="2"/>
        <v>1.1809857833766646</v>
      </c>
      <c r="AE12" s="598" t="n">
        <f t="shared" si="2"/>
        <v>5.2937730303575847</v>
      </c>
      <c r="AF12" s="598" t="n">
        <f t="shared" si="2"/>
        <v>2.4189512623805198</v>
      </c>
      <c r="AG12" s="598" t="n">
        <f t="shared" si="2"/>
        <v>7.3863840728503716</v>
      </c>
      <c r="AH12" s="598" t="n">
        <f t="shared" si="2"/>
        <v>3.1442223400736768</v>
      </c>
      <c r="AI12" s="598" t="n">
        <f t="shared" si="2"/>
        <v>3.4890484587128734</v>
      </c>
      <c r="AJ12" s="598" t="n">
        <f t="shared" si="2"/>
        <v>2.0405464713691313</v>
      </c>
      <c r="AK12" s="598" t="n">
        <f t="shared" si="2"/>
        <v>1.909918726152382</v>
      </c>
      <c r="AL12" s="598" t="n">
        <f t="shared" si="2"/>
        <v>2.2002794519144331</v>
      </c>
      <c r="AM12" s="598" t="n">
        <f t="shared" si="2"/>
        <v>2.2876503453188146</v>
      </c>
      <c r="AN12" s="598" t="e">
        <f t="shared" si="2"/>
        <v>#REF!</v>
      </c>
      <c r="AO12" s="598" t="e">
        <f t="shared" si="2"/>
        <v>#REF!</v>
      </c>
      <c r="AP12" s="598" t="e">
        <f t="shared" si="2"/>
        <v>#REF!</v>
      </c>
      <c r="AQ12" s="598" t="e">
        <f t="shared" si="2"/>
        <v>#REF!</v>
      </c>
      <c r="AR12" s="598" t="e">
        <f t="shared" si="2"/>
        <v>#REF!</v>
      </c>
      <c r="AS12" s="598" t="n">
        <f t="shared" si="2"/>
        <v>1.928224319619698</v>
      </c>
      <c r="AT12" s="598" t="n">
        <f t="shared" ref="AT12:BQ12" si="3">((AT9/AS9)^4-1)*100</f>
        <v>2.2348791967138348</v>
      </c>
      <c r="AU12" s="598" t="n">
        <f t="shared" si="3"/>
        <v>2.2421200241868</v>
      </c>
      <c r="AV12" s="598" t="n">
        <f t="shared" si="3"/>
        <v>2.2296227967858684</v>
      </c>
      <c r="AW12" s="598" t="n">
        <f t="shared" si="3"/>
        <v>2.1978260860924248</v>
      </c>
      <c r="AX12" s="598" t="n">
        <f t="shared" si="3"/>
        <v>2.2051473659413956</v>
      </c>
      <c r="AY12" s="598" t="n">
        <f t="shared" si="3"/>
        <v>1.9049805508580819</v>
      </c>
      <c r="AZ12" s="598" t="n">
        <f t="shared" si="3"/>
        <v>1.9150460253528845</v>
      </c>
      <c r="BA12" s="598" t="n">
        <f t="shared" si="3"/>
        <v>1.905921462354887</v>
      </c>
      <c r="BB12" s="598" t="n">
        <f t="shared" si="3"/>
        <v>2.1998378184763911</v>
      </c>
      <c r="BC12" s="598" t="n">
        <f t="shared" si="3"/>
        <v>2.3386995388434473</v>
      </c>
      <c r="BD12" s="598" t="n">
        <f t="shared" si="3"/>
        <v>2.3814018410630355</v>
      </c>
      <c r="BE12" s="598" t="n">
        <f t="shared" si="3"/>
        <v>2.3859671243118941</v>
      </c>
      <c r="BF12" s="598" t="n">
        <f t="shared" si="3"/>
        <v>2.3347287849643905</v>
      </c>
      <c r="BG12" s="598" t="n">
        <f t="shared" si="3"/>
        <v>2.5241122451808984</v>
      </c>
      <c r="BH12" s="598" t="n">
        <f t="shared" si="3"/>
        <v>2.5816854513361465</v>
      </c>
      <c r="BI12" s="598" t="n">
        <f t="shared" si="3"/>
        <v>2.4922049092783505</v>
      </c>
      <c r="BJ12" s="598" t="n">
        <f t="shared" si="3"/>
        <v>2.494887902064602</v>
      </c>
      <c r="BK12" s="598" t="n">
        <f t="shared" si="3"/>
        <v>2.5334398225914434</v>
      </c>
      <c r="BL12" s="598" t="n">
        <f t="shared" si="3"/>
        <v>2.3565402872554042</v>
      </c>
      <c r="BM12" s="598" t="n">
        <f t="shared" si="3"/>
        <v>2.3782792724750035</v>
      </c>
      <c r="BN12" s="598" t="n">
        <f t="shared" si="3"/>
        <v>2.2935751387593406</v>
      </c>
      <c r="BO12" s="598" t="n">
        <f t="shared" si="3"/>
        <v>2.2980564193669784</v>
      </c>
      <c r="BP12" s="598" t="n">
        <f t="shared" si="3"/>
        <v>2.2674738191778232</v>
      </c>
      <c r="BQ12" s="598" t="n">
        <f t="shared" si="3"/>
        <v>2.2894087374823791</v>
      </c>
    </row>
    <row r="13" ht="17.149999999999999" customHeight="1">
      <c r="B13" s="636" t="s">
        <v>1861</v>
      </c>
      <c r="C13" s="629"/>
      <c r="D13" s="629"/>
      <c r="E13" s="629"/>
      <c r="F13" s="629"/>
      <c r="G13" s="629"/>
      <c r="H13" s="630"/>
      <c r="I13" s="630"/>
      <c r="J13" s="630"/>
      <c r="K13" s="630"/>
      <c r="L13" s="630"/>
      <c r="M13" s="387" t="n">
        <v>22.143000000000001</v>
      </c>
      <c r="N13" s="387" t="n">
        <v>-5.2320000000000002</v>
      </c>
      <c r="O13" s="387" t="n">
        <v>-2.996</v>
      </c>
      <c r="P13" s="387" t="n">
        <v>6.7709999999999999</v>
      </c>
      <c r="Q13" s="387" t="n">
        <v>-2.56</v>
      </c>
      <c r="R13" s="387" t="n">
        <v>3.9369999999999998</v>
      </c>
      <c r="S13" s="387" t="n">
        <v>4.8460000000000001</v>
      </c>
      <c r="T13" s="387" t="n">
        <v>13.507</v>
      </c>
      <c r="U13" s="387" t="n">
        <v>9.1310000000000002</v>
      </c>
      <c r="V13" s="387" t="n">
        <v>2.3679999999999999</v>
      </c>
      <c r="W13" s="387" t="n">
        <v>9.2949999999999999</v>
      </c>
      <c r="X13" s="387" t="n">
        <v>3.4710000000000001</v>
      </c>
      <c r="Y13" s="387" t="n">
        <v>3.1720000000000002</v>
      </c>
      <c r="Z13" s="598" t="n">
        <v>7.2409999999999997</v>
      </c>
      <c r="AA13" s="598" t="n">
        <v>11.583</v>
      </c>
      <c r="AB13" s="598" t="n">
        <v>1.272</v>
      </c>
      <c r="AC13" s="598" t="n">
        <v>1.2130000000000001</v>
      </c>
      <c r="AD13" s="598" t="n">
        <v>1.194</v>
      </c>
      <c r="AE13" s="598" t="n">
        <v>1.1639999999999999</v>
      </c>
      <c r="AF13" s="598" t="n">
        <v>1.2110000000000001</v>
      </c>
      <c r="AG13" s="598" t="n">
        <v>2.1070000000000002</v>
      </c>
      <c r="AH13" s="598" t="n">
        <v>2.1749999999999998</v>
      </c>
      <c r="AI13" s="598" t="n">
        <v>2.3199999999999998</v>
      </c>
      <c r="AJ13" s="598" t="n">
        <v>2.0579999999999998</v>
      </c>
      <c r="AK13" s="598" t="n">
        <v>1.9690000000000001</v>
      </c>
      <c r="AL13" s="598" t="n">
        <v>2.2799999999999998</v>
      </c>
      <c r="AM13" s="598" t="n">
        <v>2.34</v>
      </c>
      <c r="AN13" s="598" t="n">
        <v>2.0960000000000001</v>
      </c>
      <c r="AO13" s="598" t="n">
        <v>1.9670000000000001</v>
      </c>
      <c r="AP13" s="598" t="n">
        <v>1.992</v>
      </c>
      <c r="AQ13" s="598" t="n">
        <v>2.016</v>
      </c>
      <c r="AR13" s="598" t="n">
        <v>2.258</v>
      </c>
      <c r="AS13" s="598" t="n">
        <v>1.9179999999999999</v>
      </c>
      <c r="AT13" s="598" t="n">
        <v>2.2320000000000002</v>
      </c>
      <c r="AU13" s="598" t="n">
        <v>2.238</v>
      </c>
      <c r="AV13" s="598" t="n">
        <v>2.2429999999999999</v>
      </c>
      <c r="AW13" s="598" t="n">
        <v>2.1970000000000001</v>
      </c>
      <c r="AX13" s="598" t="n">
        <v>2.1989999999999998</v>
      </c>
      <c r="AY13" s="598" t="n">
        <v>1.9039999999999999</v>
      </c>
      <c r="AZ13" s="598" t="n">
        <v>1.9059999999999999</v>
      </c>
      <c r="BA13" s="598" t="n">
        <v>1.9059999999999999</v>
      </c>
      <c r="BB13" s="598" t="n">
        <v>2.1970000000000001</v>
      </c>
      <c r="BC13" s="598" t="n">
        <v>2.3420000000000001</v>
      </c>
      <c r="BD13" s="598" t="n">
        <v>2.391</v>
      </c>
      <c r="BE13" s="598" t="n">
        <v>2.3769999999999998</v>
      </c>
      <c r="BF13" s="598" t="n">
        <v>2.3330000000000002</v>
      </c>
      <c r="BG13" s="598" t="n">
        <v>2.536</v>
      </c>
      <c r="BH13" s="598" t="n">
        <v>2.5720000000000001</v>
      </c>
      <c r="BI13" s="598" t="n">
        <v>2.4940000000000002</v>
      </c>
      <c r="BJ13" s="598" t="n">
        <v>2.4929999999999999</v>
      </c>
      <c r="BK13" s="598" t="n">
        <v>2.5270000000000001</v>
      </c>
      <c r="BL13" s="598" t="n">
        <v>2.3690000000000002</v>
      </c>
      <c r="BM13" s="598" t="n">
        <v>2.367</v>
      </c>
      <c r="BN13" s="598" t="n">
        <v>2.2959999999999998</v>
      </c>
      <c r="BO13" s="598" t="n">
        <v>2.3010000000000002</v>
      </c>
      <c r="BP13" s="598" t="n">
        <v>2.2730000000000001</v>
      </c>
      <c r="BQ13" s="598" t="n">
        <v>2.2770000000000001</v>
      </c>
      <c r="BR13" t="n">
        <v>2.282</v>
      </c>
      <c r="BS13" t="n">
        <v>2.2869999999999999</v>
      </c>
      <c r="BT13" t="n">
        <v>2.3580000000000001</v>
      </c>
    </row>
    <row r="14" ht="17.25" customHeight="1">
      <c r="B14" s="641" t="s">
        <v>128</v>
      </c>
      <c r="C14" s="629" t="s">
        <v>809</v>
      </c>
      <c r="D14" s="629"/>
      <c r="E14" s="629"/>
      <c r="F14" s="629"/>
      <c r="G14" s="629"/>
      <c r="H14" s="621" t="n">
        <f>'Haver Pivoted'!F23</f>
        <v>133.30000000000001</v>
      </c>
      <c r="I14" s="621" t="n">
        <f>'Haver Pivoted'!G23</f>
        <v>134.30000000000001</v>
      </c>
      <c r="J14" s="621" t="n">
        <f>'Haver Pivoted'!H23</f>
        <v>135.6</v>
      </c>
      <c r="K14" s="621" t="n">
        <f>'Haver Pivoted'!I23</f>
        <v>134.69999999999999</v>
      </c>
      <c r="L14" s="621" t="n">
        <f>'Haver Pivoted'!J23</f>
        <v>141.4</v>
      </c>
      <c r="M14" s="621" t="n">
        <f>'Haver Pivoted'!K23</f>
        <v>144.19999999999999</v>
      </c>
      <c r="N14" s="621" t="n">
        <f>'Haver Pivoted'!L23</f>
        <v>138.80000000000001</v>
      </c>
      <c r="O14" s="621" t="n">
        <f>'Haver Pivoted'!M23</f>
        <v>142.19999999999999</v>
      </c>
      <c r="P14" s="621" t="n">
        <f>'Haver Pivoted'!N23</f>
        <v>146.4</v>
      </c>
      <c r="Q14" s="621" t="n">
        <f>'Haver Pivoted'!O23</f>
        <v>146.5</v>
      </c>
      <c r="R14" s="621" t="n">
        <f>'Haver Pivoted'!P23</f>
        <v>144.19999999999999</v>
      </c>
      <c r="S14" s="631" t="n">
        <f>'Haver Pivoted'!Q23</f>
        <v>147.6</v>
      </c>
      <c r="T14" s="631" t="n">
        <f>'Haver Pivoted'!R23</f>
        <v>152.69999999999999</v>
      </c>
      <c r="U14" s="631" t="n">
        <f>'Haver Pivoted'!S23</f>
        <v>154.9</v>
      </c>
      <c r="V14" s="631" t="n">
        <f>'Haver Pivoted'!T23</f>
        <v>160.4</v>
      </c>
      <c r="W14" s="631" t="n">
        <f>'Haver Pivoted'!U23</f>
        <v>167.4</v>
      </c>
      <c r="X14" s="631" t="n">
        <f>'Haver Pivoted'!V23</f>
        <v>168.6</v>
      </c>
      <c r="Y14" s="631" t="n">
        <f>'Haver Pivoted'!W23</f>
        <v>169.4</v>
      </c>
      <c r="Z14" s="631" t="n">
        <f>'Haver Pivoted'!X23</f>
        <v>176.1</v>
      </c>
      <c r="AA14" s="631" t="n">
        <f>'Haver Pivoted'!Y23</f>
        <v>180.8</v>
      </c>
      <c r="AB14" s="631" t="n">
        <f>'Haver Pivoted'!Z23</f>
        <v>181.6</v>
      </c>
      <c r="AC14" s="631" t="n">
        <f>'Haver Pivoted'!AA23</f>
        <v>182.5</v>
      </c>
      <c r="AD14" s="631" t="n">
        <f>'Haver Pivoted'!AB23</f>
        <v>184.9</v>
      </c>
      <c r="AE14" s="623" t="n">
        <f t="shared" ref="AE14:AN14" si="4">(1+(AE12/100))^(1/4)*AD14+AE19</f>
        <v>187.29991626105615</v>
      </c>
      <c r="AF14" s="623" t="n">
        <f>(1+(AF12/100))^(1/4)*AE14+AF19</f>
        <v>188.42245773800178</v>
      </c>
      <c r="AG14" s="623" t="n">
        <f t="shared" si="4"/>
        <v>191.80943633223424</v>
      </c>
      <c r="AH14" s="623" t="n">
        <f t="shared" si="4"/>
        <v>193.29970691369655</v>
      </c>
      <c r="AI14" s="623" t="n">
        <f t="shared" si="4"/>
        <v>194.96416496571939</v>
      </c>
      <c r="AJ14" s="623" t="n">
        <f t="shared" si="4"/>
        <v>195.95122729889573</v>
      </c>
      <c r="AK14" s="623" t="n">
        <f t="shared" si="4"/>
        <v>196.8802271418852</v>
      </c>
      <c r="AL14" s="623" t="n">
        <f t="shared" si="4"/>
        <v>197.9543832103418</v>
      </c>
      <c r="AM14" s="623" t="n">
        <f t="shared" si="4"/>
        <v>199.0769246872874</v>
      </c>
      <c r="AN14" s="623" t="e">
        <f t="shared" si="4"/>
        <v>#REF!</v>
      </c>
    </row>
    <row r="15" ht="17.25" customHeight="1">
      <c r="B15" s="641" t="s">
        <v>83</v>
      </c>
      <c r="C15" s="629"/>
      <c r="D15" s="629"/>
      <c r="E15" s="629"/>
      <c r="F15" s="629"/>
      <c r="G15" s="629"/>
      <c r="H15" s="621"/>
      <c r="I15" s="621"/>
      <c r="J15" s="621"/>
      <c r="K15" s="621"/>
      <c r="L15" s="621"/>
      <c r="M15" s="621"/>
      <c r="N15" s="621"/>
      <c r="O15" s="621"/>
      <c r="P15" s="621"/>
      <c r="Q15" s="621"/>
      <c r="R15" s="621"/>
      <c r="S15" s="631" t="n">
        <f>S14/S16</f>
        <v>127.0525405141952</v>
      </c>
      <c r="T15" s="631" t="n">
        <f t="shared" ref="T15:AN15" si="5">T14/T16</f>
        <v>130.1081531192969</v>
      </c>
      <c r="U15" s="631" t="n">
        <f t="shared" si="5"/>
        <v>129.63987422160071</v>
      </c>
      <c r="V15" s="631" t="n">
        <f t="shared" si="5"/>
        <v>130.43274356393366</v>
      </c>
      <c r="W15" s="631" t="n">
        <f t="shared" si="5"/>
        <v>131.74987924515423</v>
      </c>
      <c r="X15" s="631" t="n">
        <f t="shared" si="5"/>
        <v>130.32613966354927</v>
      </c>
      <c r="Y15" s="631" t="n">
        <f t="shared" si="5"/>
        <v>129.07502310052419</v>
      </c>
      <c r="Z15" s="631" t="n">
        <f t="shared" si="5"/>
        <v>132.39463821081569</v>
      </c>
      <c r="AA15" s="631" t="n">
        <f t="shared" si="5"/>
        <v>132.87593427058374</v>
      </c>
      <c r="AB15" s="631" t="n">
        <f t="shared" si="5"/>
        <v>131.54250571714027</v>
      </c>
      <c r="AC15" s="631" t="n">
        <f t="shared" si="5"/>
        <v>131.0958548059929</v>
      </c>
      <c r="AD15" s="631" t="n">
        <f>AD14/AD16</f>
        <v>131.31355920011268</v>
      </c>
      <c r="AE15" s="601" t="n">
        <f t="shared" si="5"/>
        <v>132.20805537565718</v>
      </c>
      <c r="AF15" s="601" t="n">
        <f t="shared" si="5"/>
        <v>132.21031153243393</v>
      </c>
      <c r="AG15" s="601" t="n">
        <f t="shared" si="5"/>
        <v>133.87250262988988</v>
      </c>
      <c r="AH15" s="601" t="n">
        <f t="shared" si="5"/>
        <v>134.15470238521129</v>
      </c>
      <c r="AI15" s="601" t="n">
        <f t="shared" si="5"/>
        <v>134.53418420014833</v>
      </c>
      <c r="AJ15" s="601" t="n">
        <f t="shared" si="5"/>
        <v>134.41958537794599</v>
      </c>
      <c r="AK15" s="601" t="n">
        <f t="shared" si="5"/>
        <v>134.31054820822888</v>
      </c>
      <c r="AL15" s="601" t="n">
        <f t="shared" si="5"/>
        <v>134.30580027706756</v>
      </c>
      <c r="AM15" s="601" t="n">
        <f t="shared" si="5"/>
        <v>134.30922094127678</v>
      </c>
      <c r="AN15" s="601" t="e">
        <f t="shared" si="5"/>
        <v>#REF!</v>
      </c>
    </row>
    <row r="16" ht="17.25" customHeight="1">
      <c r="B16" s="641" t="s">
        <v>76</v>
      </c>
      <c r="C16" s="629"/>
      <c r="D16" s="629"/>
      <c r="E16" s="629"/>
      <c r="F16" s="629"/>
      <c r="G16" s="629"/>
      <c r="H16" s="621"/>
      <c r="I16" s="621"/>
      <c r="J16" s="621"/>
      <c r="K16" s="621"/>
      <c r="L16" s="621"/>
      <c r="M16" s="621"/>
      <c r="N16" s="621"/>
      <c r="O16" s="621"/>
      <c r="P16" s="621"/>
      <c r="Q16" s="621"/>
      <c r="R16" s="621"/>
      <c r="S16" s="631" t="n">
        <f>Deflators!S56</f>
        <v>1.1617241135253733</v>
      </c>
      <c r="T16" s="631" t="n">
        <f>Deflators!T56</f>
        <v>1.1736389791037038</v>
      </c>
      <c r="U16" s="631" t="n">
        <f>Deflators!U56</f>
        <v>1.1948484286186576</v>
      </c>
      <c r="V16" s="631" t="n">
        <f>Deflators!V56</f>
        <v>1.229752557657253</v>
      </c>
      <c r="W16" s="631" t="n">
        <f>Deflators!W56</f>
        <v>1.2705893998468845</v>
      </c>
      <c r="X16" s="631" t="n">
        <f>Deflators!X56</f>
        <v>1.2936775418596664</v>
      </c>
      <c r="Y16" s="631" t="n">
        <f>Deflators!Y56</f>
        <v>1.3124150275616884</v>
      </c>
      <c r="Z16" s="631" t="n">
        <f>Deflators!Z56</f>
        <v>1.3301142884622792</v>
      </c>
      <c r="AA16" s="631" t="n">
        <f>Deflators!AA56</f>
        <v>1.3606677611901148</v>
      </c>
      <c r="AB16" s="631" t="n">
        <f>Deflators!AB56</f>
        <v>1.3805423502460856</v>
      </c>
      <c r="AC16" s="631" t="n">
        <f>Deflators!AC56</f>
        <v>1.3921111408906059</v>
      </c>
      <c r="AD16" s="631" t="n">
        <f>Deflators!AD56</f>
        <v>1.4080800271221448</v>
      </c>
      <c r="AE16" s="601" t="n">
        <f>Deflators!AE56</f>
        <v>1.4167057803615706</v>
      </c>
      <c r="AF16" s="601" t="n">
        <f>Deflators!AF56</f>
        <v>1.4251721787356795</v>
      </c>
      <c r="AG16" s="601" t="n">
        <f>Deflators!AG56</f>
        <v>1.4327769524300258</v>
      </c>
      <c r="AH16" s="601" t="n">
        <f>Deflators!AH56</f>
        <v>1.4408716465163967</v>
      </c>
      <c r="AI16" s="601" t="n">
        <f>Deflators!AI56</f>
        <v>1.4491793749287434</v>
      </c>
      <c r="AJ16" s="601" t="n">
        <f>Deflators!AJ56</f>
        <v>1.4577580100990637</v>
      </c>
      <c r="AK16" s="601" t="n">
        <f>Deflators!AK56</f>
        <v>1.465858264807699</v>
      </c>
      <c r="AL16" s="601" t="n">
        <f>Deflators!AL56</f>
        <v>1.4739079235741848</v>
      </c>
      <c r="AM16" s="601" t="n">
        <f>Deflators!AM56</f>
        <v>1.482228273621873</v>
      </c>
      <c r="AN16" s="601" t="n">
        <f>Deflators!AN56</f>
        <v>1.4907685362674632</v>
      </c>
    </row>
    <row r="17" ht="17.25" customHeight="1">
      <c r="B17" s="641"/>
      <c r="C17" s="629"/>
      <c r="D17" s="629"/>
      <c r="E17" s="629"/>
      <c r="F17" s="629"/>
      <c r="G17" s="629"/>
      <c r="H17" s="621"/>
      <c r="I17" s="621"/>
      <c r="J17" s="621"/>
      <c r="K17" s="621"/>
      <c r="L17" s="621"/>
      <c r="M17" s="621"/>
      <c r="N17" s="621"/>
      <c r="O17" s="621"/>
      <c r="P17" s="621"/>
      <c r="Q17" s="621"/>
      <c r="R17" s="621"/>
      <c r="S17" s="631"/>
      <c r="T17" s="600" t="n">
        <f>(T16/S16)^4-1</f>
        <v>4.1660231352050436E-2</v>
      </c>
      <c r="U17" s="600" t="n">
        <f t="shared" ref="U17:AN17" si="6">(U16/T16)^4-1</f>
        <v>7.4269306040006589E-2</v>
      </c>
      <c r="V17" s="600" t="n">
        <f t="shared" si="6"/>
        <v>0.12206927608835261</v>
      </c>
      <c r="W17" s="600" t="n">
        <f t="shared" si="6"/>
        <v>0.13959352599282115</v>
      </c>
      <c r="X17" s="600" t="n">
        <f t="shared" si="6"/>
        <v>7.4690090345322036E-2</v>
      </c>
      <c r="Y17" s="600" t="n">
        <f t="shared" si="6"/>
        <v>5.9206464364951916E-2</v>
      </c>
      <c r="Z17" s="600" t="n">
        <f t="shared" si="6"/>
        <v>5.5045178185534338E-2</v>
      </c>
      <c r="AA17" s="600" t="n">
        <f t="shared" si="6"/>
        <v>9.50968880816494E-2</v>
      </c>
      <c r="AB17" s="600" t="n">
        <f t="shared" si="6"/>
        <v>5.9718595632101579E-2</v>
      </c>
      <c r="AC17" s="600" t="n">
        <f t="shared" si="6"/>
        <v>3.394324699588358E-2</v>
      </c>
      <c r="AD17" s="600" t="n">
        <f t="shared" si="6"/>
        <v>4.6679496507105345E-2</v>
      </c>
      <c r="AE17" s="602" t="n">
        <f t="shared" si="6"/>
        <v>2.4729668703096008E-2</v>
      </c>
      <c r="AF17" s="602" t="n">
        <f t="shared" si="6"/>
        <v>2.4119603614899177E-2</v>
      </c>
      <c r="AG17" s="602" t="n">
        <f t="shared" si="6"/>
        <v>2.1515602617293128E-2</v>
      </c>
      <c r="AH17" s="602" t="n">
        <f t="shared" si="6"/>
        <v>2.2790850007197161E-2</v>
      </c>
      <c r="AI17" s="602" t="n">
        <f t="shared" si="6"/>
        <v>2.3263295207157642E-2</v>
      </c>
      <c r="AJ17" s="602" t="n">
        <f t="shared" si="6"/>
        <v>2.3889685874715294E-2</v>
      </c>
      <c r="AK17" s="602" t="n">
        <f t="shared" si="6"/>
        <v>2.2412555601408091E-2</v>
      </c>
      <c r="AL17" s="602" t="n">
        <f t="shared" si="6"/>
        <v>2.2147320108405477E-2</v>
      </c>
      <c r="AM17" s="602" t="n">
        <f t="shared" si="6"/>
        <v>2.2772302614111117E-2</v>
      </c>
      <c r="AN17" s="602" t="n">
        <f t="shared" si="6"/>
        <v>2.3247045836330082E-2</v>
      </c>
    </row>
    <row r="18" ht="17.25" customHeight="1">
      <c r="B18" s="641" t="s">
        <v>1885</v>
      </c>
      <c r="C18" s="629"/>
      <c r="D18" s="629"/>
      <c r="E18" s="629"/>
      <c r="F18" s="629"/>
      <c r="G18" s="629"/>
      <c r="H18" s="621"/>
      <c r="I18" s="621"/>
      <c r="J18" s="621"/>
      <c r="K18" s="621"/>
      <c r="L18" s="621"/>
      <c r="M18" s="621"/>
      <c r="N18" s="621"/>
      <c r="O18" s="621"/>
      <c r="P18" s="621"/>
      <c r="Q18" s="621"/>
      <c r="R18" s="621"/>
      <c r="S18" s="631"/>
      <c r="T18" s="600" t="n">
        <f>(T15/S15)^4-1</f>
        <v>9.9726358254253133E-2</v>
      </c>
      <c r="U18" s="600" t="n">
        <f t="shared" ref="U18:AN18" si="7">(U15/T15)^4-1</f>
        <v>-1.4319067248750761E-2</v>
      </c>
      <c r="V18" s="600" t="n">
        <f t="shared" si="7"/>
        <v>2.4689093792819916E-2</v>
      </c>
      <c r="W18" s="600" t="n">
        <f t="shared" si="7"/>
        <v>4.1008763362798684E-2</v>
      </c>
      <c r="X18" s="600" t="n">
        <f t="shared" si="7"/>
        <v>-4.2529896502643272E-2</v>
      </c>
      <c r="Y18" s="600" t="n">
        <f t="shared" si="7"/>
        <v>-3.7850141752784561E-2</v>
      </c>
      <c r="Z18" s="600" t="n">
        <f t="shared" si="7"/>
        <v>0.10691110092503342</v>
      </c>
      <c r="AA18" s="600" t="n">
        <f t="shared" si="7"/>
        <v>1.4620740718685354E-2</v>
      </c>
      <c r="AB18" s="600" t="n">
        <f t="shared" si="7"/>
        <v>-3.9540366517725856E-2</v>
      </c>
      <c r="AC18" s="600" t="n">
        <f t="shared" si="7"/>
        <v>-1.3512929761472448E-2</v>
      </c>
      <c r="AD18" s="600" t="n">
        <f>(AD15/AC15)^4-1</f>
        <v>6.6591668036539708E-3</v>
      </c>
      <c r="AE18" s="602" t="n">
        <f t="shared" si="7"/>
        <v>2.7527320094264063E-2</v>
      </c>
      <c r="AF18" s="602" t="n">
        <f t="shared" si="7"/>
        <v>6.8262543417629828E-5</v>
      </c>
      <c r="AG18" s="602" t="n">
        <f t="shared" si="7"/>
        <v>5.1245656921034666E-2</v>
      </c>
      <c r="AH18" s="602" t="n">
        <f t="shared" si="7"/>
        <v>8.4585948275541778E-3</v>
      </c>
      <c r="AI18" s="602" t="n">
        <f t="shared" si="7"/>
        <v>1.1362851999510815E-2</v>
      </c>
      <c r="AJ18" s="602" t="n">
        <f t="shared" si="7"/>
        <v>-3.4029263201793558E-3</v>
      </c>
      <c r="AK18" s="602" t="n">
        <f t="shared" si="7"/>
        <v>-3.2407351824188524E-3</v>
      </c>
      <c r="AL18" s="602" t="n">
        <f t="shared" si="7"/>
        <v>-1.4139408910818219E-4</v>
      </c>
      <c r="AM18" s="602" t="n">
        <f t="shared" si="7"/>
        <v>1.0188077914330407E-4</v>
      </c>
      <c r="AN18" s="602" t="e">
        <f t="shared" si="7"/>
        <v>#REF!</v>
      </c>
    </row>
    <row r="19" ht="17.25" customHeight="1">
      <c r="B19" s="641" t="s">
        <v>1853</v>
      </c>
      <c r="C19" s="629"/>
      <c r="D19" s="629"/>
      <c r="E19" s="629"/>
      <c r="F19" s="629"/>
      <c r="G19" s="629"/>
      <c r="H19" s="621"/>
      <c r="I19" s="621"/>
      <c r="J19" s="621"/>
      <c r="K19" s="621"/>
      <c r="L19" s="621"/>
      <c r="M19" s="621"/>
      <c r="N19" s="621"/>
      <c r="O19" s="621"/>
      <c r="P19" s="621"/>
      <c r="Q19" s="621"/>
      <c r="R19" s="621"/>
      <c r="S19" s="631"/>
      <c r="T19" s="631"/>
      <c r="U19" s="631"/>
      <c r="V19" s="631"/>
      <c r="W19" s="631"/>
      <c r="X19" s="631"/>
      <c r="Y19" s="631"/>
      <c r="Z19" s="631"/>
      <c r="AA19" s="631"/>
      <c r="AB19" s="631"/>
      <c r="AC19" s="631"/>
      <c r="AD19" s="631"/>
      <c r="AE19" s="623"/>
      <c r="AF19" s="623"/>
      <c r="AG19" s="623"/>
      <c r="AH19" s="623"/>
      <c r="AI19" s="623"/>
      <c r="AJ19" s="623"/>
      <c r="AK19" s="623"/>
      <c r="AL19" s="623"/>
      <c r="AM19" s="623"/>
      <c r="AN19" s="623"/>
    </row>
    <row r="20">
      <c r="B20" s="638" t="s">
        <v>298</v>
      </c>
      <c r="C20" s="639"/>
      <c r="D20" s="639"/>
      <c r="E20" s="639"/>
      <c r="F20" s="639"/>
      <c r="G20" s="639"/>
      <c r="H20" s="619" t="n">
        <f t="shared" ref="H20:AC20" si="8">H14+H58</f>
        <v>159.26400000000001</v>
      </c>
      <c r="I20" s="619" t="n">
        <f t="shared" si="8"/>
        <v>162.71200000000002</v>
      </c>
      <c r="J20" s="619" t="n">
        <f t="shared" si="8"/>
        <v>198.756</v>
      </c>
      <c r="K20" s="619" t="n">
        <f t="shared" si="8"/>
        <v>209.04399999999998</v>
      </c>
      <c r="L20" s="619" t="n">
        <f t="shared" si="8"/>
        <v>216.46800000000002</v>
      </c>
      <c r="M20" s="619" t="n">
        <f t="shared" si="8"/>
        <v>222.11599999999999</v>
      </c>
      <c r="N20" s="619" t="n">
        <f t="shared" si="8"/>
        <v>191.86800000000002</v>
      </c>
      <c r="O20" s="619" t="n">
        <f t="shared" si="8"/>
        <v>207.94399999999999</v>
      </c>
      <c r="P20" s="619" t="n">
        <f t="shared" si="8"/>
        <v>226.38985199999999</v>
      </c>
      <c r="Q20" s="619" t="n">
        <f t="shared" si="8"/>
        <v>277.43327479999994</v>
      </c>
      <c r="R20" s="619" t="n">
        <f t="shared" si="8"/>
        <v>317.30531771428571</v>
      </c>
      <c r="S20" s="619" t="n">
        <f t="shared" si="8"/>
        <v>331.65115371428573</v>
      </c>
      <c r="T20" s="619" t="n">
        <f t="shared" si="8"/>
        <v>299.03621371428568</v>
      </c>
      <c r="U20" s="620" t="n">
        <f t="shared" si="8"/>
        <v>291.61982891428568</v>
      </c>
      <c r="V20" s="620" t="n">
        <f t="shared" si="8"/>
        <v>297.21400571428569</v>
      </c>
      <c r="W20" s="620" t="n">
        <f t="shared" si="8"/>
        <v>298.9112297142857</v>
      </c>
      <c r="X20" s="620" t="n">
        <f t="shared" si="8"/>
        <v>319.13822971428567</v>
      </c>
      <c r="Y20" s="640" t="n">
        <f t="shared" si="8"/>
        <v>334.43822971428574</v>
      </c>
      <c r="Z20" s="640" t="n">
        <f t="shared" si="8"/>
        <v>349.05839471428573</v>
      </c>
      <c r="AA20" s="640" t="n">
        <f t="shared" si="8"/>
        <v>356.56861571428573</v>
      </c>
      <c r="AB20" s="640" t="n">
        <f t="shared" si="8"/>
        <v>376.11461141428572</v>
      </c>
      <c r="AC20" s="622" t="n">
        <f t="shared" si="8"/>
        <v>358.38328271428577</v>
      </c>
      <c r="AD20" s="622"/>
      <c r="AE20" s="622"/>
      <c r="AF20" s="622"/>
      <c r="AG20" s="622"/>
      <c r="AH20" s="622"/>
      <c r="AI20" s="622"/>
      <c r="AJ20" s="622"/>
      <c r="AK20" s="622"/>
      <c r="AL20" s="622"/>
      <c r="AM20" s="622"/>
      <c r="AN20" s="622"/>
      <c r="AO20" s="289" t="s">
        <v>299</v>
      </c>
    </row>
    <row r="21" ht="15.75" customHeight="1">
      <c r="B21" s="402"/>
      <c r="C21" s="402"/>
      <c r="D21" s="402"/>
      <c r="E21" s="402"/>
      <c r="F21" s="402"/>
      <c r="G21" s="402"/>
      <c r="H21" s="393"/>
      <c r="I21" s="393"/>
      <c r="J21" s="393"/>
      <c r="K21" s="393"/>
      <c r="L21" s="393"/>
      <c r="M21" s="393"/>
      <c r="N21" s="393"/>
      <c r="O21" s="393"/>
      <c r="Y21" s="89"/>
      <c r="Z21" s="89"/>
      <c r="AA21" s="89"/>
      <c r="AB21" s="89"/>
      <c r="AC21" s="647"/>
      <c r="AD21" s="89"/>
      <c r="AE21" s="89"/>
      <c r="AF21" s="89"/>
      <c r="AG21" s="89"/>
      <c r="AH21" s="89"/>
      <c r="AI21" s="289"/>
    </row>
    <row r="22">
      <c r="B22" s="402"/>
      <c r="C22" s="402"/>
      <c r="D22" s="402"/>
      <c r="E22" s="402"/>
      <c r="F22" s="402"/>
      <c r="G22" s="402"/>
      <c r="H22" s="393"/>
      <c r="I22" s="393"/>
      <c r="J22" s="393"/>
      <c r="K22" s="393"/>
      <c r="L22" s="393"/>
      <c r="M22" s="393"/>
      <c r="N22" s="393"/>
      <c r="O22" s="393"/>
      <c r="P22" s="647"/>
      <c r="Q22" s="647"/>
      <c r="R22" s="647"/>
      <c r="S22" s="647"/>
      <c r="T22" s="647"/>
      <c r="U22" s="647"/>
      <c r="V22" s="647"/>
      <c r="W22" s="647"/>
      <c r="X22" s="647"/>
      <c r="Y22" s="647"/>
      <c r="Z22" s="647"/>
      <c r="AA22" s="647"/>
      <c r="AB22" s="647"/>
      <c r="AD22" s="647"/>
      <c r="AE22" s="647"/>
      <c r="AF22" s="647"/>
      <c r="AG22" s="647"/>
      <c r="AH22" s="647"/>
    </row>
    <row r="23" ht="21.75" customHeight="1">
      <c r="B23" s="266" t="s">
        <v>107</v>
      </c>
      <c r="C23" s="266"/>
      <c r="D23" s="266"/>
      <c r="E23" s="266"/>
      <c r="F23" s="266"/>
      <c r="G23" s="266"/>
      <c r="H23" s="266"/>
      <c r="I23" s="266"/>
      <c r="J23" s="266"/>
      <c r="K23" s="266"/>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J23" s="177"/>
    </row>
    <row r="24" ht="14.25" customHeight="1">
      <c r="B24" s="377" t="s">
        <v>300</v>
      </c>
      <c r="C24" s="377"/>
      <c r="D24" s="377"/>
      <c r="E24" s="377"/>
      <c r="F24" s="377"/>
      <c r="G24" s="377"/>
      <c r="H24" s="377"/>
      <c r="I24" s="377"/>
      <c r="J24" s="377"/>
      <c r="K24" s="377"/>
      <c r="L24" s="377"/>
      <c r="M24" s="377"/>
      <c r="N24" s="377"/>
      <c r="O24" s="377"/>
      <c r="P24" s="377"/>
      <c r="Q24" s="377"/>
      <c r="R24" s="377"/>
      <c r="S24" s="377"/>
      <c r="T24" s="377"/>
      <c r="U24" s="377"/>
      <c r="V24" s="377"/>
      <c r="W24" s="377"/>
      <c r="X24" s="377"/>
      <c r="Y24" s="377"/>
      <c r="Z24" s="377"/>
      <c r="AA24" s="377"/>
      <c r="AB24" s="377"/>
      <c r="AC24" s="377"/>
      <c r="AD24" s="377"/>
      <c r="AE24" s="377"/>
      <c r="AF24" s="377"/>
      <c r="AG24" s="377"/>
      <c r="AH24" s="377"/>
      <c r="AJ24" s="177"/>
    </row>
    <row r="25">
      <c r="B25" s="377"/>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7"/>
      <c r="AA25" s="377"/>
      <c r="AB25" s="377"/>
      <c r="AC25" s="377"/>
      <c r="AD25" s="377"/>
      <c r="AE25" s="377"/>
      <c r="AF25" s="377"/>
      <c r="AG25" s="377"/>
      <c r="AH25" s="377"/>
    </row>
    <row r="26">
      <c r="B26" s="377"/>
      <c r="C26" s="377"/>
      <c r="D26" s="377"/>
      <c r="E26" s="377"/>
      <c r="F26" s="377"/>
      <c r="G26" s="377"/>
      <c r="H26" s="377"/>
      <c r="I26" s="377"/>
      <c r="J26" s="377"/>
      <c r="K26" s="377"/>
      <c r="L26" s="377"/>
      <c r="M26" s="377"/>
      <c r="N26" s="377"/>
      <c r="O26" s="377"/>
      <c r="P26" s="377"/>
      <c r="Q26" s="377"/>
      <c r="R26" s="377"/>
      <c r="S26" s="377"/>
      <c r="T26" s="377"/>
      <c r="U26" s="377"/>
      <c r="V26" s="377"/>
      <c r="W26" s="377"/>
      <c r="X26" s="377"/>
      <c r="Y26" s="377"/>
      <c r="Z26" s="377"/>
      <c r="AA26" s="377"/>
      <c r="AB26" s="377"/>
      <c r="AC26" s="377"/>
      <c r="AD26" s="377"/>
      <c r="AE26" s="377"/>
      <c r="AF26" s="377"/>
      <c r="AG26" s="377"/>
      <c r="AH26" s="377"/>
    </row>
    <row r="28">
      <c r="B28" s="268" t="s">
        <v>190</v>
      </c>
      <c r="C28" s="590"/>
      <c r="D28" s="379" t="s">
        <v>191</v>
      </c>
      <c r="E28" s="379"/>
      <c r="F28" s="379"/>
      <c r="G28" s="379"/>
      <c r="H28" s="379"/>
      <c r="I28" s="379"/>
      <c r="J28" s="379"/>
      <c r="K28" s="379"/>
      <c r="L28" s="379"/>
      <c r="M28" s="379"/>
      <c r="N28" s="379"/>
      <c r="O28" s="379"/>
      <c r="P28" s="379"/>
      <c r="Q28" s="379"/>
      <c r="R28" s="379"/>
      <c r="S28" s="379"/>
      <c r="T28" s="379"/>
      <c r="U28" s="379"/>
      <c r="V28" s="379"/>
      <c r="W28" s="379"/>
      <c r="X28" s="379"/>
      <c r="Y28" s="379"/>
      <c r="Z28" s="379"/>
      <c r="AA28" s="379"/>
      <c r="AB28" s="379"/>
      <c r="AC28" s="252" t="s">
        <v>192</v>
      </c>
      <c r="AD28" s="252"/>
      <c r="AE28" s="252"/>
      <c r="AF28" s="252"/>
      <c r="AG28" s="252"/>
      <c r="AH28" s="252"/>
      <c r="AI28" s="252"/>
      <c r="AJ28" s="252"/>
      <c r="AK28" s="252"/>
      <c r="AL28" s="252"/>
      <c r="AM28" s="252"/>
      <c r="AN28" s="253"/>
    </row>
    <row r="29">
      <c r="B29" s="270"/>
      <c r="C29" s="271"/>
      <c r="D29" s="274" t="n">
        <v>2018</v>
      </c>
      <c r="E29" s="274" t="n">
        <v>2019</v>
      </c>
      <c r="F29" s="275"/>
      <c r="G29" s="275"/>
      <c r="H29" s="378"/>
      <c r="I29" s="274" t="n">
        <v>2020</v>
      </c>
      <c r="J29" s="275"/>
      <c r="K29" s="275"/>
      <c r="L29" s="275"/>
      <c r="M29" s="274" t="n">
        <v>2021</v>
      </c>
      <c r="N29" s="275"/>
      <c r="O29" s="275"/>
      <c r="P29" s="275"/>
      <c r="Q29" s="274" t="n">
        <v>2022</v>
      </c>
      <c r="R29" s="275"/>
      <c r="S29" s="275"/>
      <c r="T29" s="378"/>
      <c r="U29" s="274" t="n">
        <v>2023</v>
      </c>
      <c r="V29" s="275"/>
      <c r="W29" s="275"/>
      <c r="X29" s="378"/>
      <c r="Y29" s="432"/>
      <c r="Z29" s="382" t="n">
        <v>2024</v>
      </c>
      <c r="AA29" s="382"/>
      <c r="AB29" s="381"/>
      <c r="AC29" s="261" t="n">
        <v>2025</v>
      </c>
      <c r="AD29" s="264"/>
      <c r="AE29" s="264"/>
      <c r="AF29" s="264"/>
      <c r="AG29" s="261" t="n">
        <v>2026</v>
      </c>
      <c r="AH29" s="264"/>
      <c r="AI29" s="264"/>
      <c r="AJ29" s="263"/>
      <c r="AK29" s="261" t="n">
        <v>2027</v>
      </c>
      <c r="AL29" s="264"/>
      <c r="AM29" s="264"/>
      <c r="AN29" s="263"/>
    </row>
    <row r="30">
      <c r="B30" s="270"/>
      <c r="C30" s="271"/>
      <c r="D30" s="274" t="s">
        <v>193</v>
      </c>
      <c r="E30" s="274" t="s">
        <v>194</v>
      </c>
      <c r="F30" s="275" t="s">
        <v>195</v>
      </c>
      <c r="G30" s="275" t="s">
        <v>171</v>
      </c>
      <c r="H30" s="276" t="s">
        <v>193</v>
      </c>
      <c r="I30" s="275" t="s">
        <v>194</v>
      </c>
      <c r="J30" s="275" t="s">
        <v>195</v>
      </c>
      <c r="K30" s="275" t="s">
        <v>171</v>
      </c>
      <c r="L30" s="275" t="s">
        <v>193</v>
      </c>
      <c r="M30" s="274" t="s">
        <v>194</v>
      </c>
      <c r="N30" s="275" t="s">
        <v>195</v>
      </c>
      <c r="O30" s="275" t="s">
        <v>171</v>
      </c>
      <c r="P30" s="275" t="s">
        <v>193</v>
      </c>
      <c r="Q30" s="274" t="s">
        <v>194</v>
      </c>
      <c r="R30" s="275" t="s">
        <v>195</v>
      </c>
      <c r="S30" s="275" t="s">
        <v>171</v>
      </c>
      <c r="T30" s="276" t="s">
        <v>193</v>
      </c>
      <c r="U30" s="293" t="s">
        <v>194</v>
      </c>
      <c r="V30" s="294" t="s">
        <v>195</v>
      </c>
      <c r="W30" s="294" t="s">
        <v>171</v>
      </c>
      <c r="X30" s="292" t="s">
        <v>193</v>
      </c>
      <c r="Y30" s="293" t="s">
        <v>194</v>
      </c>
      <c r="Z30" s="295" t="s">
        <v>195</v>
      </c>
      <c r="AA30" s="294" t="s">
        <v>171</v>
      </c>
      <c r="AB30" s="292" t="s">
        <v>193</v>
      </c>
      <c r="AC30" s="293" t="s">
        <v>194</v>
      </c>
      <c r="AD30" s="295" t="s">
        <v>195</v>
      </c>
      <c r="AE30" s="291" t="s">
        <v>171</v>
      </c>
      <c r="AF30" s="291" t="s">
        <v>193</v>
      </c>
      <c r="AG30" s="385" t="s">
        <v>194</v>
      </c>
      <c r="AH30" s="290" t="s">
        <v>195</v>
      </c>
      <c r="AI30" s="290" t="s">
        <v>171</v>
      </c>
      <c r="AJ30" s="430" t="s">
        <v>193</v>
      </c>
      <c r="AK30" s="385" t="s">
        <v>194</v>
      </c>
      <c r="AL30" s="290" t="s">
        <v>195</v>
      </c>
      <c r="AM30" s="290" t="s">
        <v>171</v>
      </c>
      <c r="AN30" s="430" t="s">
        <v>193</v>
      </c>
    </row>
    <row r="31">
      <c r="B31" s="651" t="s">
        <v>82</v>
      </c>
      <c r="C31" s="645" t="s">
        <v>301</v>
      </c>
      <c r="D31" s="457"/>
      <c r="E31" s="457"/>
      <c r="F31" s="457"/>
      <c r="G31" s="457"/>
      <c r="H31" s="626" t="n">
        <f>'Haver Pivoted'!F24</f>
        <v>128.6</v>
      </c>
      <c r="I31" s="626" t="n">
        <f>'Haver Pivoted'!G24</f>
        <v>131.9</v>
      </c>
      <c r="J31" s="626" t="n">
        <f>'Haver Pivoted'!H24</f>
        <v>134.19999999999999</v>
      </c>
      <c r="K31" s="626" t="n">
        <f>'Haver Pivoted'!I24</f>
        <v>137.4</v>
      </c>
      <c r="L31" s="626" t="n">
        <f>'Haver Pivoted'!J24</f>
        <v>140.80000000000001</v>
      </c>
      <c r="M31" s="626" t="n">
        <f>'Haver Pivoted'!K24</f>
        <v>142.19999999999999</v>
      </c>
      <c r="N31" s="626" t="n">
        <f>'Haver Pivoted'!L24</f>
        <v>145.6</v>
      </c>
      <c r="O31" s="626" t="n">
        <f>'Haver Pivoted'!M24</f>
        <v>149.6</v>
      </c>
      <c r="P31" s="626" t="n">
        <f>'Haver Pivoted'!N24</f>
        <v>153.19999999999999</v>
      </c>
      <c r="Q31" s="626" t="n">
        <f>'Haver Pivoted'!O24</f>
        <v>156.19999999999999</v>
      </c>
      <c r="R31" s="626" t="n">
        <f>'Haver Pivoted'!P24</f>
        <v>159.9</v>
      </c>
      <c r="S31" s="635" t="n">
        <f>'Haver Pivoted'!Q24</f>
        <v>165</v>
      </c>
      <c r="T31" s="635" t="n">
        <f>'Haver Pivoted'!R24</f>
        <v>171.9</v>
      </c>
      <c r="U31" s="299" t="n">
        <f>'Haver Pivoted'!S24</f>
        <v>180.1</v>
      </c>
      <c r="V31" s="299" t="n">
        <f>'Haver Pivoted'!T24</f>
        <v>186.3</v>
      </c>
      <c r="W31" s="299" t="n">
        <f>'Haver Pivoted'!U24</f>
        <v>191.9</v>
      </c>
      <c r="X31" s="299" t="n">
        <f>'Haver Pivoted'!V24</f>
        <v>201.5</v>
      </c>
      <c r="Y31" s="299" t="n">
        <f>'Haver Pivoted'!W24</f>
        <v>204</v>
      </c>
      <c r="Z31" s="299" t="n">
        <f>'Haver Pivoted'!X24</f>
        <v>209.3</v>
      </c>
      <c r="AA31" s="299" t="n">
        <f>'Haver Pivoted'!Y24</f>
        <v>214.8</v>
      </c>
      <c r="AB31" s="299" t="n">
        <f>'Haver Pivoted'!Z24</f>
        <v>219.7</v>
      </c>
      <c r="AC31" s="299" t="n">
        <f>'Haver Pivoted'!AA24</f>
        <v>218.5</v>
      </c>
      <c r="AD31" s="299" t="n">
        <f>'Haver Pivoted'!AB24</f>
        <v>218.6</v>
      </c>
      <c r="AE31" s="384"/>
      <c r="AF31" s="384"/>
      <c r="AG31" s="384"/>
      <c r="AH31" s="384"/>
      <c r="AI31" s="384"/>
      <c r="AJ31" s="384"/>
      <c r="AK31" s="384"/>
      <c r="AL31" s="384"/>
      <c r="AM31" s="384"/>
      <c r="AN31" s="384"/>
    </row>
    <row r="32" ht="29.25" customHeight="1">
      <c r="B32" s="654" t="s">
        <v>1862</v>
      </c>
      <c r="C32" s="383"/>
      <c r="D32" s="286"/>
      <c r="E32" s="286"/>
      <c r="F32" s="286"/>
      <c r="G32" s="286"/>
      <c r="H32" s="393"/>
      <c r="I32" s="393"/>
      <c r="J32" s="393"/>
      <c r="K32" s="393"/>
      <c r="L32" s="393"/>
      <c r="M32" s="578" t="n">
        <v>2533.9</v>
      </c>
      <c r="N32" s="578" t="n">
        <v>2571.6999999999998</v>
      </c>
      <c r="O32" s="578" t="n">
        <v>2625.1</v>
      </c>
      <c r="P32" s="578" t="n">
        <v>2664.2</v>
      </c>
      <c r="Q32" s="578" t="n">
        <v>2726.1</v>
      </c>
      <c r="R32" s="578" t="n">
        <v>2815.5</v>
      </c>
      <c r="S32" s="578" t="n">
        <v>2838.7</v>
      </c>
      <c r="T32" s="578" t="n">
        <v>2870.6</v>
      </c>
      <c r="U32" s="578" t="n">
        <v>2893</v>
      </c>
      <c r="V32" s="578" t="n">
        <v>2904.1</v>
      </c>
      <c r="W32" s="578" t="n">
        <v>2975.5</v>
      </c>
      <c r="X32" s="578" t="n">
        <v>3019</v>
      </c>
      <c r="Y32" s="578" t="n">
        <v>3070.7</v>
      </c>
      <c r="Z32" s="578" t="n">
        <v>3100.9</v>
      </c>
      <c r="AA32" s="578" t="n">
        <v>3139.2</v>
      </c>
      <c r="AB32" s="578" t="n">
        <v>3171.3</v>
      </c>
      <c r="AC32" s="578" t="n">
        <v>3201.4</v>
      </c>
      <c r="AD32" s="578" t="n">
        <v>3227.6</v>
      </c>
      <c r="AE32" s="578" t="n">
        <v>3257.1</v>
      </c>
      <c r="AF32" s="578" t="n">
        <v>3287.7</v>
      </c>
      <c r="AG32" s="578" t="n">
        <v>3319.2</v>
      </c>
      <c r="AH32" s="578" t="n">
        <v>3348.5</v>
      </c>
      <c r="AI32" s="578" t="n">
        <v>3378.4</v>
      </c>
      <c r="AJ32" s="578" t="n">
        <v>3407.6</v>
      </c>
      <c r="AK32" s="578" t="n">
        <v>3436.1</v>
      </c>
      <c r="AL32" s="578" t="n">
        <v>3465.5</v>
      </c>
      <c r="AM32" s="578" t="n">
        <v>3495</v>
      </c>
      <c r="AN32" s="578" t="n">
        <v>3524.3</v>
      </c>
      <c r="AO32" s="610" t="n">
        <v>3553.2</v>
      </c>
      <c r="AP32" s="610" t="n">
        <v>3582.3</v>
      </c>
      <c r="AQ32" s="610" t="n">
        <v>3611.3</v>
      </c>
      <c r="AR32" s="610" t="n">
        <v>3640.4</v>
      </c>
      <c r="AS32" s="610" t="n">
        <v>3669.2</v>
      </c>
      <c r="AT32" s="610" t="n">
        <v>3698.1</v>
      </c>
      <c r="AU32" s="610" t="n">
        <v>3727.3</v>
      </c>
      <c r="AV32" s="610" t="n">
        <v>3756.6</v>
      </c>
      <c r="AW32" s="610" t="n">
        <v>3785.8</v>
      </c>
      <c r="AX32" s="610" t="n">
        <v>3815.2</v>
      </c>
      <c r="AY32" s="610" t="n">
        <v>3845</v>
      </c>
      <c r="AZ32" s="610" t="n">
        <v>3874.9</v>
      </c>
      <c r="BA32" s="610" t="n">
        <v>3905.2</v>
      </c>
      <c r="BB32" s="610" t="n">
        <v>3935.8</v>
      </c>
      <c r="BC32" s="610" t="n">
        <v>3966.6</v>
      </c>
      <c r="BD32" s="610" t="n">
        <v>3997.8</v>
      </c>
      <c r="BE32" s="610" t="n">
        <v>4029.2</v>
      </c>
      <c r="BF32" s="610" t="n">
        <v>4060.9</v>
      </c>
      <c r="BG32" s="610" t="n">
        <v>4092.8</v>
      </c>
      <c r="BH32" s="610" t="n">
        <v>4125</v>
      </c>
      <c r="BI32" s="610" t="n">
        <v>4157.3999999999996</v>
      </c>
      <c r="BJ32" s="610" t="n">
        <v>4190</v>
      </c>
      <c r="BK32" s="610" t="n">
        <v>4222.8</v>
      </c>
      <c r="BL32" s="610" t="n">
        <v>4255.8</v>
      </c>
      <c r="BM32" s="610" t="n">
        <v>4289</v>
      </c>
      <c r="BN32" s="610" t="n">
        <v>4322.3</v>
      </c>
      <c r="BO32" s="610" t="n">
        <v>4355.7</v>
      </c>
      <c r="BP32" s="610" t="n">
        <v>4389</v>
      </c>
      <c r="BQ32" s="610" t="n">
        <v>4422.3999999999996</v>
      </c>
      <c r="BR32" t="n">
        <v>4456</v>
      </c>
      <c r="BS32" t="n">
        <v>4489.8</v>
      </c>
      <c r="BT32" t="n">
        <v>4524</v>
      </c>
    </row>
    <row r="33" ht="29.25" customHeight="1">
      <c r="B33" s="654" t="s">
        <v>1863</v>
      </c>
      <c r="C33" s="383"/>
      <c r="D33" s="286"/>
      <c r="E33" s="286"/>
      <c r="F33" s="286"/>
      <c r="G33" s="286"/>
      <c r="H33" s="393"/>
      <c r="I33" s="657"/>
      <c r="J33" s="657"/>
      <c r="K33" s="657"/>
      <c r="L33" s="657"/>
      <c r="M33" s="657" t="n">
        <v>7.7759999999999998</v>
      </c>
      <c r="N33" s="657" t="n">
        <v>6.1050000000000004</v>
      </c>
      <c r="O33" s="657" t="n">
        <v>8.5640000000000001</v>
      </c>
      <c r="P33" s="657" t="n">
        <v>6.0890000000000004</v>
      </c>
      <c r="Q33" s="657" t="n">
        <v>9.4320000000000004</v>
      </c>
      <c r="R33" s="657" t="n">
        <v>13.778</v>
      </c>
      <c r="S33" s="657" t="n">
        <v>3.327</v>
      </c>
      <c r="T33" s="657" t="n">
        <v>4.5739999999999998</v>
      </c>
      <c r="U33" s="657" t="n">
        <v>3.1539999999999999</v>
      </c>
      <c r="V33" s="657" t="n">
        <v>1.5509999999999999</v>
      </c>
      <c r="W33" s="657" t="n">
        <v>10.202999999999999</v>
      </c>
      <c r="X33" s="657" t="n">
        <v>5.9690000000000003</v>
      </c>
      <c r="Y33" s="657" t="n">
        <v>7.032</v>
      </c>
      <c r="Z33" s="657" t="n">
        <v>3.9870000000000001</v>
      </c>
      <c r="AA33" s="657" t="n">
        <v>5.0410000000000004</v>
      </c>
      <c r="AB33" s="657" t="n">
        <v>4.1500000000000004</v>
      </c>
      <c r="AC33" s="657" t="n">
        <v>3.847</v>
      </c>
      <c r="AD33" s="657" t="n">
        <v>3.3180000000000001</v>
      </c>
      <c r="AE33" s="657" t="n">
        <v>3.706</v>
      </c>
      <c r="AF33" s="657" t="n">
        <v>3.8109999999999999</v>
      </c>
      <c r="AG33" s="657" t="n">
        <v>3.8839999999999999</v>
      </c>
      <c r="AH33" s="657" t="n">
        <v>3.5830000000000002</v>
      </c>
      <c r="AI33" s="657" t="n">
        <v>3.6190000000000002</v>
      </c>
      <c r="AJ33" s="657" t="n">
        <v>3.4990000000000001</v>
      </c>
      <c r="AK33" s="657" t="n">
        <v>3.3919999999999999</v>
      </c>
      <c r="AL33" s="657" t="n">
        <v>3.4580000000000002</v>
      </c>
      <c r="AM33" s="657" t="n">
        <v>3.4540000000000002</v>
      </c>
      <c r="AN33" s="657" t="n">
        <v>3.3879999999999999</v>
      </c>
      <c r="AO33" s="387" t="n">
        <v>3.3220000000000001</v>
      </c>
      <c r="AP33" s="387" t="n">
        <v>3.3210000000000002</v>
      </c>
      <c r="AQ33" s="387" t="n">
        <v>3.2770000000000001</v>
      </c>
      <c r="AR33" s="387" t="n">
        <v>3.258</v>
      </c>
      <c r="AS33" s="387" t="n">
        <v>3.2040000000000002</v>
      </c>
      <c r="AT33" s="387" t="n">
        <v>3.1819999999999999</v>
      </c>
      <c r="AU33" s="387" t="n">
        <v>3.1970000000000001</v>
      </c>
      <c r="AV33" s="387" t="n">
        <v>3.1829999999999998</v>
      </c>
      <c r="AW33" s="387" t="n">
        <v>3.1469999999999998</v>
      </c>
      <c r="AX33" s="387" t="n">
        <v>3.1389999999999998</v>
      </c>
      <c r="AY33" s="387" t="n">
        <v>3.161</v>
      </c>
      <c r="AZ33" s="387" t="n">
        <v>3.1440000000000001</v>
      </c>
      <c r="BA33" s="387" t="n">
        <v>3.1659999999999999</v>
      </c>
      <c r="BB33" s="387" t="n">
        <v>3.17</v>
      </c>
      <c r="BC33" s="387" t="n">
        <v>3.1749999999999998</v>
      </c>
      <c r="BD33" s="387" t="n">
        <v>3.177</v>
      </c>
      <c r="BE33" s="387" t="n">
        <v>3.1829999999999998</v>
      </c>
      <c r="BF33" s="387" t="n">
        <v>3.181</v>
      </c>
      <c r="BG33" s="387" t="n">
        <v>3.1789999999999998</v>
      </c>
      <c r="BH33" s="387" t="n">
        <v>3.18</v>
      </c>
      <c r="BI33" s="387" t="n">
        <v>3.181</v>
      </c>
      <c r="BJ33" s="387" t="n">
        <v>3.1720000000000002</v>
      </c>
      <c r="BK33" s="387" t="n">
        <v>3.1659999999999999</v>
      </c>
      <c r="BL33" s="387" t="n">
        <v>3.161</v>
      </c>
      <c r="BM33" s="387" t="n">
        <v>3.1589999999999998</v>
      </c>
      <c r="BN33" s="387" t="n">
        <v>3.1469999999999998</v>
      </c>
      <c r="BO33" s="387" t="n">
        <v>3.1190000000000002</v>
      </c>
      <c r="BP33" s="387" t="n">
        <v>3.0939999999999999</v>
      </c>
      <c r="BQ33" s="387" t="n">
        <v>3.0779999999999998</v>
      </c>
      <c r="BR33" t="n">
        <v>3.0720000000000001</v>
      </c>
      <c r="BS33" t="n">
        <v>3.0760000000000001</v>
      </c>
      <c r="BT33" t="n">
        <v>3.08</v>
      </c>
    </row>
    <row r="34" ht="21" customHeight="1">
      <c r="B34" s="642" t="s">
        <v>1814</v>
      </c>
      <c r="C34" s="402"/>
      <c r="D34" s="392"/>
      <c r="E34" s="392"/>
      <c r="F34" s="392"/>
      <c r="G34" s="392"/>
      <c r="H34" s="388"/>
      <c r="I34" s="388"/>
      <c r="J34" s="388"/>
      <c r="K34" s="388"/>
      <c r="L34" s="388"/>
      <c r="M34" s="388" t="n">
        <f t="shared" ref="M34:V34" si="9">((M31/L31)^4-1)*100</f>
        <v>4.0369870440244648</v>
      </c>
      <c r="N34" s="388" t="n">
        <f t="shared" si="9"/>
        <v>9.9125071285679489</v>
      </c>
      <c r="O34" s="388" t="n">
        <f t="shared" si="9"/>
        <v>11.450205655239065</v>
      </c>
      <c r="P34" s="388" t="n">
        <f t="shared" si="9"/>
        <v>9.9787266559485879</v>
      </c>
      <c r="Q34" s="388" t="n">
        <f t="shared" si="9"/>
        <v>8.0659951155784384</v>
      </c>
      <c r="R34" s="388" t="n">
        <f t="shared" si="9"/>
        <v>9.8170408163842371</v>
      </c>
      <c r="S34" s="388" t="n">
        <f t="shared" si="9"/>
        <v>13.381427841270055</v>
      </c>
      <c r="T34" s="388" t="n">
        <f t="shared" si="9"/>
        <v>17.806086732873428</v>
      </c>
      <c r="U34" s="388" t="n">
        <f t="shared" si="9"/>
        <v>20.490094370857403</v>
      </c>
      <c r="V34" s="388" t="n">
        <f t="shared" si="9"/>
        <v>14.497648731871582</v>
      </c>
      <c r="W34" s="615" t="n">
        <f t="shared" ref="W34:AA34" si="10">((W31/V31)^4-1)*100</f>
        <v>12.576691049609234</v>
      </c>
      <c r="X34" s="615" t="n">
        <f t="shared" si="10"/>
        <v>21.562690326623859</v>
      </c>
      <c r="Y34" s="615" t="n">
        <f t="shared" si="10"/>
        <v>5.0559048717115029</v>
      </c>
      <c r="Z34" s="615" t="n">
        <f t="shared" si="10"/>
        <v>10.804205394734678</v>
      </c>
      <c r="AA34" s="615" t="n">
        <f t="shared" si="10"/>
        <v>10.932856147989224</v>
      </c>
      <c r="AB34" s="615" t="n">
        <f>((AB31/AA31)^4-1)*100</f>
        <v>9.4417728479421434</v>
      </c>
      <c r="AC34" s="615" t="n">
        <f>((AC31/AB31)^4-1)*100</f>
        <v>-2.1669625173136753</v>
      </c>
      <c r="AD34" s="615" t="n">
        <f>((AD31/AC31)^4-1)*100</f>
        <v>0.18319207475292476</v>
      </c>
      <c r="AE34" s="384" t="n">
        <f t="shared" ref="AE34:AJ34" si="11">AE33</f>
        <v>3.706</v>
      </c>
      <c r="AF34" s="384" t="n">
        <f t="shared" si="11"/>
        <v>3.8109999999999999</v>
      </c>
      <c r="AG34" s="384" t="n">
        <f t="shared" si="11"/>
        <v>3.8839999999999999</v>
      </c>
      <c r="AH34" s="384" t="n">
        <f t="shared" si="11"/>
        <v>3.5830000000000002</v>
      </c>
      <c r="AI34" s="384" t="n">
        <f t="shared" si="11"/>
        <v>3.6190000000000002</v>
      </c>
      <c r="AJ34" s="384" t="n">
        <f t="shared" si="11"/>
        <v>3.4990000000000001</v>
      </c>
      <c r="AK34" s="384" t="n">
        <f t="shared" ref="AK34:AN34" si="12">AK33</f>
        <v>3.3919999999999999</v>
      </c>
      <c r="AL34" s="384" t="n">
        <f t="shared" si="12"/>
        <v>3.4580000000000002</v>
      </c>
      <c r="AM34" s="384" t="n">
        <f t="shared" si="12"/>
        <v>3.4540000000000002</v>
      </c>
      <c r="AN34" s="384" t="n">
        <f t="shared" si="12"/>
        <v>3.3879999999999999</v>
      </c>
      <c r="AO34" s="650" t="s">
        <v>302</v>
      </c>
    </row>
    <row r="35" ht="17.899999999999999" customHeight="1">
      <c r="B35" s="653" t="s">
        <v>303</v>
      </c>
      <c r="C35" s="407"/>
      <c r="D35" s="655"/>
      <c r="E35" s="655"/>
      <c r="F35" s="655"/>
      <c r="G35" s="655"/>
      <c r="H35" s="391" t="n">
        <f t="shared" ref="H35:T35" si="13">H31</f>
        <v>128.6</v>
      </c>
      <c r="I35" s="391" t="n">
        <f t="shared" si="13"/>
        <v>131.9</v>
      </c>
      <c r="J35" s="391" t="n">
        <f t="shared" si="13"/>
        <v>134.19999999999999</v>
      </c>
      <c r="K35" s="391" t="n">
        <f t="shared" si="13"/>
        <v>137.4</v>
      </c>
      <c r="L35" s="391" t="n">
        <f t="shared" si="13"/>
        <v>140.80000000000001</v>
      </c>
      <c r="M35" s="391" t="n">
        <f t="shared" si="13"/>
        <v>142.19999999999999</v>
      </c>
      <c r="N35" s="391" t="n">
        <f t="shared" si="13"/>
        <v>145.6</v>
      </c>
      <c r="O35" s="391" t="n">
        <f t="shared" si="13"/>
        <v>149.6</v>
      </c>
      <c r="P35" s="391" t="n">
        <f t="shared" si="13"/>
        <v>153.19999999999999</v>
      </c>
      <c r="Q35" s="391" t="n">
        <f t="shared" si="13"/>
        <v>156.19999999999999</v>
      </c>
      <c r="R35" s="391" t="n">
        <f t="shared" si="13"/>
        <v>159.9</v>
      </c>
      <c r="S35" s="445" t="n">
        <f t="shared" si="13"/>
        <v>165</v>
      </c>
      <c r="T35" s="445" t="n">
        <f t="shared" si="13"/>
        <v>171.9</v>
      </c>
      <c r="U35" s="445" t="n">
        <f t="shared" ref="U35:Z35" si="14">U31</f>
        <v>180.1</v>
      </c>
      <c r="V35" s="445" t="n">
        <f t="shared" si="14"/>
        <v>186.3</v>
      </c>
      <c r="W35" s="445" t="n">
        <f t="shared" si="14"/>
        <v>191.9</v>
      </c>
      <c r="X35" s="445" t="n">
        <f t="shared" si="14"/>
        <v>201.5</v>
      </c>
      <c r="Y35" s="445" t="n">
        <f t="shared" si="14"/>
        <v>204</v>
      </c>
      <c r="Z35" s="445" t="n">
        <f t="shared" si="14"/>
        <v>209.3</v>
      </c>
      <c r="AA35" s="445" t="n">
        <f t="shared" ref="AA35" si="15">AA31</f>
        <v>214.8</v>
      </c>
      <c r="AB35" s="445" t="n">
        <f>AB31</f>
        <v>219.7</v>
      </c>
      <c r="AC35" s="445" t="n">
        <f>AC31</f>
        <v>218.5</v>
      </c>
      <c r="AD35" s="445" t="n">
        <f>AD31</f>
        <v>218.6</v>
      </c>
      <c r="AE35" s="625" t="n">
        <f t="shared" ref="AE35:AF35" si="16">AD35*((1+AE34/100)^0.25)</f>
        <v>220.59777539671381</v>
      </c>
      <c r="AF35" s="625" t="n">
        <f t="shared" si="16"/>
        <v>222.67013486241746</v>
      </c>
      <c r="AG35" s="625" t="n">
        <f>AF35*((1+AG34/100)^0.25)</f>
        <v>224.80146546822237</v>
      </c>
      <c r="AH35" s="625" t="n">
        <f>AG35*((1+AH34/100)^0.25)</f>
        <v>226.78862049537324</v>
      </c>
      <c r="AI35" s="625" t="n">
        <f t="shared" ref="AI35" si="17">AH35*((1+AI34/100)^0.25)</f>
        <v>228.81321771913983</v>
      </c>
      <c r="AJ35" s="625" t="n">
        <f>AI35*((1+AJ34/100)^0.25)</f>
        <v>230.78902206597965</v>
      </c>
      <c r="AK35" s="625" t="n">
        <f t="shared" ref="AK35:AN35" si="18">AJ35*((1+AK34/100)^0.25)</f>
        <v>232.72170014770899</v>
      </c>
      <c r="AL35" s="625" t="n">
        <f t="shared" si="18"/>
        <v>234.70800426742682</v>
      </c>
      <c r="AM35" s="625" t="n">
        <f t="shared" si="18"/>
        <v>236.70897367417422</v>
      </c>
      <c r="AN35" s="625" t="n">
        <f t="shared" si="18"/>
        <v>238.68891809611875</v>
      </c>
    </row>
    <row r="36">
      <c r="B36" s="643" t="s">
        <v>304</v>
      </c>
      <c r="C36" s="644"/>
      <c r="D36" s="656"/>
      <c r="E36" s="656"/>
      <c r="F36" s="656"/>
      <c r="G36" s="656"/>
      <c r="H36" s="649" t="n">
        <f t="shared" ref="H36:P36" si="19">H31-H58</f>
        <v>102.636</v>
      </c>
      <c r="I36" s="649" t="n">
        <f t="shared" si="19"/>
        <v>103.488</v>
      </c>
      <c r="J36" s="649" t="n">
        <f t="shared" si="19"/>
        <v>71.043999999999983</v>
      </c>
      <c r="K36" s="649" t="n">
        <f t="shared" si="19"/>
        <v>63.055999999999997</v>
      </c>
      <c r="L36" s="649" t="n">
        <f t="shared" si="19"/>
        <v>65.731999999999999</v>
      </c>
      <c r="M36" s="649" t="n">
        <f t="shared" si="19"/>
        <v>64.283999999999992</v>
      </c>
      <c r="N36" s="649" t="n">
        <f t="shared" si="19"/>
        <v>92.531999999999982</v>
      </c>
      <c r="O36" s="649" t="n">
        <f t="shared" si="19"/>
        <v>83.855999999999995</v>
      </c>
      <c r="P36" s="649" t="n">
        <f t="shared" si="19"/>
        <v>73.210148000000004</v>
      </c>
      <c r="Q36" s="649" t="n">
        <f t="shared" ref="Q36:AC36" si="20">Q35-Q58</f>
        <v>25.266725200000025</v>
      </c>
      <c r="R36" s="649" t="n">
        <f t="shared" si="20"/>
        <v>-13.205317714285712</v>
      </c>
      <c r="S36" s="649" t="n">
        <f t="shared" si="20"/>
        <v>-19.051153714285732</v>
      </c>
      <c r="T36" s="649" t="n">
        <f t="shared" si="20"/>
        <v>25.563786285714315</v>
      </c>
      <c r="U36" s="649" t="n">
        <f t="shared" si="20"/>
        <v>43.380171085714295</v>
      </c>
      <c r="V36" s="393" t="n">
        <f t="shared" si="20"/>
        <v>49.485994285714298</v>
      </c>
      <c r="W36" s="393" t="n">
        <f t="shared" si="20"/>
        <v>60.388770285714287</v>
      </c>
      <c r="X36" s="393" t="n">
        <f t="shared" si="20"/>
        <v>50.961770285714294</v>
      </c>
      <c r="Y36" s="492" t="n">
        <f t="shared" si="20"/>
        <v>38.961770285714266</v>
      </c>
      <c r="Z36" s="492" t="n">
        <f t="shared" si="20"/>
        <v>36.34160528571428</v>
      </c>
      <c r="AA36" s="492" t="n">
        <f t="shared" si="20"/>
        <v>39.031384285714296</v>
      </c>
      <c r="AB36" s="492" t="n">
        <f t="shared" si="20"/>
        <v>25.185388585714264</v>
      </c>
      <c r="AC36" s="492" t="n">
        <f t="shared" si="20"/>
        <v>42.616717285714259</v>
      </c>
      <c r="AD36" s="492"/>
      <c r="AE36" s="492"/>
      <c r="AF36" s="492"/>
      <c r="AG36" s="492"/>
      <c r="AH36" s="492"/>
      <c r="AI36" s="492"/>
      <c r="AJ36" s="492"/>
      <c r="AK36" s="492"/>
      <c r="AL36" s="492"/>
      <c r="AM36" s="492"/>
      <c r="AN36" s="492"/>
      <c r="AO36" s="289" t="s">
        <v>305</v>
      </c>
    </row>
    <row r="37">
      <c r="B37" s="78"/>
      <c r="C37" s="78"/>
      <c r="D37" s="78"/>
      <c r="E37" s="78"/>
      <c r="F37" s="78"/>
      <c r="G37" s="78"/>
      <c r="H37" s="78"/>
      <c r="I37" s="78"/>
      <c r="J37" s="78"/>
      <c r="K37" s="78"/>
      <c r="L37" s="78"/>
      <c r="M37" s="177"/>
      <c r="N37" s="177"/>
      <c r="O37" s="177"/>
      <c r="P37" s="177"/>
      <c r="Q37" s="177"/>
      <c r="R37" s="177"/>
      <c r="S37" s="177"/>
      <c r="T37" s="177"/>
      <c r="U37" s="177"/>
      <c r="V37" s="177"/>
      <c r="W37" s="177"/>
      <c r="X37" s="177"/>
      <c r="Y37" s="177"/>
      <c r="Z37" s="176"/>
      <c r="AA37" s="176"/>
      <c r="AB37" s="176"/>
      <c r="AC37" s="176"/>
      <c r="AD37" s="176"/>
      <c r="AE37" s="176"/>
      <c r="AF37" s="176"/>
      <c r="AG37" s="176"/>
      <c r="AH37" s="176"/>
    </row>
    <row r="38">
      <c r="B38" s="78"/>
      <c r="C38" s="78"/>
      <c r="D38" s="78"/>
      <c r="E38" s="78"/>
      <c r="F38" s="78"/>
      <c r="G38" s="78"/>
      <c r="H38" s="78"/>
      <c r="I38" s="78"/>
      <c r="J38" s="78"/>
      <c r="K38" s="78"/>
      <c r="L38" s="78"/>
      <c r="M38" s="177"/>
      <c r="N38" s="177"/>
      <c r="O38" s="177"/>
      <c r="Q38" s="177"/>
      <c r="R38" s="177"/>
      <c r="S38" s="176"/>
      <c r="T38" s="176"/>
      <c r="U38" s="176"/>
      <c r="V38" s="176"/>
      <c r="Y38" s="176"/>
      <c r="Z38" s="176"/>
      <c r="AA38" s="176"/>
      <c r="AB38" s="176"/>
      <c r="AC38" s="176"/>
      <c r="AD38" s="176"/>
      <c r="AE38" s="176"/>
      <c r="AF38" s="176"/>
      <c r="AG38" s="176"/>
      <c r="AH38" s="176"/>
    </row>
    <row r="39">
      <c r="B39" s="402"/>
      <c r="C39" s="402"/>
      <c r="D39" s="402"/>
      <c r="E39" s="402"/>
      <c r="F39" s="402"/>
      <c r="G39" s="402"/>
      <c r="H39" s="393"/>
      <c r="I39" s="393"/>
      <c r="J39" s="393"/>
      <c r="K39" s="393"/>
      <c r="L39" s="393"/>
      <c r="M39" s="393"/>
      <c r="N39" s="393"/>
      <c r="O39" s="393"/>
      <c r="P39" s="393"/>
      <c r="Q39" s="648"/>
      <c r="R39" s="393"/>
      <c r="S39" s="393"/>
      <c r="T39" s="393"/>
      <c r="U39" s="393"/>
      <c r="V39" s="393"/>
      <c r="W39" s="393"/>
      <c r="X39" s="393"/>
      <c r="Y39" s="393"/>
      <c r="Z39" s="393"/>
    </row>
    <row r="40" ht="85.4" customHeight="1">
      <c r="B40" s="617" t="s">
        <v>785</v>
      </c>
      <c r="C40" s="618" t="s">
        <v>784</v>
      </c>
      <c r="D40" s="220" t="n">
        <v>44197</v>
      </c>
      <c r="E40" s="616" t="n">
        <v>44228</v>
      </c>
      <c r="F40" s="220" t="n">
        <v>44256</v>
      </c>
      <c r="G40" s="220" t="n">
        <v>44287</v>
      </c>
      <c r="H40" s="220" t="n">
        <v>44317</v>
      </c>
      <c r="I40" s="220" t="n">
        <v>44348</v>
      </c>
      <c r="J40" s="220" t="n">
        <v>44378</v>
      </c>
      <c r="K40" s="616" t="n">
        <v>44409</v>
      </c>
      <c r="L40" s="220" t="n">
        <v>44440</v>
      </c>
      <c r="M40" s="220" t="n">
        <v>44470</v>
      </c>
      <c r="N40" s="220" t="n">
        <v>44501</v>
      </c>
      <c r="O40" s="220" t="n">
        <v>44531</v>
      </c>
      <c r="P40" s="220" t="n">
        <v>44562</v>
      </c>
      <c r="Q40" s="616" t="n">
        <v>44593</v>
      </c>
      <c r="R40" s="220" t="n">
        <v>44621</v>
      </c>
      <c r="S40" s="220" t="n">
        <v>44652</v>
      </c>
      <c r="T40" s="220" t="n">
        <v>44682</v>
      </c>
      <c r="U40" s="220" t="n">
        <v>44713</v>
      </c>
      <c r="V40" s="220" t="n">
        <v>44743</v>
      </c>
      <c r="W40" s="220" t="n">
        <v>44774</v>
      </c>
      <c r="X40" s="220" t="n">
        <v>44805</v>
      </c>
      <c r="Y40" s="220" t="n">
        <v>44835</v>
      </c>
      <c r="Z40" s="220" t="n">
        <v>44866</v>
      </c>
      <c r="AA40" s="220" t="n">
        <v>44896</v>
      </c>
      <c r="AB40" s="220" t="n">
        <v>44927</v>
      </c>
      <c r="AC40" s="220" t="n">
        <v>44958</v>
      </c>
      <c r="AD40" s="220" t="n">
        <v>44986</v>
      </c>
      <c r="AE40" s="220" t="n">
        <v>45017</v>
      </c>
      <c r="AF40" s="220" t="n">
        <v>45047</v>
      </c>
      <c r="AG40" s="220" t="n">
        <v>45078</v>
      </c>
      <c r="AH40" s="220" t="n">
        <v>45108</v>
      </c>
      <c r="AI40" s="220" t="n">
        <v>45139</v>
      </c>
      <c r="AJ40" s="220" t="n">
        <v>45170</v>
      </c>
      <c r="AK40" s="220" t="n">
        <v>45200</v>
      </c>
      <c r="AL40" s="220" t="n">
        <v>45231</v>
      </c>
      <c r="AM40" s="220" t="n">
        <v>45261</v>
      </c>
      <c r="AN40" s="220" t="n">
        <v>45292</v>
      </c>
      <c r="AO40" s="220" t="n">
        <v>45323</v>
      </c>
      <c r="AP40" s="220" t="n">
        <v>45352</v>
      </c>
      <c r="AQ40" s="220" t="n">
        <v>45383</v>
      </c>
      <c r="AR40" s="220" t="n">
        <v>45413</v>
      </c>
      <c r="AS40" s="220" t="n">
        <v>45444</v>
      </c>
      <c r="AT40" s="220" t="n">
        <v>45474</v>
      </c>
      <c r="AU40" s="220" t="n">
        <v>45505</v>
      </c>
      <c r="AV40" s="220" t="n">
        <v>45536</v>
      </c>
      <c r="AW40" s="220" t="n">
        <v>45566</v>
      </c>
      <c r="AX40" s="220" t="n">
        <v>45597</v>
      </c>
      <c r="AY40" s="220" t="n">
        <v>45627</v>
      </c>
      <c r="AZ40" s="220" t="n">
        <v>45658</v>
      </c>
      <c r="BA40" s="220" t="n">
        <v>45689</v>
      </c>
      <c r="BB40" s="220" t="n">
        <v>45717</v>
      </c>
      <c r="BC40" s="220" t="n">
        <v>45748</v>
      </c>
    </row>
    <row r="41" ht="19.5" customHeight="1">
      <c r="B41" s="501" t="s">
        <v>306</v>
      </c>
      <c r="C41" s="608" t="s">
        <v>1804</v>
      </c>
      <c r="D41" s="434" t="n">
        <v>5150</v>
      </c>
      <c r="E41" s="434" t="n">
        <v>5154</v>
      </c>
      <c r="F41" s="434" t="n">
        <v>5192</v>
      </c>
      <c r="G41" s="434" t="n">
        <v>5187</v>
      </c>
      <c r="H41" s="434" t="n">
        <v>5174</v>
      </c>
      <c r="I41" s="434" t="n">
        <v>5199</v>
      </c>
      <c r="J41" s="434" t="n">
        <v>5177</v>
      </c>
      <c r="K41" s="434" t="n">
        <v>5155</v>
      </c>
      <c r="L41" s="434" t="n">
        <v>5139</v>
      </c>
      <c r="M41" s="434" t="n">
        <v>5132</v>
      </c>
      <c r="N41" s="434" t="n">
        <v>5121</v>
      </c>
      <c r="O41" s="434" t="n">
        <v>5122</v>
      </c>
      <c r="P41" s="434" t="n">
        <v>5087</v>
      </c>
      <c r="Q41" s="434" t="n">
        <v>5070</v>
      </c>
      <c r="R41" s="434" t="n">
        <v>5057</v>
      </c>
      <c r="S41" s="434" t="n">
        <v>5075</v>
      </c>
      <c r="T41" s="434" t="n">
        <v>5095</v>
      </c>
      <c r="U41" s="434" t="n">
        <v>5104</v>
      </c>
      <c r="V41" s="434" t="n">
        <v>5140</v>
      </c>
      <c r="W41" s="434" t="n">
        <v>5146</v>
      </c>
      <c r="X41" s="434" t="n">
        <v>5148</v>
      </c>
      <c r="Y41" s="434" t="n">
        <v>5139</v>
      </c>
      <c r="Z41" s="434" t="n">
        <v>5162</v>
      </c>
      <c r="AA41" s="434" t="n">
        <v>5136</v>
      </c>
      <c r="AB41" s="434" t="n">
        <v>5199</v>
      </c>
      <c r="AC41" s="434" t="n">
        <v>5219</v>
      </c>
      <c r="AD41" s="434" t="n">
        <v>5235</v>
      </c>
      <c r="AE41" s="434" t="n">
        <v>5251</v>
      </c>
      <c r="AF41" s="434" t="n">
        <v>5272</v>
      </c>
      <c r="AG41" s="434" t="n">
        <v>5294</v>
      </c>
      <c r="AH41" s="434" t="n">
        <v>5303</v>
      </c>
      <c r="AI41" s="434" t="n">
        <v>5324</v>
      </c>
      <c r="AJ41" s="434" t="n">
        <v>5337</v>
      </c>
      <c r="AK41" s="434" t="n">
        <v>5359</v>
      </c>
      <c r="AL41" s="434" t="n">
        <v>5366</v>
      </c>
      <c r="AM41" s="434" t="n">
        <v>5378</v>
      </c>
      <c r="AN41" s="434" t="n">
        <v>5390</v>
      </c>
      <c r="AO41" s="434" t="n">
        <v>5404</v>
      </c>
      <c r="AP41" s="434" t="n">
        <v>5414</v>
      </c>
      <c r="AQ41" s="434" t="n">
        <v>5418</v>
      </c>
      <c r="AR41" s="434" t="n">
        <v>5420</v>
      </c>
      <c r="AS41" s="434" t="n">
        <v>5429</v>
      </c>
      <c r="AT41" s="434" t="n">
        <v>5444</v>
      </c>
      <c r="AU41" s="434" t="n">
        <v>5453</v>
      </c>
      <c r="AV41" s="434" t="n">
        <v>5468</v>
      </c>
      <c r="AW41" s="434" t="n">
        <v>5484</v>
      </c>
      <c r="AX41" s="434" t="n">
        <v>5493</v>
      </c>
      <c r="AY41" s="434" t="n">
        <v>5512</v>
      </c>
      <c r="AZ41" s="434" t="n">
        <v>5524</v>
      </c>
      <c r="BA41" s="434" t="n">
        <v>5514</v>
      </c>
      <c r="BB41" s="434" t="n">
        <v>5516</v>
      </c>
      <c r="BC41" s="434" t="n">
        <v>5522</v>
      </c>
    </row>
    <row r="42" ht="18" customHeight="1">
      <c r="B42" s="401" t="s">
        <v>307</v>
      </c>
      <c r="C42" s="234" t="s">
        <v>1872</v>
      </c>
      <c r="D42" s="434" t="n">
        <v>13743</v>
      </c>
      <c r="E42" s="434" t="n">
        <v>13728</v>
      </c>
      <c r="F42" s="434" t="n">
        <v>13779</v>
      </c>
      <c r="G42" s="434" t="n">
        <v>13827</v>
      </c>
      <c r="H42" s="434" t="n">
        <v>13849</v>
      </c>
      <c r="I42" s="434" t="n">
        <v>13917</v>
      </c>
      <c r="J42" s="434" t="n">
        <v>13990</v>
      </c>
      <c r="K42" s="434" t="n">
        <v>14057</v>
      </c>
      <c r="L42" s="434" t="n">
        <v>14055</v>
      </c>
      <c r="M42" s="434" t="n">
        <v>14035</v>
      </c>
      <c r="N42" s="434" t="n">
        <v>14035</v>
      </c>
      <c r="O42" s="434" t="n">
        <v>14071</v>
      </c>
      <c r="P42" s="434" t="n">
        <v>14091</v>
      </c>
      <c r="Q42" s="434" t="n">
        <v>14097</v>
      </c>
      <c r="R42" s="434" t="n">
        <v>14116</v>
      </c>
      <c r="S42" s="434" t="n">
        <v>14137</v>
      </c>
      <c r="T42" s="434" t="n">
        <v>14145</v>
      </c>
      <c r="U42" s="434" t="n">
        <v>14168</v>
      </c>
      <c r="V42" s="434" t="n">
        <v>14280</v>
      </c>
      <c r="W42" s="434" t="n">
        <v>14264</v>
      </c>
      <c r="X42" s="434" t="n">
        <v>14269</v>
      </c>
      <c r="Y42" s="434" t="n">
        <v>14301</v>
      </c>
      <c r="Z42" s="434" t="n">
        <v>14337</v>
      </c>
      <c r="AA42" s="434" t="n">
        <v>14364</v>
      </c>
      <c r="AB42" s="434" t="n">
        <v>14411</v>
      </c>
      <c r="AC42" s="434" t="n">
        <v>14439</v>
      </c>
      <c r="AD42" s="434" t="n">
        <v>14453</v>
      </c>
      <c r="AE42" s="434" t="n">
        <v>14478</v>
      </c>
      <c r="AF42" s="434" t="n">
        <v>14509</v>
      </c>
      <c r="AG42" s="434" t="n">
        <v>14565</v>
      </c>
      <c r="AH42" s="434" t="n">
        <v>14589</v>
      </c>
      <c r="AI42" s="434" t="n">
        <v>14603</v>
      </c>
      <c r="AJ42" s="434" t="n">
        <v>14653</v>
      </c>
      <c r="AK42" s="434" t="n">
        <v>14693</v>
      </c>
      <c r="AL42" s="434" t="n">
        <v>14728</v>
      </c>
      <c r="AM42" s="434" t="n">
        <v>14763</v>
      </c>
      <c r="AN42" s="434" t="n">
        <v>14786</v>
      </c>
      <c r="AO42" s="434" t="n">
        <v>14835</v>
      </c>
      <c r="AP42" s="434" t="n">
        <v>14890</v>
      </c>
      <c r="AQ42" s="434" t="n">
        <v>14877</v>
      </c>
      <c r="AR42" s="434" t="n">
        <v>14905</v>
      </c>
      <c r="AS42" s="434" t="n">
        <v>14915</v>
      </c>
      <c r="AT42" s="434" t="n">
        <v>14946</v>
      </c>
      <c r="AU42" s="434" t="n">
        <v>14973</v>
      </c>
      <c r="AV42" s="434" t="n">
        <v>14986</v>
      </c>
      <c r="AW42" s="434" t="n">
        <v>15012</v>
      </c>
      <c r="AX42" s="434" t="n">
        <v>15022</v>
      </c>
      <c r="AY42" s="434" t="n">
        <v>15036</v>
      </c>
      <c r="AZ42" s="434" t="n">
        <v>15053</v>
      </c>
      <c r="BA42" s="434" t="n">
        <v>15071</v>
      </c>
      <c r="BB42" s="434" t="n">
        <v>15088</v>
      </c>
      <c r="BC42" s="434" t="n">
        <v>15101</v>
      </c>
    </row>
    <row r="43" ht="18" customHeight="1">
      <c r="B43" s="401" t="s">
        <v>1795</v>
      </c>
      <c r="C43" s="289"/>
      <c r="D43" s="434"/>
      <c r="E43" s="434"/>
      <c r="F43" s="434"/>
      <c r="G43" s="434"/>
      <c r="H43" s="434"/>
      <c r="I43" s="434"/>
      <c r="J43" s="434"/>
      <c r="K43" s="434"/>
      <c r="L43" s="434"/>
      <c r="M43" s="434"/>
      <c r="N43" s="434"/>
      <c r="O43" s="434"/>
      <c r="P43" s="434"/>
      <c r="Q43" s="434"/>
      <c r="R43" s="603"/>
      <c r="S43" s="603"/>
      <c r="T43" s="603"/>
      <c r="U43" s="603"/>
      <c r="V43" s="603" t="n">
        <f>V41+V42</f>
        <v>19420</v>
      </c>
      <c r="W43" s="603" t="n">
        <f t="shared" ref="W43:AR43" si="21">W41+W42</f>
        <v>19410</v>
      </c>
      <c r="X43" s="603" t="n">
        <f t="shared" si="21"/>
        <v>19417</v>
      </c>
      <c r="Y43" s="603" t="n">
        <f t="shared" si="21"/>
        <v>19440</v>
      </c>
      <c r="Z43" s="603" t="n">
        <f t="shared" si="21"/>
        <v>19499</v>
      </c>
      <c r="AA43" s="603" t="n">
        <f t="shared" si="21"/>
        <v>19500</v>
      </c>
      <c r="AB43" s="603" t="n">
        <f t="shared" si="21"/>
        <v>19610</v>
      </c>
      <c r="AC43" s="603" t="n">
        <f t="shared" si="21"/>
        <v>19658</v>
      </c>
      <c r="AD43" s="603" t="n">
        <f t="shared" si="21"/>
        <v>19688</v>
      </c>
      <c r="AE43" s="603" t="n">
        <f t="shared" si="21"/>
        <v>19729</v>
      </c>
      <c r="AF43" s="603" t="n">
        <f t="shared" si="21"/>
        <v>19781</v>
      </c>
      <c r="AG43" s="603" t="n">
        <f t="shared" si="21"/>
        <v>19859</v>
      </c>
      <c r="AH43" s="603" t="n">
        <f t="shared" si="21"/>
        <v>19892</v>
      </c>
      <c r="AI43" s="603" t="n">
        <f t="shared" si="21"/>
        <v>19927</v>
      </c>
      <c r="AJ43" s="603" t="n">
        <f t="shared" si="21"/>
        <v>19990</v>
      </c>
      <c r="AK43" s="603" t="n">
        <f t="shared" si="21"/>
        <v>20052</v>
      </c>
      <c r="AL43" s="603" t="n">
        <f t="shared" si="21"/>
        <v>20094</v>
      </c>
      <c r="AM43" s="603" t="n">
        <f t="shared" si="21"/>
        <v>20141</v>
      </c>
      <c r="AN43" s="603" t="n">
        <f t="shared" si="21"/>
        <v>20176</v>
      </c>
      <c r="AO43" s="603" t="n">
        <f t="shared" si="21"/>
        <v>20239</v>
      </c>
      <c r="AP43" s="603" t="n">
        <f t="shared" si="21"/>
        <v>20304</v>
      </c>
      <c r="AQ43" s="603" t="n">
        <f t="shared" si="21"/>
        <v>20295</v>
      </c>
      <c r="AR43" s="603" t="n">
        <f t="shared" si="21"/>
        <v>20325</v>
      </c>
      <c r="AS43" s="603" t="n">
        <f t="shared" ref="AS43:BC43" si="22">AS41+AS42</f>
        <v>20344</v>
      </c>
      <c r="AT43" s="603" t="n">
        <f t="shared" si="22"/>
        <v>20390</v>
      </c>
      <c r="AU43" s="603" t="n">
        <f t="shared" si="22"/>
        <v>20426</v>
      </c>
      <c r="AV43" s="603" t="n">
        <f t="shared" si="22"/>
        <v>20454</v>
      </c>
      <c r="AW43" s="603" t="n">
        <f t="shared" si="22"/>
        <v>20496</v>
      </c>
      <c r="AX43" s="603" t="n">
        <f t="shared" si="22"/>
        <v>20515</v>
      </c>
      <c r="AY43" s="603" t="n">
        <f>AY41+AY42</f>
        <v>20548</v>
      </c>
      <c r="AZ43" s="603" t="n">
        <f t="shared" si="22"/>
        <v>20577</v>
      </c>
      <c r="BA43" s="603" t="n">
        <f t="shared" si="22"/>
        <v>20585</v>
      </c>
      <c r="BB43" s="603" t="n">
        <f t="shared" si="22"/>
        <v>20604</v>
      </c>
      <c r="BC43" s="603" t="n">
        <f t="shared" si="22"/>
        <v>20623</v>
      </c>
    </row>
    <row r="44" ht="19.5" customHeight="1">
      <c r="B44" s="643" t="s">
        <v>309</v>
      </c>
      <c r="C44" s="506" t="s">
        <v>310</v>
      </c>
      <c r="D44" s="604" t="n">
        <v>345102</v>
      </c>
      <c r="E44" s="605" t="n">
        <v>335151</v>
      </c>
      <c r="F44" s="605" t="n">
        <v>336955</v>
      </c>
      <c r="G44" s="605" t="n">
        <v>335574</v>
      </c>
      <c r="H44" s="605" t="n">
        <v>338521</v>
      </c>
      <c r="I44" s="605" t="n">
        <v>329746</v>
      </c>
      <c r="J44" s="605" t="n">
        <v>328919</v>
      </c>
      <c r="K44" s="605" t="n">
        <v>333989</v>
      </c>
      <c r="L44" s="605" t="n">
        <v>326840</v>
      </c>
      <c r="M44" s="605" t="n">
        <v>327373</v>
      </c>
      <c r="N44" s="605" t="n">
        <v>331380</v>
      </c>
      <c r="O44" s="605" t="n">
        <v>331492</v>
      </c>
      <c r="P44" s="605" t="n">
        <v>334244</v>
      </c>
      <c r="Q44" s="605" t="n">
        <v>338416</v>
      </c>
      <c r="R44" s="605" t="n">
        <v>339417</v>
      </c>
      <c r="S44" s="605" t="n">
        <v>345062</v>
      </c>
      <c r="T44" s="605" t="n">
        <v>339178</v>
      </c>
      <c r="U44" s="605" t="n">
        <v>342484</v>
      </c>
      <c r="V44" s="605" t="n">
        <v>350972</v>
      </c>
      <c r="W44" s="605" t="n">
        <v>350286</v>
      </c>
      <c r="X44" s="605" t="n">
        <v>355116</v>
      </c>
      <c r="Y44" s="605" t="n">
        <v>354474</v>
      </c>
      <c r="Z44" s="605" t="n">
        <v>359543</v>
      </c>
      <c r="AA44" s="605" t="n">
        <v>361033</v>
      </c>
      <c r="AB44" s="605" t="n">
        <v>364867</v>
      </c>
      <c r="AC44" s="605" t="n">
        <v>371673</v>
      </c>
      <c r="AD44" s="605" t="n">
        <v>374555</v>
      </c>
      <c r="AE44" s="605" t="n">
        <v>382073</v>
      </c>
      <c r="AF44" s="605" t="n">
        <v>388978</v>
      </c>
      <c r="AG44" s="605" t="n">
        <v>396538</v>
      </c>
      <c r="AH44" s="605" t="n">
        <v>404059</v>
      </c>
      <c r="AI44" s="605" t="n">
        <v>407847</v>
      </c>
      <c r="AJ44" s="605" t="n">
        <v>418897</v>
      </c>
      <c r="AK44" s="604" t="n">
        <v>432334</v>
      </c>
      <c r="AL44" s="605" t="n">
        <v>440095</v>
      </c>
      <c r="AM44" s="605" t="n">
        <v>446894</v>
      </c>
      <c r="AN44" s="605" t="n">
        <v>445408</v>
      </c>
      <c r="AO44" s="604" t="n">
        <v>448458</v>
      </c>
      <c r="AP44" s="605" t="n">
        <v>453062</v>
      </c>
      <c r="AQ44" s="604" t="n">
        <v>451154</v>
      </c>
      <c r="AR44" s="434"/>
      <c r="AS44" s="606"/>
      <c r="AT44" s="606"/>
      <c r="AU44" s="606"/>
      <c r="AV44" s="606"/>
      <c r="AW44" s="606"/>
      <c r="AX44" s="606"/>
      <c r="AY44" s="607"/>
      <c r="AZ44" s="607"/>
      <c r="BA44" s="434"/>
      <c r="BB44" s="434"/>
      <c r="BC44" s="434"/>
    </row>
    <row r="45" ht="15.65" customHeight="1">
      <c r="B45" s="407"/>
      <c r="C45" s="402"/>
      <c r="D45" s="434"/>
      <c r="E45" s="434"/>
      <c r="F45" s="434"/>
      <c r="G45" s="434"/>
      <c r="H45" s="434"/>
      <c r="I45" s="434"/>
      <c r="J45" s="434"/>
      <c r="K45" s="434"/>
      <c r="L45" s="434"/>
      <c r="M45" s="434"/>
      <c r="N45" s="434"/>
      <c r="O45" s="434"/>
      <c r="P45" s="434"/>
      <c r="Q45" s="434"/>
      <c r="R45" s="434"/>
      <c r="S45" s="434"/>
      <c r="T45" s="434"/>
      <c r="U45" s="434"/>
      <c r="V45" s="434"/>
      <c r="W45" s="434"/>
      <c r="X45" s="434"/>
      <c r="Y45" s="434"/>
      <c r="Z45" s="434"/>
      <c r="AA45" s="434"/>
      <c r="AB45" s="434"/>
      <c r="AC45" s="434"/>
      <c r="AD45" s="434"/>
      <c r="AE45" s="434"/>
      <c r="AF45" s="434"/>
      <c r="AG45" s="434"/>
      <c r="AH45" s="434"/>
      <c r="AI45" s="434"/>
      <c r="AJ45" s="434"/>
      <c r="AK45" s="434"/>
      <c r="AL45" s="434"/>
      <c r="AM45" s="434"/>
      <c r="AN45" s="434"/>
      <c r="AO45" s="434"/>
      <c r="AP45" s="434"/>
      <c r="AQ45" s="434"/>
      <c r="AS45" s="434"/>
      <c r="AT45" s="434"/>
      <c r="AU45" s="434"/>
      <c r="AV45" s="434"/>
      <c r="AW45" s="434"/>
      <c r="AX45" s="434"/>
      <c r="AY45" s="434"/>
      <c r="AZ45" s="434"/>
    </row>
    <row r="46" ht="12.75" customHeight="1"/>
    <row r="47">
      <c r="B47" s="591" t="s">
        <v>311</v>
      </c>
      <c r="C47" s="591"/>
      <c r="D47" s="591"/>
      <c r="E47" s="591"/>
      <c r="F47" s="591"/>
      <c r="G47" s="591"/>
      <c r="H47" s="591"/>
      <c r="I47" s="591"/>
      <c r="J47" s="591"/>
      <c r="K47" s="591"/>
      <c r="L47" s="591"/>
      <c r="M47" s="591"/>
      <c r="N47" s="591"/>
      <c r="O47" s="591"/>
      <c r="P47" s="591"/>
      <c r="Q47" s="591"/>
      <c r="R47" s="591"/>
      <c r="S47" s="591"/>
      <c r="T47" s="591"/>
      <c r="U47" s="591"/>
      <c r="V47" s="591"/>
      <c r="W47" s="591"/>
      <c r="X47" s="591"/>
      <c r="Y47" s="591"/>
      <c r="Z47" s="591"/>
      <c r="AA47" s="591"/>
      <c r="AB47" s="591"/>
      <c r="AC47" s="591"/>
      <c r="AD47" s="266"/>
      <c r="AE47" t="n">
        <f>AVERAGE(AE44:AG44)</f>
        <v>389196.33333333331</v>
      </c>
      <c r="AF47" s="266"/>
      <c r="AG47" s="266"/>
      <c r="AH47" s="266"/>
      <c r="AL47" s="289"/>
    </row>
    <row r="48" ht="20.25" customHeight="1">
      <c r="B48" s="591"/>
      <c r="C48" s="591"/>
      <c r="D48" s="591"/>
      <c r="E48" s="591"/>
      <c r="F48" s="591"/>
      <c r="G48" s="591"/>
      <c r="H48" s="591"/>
      <c r="I48" s="591"/>
      <c r="J48" s="591"/>
      <c r="K48" s="591"/>
      <c r="L48" s="591"/>
      <c r="M48" s="591"/>
      <c r="N48" s="591"/>
      <c r="O48" s="591"/>
      <c r="P48" s="591"/>
      <c r="Q48" s="591"/>
      <c r="R48" s="591"/>
      <c r="S48" s="591"/>
      <c r="T48" s="591"/>
      <c r="U48" s="591"/>
      <c r="V48" s="591"/>
      <c r="W48" s="591"/>
      <c r="X48" s="591"/>
      <c r="Y48" s="591"/>
      <c r="Z48" s="591"/>
      <c r="AA48" s="591"/>
      <c r="AB48" s="591"/>
      <c r="AC48" s="591"/>
      <c r="AD48" s="266"/>
      <c r="AE48" s="266"/>
      <c r="AF48" s="266"/>
      <c r="AG48" s="266"/>
      <c r="AH48" s="266"/>
      <c r="AL48" s="289"/>
    </row>
    <row r="49" ht="14.25" customHeight="1">
      <c r="B49" s="528" t="s">
        <v>312</v>
      </c>
      <c r="C49" s="528"/>
      <c r="D49" s="528"/>
      <c r="E49" s="528"/>
      <c r="F49" s="528"/>
      <c r="G49" s="528"/>
      <c r="H49" s="528"/>
      <c r="I49" s="528"/>
      <c r="J49" s="528"/>
      <c r="K49" s="528"/>
      <c r="L49" s="528"/>
      <c r="M49" s="528"/>
      <c r="N49" s="528"/>
      <c r="O49" s="528"/>
      <c r="P49" s="528"/>
      <c r="Q49" s="528"/>
      <c r="R49" s="528"/>
      <c r="S49" s="528"/>
      <c r="T49" s="528"/>
      <c r="U49" s="528"/>
      <c r="V49" s="528"/>
      <c r="W49" s="528"/>
      <c r="X49" s="528"/>
      <c r="Y49" s="528"/>
      <c r="Z49" s="528"/>
      <c r="AA49" s="528"/>
      <c r="AB49" s="528"/>
      <c r="AC49" s="528"/>
      <c r="AD49" s="528"/>
      <c r="AE49" s="528"/>
      <c r="AF49" s="528"/>
      <c r="AG49" s="528"/>
      <c r="AH49" s="528"/>
      <c r="AL49" s="289"/>
    </row>
    <row r="50">
      <c r="B50" s="528"/>
      <c r="C50" s="528"/>
      <c r="D50" s="528"/>
      <c r="E50" s="528"/>
      <c r="F50" s="528"/>
      <c r="G50" s="528"/>
      <c r="H50" s="528"/>
      <c r="I50" s="528"/>
      <c r="J50" s="528"/>
      <c r="K50" s="528"/>
      <c r="L50" s="528"/>
      <c r="M50" s="528"/>
      <c r="N50" s="528"/>
      <c r="O50" s="528"/>
      <c r="P50" s="528"/>
      <c r="Q50" s="528"/>
      <c r="R50" s="528"/>
      <c r="S50" s="528"/>
      <c r="T50" s="528"/>
      <c r="U50" s="528"/>
      <c r="V50" s="528"/>
      <c r="W50" s="528"/>
      <c r="X50" s="528"/>
      <c r="Y50" s="528"/>
      <c r="Z50" s="528"/>
      <c r="AA50" s="528"/>
      <c r="AB50" s="528"/>
      <c r="AC50" s="528"/>
      <c r="AD50" s="528"/>
      <c r="AE50" s="528"/>
      <c r="AF50" s="528"/>
      <c r="AG50" s="528"/>
      <c r="AH50" s="528"/>
      <c r="AL50" s="289"/>
    </row>
    <row r="51" ht="8.9" customHeight="1">
      <c r="B51" s="528"/>
      <c r="C51" s="528"/>
      <c r="D51" s="528"/>
      <c r="E51" s="528"/>
      <c r="F51" s="528"/>
      <c r="G51" s="528"/>
      <c r="H51" s="528"/>
      <c r="I51" s="528"/>
      <c r="J51" s="528"/>
      <c r="K51" s="528"/>
      <c r="L51" s="528"/>
      <c r="M51" s="528"/>
      <c r="N51" s="528"/>
      <c r="O51" s="528"/>
      <c r="P51" s="528"/>
      <c r="Q51" s="528"/>
      <c r="R51" s="528"/>
      <c r="S51" s="528"/>
      <c r="T51" s="528"/>
      <c r="U51" s="528"/>
      <c r="V51" s="528"/>
      <c r="W51" s="528"/>
      <c r="X51" s="528"/>
      <c r="Y51" s="528"/>
      <c r="Z51" s="528"/>
      <c r="AA51" s="528"/>
      <c r="AB51" s="528"/>
      <c r="AC51" s="528"/>
      <c r="AD51" s="528"/>
      <c r="AE51" s="528"/>
      <c r="AF51" s="528"/>
      <c r="AG51" s="528"/>
      <c r="AH51" s="528"/>
      <c r="AL51" s="289"/>
    </row>
    <row r="52" ht="12.75" customHeight="1">
      <c r="AL52" s="289"/>
    </row>
    <row r="53" ht="30.75" customHeight="1">
      <c r="B53" s="268" t="s">
        <v>190</v>
      </c>
      <c r="C53" s="592"/>
      <c r="D53" s="248" t="s">
        <v>191</v>
      </c>
      <c r="E53" s="249"/>
      <c r="F53" s="249"/>
      <c r="G53" s="249"/>
      <c r="H53" s="249"/>
      <c r="I53" s="249"/>
      <c r="J53" s="249"/>
      <c r="K53" s="249"/>
      <c r="L53" s="249"/>
      <c r="M53" s="249"/>
      <c r="N53" s="249"/>
      <c r="O53" s="249"/>
      <c r="P53" s="249"/>
      <c r="Q53" s="249"/>
      <c r="R53" s="249"/>
      <c r="S53" s="249"/>
      <c r="T53" s="249"/>
      <c r="U53" s="249"/>
      <c r="V53" s="249"/>
      <c r="W53" s="249"/>
      <c r="X53" s="249"/>
      <c r="Y53" s="249"/>
      <c r="Z53" s="249"/>
      <c r="AA53" s="250"/>
      <c r="AB53" s="251" t="s">
        <v>192</v>
      </c>
      <c r="AC53" s="252"/>
      <c r="AD53" s="252"/>
      <c r="AE53" s="252"/>
      <c r="AF53" s="252"/>
      <c r="AG53" s="252"/>
      <c r="AH53" s="252"/>
      <c r="AI53" s="252"/>
      <c r="AJ53" s="252"/>
      <c r="AK53" s="252"/>
      <c r="AL53" s="252"/>
      <c r="AM53" s="252"/>
      <c r="AN53" s="253"/>
    </row>
    <row r="54">
      <c r="B54" s="270"/>
      <c r="C54" s="593"/>
      <c r="D54" s="254" t="n">
        <v>2018</v>
      </c>
      <c r="E54" s="254" t="n">
        <v>2019</v>
      </c>
      <c r="F54" s="441"/>
      <c r="G54" s="441"/>
      <c r="H54" s="256"/>
      <c r="I54" s="254" t="n">
        <v>2020</v>
      </c>
      <c r="J54" s="441"/>
      <c r="K54" s="441"/>
      <c r="L54" s="441"/>
      <c r="M54" s="254" t="n">
        <v>2021</v>
      </c>
      <c r="N54" s="441"/>
      <c r="O54" s="441"/>
      <c r="P54" s="441"/>
      <c r="Q54" s="254" t="n">
        <v>2022</v>
      </c>
      <c r="R54" s="255"/>
      <c r="S54" s="255"/>
      <c r="T54" s="255"/>
      <c r="U54" s="254" t="n">
        <v>2023</v>
      </c>
      <c r="V54" s="255"/>
      <c r="W54" s="255"/>
      <c r="X54" s="256"/>
      <c r="Y54" s="305"/>
      <c r="Z54" s="298" t="n">
        <v>2024</v>
      </c>
      <c r="AA54" s="298"/>
      <c r="AB54" s="301"/>
      <c r="AC54" s="261" t="n">
        <v>2025</v>
      </c>
      <c r="AD54" s="264"/>
      <c r="AE54" s="264"/>
      <c r="AF54" s="263"/>
      <c r="AG54" s="261" t="n">
        <v>2026</v>
      </c>
      <c r="AH54" s="264"/>
      <c r="AI54" s="264"/>
      <c r="AJ54" s="263"/>
      <c r="AK54" s="261" t="n">
        <v>2027</v>
      </c>
      <c r="AL54" s="264"/>
      <c r="AM54" s="264"/>
      <c r="AN54" s="263"/>
    </row>
    <row r="55">
      <c r="B55" s="272"/>
      <c r="C55" s="594"/>
      <c r="D55" s="274" t="s">
        <v>193</v>
      </c>
      <c r="E55" s="274" t="s">
        <v>194</v>
      </c>
      <c r="F55" s="275" t="s">
        <v>195</v>
      </c>
      <c r="G55" s="275" t="s">
        <v>171</v>
      </c>
      <c r="H55" s="276" t="s">
        <v>193</v>
      </c>
      <c r="I55" s="275" t="s">
        <v>194</v>
      </c>
      <c r="J55" s="275" t="s">
        <v>195</v>
      </c>
      <c r="K55" s="275" t="s">
        <v>171</v>
      </c>
      <c r="L55" s="275" t="s">
        <v>193</v>
      </c>
      <c r="M55" s="274" t="s">
        <v>194</v>
      </c>
      <c r="N55" s="275" t="s">
        <v>195</v>
      </c>
      <c r="O55" s="275" t="s">
        <v>171</v>
      </c>
      <c r="P55" s="275" t="s">
        <v>193</v>
      </c>
      <c r="Q55" s="274" t="s">
        <v>194</v>
      </c>
      <c r="R55" s="275" t="s">
        <v>195</v>
      </c>
      <c r="S55" s="275" t="s">
        <v>171</v>
      </c>
      <c r="T55" s="275" t="s">
        <v>193</v>
      </c>
      <c r="U55" s="293" t="s">
        <v>194</v>
      </c>
      <c r="V55" s="294" t="s">
        <v>195</v>
      </c>
      <c r="W55" s="294" t="s">
        <v>171</v>
      </c>
      <c r="X55" s="292" t="s">
        <v>193</v>
      </c>
      <c r="Y55" s="293" t="s">
        <v>194</v>
      </c>
      <c r="Z55" s="295" t="s">
        <v>195</v>
      </c>
      <c r="AA55" s="294" t="s">
        <v>171</v>
      </c>
      <c r="AB55" s="297" t="s">
        <v>193</v>
      </c>
      <c r="AC55" s="296" t="s">
        <v>194</v>
      </c>
      <c r="AD55" s="290" t="s">
        <v>195</v>
      </c>
      <c r="AE55" s="291" t="s">
        <v>171</v>
      </c>
      <c r="AF55" s="297" t="s">
        <v>193</v>
      </c>
      <c r="AG55" s="385" t="s">
        <v>194</v>
      </c>
      <c r="AH55" s="290" t="s">
        <v>195</v>
      </c>
      <c r="AI55" s="290" t="s">
        <v>171</v>
      </c>
      <c r="AJ55" s="430" t="s">
        <v>193</v>
      </c>
      <c r="AK55" s="385" t="s">
        <v>194</v>
      </c>
      <c r="AL55" s="290" t="s">
        <v>195</v>
      </c>
      <c r="AM55" s="290" t="s">
        <v>171</v>
      </c>
      <c r="AN55" s="430" t="s">
        <v>193</v>
      </c>
    </row>
    <row r="56">
      <c r="B56" s="651" t="s">
        <v>92</v>
      </c>
      <c r="C56" s="417"/>
      <c r="D56" s="403"/>
      <c r="E56" s="645"/>
      <c r="F56" s="645"/>
      <c r="G56" s="645"/>
      <c r="H56" s="576" t="n">
        <f>Grants!H94</f>
        <v>5.4640000000000004</v>
      </c>
      <c r="I56" s="576" t="n">
        <f>Grants!I94</f>
        <v>6.3120000000000003</v>
      </c>
      <c r="J56" s="576" t="n">
        <f>Grants!J94</f>
        <v>5.7560000000000002</v>
      </c>
      <c r="K56" s="576" t="n">
        <f>Grants!K94</f>
        <v>5.6440000000000001</v>
      </c>
      <c r="L56" s="576" t="n">
        <f>Grants!L94</f>
        <v>5.6680000000000001</v>
      </c>
      <c r="M56" s="576" t="n">
        <f>Grants!M94</f>
        <v>5.2160000000000002</v>
      </c>
      <c r="N56" s="576" t="n">
        <f>Grants!N94</f>
        <v>6.7240000000000002</v>
      </c>
      <c r="O56" s="576" t="n">
        <f>Grants!O94</f>
        <v>5.7</v>
      </c>
      <c r="P56" s="576" t="n">
        <f>Grants!P94</f>
        <v>5.74</v>
      </c>
      <c r="Q56" s="576" t="n">
        <f>Grants!Q94</f>
        <v>6.2080000000000002</v>
      </c>
      <c r="R56" s="576" t="n">
        <f>Grants!R94</f>
        <v>5.8262857142857154</v>
      </c>
      <c r="S56" s="646" t="n">
        <f>Grants!S94</f>
        <v>5.8262857142857154</v>
      </c>
      <c r="T56" s="627" t="n">
        <f>Grants!T94</f>
        <v>6.6452857142857154</v>
      </c>
      <c r="U56" s="388" t="n">
        <f>Grants!U94</f>
        <v>6.6452857142857154</v>
      </c>
      <c r="V56" s="388" t="n">
        <f>Grants!V94</f>
        <v>6.6452857142857154</v>
      </c>
      <c r="W56" s="388" t="n">
        <f>Grants!W94</f>
        <v>6.6452857142857154</v>
      </c>
      <c r="X56" s="384" t="n">
        <f>Grants!X94</f>
        <v>8.3042857142857152</v>
      </c>
      <c r="Y56" s="384" t="n">
        <f>Grants!Y94</f>
        <v>8.3042857142857152</v>
      </c>
      <c r="Z56" s="384" t="n">
        <f>Grants!Z94</f>
        <v>8.3042857142857152</v>
      </c>
      <c r="AA56" s="384" t="n">
        <f>Grants!AA94</f>
        <v>8.3042857142857152</v>
      </c>
      <c r="AB56" s="384" t="n">
        <f>Grants!AB94</f>
        <v>9.8982857142857164</v>
      </c>
      <c r="AC56" s="384" t="n">
        <f>Grants!AC94</f>
        <v>9.8982857142857164</v>
      </c>
      <c r="AD56" s="384" t="n">
        <f>Grants!AD94</f>
        <v>5.8262857142857154</v>
      </c>
      <c r="AE56" s="384" t="n">
        <f>Grants!AE94</f>
        <v>5.8262857142857154</v>
      </c>
      <c r="AF56" s="384" t="n">
        <f>Grants!AF94</f>
        <v>5.8262857142857154</v>
      </c>
      <c r="AG56" s="384" t="n">
        <f>Grants!AG94</f>
        <v>5.8262857142857154</v>
      </c>
      <c r="AH56" s="384" t="n">
        <f>Grants!AH94</f>
        <v>5.8262857142857154</v>
      </c>
      <c r="AI56" s="384" t="n">
        <f>Grants!AI94</f>
        <v>5.8262857142857154</v>
      </c>
      <c r="AJ56" s="384" t="n">
        <f>Grants!AJ94</f>
        <v>5.8262857142857154</v>
      </c>
      <c r="AK56" s="384" t="n">
        <f>Grants!AK94</f>
        <v>5.8262857142857154</v>
      </c>
      <c r="AL56" s="384" t="n">
        <f>Grants!AL94</f>
        <v>5.8262857142857154</v>
      </c>
      <c r="AM56" s="384" t="n">
        <f>Grants!AM94</f>
        <v>5.8262857142857154</v>
      </c>
      <c r="AN56" s="384" t="n">
        <f>Grants!AN94</f>
        <v>5.8262857142857154</v>
      </c>
    </row>
    <row r="57">
      <c r="B57" s="642" t="s">
        <v>125</v>
      </c>
      <c r="C57" s="383"/>
      <c r="D57" s="431"/>
      <c r="E57" s="383"/>
      <c r="F57" s="383"/>
      <c r="G57" s="383"/>
      <c r="H57" s="388" t="n">
        <f>Grants!H73</f>
        <v>20.5</v>
      </c>
      <c r="I57" s="388" t="n">
        <f>Grants!I73</f>
        <v>22.1</v>
      </c>
      <c r="J57" s="388" t="n">
        <f>Grants!J73</f>
        <v>57.4</v>
      </c>
      <c r="K57" s="388" t="n">
        <f>Grants!K73</f>
        <v>68.7</v>
      </c>
      <c r="L57" s="388" t="n">
        <f>Grants!L73</f>
        <v>69.400000000000006</v>
      </c>
      <c r="M57" s="388" t="n">
        <f>Grants!M73</f>
        <v>72.7</v>
      </c>
      <c r="N57" s="388" t="n">
        <f>Grants!N73</f>
        <v>46.344000000000008</v>
      </c>
      <c r="O57" s="388" t="n">
        <f>Grants!O73</f>
        <v>60.044000000000004</v>
      </c>
      <c r="P57" s="388" t="n">
        <f>Grants!P73</f>
        <v>74.24985199999999</v>
      </c>
      <c r="Q57" s="388" t="n">
        <f>Grants!Q73</f>
        <v>124.72527479999997</v>
      </c>
      <c r="R57" s="388" t="n">
        <f>Grants!R73</f>
        <v>167.279032</v>
      </c>
      <c r="S57" s="388" t="n">
        <f>Grants!S73</f>
        <v>178.22486800000001</v>
      </c>
      <c r="T57" s="388" t="n">
        <f>Grants!T73</f>
        <v>139.69092799999999</v>
      </c>
      <c r="U57" s="624" t="n">
        <f>Grants!U73</f>
        <v>130.07454319999999</v>
      </c>
      <c r="V57" s="624" t="n">
        <f>Grants!V73</f>
        <v>130.16872000000001</v>
      </c>
      <c r="W57" s="624" t="n">
        <f>Grants!W73</f>
        <v>124.865944</v>
      </c>
      <c r="X57" s="624" t="n">
        <f>Grants!X73</f>
        <v>142.23394399999998</v>
      </c>
      <c r="Y57" s="624" t="n">
        <f>Grants!Y73</f>
        <v>156.73394400000001</v>
      </c>
      <c r="Z57" s="624" t="n">
        <f>Grants!Z73</f>
        <v>164.65410900000001</v>
      </c>
      <c r="AA57" s="624" t="n">
        <f>Grants!AA73</f>
        <v>167.46432999999999</v>
      </c>
      <c r="AB57" s="624" t="n">
        <f>Grants!AB73</f>
        <v>184.6163257</v>
      </c>
      <c r="AC57" s="624" t="n">
        <f>Grants!AC73</f>
        <v>165.98499700000002</v>
      </c>
      <c r="AD57" s="624" t="n">
        <f>Grants!AD73</f>
        <v>158.58561950000001</v>
      </c>
      <c r="AE57" s="624" t="n">
        <f>Grants!AE73</f>
        <v>158.69862653211933</v>
      </c>
      <c r="AF57" s="624" t="n">
        <f>Grants!AF73</f>
        <v>154.92704815110517</v>
      </c>
      <c r="AG57" s="624" t="n">
        <f>Grants!AG73</f>
        <v>155.16843423792824</v>
      </c>
      <c r="AH57" s="624" t="n">
        <f>Grants!AH73</f>
        <v>152.6091988</v>
      </c>
      <c r="AI57" s="624" t="n">
        <f>Grants!AI73</f>
        <v>153.85536527340412</v>
      </c>
      <c r="AJ57" s="624" t="n">
        <f>Grants!AJ73</f>
        <v>153.10395732514939</v>
      </c>
      <c r="AK57" s="624" t="n">
        <f>Grants!AK73</f>
        <v>153.35499885544536</v>
      </c>
      <c r="AL57" s="624" t="n">
        <f>Grants!AL73</f>
        <v>153.60851400000001</v>
      </c>
      <c r="AM57" s="624" t="n">
        <f>Grants!AM73</f>
        <v>153.86452713234027</v>
      </c>
      <c r="AN57" s="624" t="n">
        <f>Grants!AN73</f>
        <v>154.12306286615535</v>
      </c>
    </row>
    <row r="58">
      <c r="B58" s="652" t="s">
        <v>313</v>
      </c>
      <c r="C58" s="644"/>
      <c r="D58" s="643"/>
      <c r="E58" s="644"/>
      <c r="F58" s="644"/>
      <c r="G58" s="644"/>
      <c r="H58" s="628" t="n">
        <f>H56+H57</f>
        <v>25.963999999999999</v>
      </c>
      <c r="I58" s="628" t="n">
        <f t="shared" ref="I58:AN58" si="23">I56+I57</f>
        <v>28.412000000000003</v>
      </c>
      <c r="J58" s="628" t="n">
        <f t="shared" si="23"/>
        <v>63.155999999999999</v>
      </c>
      <c r="K58" s="628" t="n">
        <f t="shared" si="23"/>
        <v>74.344000000000008</v>
      </c>
      <c r="L58" s="628" t="n">
        <f t="shared" si="23"/>
        <v>75.068000000000012</v>
      </c>
      <c r="M58" s="628" t="n">
        <f t="shared" si="23"/>
        <v>77.915999999999997</v>
      </c>
      <c r="N58" s="628" t="n">
        <f t="shared" si="23"/>
        <v>53.068000000000012</v>
      </c>
      <c r="O58" s="628" t="n">
        <f t="shared" si="23"/>
        <v>65.744</v>
      </c>
      <c r="P58" s="628" t="n">
        <f t="shared" si="23"/>
        <v>79.989851999999985</v>
      </c>
      <c r="Q58" s="628" t="n">
        <f t="shared" si="23"/>
        <v>130.93327479999996</v>
      </c>
      <c r="R58" s="628" t="n">
        <f t="shared" si="23"/>
        <v>173.10531771428572</v>
      </c>
      <c r="S58" s="628" t="n">
        <f t="shared" si="23"/>
        <v>184.05115371428573</v>
      </c>
      <c r="T58" s="628" t="n">
        <f t="shared" si="23"/>
        <v>146.33621371428569</v>
      </c>
      <c r="U58" s="628" t="n">
        <f t="shared" si="23"/>
        <v>136.7198289142857</v>
      </c>
      <c r="V58" s="628" t="n">
        <f t="shared" si="23"/>
        <v>136.81400571428571</v>
      </c>
      <c r="W58" s="628" t="n">
        <f t="shared" si="23"/>
        <v>131.51122971428572</v>
      </c>
      <c r="X58" s="609" t="n">
        <f t="shared" si="23"/>
        <v>150.53822971428571</v>
      </c>
      <c r="Y58" s="609" t="n">
        <f t="shared" si="23"/>
        <v>165.03822971428573</v>
      </c>
      <c r="Z58" s="609" t="n">
        <f t="shared" si="23"/>
        <v>172.95839471428573</v>
      </c>
      <c r="AA58" s="609" t="n">
        <f t="shared" si="23"/>
        <v>175.76861571428572</v>
      </c>
      <c r="AB58" s="609" t="n">
        <f t="shared" si="23"/>
        <v>194.51461141428572</v>
      </c>
      <c r="AC58" s="609" t="n">
        <f t="shared" si="23"/>
        <v>175.88328271428574</v>
      </c>
      <c r="AD58" s="609" t="n">
        <f t="shared" si="23"/>
        <v>164.41190521428572</v>
      </c>
      <c r="AE58" s="609" t="n">
        <f t="shared" si="23"/>
        <v>164.52491224640505</v>
      </c>
      <c r="AF58" s="609" t="n">
        <f t="shared" si="23"/>
        <v>160.75333386539089</v>
      </c>
      <c r="AG58" s="609" t="n">
        <f t="shared" si="23"/>
        <v>160.99471995221396</v>
      </c>
      <c r="AH58" s="609" t="n">
        <f>AH56+AH57</f>
        <v>158.43548451428572</v>
      </c>
      <c r="AI58" s="609" t="n">
        <f t="shared" si="23"/>
        <v>159.68165098768984</v>
      </c>
      <c r="AJ58" s="609" t="n">
        <f t="shared" si="23"/>
        <v>158.93024303943511</v>
      </c>
      <c r="AK58" s="609" t="n">
        <f t="shared" si="23"/>
        <v>159.18128456973108</v>
      </c>
      <c r="AL58" s="609" t="n">
        <f t="shared" si="23"/>
        <v>159.43479971428573</v>
      </c>
      <c r="AM58" s="609" t="n">
        <f t="shared" si="23"/>
        <v>159.69081284662599</v>
      </c>
      <c r="AN58" s="609" t="n">
        <f t="shared" si="23"/>
        <v>159.94934858044107</v>
      </c>
    </row>
    <row r="60">
      <c r="S60" s="476"/>
      <c r="T60" s="476"/>
      <c r="U60" s="476"/>
      <c r="V60" s="476"/>
      <c r="W60" s="476"/>
      <c r="X60" s="476"/>
      <c r="Y60" s="476"/>
      <c r="Z60" s="476"/>
      <c r="AA60" s="476"/>
      <c r="AB60" s="476"/>
      <c r="AC60" s="476"/>
      <c r="AD60" s="476"/>
      <c r="AE60" s="476"/>
      <c r="AF60" s="476"/>
      <c r="AG60" s="476"/>
      <c r="AH60" s="476"/>
    </row>
  </sheetData>
  <mergeCells count="38">
    <mergeCell ref="E54:H54"/>
    <mergeCell ref="B28:C30"/>
    <mergeCell ref="M29:P29"/>
    <mergeCell ref="I29:L29"/>
    <mergeCell ref="Q54:T54"/>
    <mergeCell ref="B49:AC51"/>
    <mergeCell ref="B47:AC48"/>
    <mergeCell ref="B53:C55"/>
    <mergeCell ref="I54:L54"/>
    <mergeCell ref="B1:AC1"/>
    <mergeCell ref="B6:C8"/>
    <mergeCell ref="E7:H7"/>
    <mergeCell ref="I7:L7"/>
    <mergeCell ref="B2:AC4"/>
    <mergeCell ref="Q7:T7"/>
    <mergeCell ref="AC7:AF7"/>
    <mergeCell ref="M7:P7"/>
    <mergeCell ref="AK7:AN7"/>
    <mergeCell ref="AG7:AJ7"/>
    <mergeCell ref="AC6:AN6"/>
    <mergeCell ref="D6:AB6"/>
    <mergeCell ref="B23:AC23"/>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s>
  <hyperlinks>
    <hyperlink ref="C41" r:id="rId1h"/>
    <hyperlink ref="C42" r:id="rId2h"/>
  </hyperlinks>
  <pageMargins left="0.7" right="0.7" top="0.75" bottom="0.75" header="0.3" footer="0.3"/>
  <pageSetup orientation="portrait"/>
  <drawing r:id="rId1"/>
  <legacyDrawing r:id="rIdvml"/>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3" ySplit="10" topLeftCell="AA41" activePane="bottomRight" state="frozen"/>
      <selection pane="topRight" activeCell="D1" sqref="D1"/>
      <selection pane="bottomLeft" activeCell="A11" sqref="A11"/>
      <selection pane="bottomRight" activeCell="AH24" sqref="AH24"/>
    </sheetView>
  </sheetViews>
  <sheetFormatPr defaultRowHeight="15.0" baseColWidth="10"/>
  <cols>
    <col min="1" max="1" width="17" hidden="0" customWidth="1"/>
    <col min="2" max="2" width="49.453125" hidden="0" customWidth="1"/>
    <col min="6" max="6" width="6.453125" hidden="0" customWidth="1"/>
    <col min="7" max="7" width="6.453125" hidden="0" customWidth="1"/>
    <col min="8" max="8" width="6.453125" hidden="0" customWidth="1"/>
    <col min="9" max="9" width="6.453125" hidden="0" customWidth="1"/>
    <col min="10" max="10" width="6.453125" hidden="0" customWidth="1"/>
    <col min="11" max="11" width="6.453125" hidden="0" customWidth="1"/>
    <col min="12" max="12" width="6.453125" hidden="0" customWidth="1"/>
    <col min="13" max="13" width="6.453125" hidden="0" customWidth="1"/>
    <col min="14" max="14" width="6.453125" hidden="0" customWidth="1"/>
    <col min="15" max="15" width="6.453125" hidden="0" customWidth="1"/>
    <col min="16" max="16" width="6.453125" hidden="0" customWidth="1"/>
    <col min="17" max="17" width="6.453125" hidden="0" customWidth="1"/>
    <col min="18" max="18" width="6.453125" hidden="0" customWidth="1"/>
    <col min="19" max="19" width="6.453125" hidden="0" customWidth="1"/>
    <col min="20" max="20" width="6.453125" hidden="0" customWidth="1"/>
    <col min="21" max="21" width="6.453125" hidden="0" customWidth="1"/>
    <col min="22" max="22" width="6.453125" hidden="0" customWidth="1"/>
    <col min="23" max="23" width="6.453125" hidden="0" customWidth="1"/>
    <col min="24" max="24" width="6.453125" hidden="0" customWidth="1"/>
    <col min="25" max="25" width="6.453125" hidden="0" customWidth="1"/>
    <col min="27" max="27" width="10.1796875" hidden="0" customWidth="1"/>
  </cols>
  <sheetData>
    <row r="1">
      <c r="B1" s="266" t="s">
        <v>43</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9" customHeight="1">
      <c r="B2" s="377" t="s">
        <v>763</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row>
    <row r="3" ht="14.9" customHeight="1">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row>
    <row r="4" ht="5.9" customHeight="1">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row>
    <row r="5" ht="1.5" customHeight="1">
      <c r="B5" s="377"/>
      <c r="C5" s="377"/>
      <c r="D5" s="377"/>
      <c r="E5" s="377"/>
      <c r="F5" s="377"/>
      <c r="G5" s="377"/>
      <c r="H5" s="377"/>
      <c r="I5" s="377"/>
      <c r="J5" s="377"/>
      <c r="K5" s="377"/>
      <c r="L5" s="377"/>
      <c r="M5" s="377"/>
      <c r="N5" s="377"/>
      <c r="O5" s="377"/>
      <c r="P5" s="377"/>
      <c r="Q5" s="377"/>
      <c r="R5" s="377"/>
      <c r="S5" s="377"/>
      <c r="T5" s="377"/>
      <c r="U5" s="377"/>
      <c r="V5" s="377"/>
      <c r="W5" s="377"/>
      <c r="X5" s="377"/>
      <c r="Y5" s="377"/>
      <c r="Z5" s="377"/>
      <c r="AA5" s="377"/>
      <c r="AB5" s="377"/>
      <c r="AC5" s="377"/>
    </row>
    <row r="6" ht="14.9" customHeight="1">
      <c r="B6" s="377"/>
      <c r="C6" s="377"/>
      <c r="D6" s="377"/>
      <c r="E6" s="377"/>
      <c r="F6" s="377"/>
      <c r="G6" s="377"/>
      <c r="H6" s="377"/>
      <c r="I6" s="377"/>
      <c r="J6" s="377"/>
      <c r="K6" s="377"/>
      <c r="L6" s="377"/>
      <c r="M6" s="377"/>
      <c r="N6" s="377"/>
      <c r="O6" s="377"/>
      <c r="P6" s="377"/>
      <c r="Q6" s="377"/>
      <c r="R6" s="377"/>
      <c r="S6" s="377"/>
      <c r="T6" s="377"/>
      <c r="U6" s="377"/>
      <c r="V6" s="377"/>
      <c r="W6" s="377"/>
      <c r="X6" s="377"/>
      <c r="Y6" s="377"/>
      <c r="Z6" s="377"/>
      <c r="AA6" s="377"/>
      <c r="AB6" s="377"/>
      <c r="AC6" s="377"/>
    </row>
    <row r="7" ht="33.75" customHeight="1">
      <c r="B7" s="581"/>
      <c r="C7" s="581"/>
      <c r="D7" s="581"/>
      <c r="E7" s="581"/>
      <c r="F7" s="581"/>
      <c r="G7" s="581"/>
      <c r="H7" s="581"/>
      <c r="I7" s="581"/>
      <c r="J7" s="581"/>
      <c r="K7" s="581"/>
      <c r="L7" s="581"/>
      <c r="M7" s="581"/>
      <c r="N7" s="581"/>
      <c r="O7" s="581"/>
      <c r="P7" s="581"/>
      <c r="Q7" s="581"/>
      <c r="R7" s="581"/>
      <c r="S7" s="581"/>
      <c r="T7" s="581"/>
      <c r="U7" s="581"/>
      <c r="V7" s="581"/>
      <c r="W7" s="581"/>
      <c r="X7" s="581"/>
      <c r="Y7" s="581"/>
    </row>
    <row r="8" ht="14.9" customHeight="1">
      <c r="B8" s="268" t="s">
        <v>314</v>
      </c>
      <c r="C8" s="269"/>
      <c r="D8" s="248" t="s">
        <v>191</v>
      </c>
      <c r="E8" s="249"/>
      <c r="F8" s="249"/>
      <c r="G8" s="249"/>
      <c r="H8" s="249"/>
      <c r="I8" s="249"/>
      <c r="J8" s="249"/>
      <c r="K8" s="249"/>
      <c r="L8" s="249"/>
      <c r="M8" s="249"/>
      <c r="N8" s="249"/>
      <c r="O8" s="249"/>
      <c r="P8" s="249"/>
      <c r="Q8" s="249"/>
      <c r="R8" s="249"/>
      <c r="S8" s="249"/>
      <c r="T8" s="249"/>
      <c r="U8" s="249"/>
      <c r="V8" s="249"/>
      <c r="W8" s="249"/>
      <c r="X8" s="249"/>
      <c r="Y8" s="249"/>
      <c r="Z8" s="249"/>
      <c r="AA8" s="249"/>
      <c r="AB8" s="250"/>
      <c r="AC8" s="251" t="s">
        <v>192</v>
      </c>
      <c r="AD8" s="252"/>
      <c r="AE8" s="252"/>
      <c r="AF8" s="252"/>
      <c r="AG8" s="252"/>
      <c r="AH8" s="252"/>
      <c r="AI8" s="252"/>
      <c r="AJ8" s="252"/>
      <c r="AK8" s="252"/>
      <c r="AL8" s="252"/>
      <c r="AM8" s="252"/>
      <c r="AN8" s="253"/>
    </row>
    <row r="9">
      <c r="B9" s="270"/>
      <c r="C9" s="271"/>
      <c r="D9" s="274" t="n">
        <v>2018</v>
      </c>
      <c r="E9" s="274" t="n">
        <v>2019</v>
      </c>
      <c r="F9" s="275"/>
      <c r="G9" s="275"/>
      <c r="H9" s="276"/>
      <c r="I9" s="274" t="n">
        <v>2020</v>
      </c>
      <c r="J9" s="275"/>
      <c r="K9" s="275"/>
      <c r="L9" s="275"/>
      <c r="M9" s="274" t="n">
        <v>2021</v>
      </c>
      <c r="N9" s="275"/>
      <c r="O9" s="275"/>
      <c r="P9" s="275"/>
      <c r="Q9" s="254" t="n">
        <v>2022</v>
      </c>
      <c r="R9" s="255"/>
      <c r="S9" s="255"/>
      <c r="T9" s="255"/>
      <c r="U9" s="254" t="n">
        <v>2023</v>
      </c>
      <c r="V9" s="255"/>
      <c r="W9" s="255"/>
      <c r="X9" s="256"/>
      <c r="Y9" s="305"/>
      <c r="Z9" s="304" t="n">
        <v>2024</v>
      </c>
      <c r="AA9" s="304"/>
      <c r="AB9" s="300"/>
      <c r="AC9" s="261" t="n">
        <v>2025</v>
      </c>
      <c r="AD9" s="262"/>
      <c r="AE9" s="262"/>
      <c r="AF9" s="263"/>
      <c r="AG9" s="261" t="n">
        <v>2026</v>
      </c>
      <c r="AH9" s="264"/>
      <c r="AI9" s="264"/>
      <c r="AJ9" s="263"/>
      <c r="AK9" s="261" t="n">
        <v>2027</v>
      </c>
      <c r="AL9" s="264"/>
      <c r="AM9" s="264"/>
      <c r="AN9" s="263"/>
    </row>
    <row r="10">
      <c r="B10" s="272"/>
      <c r="C10" s="273"/>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5" t="s">
        <v>193</v>
      </c>
      <c r="U10" s="293" t="s">
        <v>194</v>
      </c>
      <c r="V10" s="294" t="s">
        <v>195</v>
      </c>
      <c r="W10" s="294" t="s">
        <v>171</v>
      </c>
      <c r="X10" s="292" t="s">
        <v>193</v>
      </c>
      <c r="Y10" s="293" t="s">
        <v>194</v>
      </c>
      <c r="Z10" s="295" t="s">
        <v>195</v>
      </c>
      <c r="AA10" s="294" t="s">
        <v>171</v>
      </c>
      <c r="AB10" s="294" t="s">
        <v>193</v>
      </c>
      <c r="AC10" s="293" t="s">
        <v>194</v>
      </c>
      <c r="AD10" s="295" t="s">
        <v>195</v>
      </c>
      <c r="AE10" s="291" t="s">
        <v>171</v>
      </c>
      <c r="AF10" s="291" t="s">
        <v>193</v>
      </c>
      <c r="AG10" s="385" t="s">
        <v>194</v>
      </c>
      <c r="AH10" s="290" t="s">
        <v>195</v>
      </c>
      <c r="AI10" s="290" t="s">
        <v>171</v>
      </c>
      <c r="AJ10" s="430" t="s">
        <v>193</v>
      </c>
      <c r="AK10" s="385" t="s">
        <v>194</v>
      </c>
      <c r="AL10" s="290" t="s">
        <v>195</v>
      </c>
      <c r="AM10" s="290" t="s">
        <v>171</v>
      </c>
      <c r="AN10" s="430" t="s">
        <v>193</v>
      </c>
    </row>
    <row r="11">
      <c r="B11" s="689" t="s">
        <v>769</v>
      </c>
      <c r="C11" s="581" t="s">
        <v>429</v>
      </c>
      <c r="D11" s="659"/>
      <c r="E11" s="695"/>
      <c r="F11" s="699" t="n">
        <v>60.5</v>
      </c>
      <c r="G11" s="699" t="n">
        <v>81.400000000000006</v>
      </c>
      <c r="H11" s="699" t="n">
        <f>'Haver Pivoted'!F42</f>
        <v>4.7</v>
      </c>
      <c r="I11" s="699" t="n">
        <f>'Haver Pivoted'!G42</f>
        <v>4.8</v>
      </c>
      <c r="J11" s="699" t="n">
        <f>'Haver Pivoted'!H42</f>
        <v>4.5</v>
      </c>
      <c r="K11" s="699" t="n">
        <f>'Haver Pivoted'!I42</f>
        <v>4.5999999999999996</v>
      </c>
      <c r="L11" s="699" t="n">
        <f>'Haver Pivoted'!J42</f>
        <v>6.1</v>
      </c>
      <c r="M11" s="699" t="n">
        <f>'Haver Pivoted'!K42</f>
        <v>6.2</v>
      </c>
      <c r="N11" s="699" t="n">
        <f>'Haver Pivoted'!L42</f>
        <v>7.1</v>
      </c>
      <c r="O11" s="699" t="n">
        <f>'Haver Pivoted'!M42</f>
        <v>7</v>
      </c>
      <c r="P11" s="699" t="n">
        <f>'Haver Pivoted'!N42</f>
        <v>5.9</v>
      </c>
      <c r="Q11" s="699" t="n">
        <f>'Haver Pivoted'!O42</f>
        <v>5.6</v>
      </c>
      <c r="R11" s="699" t="n">
        <f>'Haver Pivoted'!P42</f>
        <v>4.5999999999999996</v>
      </c>
      <c r="S11" s="700" t="n">
        <f>'Haver Pivoted'!Q42</f>
        <v>4.5</v>
      </c>
      <c r="T11" s="700" t="n">
        <f>'Haver Pivoted'!R42</f>
        <v>3.5</v>
      </c>
      <c r="U11" s="489" t="n">
        <f>'Haver Pivoted'!S42</f>
        <v>2.8</v>
      </c>
      <c r="V11" s="489" t="n">
        <f>'Haver Pivoted'!T42</f>
        <v>3.1</v>
      </c>
      <c r="W11" s="489" t="n">
        <f>'Haver Pivoted'!U42</f>
        <v>3.5</v>
      </c>
      <c r="X11" s="489" t="n">
        <f>'Haver Pivoted'!V42</f>
        <v>4.0999999999999996</v>
      </c>
      <c r="Y11" s="489" t="n">
        <f>'Haver Pivoted'!W42</f>
        <v>4.0999999999999996</v>
      </c>
      <c r="Z11" s="489" t="n">
        <f>'Haver Pivoted'!X42</f>
        <v>4.4000000000000004</v>
      </c>
      <c r="AA11" s="489" t="n">
        <f>'Haver Pivoted'!Y42</f>
        <v>4.8</v>
      </c>
      <c r="AB11" s="489" t="n">
        <f>'Haver Pivoted'!Z42</f>
        <v>5</v>
      </c>
      <c r="AC11" s="489" t="n">
        <f>'Haver Pivoted'!AA42</f>
        <v>4.7</v>
      </c>
      <c r="AD11" s="489" t="n">
        <f>'Haver Pivoted'!AB42</f>
        <v>4.9000000000000004</v>
      </c>
      <c r="AE11" s="676" t="n">
        <f t="shared" ref="AE11" si="0">AE12+AE13</f>
        <v>4.9000000000000004</v>
      </c>
      <c r="AF11" s="676" t="n">
        <f t="shared" ref="AF11" si="1">AF12+AF13</f>
        <v>7.99</v>
      </c>
      <c r="AG11" s="493" t="n">
        <f>AG12+AG13</f>
        <v>7.99</v>
      </c>
      <c r="AH11" s="493" t="n">
        <f>AH12+AH13</f>
        <v>7.99</v>
      </c>
      <c r="AI11" s="493" t="n">
        <f t="shared" ref="AI11" si="2">AI12+AI13</f>
        <v>7.99</v>
      </c>
      <c r="AJ11" s="493" t="n">
        <f>AJ12+AJ13</f>
        <v>7.99</v>
      </c>
      <c r="AK11" s="493" t="n">
        <f t="shared" ref="AK11:AN11" si="3">AK12+AK13</f>
        <v>7.99</v>
      </c>
      <c r="AL11" s="493" t="n">
        <f t="shared" si="3"/>
        <v>7.99</v>
      </c>
      <c r="AM11" s="493" t="n">
        <f t="shared" si="3"/>
        <v>7.99</v>
      </c>
      <c r="AN11" s="493" t="n">
        <f t="shared" si="3"/>
        <v>7.99</v>
      </c>
    </row>
    <row r="12" ht="16.5" customHeight="1">
      <c r="B12" s="570" t="s">
        <v>315</v>
      </c>
      <c r="C12" s="581"/>
      <c r="D12" s="689"/>
      <c r="E12" s="581"/>
      <c r="F12" s="580" t="n">
        <f>F11</f>
        <v>60.5</v>
      </c>
      <c r="G12" s="580" t="n">
        <f>G11</f>
        <v>81.400000000000006</v>
      </c>
      <c r="H12" s="580" t="n">
        <f t="shared" ref="H12:M12" si="4">H11-H13</f>
        <v>4.7</v>
      </c>
      <c r="I12" s="580" t="n">
        <f t="shared" si="4"/>
        <v>4.8</v>
      </c>
      <c r="J12" s="580" t="n">
        <f>J11-J13</f>
        <v>4.5</v>
      </c>
      <c r="K12" s="580" t="n">
        <f t="shared" si="4"/>
        <v>4.5999999999999996</v>
      </c>
      <c r="L12" s="580" t="n">
        <f>L11-L13</f>
        <v>6.1</v>
      </c>
      <c r="M12" s="580" t="n">
        <f t="shared" si="4"/>
        <v>6.2</v>
      </c>
      <c r="N12" s="580" t="n">
        <f t="shared" ref="N12:T12" si="5">N11-N13</f>
        <v>7.1</v>
      </c>
      <c r="O12" s="580" t="n">
        <f t="shared" si="5"/>
        <v>-17.516480000000001</v>
      </c>
      <c r="P12" s="580" t="n">
        <f t="shared" si="5"/>
        <v>-30.4</v>
      </c>
      <c r="Q12" s="580" t="n">
        <f t="shared" si="5"/>
        <v>-10.700000000000001</v>
      </c>
      <c r="R12" s="580" t="n">
        <f t="shared" si="5"/>
        <v>-11.700000000000001</v>
      </c>
      <c r="S12" s="489" t="n">
        <f t="shared" si="5"/>
        <v>-11.8</v>
      </c>
      <c r="T12" s="489" t="n">
        <f t="shared" si="5"/>
        <v>-8.522000000000002</v>
      </c>
      <c r="U12" s="489" t="n">
        <f t="shared" ref="U12:V12" si="6">U11-U13</f>
        <v>-9.708000000000002</v>
      </c>
      <c r="V12" s="489" t="n">
        <f t="shared" si="6"/>
        <v>-9.408000000000003</v>
      </c>
      <c r="W12" s="489" t="n">
        <f t="shared" ref="W12:AB12" si="7">W11-W13</f>
        <v>-9.0080000000000027</v>
      </c>
      <c r="X12" s="489" t="n">
        <f t="shared" si="7"/>
        <v>-5.5310000000000006</v>
      </c>
      <c r="Y12" s="489" t="n">
        <f t="shared" si="7"/>
        <v>-5.5310000000000006</v>
      </c>
      <c r="Z12" s="489" t="n">
        <f t="shared" si="7"/>
        <v>-5.2309999999999999</v>
      </c>
      <c r="AA12" s="489" t="n">
        <f t="shared" si="7"/>
        <v>-4.8310000000000004</v>
      </c>
      <c r="AB12" s="489" t="n">
        <f t="shared" si="7"/>
        <v>-9.4640000000000004</v>
      </c>
      <c r="AC12" s="489" t="n">
        <f>AC11-AC13</f>
        <v>-9.7639999999999993</v>
      </c>
      <c r="AD12" s="489" t="n">
        <f>AD11-AD13</f>
        <v>-1.5419999999999998</v>
      </c>
      <c r="AE12" s="493" t="n">
        <f t="shared" ref="AE12:AF12" si="8">AD12</f>
        <v>-1.5419999999999998</v>
      </c>
      <c r="AF12" s="493" t="n">
        <f t="shared" si="8"/>
        <v>-1.5419999999999998</v>
      </c>
      <c r="AG12" s="493" t="n">
        <f>AF12</f>
        <v>-1.5419999999999998</v>
      </c>
      <c r="AH12" s="493" t="n">
        <f>AG12</f>
        <v>-1.5419999999999998</v>
      </c>
      <c r="AI12" s="493" t="n">
        <f>AH12</f>
        <v>-1.5419999999999998</v>
      </c>
      <c r="AJ12" s="493" t="n">
        <f>AI12</f>
        <v>-1.5419999999999998</v>
      </c>
      <c r="AK12" s="493" t="n">
        <f t="shared" ref="AK12:AN12" si="9">AJ12</f>
        <v>-1.5419999999999998</v>
      </c>
      <c r="AL12" s="493" t="n">
        <f t="shared" si="9"/>
        <v>-1.5419999999999998</v>
      </c>
      <c r="AM12" s="493" t="n">
        <f t="shared" si="9"/>
        <v>-1.5419999999999998</v>
      </c>
      <c r="AN12" s="493" t="n">
        <f t="shared" si="9"/>
        <v>-1.5419999999999998</v>
      </c>
    </row>
    <row r="13">
      <c r="B13" s="569" t="s">
        <v>316</v>
      </c>
      <c r="C13" s="581"/>
      <c r="D13" s="689"/>
      <c r="E13" s="581"/>
      <c r="F13" s="697"/>
      <c r="G13" s="697"/>
      <c r="H13" s="580" t="n">
        <f>SUM(H16:H25)</f>
        <v>0</v>
      </c>
      <c r="I13" s="580" t="n">
        <f>SUM(I16:I25)</f>
        <v>0</v>
      </c>
      <c r="J13" s="580" t="n">
        <f t="shared" ref="J13:S13" si="10">SUM(J16:J25)+J14</f>
        <v>0</v>
      </c>
      <c r="K13" s="580" t="n">
        <f t="shared" si="10"/>
        <v>0</v>
      </c>
      <c r="L13" s="580" t="n">
        <f t="shared" si="10"/>
        <v>0</v>
      </c>
      <c r="M13" s="580" t="n">
        <f t="shared" si="10"/>
        <v>0</v>
      </c>
      <c r="N13" s="527" t="n">
        <f t="shared" si="10"/>
        <v>0</v>
      </c>
      <c r="O13" s="527" t="n">
        <f>SUM(O16:O25)+O14</f>
        <v>24.516480000000001</v>
      </c>
      <c r="P13" s="527" t="n">
        <f>SUM(P16:P25)+P14</f>
        <v>36.299999999999997</v>
      </c>
      <c r="Q13" s="527" t="n">
        <f t="shared" si="10"/>
        <v>16.3</v>
      </c>
      <c r="R13" s="527" t="n">
        <f t="shared" si="10"/>
        <v>16.3</v>
      </c>
      <c r="S13" s="527" t="n">
        <f t="shared" si="10"/>
        <v>16.3</v>
      </c>
      <c r="T13" s="527" t="n">
        <f t="shared" ref="T13:AB13" si="11">SUM(T16:T27)+T14</f>
        <v>12.022000000000002</v>
      </c>
      <c r="U13" s="527" t="n">
        <f t="shared" si="11"/>
        <v>12.508000000000003</v>
      </c>
      <c r="V13" s="527" t="n">
        <f t="shared" si="11"/>
        <v>12.508000000000003</v>
      </c>
      <c r="W13" s="527" t="n">
        <f>SUM(W16:W27)+W14</f>
        <v>12.508000000000003</v>
      </c>
      <c r="X13" s="527" t="n">
        <f>SUM(X16:X27)+X14</f>
        <v>9.6310000000000002</v>
      </c>
      <c r="Y13" s="493" t="n">
        <f t="shared" si="11"/>
        <v>9.6310000000000002</v>
      </c>
      <c r="Z13" s="493" t="n">
        <f t="shared" si="11"/>
        <v>9.6310000000000002</v>
      </c>
      <c r="AA13" s="493" t="n">
        <f t="shared" si="11"/>
        <v>9.6310000000000002</v>
      </c>
      <c r="AB13" s="493" t="n">
        <f t="shared" si="11"/>
        <v>14.464</v>
      </c>
      <c r="AC13" s="493" t="n">
        <f>SUM(AC16:AC27)+AC14</f>
        <v>14.464</v>
      </c>
      <c r="AD13" s="493" t="n">
        <f>SUM(AD16:AD27)+AD14</f>
        <v>6.4420000000000002</v>
      </c>
      <c r="AE13" s="493" t="n">
        <f t="shared" ref="AE13" si="12">SUM(AE16:AE27)+AE14</f>
        <v>6.4420000000000002</v>
      </c>
      <c r="AF13" s="493" t="n">
        <f t="shared" ref="AF13:AH13" si="13">SUM(AF16:AF27)+AF14</f>
        <v>9.532</v>
      </c>
      <c r="AG13" s="493" t="n">
        <f>SUM(AG16:AG27)+AG14</f>
        <v>9.532</v>
      </c>
      <c r="AH13" s="493" t="n">
        <f t="shared" si="13"/>
        <v>9.532</v>
      </c>
      <c r="AI13" s="493" t="n">
        <f t="shared" ref="AI13" si="14">SUM(AI16:AI27)+AI14</f>
        <v>9.532</v>
      </c>
      <c r="AJ13" s="493" t="n">
        <f>SUM(AJ16:AJ27)+AJ14</f>
        <v>9.532</v>
      </c>
      <c r="AK13" s="493" t="n">
        <f>SUM(AK16:AK27)+AK14</f>
        <v>9.532</v>
      </c>
      <c r="AL13" s="493" t="n">
        <f t="shared" ref="AL13:AN13" si="15">SUM(AL16:AL27)+AL14</f>
        <v>9.532</v>
      </c>
      <c r="AM13" s="493" t="n">
        <f t="shared" si="15"/>
        <v>9.532</v>
      </c>
      <c r="AN13" s="493" t="n">
        <f t="shared" si="15"/>
        <v>9.532</v>
      </c>
    </row>
    <row r="14">
      <c r="B14" s="510" t="s">
        <v>41</v>
      </c>
      <c r="C14" s="516" t="s">
        <v>240</v>
      </c>
      <c r="D14" s="507"/>
      <c r="E14" s="516"/>
      <c r="F14" s="580"/>
      <c r="G14" s="580"/>
      <c r="H14" s="580" t="n">
        <f>'Haver Pivoted'!F49</f>
        <v>0</v>
      </c>
      <c r="I14" s="580" t="n">
        <f>'Haver Pivoted'!G49</f>
        <v>0</v>
      </c>
      <c r="J14" s="580" t="n">
        <f>'Haver Pivoted'!H49</f>
        <v>0</v>
      </c>
      <c r="K14" s="580" t="n">
        <f>'Haver Pivoted'!I49</f>
        <v>0</v>
      </c>
      <c r="L14" s="580" t="n">
        <f>'Haver Pivoted'!J49</f>
        <v>0</v>
      </c>
      <c r="M14" s="580" t="n">
        <f>'Haver Pivoted'!K49</f>
        <v>0</v>
      </c>
      <c r="N14" s="580" t="n">
        <f>'Haver Pivoted'!L49</f>
        <v>0</v>
      </c>
      <c r="O14" s="580" t="n">
        <f>'Haver Pivoted'!M49</f>
        <v>0</v>
      </c>
      <c r="P14" s="580" t="n">
        <f>'Haver Pivoted'!N49</f>
        <v>0</v>
      </c>
      <c r="Q14" s="580" t="n">
        <f>'Haver Pivoted'!O49</f>
        <v>0</v>
      </c>
      <c r="R14" s="580" t="n">
        <f>'Haver Pivoted'!P49</f>
        <v>0</v>
      </c>
      <c r="S14" s="489" t="n">
        <f>'Haver Pivoted'!Q49</f>
        <v>0</v>
      </c>
      <c r="T14" s="489" t="n">
        <f>'Haver Pivoted'!R49</f>
        <v>0</v>
      </c>
      <c r="U14" s="489" t="n">
        <f>'Haver Pivoted'!S49</f>
        <v>0</v>
      </c>
      <c r="V14" s="489" t="n">
        <f>'Haver Pivoted'!T49</f>
        <v>0</v>
      </c>
      <c r="W14" s="707" t="n">
        <f>'Haver Pivoted'!U49</f>
        <v>0</v>
      </c>
      <c r="X14" s="707" t="n">
        <f>'Haver Pivoted'!V49</f>
        <v>0</v>
      </c>
      <c r="Y14" s="707" t="n">
        <f>'Haver Pivoted'!W49</f>
        <v>0</v>
      </c>
      <c r="Z14" s="707" t="n">
        <f>'Haver Pivoted'!X49</f>
        <v>0</v>
      </c>
      <c r="AA14" s="707" t="n">
        <f>'Haver Pivoted'!Y49</f>
        <v>0</v>
      </c>
      <c r="AB14" s="707" t="n">
        <f>'Haver Pivoted'!Z49</f>
        <v>0</v>
      </c>
      <c r="AC14" s="707" t="n">
        <f>'Haver Pivoted'!AA49</f>
        <v>0</v>
      </c>
      <c r="AD14" s="707" t="n">
        <f>'Haver Pivoted'!AB49</f>
        <v>0</v>
      </c>
      <c r="AE14" s="380"/>
      <c r="AF14" s="380"/>
      <c r="AG14" s="380"/>
      <c r="AH14" s="380"/>
      <c r="AI14" s="380"/>
      <c r="AJ14" s="380"/>
      <c r="AK14" s="380"/>
      <c r="AL14" s="380"/>
      <c r="AM14" s="380"/>
      <c r="AN14" s="380"/>
    </row>
    <row r="15">
      <c r="B15" s="569" t="s">
        <v>317</v>
      </c>
      <c r="C15" s="581"/>
      <c r="D15" s="689"/>
      <c r="E15" s="581"/>
      <c r="F15" s="697"/>
      <c r="G15" s="697"/>
      <c r="H15" s="580" t="n">
        <f t="shared" ref="H15:AC15" si="16">SUM(H16:H25)</f>
        <v>0</v>
      </c>
      <c r="I15" s="580" t="n">
        <f t="shared" si="16"/>
        <v>0</v>
      </c>
      <c r="J15" s="580" t="n">
        <f t="shared" si="16"/>
        <v>0</v>
      </c>
      <c r="K15" s="580" t="n">
        <f t="shared" si="16"/>
        <v>0</v>
      </c>
      <c r="L15" s="580" t="n">
        <f t="shared" si="16"/>
        <v>0</v>
      </c>
      <c r="M15" s="580" t="n">
        <f t="shared" si="16"/>
        <v>0</v>
      </c>
      <c r="N15" s="580" t="n">
        <f t="shared" si="16"/>
        <v>0</v>
      </c>
      <c r="O15" s="580" t="n">
        <f t="shared" si="16"/>
        <v>24.516480000000001</v>
      </c>
      <c r="P15" s="580" t="n">
        <f>SUM(P16:P25)</f>
        <v>36.299999999999997</v>
      </c>
      <c r="Q15" s="580" t="n">
        <f t="shared" si="16"/>
        <v>16.3</v>
      </c>
      <c r="R15" s="580" t="n">
        <f t="shared" si="16"/>
        <v>16.3</v>
      </c>
      <c r="S15" s="580" t="n">
        <f t="shared" si="16"/>
        <v>16.3</v>
      </c>
      <c r="T15" s="580" t="n">
        <f t="shared" si="16"/>
        <v>8.4</v>
      </c>
      <c r="U15" s="580" t="n">
        <f t="shared" si="16"/>
        <v>8.886000000000001</v>
      </c>
      <c r="V15" s="580" t="n">
        <f t="shared" si="16"/>
        <v>8.886000000000001</v>
      </c>
      <c r="W15" s="549" t="n">
        <f t="shared" si="16"/>
        <v>8.886000000000001</v>
      </c>
      <c r="X15" s="580" t="n">
        <f t="shared" si="16"/>
        <v>0.2</v>
      </c>
      <c r="Y15" s="677" t="n">
        <f t="shared" si="16"/>
        <v>0.2</v>
      </c>
      <c r="Z15" s="677" t="n">
        <f t="shared" si="16"/>
        <v>0.2</v>
      </c>
      <c r="AA15" s="677" t="n">
        <f t="shared" si="16"/>
        <v>0.2</v>
      </c>
      <c r="AB15" s="677" t="n">
        <f t="shared" si="16"/>
        <v>0</v>
      </c>
      <c r="AC15" s="677" t="n">
        <f t="shared" si="16"/>
        <v>0</v>
      </c>
      <c r="AD15" s="677" t="n">
        <f t="shared" ref="AD15:AE15" si="17">SUM(AD16:AD25)</f>
        <v>0</v>
      </c>
      <c r="AE15" s="677" t="n">
        <f t="shared" si="17"/>
        <v>0</v>
      </c>
      <c r="AF15" s="677" t="n">
        <f t="shared" ref="AF15:AG15" si="18">SUM(AF16:AF25)</f>
        <v>0</v>
      </c>
      <c r="AG15" s="677" t="n">
        <f t="shared" si="18"/>
        <v>0</v>
      </c>
      <c r="AH15" s="677"/>
      <c r="AI15" s="677"/>
      <c r="AJ15" s="677"/>
      <c r="AK15" s="677"/>
      <c r="AL15" s="677"/>
      <c r="AM15" s="677"/>
      <c r="AN15" s="677"/>
    </row>
    <row r="16">
      <c r="B16" s="686" t="s">
        <v>99</v>
      </c>
      <c r="C16" s="537" t="s">
        <v>318</v>
      </c>
      <c r="D16" s="574"/>
      <c r="E16" s="537"/>
      <c r="F16" s="580"/>
      <c r="G16" s="580"/>
      <c r="H16" s="580" t="n">
        <f>'Haver Pivoted'!F53</f>
        <v>0</v>
      </c>
      <c r="I16" s="580" t="n">
        <f>'Haver Pivoted'!G53</f>
        <v>0</v>
      </c>
      <c r="J16" s="580" t="n">
        <f>'Haver Pivoted'!H53</f>
        <v>0</v>
      </c>
      <c r="K16" s="580" t="n">
        <f>'Haver Pivoted'!I53</f>
        <v>0</v>
      </c>
      <c r="L16" s="580" t="n">
        <f>'Haver Pivoted'!J53</f>
        <v>0</v>
      </c>
      <c r="M16" s="580" t="n">
        <f>'Haver Pivoted'!K53</f>
        <v>0</v>
      </c>
      <c r="N16" s="580" t="n">
        <f>'Haver Pivoted'!L53</f>
        <v>0</v>
      </c>
      <c r="O16" s="580" t="n">
        <f>'Haver Pivoted'!M53</f>
        <v>0</v>
      </c>
      <c r="P16" s="580" t="n">
        <f>'Haver Pivoted'!N53</f>
        <v>0</v>
      </c>
      <c r="Q16" s="580" t="n">
        <f>'Haver Pivoted'!O53</f>
        <v>0</v>
      </c>
      <c r="R16" s="580" t="n">
        <f>'Haver Pivoted'!P53</f>
        <v>0</v>
      </c>
      <c r="S16" s="489" t="n">
        <f>'Haver Pivoted'!Q53</f>
        <v>0</v>
      </c>
      <c r="T16" s="489" t="n">
        <f>'Haver Pivoted'!R53</f>
        <v>0</v>
      </c>
      <c r="U16" s="489" t="n">
        <f>'Haver Pivoted'!S53</f>
        <v>0</v>
      </c>
      <c r="V16" s="489" t="n">
        <f>'Haver Pivoted'!T53</f>
        <v>0</v>
      </c>
      <c r="W16" s="707" t="n">
        <f>'Haver Pivoted'!U53</f>
        <v>0</v>
      </c>
      <c r="X16" s="707" t="n">
        <f>'Haver Pivoted'!V53</f>
        <v>0</v>
      </c>
      <c r="Y16" s="707" t="n">
        <f>'Haver Pivoted'!W53</f>
        <v>0</v>
      </c>
      <c r="Z16" s="707" t="n">
        <f>'Haver Pivoted'!X53</f>
        <v>0</v>
      </c>
      <c r="AA16" s="707" t="n">
        <f>'Haver Pivoted'!Y53</f>
        <v>0</v>
      </c>
      <c r="AB16" s="707" t="n">
        <f>'Haver Pivoted'!Z53</f>
        <v>0</v>
      </c>
      <c r="AC16" s="707" t="n">
        <f>'Haver Pivoted'!AA53</f>
        <v>0</v>
      </c>
      <c r="AD16" s="707" t="n">
        <f>'Haver Pivoted'!AB53</f>
        <v>0</v>
      </c>
      <c r="AE16" s="380"/>
      <c r="AF16" s="380"/>
      <c r="AG16" s="380"/>
      <c r="AH16" s="380"/>
      <c r="AI16" s="380"/>
      <c r="AJ16" s="380"/>
      <c r="AK16" s="380"/>
      <c r="AL16" s="380"/>
      <c r="AM16" s="380"/>
      <c r="AN16" s="380"/>
    </row>
    <row r="17">
      <c r="B17" s="686" t="s">
        <v>97</v>
      </c>
      <c r="C17" s="537" t="s">
        <v>319</v>
      </c>
      <c r="D17" s="574"/>
      <c r="E17" s="537"/>
      <c r="F17" s="580"/>
      <c r="G17" s="580"/>
      <c r="H17" s="580" t="n">
        <f>'Haver Pivoted'!F51</f>
        <v>0</v>
      </c>
      <c r="I17" s="580" t="n">
        <f>'Haver Pivoted'!G51</f>
        <v>0</v>
      </c>
      <c r="J17" s="580" t="n">
        <f>'Haver Pivoted'!H51</f>
        <v>0</v>
      </c>
      <c r="K17" s="580" t="n">
        <f>'Haver Pivoted'!I51</f>
        <v>0</v>
      </c>
      <c r="L17" s="580" t="n">
        <f>'Haver Pivoted'!J51</f>
        <v>0</v>
      </c>
      <c r="M17" s="580" t="n">
        <f>'Haver Pivoted'!K51</f>
        <v>0</v>
      </c>
      <c r="N17" s="580" t="n">
        <f>'Haver Pivoted'!L51</f>
        <v>0</v>
      </c>
      <c r="O17" s="580" t="n">
        <f>'Haver Pivoted'!M51</f>
        <v>0</v>
      </c>
      <c r="P17" s="580" t="n">
        <f>'Haver Pivoted'!N51</f>
        <v>0</v>
      </c>
      <c r="Q17" s="580" t="n">
        <f>'Haver Pivoted'!O51</f>
        <v>0</v>
      </c>
      <c r="R17" s="580" t="n">
        <f>'Haver Pivoted'!P51</f>
        <v>0</v>
      </c>
      <c r="S17" s="489" t="n">
        <f>'Haver Pivoted'!Q51</f>
        <v>0</v>
      </c>
      <c r="T17" s="489" t="n">
        <f>'Haver Pivoted'!R51</f>
        <v>0</v>
      </c>
      <c r="U17" s="489" t="n">
        <f>'Haver Pivoted'!S51</f>
        <v>0</v>
      </c>
      <c r="V17" s="489" t="n">
        <f>'Haver Pivoted'!T51</f>
        <v>0</v>
      </c>
      <c r="W17" s="707" t="n">
        <f>'Haver Pivoted'!U51</f>
        <v>0</v>
      </c>
      <c r="X17" s="707" t="n">
        <f>'Haver Pivoted'!V51</f>
        <v>0</v>
      </c>
      <c r="Y17" s="707" t="n">
        <f>'Haver Pivoted'!W51</f>
        <v>0</v>
      </c>
      <c r="Z17" s="707" t="n">
        <f>'Haver Pivoted'!X51</f>
        <v>0</v>
      </c>
      <c r="AA17" s="707" t="n">
        <f>'Haver Pivoted'!Y51</f>
        <v>0</v>
      </c>
      <c r="AB17" s="707" t="n">
        <f>'Haver Pivoted'!Z51</f>
        <v>0</v>
      </c>
      <c r="AC17" s="707" t="n">
        <f>'Haver Pivoted'!AA51</f>
        <v>0</v>
      </c>
      <c r="AD17" s="707" t="n">
        <f>'Haver Pivoted'!AB51</f>
        <v>0</v>
      </c>
      <c r="AE17" s="493" t="n">
        <f t="shared" ref="AE17" si="19">AD17</f>
        <v>0</v>
      </c>
      <c r="AF17" s="493" t="n">
        <f t="shared" ref="AF17" si="20">AE17</f>
        <v>0</v>
      </c>
      <c r="AG17" s="493" t="n">
        <f t="shared" ref="AG17:AH17" si="21">AF17</f>
        <v>0</v>
      </c>
      <c r="AH17" s="493" t="n">
        <f t="shared" si="21"/>
        <v>0</v>
      </c>
      <c r="AI17" s="493" t="n">
        <f t="shared" ref="AI17" si="22">AH17</f>
        <v>0</v>
      </c>
      <c r="AJ17" s="493" t="n">
        <f t="shared" ref="AJ17" si="23">AI17</f>
        <v>0</v>
      </c>
      <c r="AK17" s="493" t="n">
        <f t="shared" ref="AK17" si="24">AJ17</f>
        <v>0</v>
      </c>
      <c r="AL17" s="493" t="n">
        <f t="shared" ref="AL17" si="25">AK17</f>
        <v>0</v>
      </c>
      <c r="AM17" s="493" t="n">
        <f t="shared" ref="AM17" si="26">AL17</f>
        <v>0</v>
      </c>
      <c r="AN17" s="493" t="n">
        <f t="shared" ref="AN17" si="27">AM17</f>
        <v>0</v>
      </c>
    </row>
    <row r="18">
      <c r="B18" s="686" t="s">
        <v>96</v>
      </c>
      <c r="C18" s="516" t="s">
        <v>320</v>
      </c>
      <c r="D18" s="507"/>
      <c r="E18" s="516"/>
      <c r="F18" s="580"/>
      <c r="G18" s="580"/>
      <c r="H18" s="580" t="n">
        <f>'Haver Pivoted'!F50</f>
        <v>0</v>
      </c>
      <c r="I18" s="580" t="n">
        <f>'Haver Pivoted'!G50</f>
        <v>0</v>
      </c>
      <c r="J18" s="580" t="n">
        <f>'Haver Pivoted'!H50</f>
        <v>0</v>
      </c>
      <c r="K18" s="580" t="n">
        <f>'Haver Pivoted'!I50</f>
        <v>0</v>
      </c>
      <c r="L18" s="580" t="n">
        <f>'Haver Pivoted'!J50</f>
        <v>0</v>
      </c>
      <c r="M18" s="580" t="n">
        <f>'Haver Pivoted'!K50</f>
        <v>0</v>
      </c>
      <c r="N18" s="580" t="n">
        <f>'Haver Pivoted'!L50</f>
        <v>0</v>
      </c>
      <c r="O18" s="580" t="n">
        <f>'Haver Pivoted'!M50</f>
        <v>0</v>
      </c>
      <c r="P18" s="580" t="n">
        <f>'Haver Pivoted'!N50</f>
        <v>0</v>
      </c>
      <c r="Q18" s="580" t="n">
        <f>'Haver Pivoted'!O50</f>
        <v>0</v>
      </c>
      <c r="R18" s="580" t="n">
        <f>'Haver Pivoted'!P50</f>
        <v>0</v>
      </c>
      <c r="S18" s="489" t="n">
        <f>'Haver Pivoted'!Q50</f>
        <v>0</v>
      </c>
      <c r="T18" s="489" t="n">
        <f>'Haver Pivoted'!R50</f>
        <v>0</v>
      </c>
      <c r="U18" s="489" t="n">
        <f>'Haver Pivoted'!S50</f>
        <v>0</v>
      </c>
      <c r="V18" s="489" t="n">
        <f>'Haver Pivoted'!T50</f>
        <v>0</v>
      </c>
      <c r="W18" s="707" t="n">
        <f>'Haver Pivoted'!U50</f>
        <v>0</v>
      </c>
      <c r="X18" s="707" t="n">
        <f>'Haver Pivoted'!V50</f>
        <v>0</v>
      </c>
      <c r="Y18" s="707" t="n">
        <f>'Haver Pivoted'!W50</f>
        <v>0</v>
      </c>
      <c r="Z18" s="707" t="n">
        <f>'Haver Pivoted'!X50</f>
        <v>0</v>
      </c>
      <c r="AA18" s="707" t="n">
        <f>'Haver Pivoted'!Y50</f>
        <v>0</v>
      </c>
      <c r="AB18" s="707" t="n">
        <f>'Haver Pivoted'!Z50</f>
        <v>0</v>
      </c>
      <c r="AC18" s="707" t="n">
        <f>'Haver Pivoted'!AA50</f>
        <v>0</v>
      </c>
      <c r="AD18" s="707" t="n">
        <f>'Haver Pivoted'!AB50</f>
        <v>0</v>
      </c>
      <c r="AE18" s="493" t="n">
        <f t="shared" ref="AE18" si="28">AE30</f>
        <v>0</v>
      </c>
      <c r="AF18" s="493" t="n">
        <f t="shared" ref="AF18:AG18" si="29">AF30</f>
        <v>0</v>
      </c>
      <c r="AG18" s="493" t="n">
        <f t="shared" si="29"/>
        <v>0</v>
      </c>
      <c r="AH18" s="493" t="n">
        <f t="shared" ref="AH18:AJ18" si="30">AH30</f>
        <v>0</v>
      </c>
      <c r="AI18" s="493" t="n">
        <f t="shared" si="30"/>
        <v>0</v>
      </c>
      <c r="AJ18" s="493" t="n">
        <f t="shared" si="30"/>
        <v>0</v>
      </c>
      <c r="AK18" s="493" t="n">
        <f t="shared" ref="AK18:AN18" si="31">AK30</f>
        <v>0</v>
      </c>
      <c r="AL18" s="493" t="n">
        <f t="shared" si="31"/>
        <v>0</v>
      </c>
      <c r="AM18" s="493" t="n">
        <f t="shared" si="31"/>
        <v>0</v>
      </c>
      <c r="AN18" s="493" t="n">
        <f t="shared" si="31"/>
        <v>0</v>
      </c>
    </row>
    <row r="19">
      <c r="B19" s="686" t="s">
        <v>321</v>
      </c>
      <c r="C19" s="516" t="s">
        <v>220</v>
      </c>
      <c r="D19" s="507"/>
      <c r="E19" s="516"/>
      <c r="F19" s="580"/>
      <c r="G19" s="580"/>
      <c r="H19" s="580" t="n">
        <f>'Haver Pivoted'!F54</f>
        <v>0</v>
      </c>
      <c r="I19" s="580" t="n">
        <f>'Haver Pivoted'!G54</f>
        <v>0</v>
      </c>
      <c r="J19" s="580" t="n">
        <f>'Haver Pivoted'!H54</f>
        <v>0</v>
      </c>
      <c r="K19" s="580" t="n">
        <f>'Haver Pivoted'!I54</f>
        <v>0</v>
      </c>
      <c r="L19" s="580" t="n">
        <f>'Haver Pivoted'!J54</f>
        <v>0</v>
      </c>
      <c r="M19" s="580" t="n">
        <f>'Haver Pivoted'!K54</f>
        <v>0</v>
      </c>
      <c r="N19" s="580" t="n">
        <f>'Haver Pivoted'!L54</f>
        <v>0</v>
      </c>
      <c r="O19" s="580" t="n">
        <f>'Haver Pivoted'!M54</f>
        <v>0</v>
      </c>
      <c r="P19" s="580" t="n">
        <f>'Haver Pivoted'!N54</f>
        <v>0</v>
      </c>
      <c r="Q19" s="580" t="n">
        <f>'Haver Pivoted'!O54</f>
        <v>0</v>
      </c>
      <c r="R19" s="580" t="n">
        <f>'Haver Pivoted'!P54</f>
        <v>0</v>
      </c>
      <c r="S19" s="489" t="n">
        <f>'Haver Pivoted'!Q54</f>
        <v>0</v>
      </c>
      <c r="T19" s="489" t="n">
        <f>'Haver Pivoted'!R54</f>
        <v>0</v>
      </c>
      <c r="U19" s="489" t="n">
        <f>'Haver Pivoted'!S54</f>
        <v>0</v>
      </c>
      <c r="V19" s="489" t="n">
        <f>'Haver Pivoted'!T54</f>
        <v>0</v>
      </c>
      <c r="W19" s="707" t="n">
        <f>'Haver Pivoted'!U54</f>
        <v>0</v>
      </c>
      <c r="X19" s="707" t="n">
        <f>'Haver Pivoted'!V54</f>
        <v>0</v>
      </c>
      <c r="Y19" s="707" t="n">
        <f>'Haver Pivoted'!W54</f>
        <v>0</v>
      </c>
      <c r="Z19" s="707" t="n">
        <f>'Haver Pivoted'!X54</f>
        <v>0</v>
      </c>
      <c r="AA19" s="707" t="n">
        <f>'Haver Pivoted'!Y54</f>
        <v>0</v>
      </c>
      <c r="AB19" s="707" t="n">
        <f>'Haver Pivoted'!Z54</f>
        <v>0</v>
      </c>
      <c r="AC19" s="707" t="n">
        <f>'Haver Pivoted'!AA54</f>
        <v>0</v>
      </c>
      <c r="AD19" s="707" t="n">
        <f>'Haver Pivoted'!AB54</f>
        <v>0</v>
      </c>
      <c r="AE19" s="380"/>
      <c r="AF19" s="380"/>
      <c r="AG19" s="380"/>
      <c r="AH19" s="380"/>
      <c r="AI19" s="380"/>
      <c r="AJ19" s="380"/>
      <c r="AK19" s="380"/>
      <c r="AL19" s="380"/>
      <c r="AM19" s="380"/>
      <c r="AN19" s="380"/>
    </row>
    <row r="20">
      <c r="B20" s="686" t="s">
        <v>98</v>
      </c>
      <c r="C20" s="516" t="s">
        <v>322</v>
      </c>
      <c r="D20" s="507"/>
      <c r="E20" s="516"/>
      <c r="F20" s="580"/>
      <c r="G20" s="580"/>
      <c r="H20" s="580" t="n">
        <f>'Haver Pivoted'!F52</f>
        <v>0</v>
      </c>
      <c r="I20" s="580" t="n">
        <f>'Haver Pivoted'!G52</f>
        <v>0</v>
      </c>
      <c r="J20" s="580" t="n">
        <f>'Haver Pivoted'!H52</f>
        <v>0</v>
      </c>
      <c r="K20" s="580" t="n">
        <f>'Haver Pivoted'!I52</f>
        <v>0</v>
      </c>
      <c r="L20" s="580" t="n">
        <f>'Haver Pivoted'!J52</f>
        <v>0</v>
      </c>
      <c r="M20" s="580" t="n">
        <f>'Haver Pivoted'!K52</f>
        <v>0</v>
      </c>
      <c r="N20" s="580" t="n">
        <f>'Haver Pivoted'!L52</f>
        <v>0</v>
      </c>
      <c r="O20" s="580" t="n">
        <f>'Haver Pivoted'!M52</f>
        <v>0</v>
      </c>
      <c r="P20" s="580" t="n">
        <f>'Haver Pivoted'!N52</f>
        <v>0</v>
      </c>
      <c r="Q20" s="580" t="n">
        <f>'Haver Pivoted'!O52</f>
        <v>0</v>
      </c>
      <c r="R20" s="580" t="n">
        <f>'Haver Pivoted'!P52</f>
        <v>0</v>
      </c>
      <c r="S20" s="489" t="n">
        <f>'Haver Pivoted'!Q52</f>
        <v>0</v>
      </c>
      <c r="T20" s="489" t="n">
        <f>'Haver Pivoted'!R52</f>
        <v>0</v>
      </c>
      <c r="U20" s="527" t="n">
        <f t="shared" ref="U20:AC20" si="32">U37</f>
        <v>0.48599999999999993</v>
      </c>
      <c r="V20" s="527" t="n">
        <f t="shared" si="32"/>
        <v>0.48599999999999993</v>
      </c>
      <c r="W20" s="549" t="n">
        <f t="shared" si="32"/>
        <v>0.48599999999999993</v>
      </c>
      <c r="X20" s="527" t="n">
        <f t="shared" si="32"/>
        <v>0</v>
      </c>
      <c r="Y20" s="493" t="n">
        <f t="shared" si="32"/>
        <v>0</v>
      </c>
      <c r="Z20" s="493" t="n">
        <f t="shared" si="32"/>
        <v>0</v>
      </c>
      <c r="AA20" s="493" t="n">
        <f t="shared" si="32"/>
        <v>0</v>
      </c>
      <c r="AB20" s="493" t="n">
        <f t="shared" si="32"/>
        <v>0</v>
      </c>
      <c r="AC20" s="493" t="n">
        <f t="shared" si="32"/>
        <v>0</v>
      </c>
      <c r="AD20" s="493" t="n">
        <f t="shared" ref="AD20:AE20" si="33">AD37</f>
        <v>0</v>
      </c>
      <c r="AE20" s="493" t="n">
        <f t="shared" si="33"/>
        <v>0</v>
      </c>
      <c r="AF20" s="493" t="n">
        <f t="shared" ref="AF20:AG20" si="34">AF37</f>
        <v>0</v>
      </c>
      <c r="AG20" s="493" t="n">
        <f t="shared" si="34"/>
        <v>0</v>
      </c>
      <c r="AH20" s="493" t="n">
        <f t="shared" ref="AH20:AJ20" si="35">AH37</f>
        <v>0</v>
      </c>
      <c r="AI20" s="493" t="n">
        <f t="shared" si="35"/>
        <v>0</v>
      </c>
      <c r="AJ20" s="493" t="n">
        <f t="shared" si="35"/>
        <v>0</v>
      </c>
      <c r="AK20" s="493" t="n">
        <f t="shared" ref="AK20:AN20" si="36">AK37</f>
        <v>0</v>
      </c>
      <c r="AL20" s="493" t="n">
        <f t="shared" si="36"/>
        <v>0</v>
      </c>
      <c r="AM20" s="493" t="n">
        <f t="shared" si="36"/>
        <v>0</v>
      </c>
      <c r="AN20" s="493" t="n">
        <f t="shared" si="36"/>
        <v>0</v>
      </c>
    </row>
    <row r="21">
      <c r="B21" s="686" t="s">
        <v>100</v>
      </c>
      <c r="C21" s="516" t="s">
        <v>323</v>
      </c>
      <c r="D21" s="507"/>
      <c r="E21" s="516"/>
      <c r="F21" s="580"/>
      <c r="G21" s="580"/>
      <c r="H21" s="580" t="n">
        <f>'Haver Pivoted'!F55</f>
        <v>0</v>
      </c>
      <c r="I21" s="580" t="n">
        <f>'Haver Pivoted'!G55</f>
        <v>0</v>
      </c>
      <c r="J21" s="580" t="n">
        <f>'Haver Pivoted'!H55</f>
        <v>0</v>
      </c>
      <c r="K21" s="580" t="n">
        <f>'Haver Pivoted'!I55</f>
        <v>0</v>
      </c>
      <c r="L21" s="580" t="n">
        <f>'Haver Pivoted'!J55</f>
        <v>0</v>
      </c>
      <c r="M21" s="580" t="n">
        <f>'Haver Pivoted'!K55</f>
        <v>0</v>
      </c>
      <c r="N21" s="580" t="n">
        <f>'Haver Pivoted'!L55</f>
        <v>0</v>
      </c>
      <c r="O21" s="580" t="n">
        <f>'Haver Pivoted'!M55</f>
        <v>0</v>
      </c>
      <c r="P21" s="580" t="n">
        <f>'Haver Pivoted'!N55</f>
        <v>0</v>
      </c>
      <c r="Q21" s="580" t="n">
        <f>'Haver Pivoted'!O55</f>
        <v>0</v>
      </c>
      <c r="R21" s="580" t="n">
        <f>'Haver Pivoted'!P55</f>
        <v>0</v>
      </c>
      <c r="S21" s="489" t="n">
        <f>'Haver Pivoted'!Q55</f>
        <v>0</v>
      </c>
      <c r="T21" s="489" t="n">
        <f>'Haver Pivoted'!R55</f>
        <v>0</v>
      </c>
      <c r="U21" s="489" t="n">
        <f>'Haver Pivoted'!S55</f>
        <v>0</v>
      </c>
      <c r="V21" s="489" t="n">
        <f>'Haver Pivoted'!T55</f>
        <v>0</v>
      </c>
      <c r="W21" s="707" t="n">
        <f>'Haver Pivoted'!U55</f>
        <v>0</v>
      </c>
      <c r="X21" s="707" t="n">
        <f>'Haver Pivoted'!V55</f>
        <v>0</v>
      </c>
      <c r="Y21" s="707" t="n">
        <f>'Haver Pivoted'!W55</f>
        <v>0</v>
      </c>
      <c r="Z21" s="707" t="n">
        <f>'Haver Pivoted'!X55</f>
        <v>0</v>
      </c>
      <c r="AA21" s="707" t="n">
        <f>'Haver Pivoted'!Y55</f>
        <v>0</v>
      </c>
      <c r="AB21" s="707" t="n">
        <f>'Haver Pivoted'!Z55</f>
        <v>0</v>
      </c>
      <c r="AC21" s="707" t="n">
        <f>'Haver Pivoted'!AA55</f>
        <v>0</v>
      </c>
      <c r="AD21" s="707" t="n">
        <f>'Haver Pivoted'!AB55</f>
        <v>0</v>
      </c>
      <c r="AE21" s="493" t="n">
        <f t="shared" ref="AE21" si="37">AD21</f>
        <v>0</v>
      </c>
      <c r="AF21" s="493" t="n">
        <f t="shared" ref="AF21" si="38">AE21</f>
        <v>0</v>
      </c>
      <c r="AG21" s="493" t="n">
        <f t="shared" ref="AG21:AH21" si="39">AF21</f>
        <v>0</v>
      </c>
      <c r="AH21" s="493" t="n">
        <f t="shared" si="39"/>
        <v>0</v>
      </c>
      <c r="AI21" s="493" t="n">
        <f t="shared" ref="AI21" si="40">AH21</f>
        <v>0</v>
      </c>
      <c r="AJ21" s="493" t="n">
        <f t="shared" ref="AJ21" si="41">AI21</f>
        <v>0</v>
      </c>
      <c r="AK21" s="493" t="n">
        <f t="shared" ref="AK21" si="42">AJ21</f>
        <v>0</v>
      </c>
      <c r="AL21" s="493" t="n">
        <f t="shared" ref="AL21" si="43">AK21</f>
        <v>0</v>
      </c>
      <c r="AM21" s="493" t="n">
        <f t="shared" ref="AM21" si="44">AL21</f>
        <v>0</v>
      </c>
      <c r="AN21" s="493" t="n">
        <f t="shared" ref="AN21" si="45">AM21</f>
        <v>0</v>
      </c>
    </row>
    <row r="22">
      <c r="B22" s="686" t="s">
        <v>324</v>
      </c>
      <c r="C22" s="516" t="s">
        <v>697</v>
      </c>
      <c r="D22" s="520"/>
      <c r="E22" s="580"/>
      <c r="F22" s="580"/>
      <c r="G22" s="580"/>
      <c r="H22" s="580"/>
      <c r="I22" s="580"/>
      <c r="J22" s="580"/>
      <c r="K22" s="580"/>
      <c r="L22" s="580"/>
      <c r="M22" s="580"/>
      <c r="N22" s="580" t="n">
        <f>'Haver Pivoted'!L87</f>
        <v>0</v>
      </c>
      <c r="O22" s="580" t="n">
        <f>'Haver Pivoted'!M87</f>
        <v>0</v>
      </c>
      <c r="P22" s="580" t="n">
        <f>'Haver Pivoted'!N87</f>
        <v>0</v>
      </c>
      <c r="Q22" s="580" t="n">
        <f>'Haver Pivoted'!O87</f>
        <v>0</v>
      </c>
      <c r="R22" s="580" t="n">
        <f>'Haver Pivoted'!P87</f>
        <v>0</v>
      </c>
      <c r="S22" s="489" t="n">
        <f>'Haver Pivoted'!Q87</f>
        <v>0</v>
      </c>
      <c r="T22" s="489" t="n">
        <f>'Haver Pivoted'!R87</f>
        <v>0</v>
      </c>
      <c r="U22" s="489" t="n">
        <f>'Haver Pivoted'!S87</f>
        <v>0</v>
      </c>
      <c r="V22" s="489" t="n">
        <f>'Haver Pivoted'!T87</f>
        <v>0</v>
      </c>
      <c r="W22" s="707" t="n">
        <f>'Haver Pivoted'!U87</f>
        <v>0</v>
      </c>
      <c r="X22" s="707" t="n">
        <f>'Haver Pivoted'!V87</f>
        <v>0</v>
      </c>
      <c r="Y22" s="707" t="n">
        <f>'Haver Pivoted'!W87</f>
        <v>0</v>
      </c>
      <c r="Z22" s="707" t="n">
        <f>'Haver Pivoted'!X87</f>
        <v>0</v>
      </c>
      <c r="AA22" s="707" t="n">
        <f>'Haver Pivoted'!Y87</f>
        <v>0</v>
      </c>
      <c r="AB22" s="707" t="n">
        <f>'Haver Pivoted'!Z87</f>
        <v>0</v>
      </c>
      <c r="AC22" s="707" t="n">
        <f>'Haver Pivoted'!AA87</f>
        <v>0</v>
      </c>
      <c r="AD22" s="707" t="n">
        <f>'Haver Pivoted'!AB87</f>
        <v>0</v>
      </c>
      <c r="AE22" s="493" t="n">
        <v>0</v>
      </c>
      <c r="AF22" s="493" t="n">
        <v>0</v>
      </c>
      <c r="AG22" s="493" t="n">
        <v>0</v>
      </c>
      <c r="AH22" s="493" t="n">
        <v>0</v>
      </c>
      <c r="AI22" s="493" t="n">
        <v>0</v>
      </c>
      <c r="AJ22" s="493" t="n">
        <v>0</v>
      </c>
      <c r="AK22" s="493" t="n">
        <v>0</v>
      </c>
      <c r="AL22" s="493" t="n">
        <v>0</v>
      </c>
      <c r="AM22" s="493" t="n">
        <v>0</v>
      </c>
      <c r="AN22" s="493" t="n">
        <v>0</v>
      </c>
    </row>
    <row r="23">
      <c r="B23" s="686" t="s">
        <v>325</v>
      </c>
      <c r="C23" s="516" t="s">
        <v>696</v>
      </c>
      <c r="D23" s="507"/>
      <c r="E23" s="516"/>
      <c r="F23" s="580"/>
      <c r="G23" s="698"/>
      <c r="H23" s="580"/>
      <c r="I23" s="580"/>
      <c r="J23" s="580"/>
      <c r="K23" s="580"/>
      <c r="L23" s="580"/>
      <c r="M23" s="580"/>
      <c r="N23" s="580" t="n">
        <f>'Haver Pivoted'!L86</f>
        <v>0</v>
      </c>
      <c r="O23" s="580" t="n">
        <f>'Haver Pivoted'!M86</f>
        <v>0</v>
      </c>
      <c r="P23" s="580" t="n">
        <f>'Haver Pivoted'!N86</f>
        <v>0</v>
      </c>
      <c r="Q23" s="580" t="n">
        <f>'Haver Pivoted'!O86</f>
        <v>0</v>
      </c>
      <c r="R23" s="580" t="n">
        <f>'Haver Pivoted'!P86</f>
        <v>0</v>
      </c>
      <c r="S23" s="489" t="n">
        <f>'Haver Pivoted'!Q86</f>
        <v>0</v>
      </c>
      <c r="T23" s="489" t="n">
        <f>'Haver Pivoted'!R86</f>
        <v>0</v>
      </c>
      <c r="U23" s="489" t="n">
        <f>'Haver Pivoted'!S86</f>
        <v>0</v>
      </c>
      <c r="V23" s="489" t="n">
        <f>'Haver Pivoted'!T86</f>
        <v>0</v>
      </c>
      <c r="W23" s="707" t="n">
        <f>'Haver Pivoted'!U86</f>
        <v>0</v>
      </c>
      <c r="X23" s="707" t="n">
        <f>'Haver Pivoted'!V86</f>
        <v>0</v>
      </c>
      <c r="Y23" s="707" t="n">
        <f>'Haver Pivoted'!W86</f>
        <v>0</v>
      </c>
      <c r="Z23" s="707" t="n">
        <f>'Haver Pivoted'!X86</f>
        <v>0</v>
      </c>
      <c r="AA23" s="707" t="n">
        <f>'Haver Pivoted'!Y86</f>
        <v>0</v>
      </c>
      <c r="AB23" s="707" t="n">
        <f>'Haver Pivoted'!Z86</f>
        <v>0</v>
      </c>
      <c r="AC23" s="707" t="n">
        <f>'Haver Pivoted'!AA86</f>
        <v>0</v>
      </c>
      <c r="AD23" s="707" t="n">
        <f>'Haver Pivoted'!AB86</f>
        <v>0</v>
      </c>
      <c r="AE23" s="493" t="n">
        <f t="shared" ref="AE23" si="46">AD23</f>
        <v>0</v>
      </c>
      <c r="AF23" s="493" t="n">
        <f t="shared" ref="AF23" si="47">AE23</f>
        <v>0</v>
      </c>
      <c r="AG23" s="493" t="n">
        <f t="shared" ref="AG23:AH23" si="48">AF23</f>
        <v>0</v>
      </c>
      <c r="AH23" s="493" t="n">
        <f t="shared" si="48"/>
        <v>0</v>
      </c>
      <c r="AI23" s="493" t="n">
        <f t="shared" ref="AI23" si="49">AH23</f>
        <v>0</v>
      </c>
      <c r="AJ23" s="493" t="n">
        <f t="shared" ref="AJ23" si="50">AI23</f>
        <v>0</v>
      </c>
      <c r="AK23" s="493" t="n">
        <f t="shared" ref="AK23" si="51">AJ23</f>
        <v>0</v>
      </c>
      <c r="AL23" s="493" t="n">
        <f t="shared" ref="AL23" si="52">AK23</f>
        <v>0</v>
      </c>
      <c r="AM23" s="493" t="n">
        <f t="shared" ref="AM23" si="53">AL23</f>
        <v>0</v>
      </c>
      <c r="AN23" s="493" t="n">
        <f t="shared" ref="AN23" si="54">AM23</f>
        <v>0</v>
      </c>
    </row>
    <row r="24">
      <c r="B24" s="686" t="s">
        <v>326</v>
      </c>
      <c r="C24" s="516"/>
      <c r="D24" s="507"/>
      <c r="E24" s="516"/>
      <c r="F24" s="580"/>
      <c r="G24" s="580"/>
      <c r="H24" s="580"/>
      <c r="I24" s="580"/>
      <c r="J24" s="580"/>
      <c r="K24" s="580"/>
      <c r="L24" s="580"/>
      <c r="M24" s="580"/>
      <c r="N24" s="580"/>
      <c r="O24" s="527" t="n">
        <f>O41+O42</f>
        <v>12.51648</v>
      </c>
      <c r="P24" s="527" t="n">
        <f>P41+P42</f>
        <v>11.3</v>
      </c>
      <c r="Q24" s="527" t="n">
        <f t="shared" ref="Q24:AC24" si="55">Q41+Q42</f>
        <v>11.3</v>
      </c>
      <c r="R24" s="527" t="n">
        <f t="shared" si="55"/>
        <v>11.3</v>
      </c>
      <c r="S24" s="527" t="n">
        <f t="shared" si="55"/>
        <v>11.3</v>
      </c>
      <c r="T24" s="527" t="n">
        <f t="shared" si="55"/>
        <v>8.4</v>
      </c>
      <c r="U24" s="527" t="n">
        <f t="shared" si="55"/>
        <v>8.4</v>
      </c>
      <c r="V24" s="527" t="n">
        <f t="shared" si="55"/>
        <v>8.4</v>
      </c>
      <c r="W24" s="549" t="n">
        <f t="shared" si="55"/>
        <v>8.4</v>
      </c>
      <c r="X24" s="527" t="n">
        <f t="shared" si="55"/>
        <v>0.2</v>
      </c>
      <c r="Y24" s="493" t="n">
        <f t="shared" si="55"/>
        <v>0.2</v>
      </c>
      <c r="Z24" s="493" t="n">
        <f t="shared" si="55"/>
        <v>0.2</v>
      </c>
      <c r="AA24" s="493" t="n">
        <f t="shared" si="55"/>
        <v>0.2</v>
      </c>
      <c r="AB24" s="493" t="n">
        <f t="shared" si="55"/>
        <v>0</v>
      </c>
      <c r="AC24" s="493" t="n">
        <f t="shared" si="55"/>
        <v>0</v>
      </c>
      <c r="AD24" s="493" t="n">
        <f t="shared" ref="AD24:AE24" si="56">AD41+AD42</f>
        <v>0</v>
      </c>
      <c r="AE24" s="493" t="n">
        <f t="shared" si="56"/>
        <v>0</v>
      </c>
      <c r="AF24" s="493" t="n">
        <f t="shared" ref="AF24:AG24" si="57">AF41+AF42</f>
        <v>0</v>
      </c>
      <c r="AG24" s="493" t="n">
        <f t="shared" si="57"/>
        <v>0</v>
      </c>
      <c r="AH24" s="493" t="n">
        <f t="shared" ref="AH24:AJ24" si="58">AH41+AH42</f>
        <v>0</v>
      </c>
      <c r="AI24" s="493" t="n">
        <f t="shared" si="58"/>
        <v>0</v>
      </c>
      <c r="AJ24" s="493" t="n">
        <f t="shared" si="58"/>
        <v>0</v>
      </c>
      <c r="AK24" s="493" t="n">
        <f t="shared" ref="AK24:AN24" si="59">AK41+AK42</f>
        <v>0</v>
      </c>
      <c r="AL24" s="493" t="n">
        <f t="shared" si="59"/>
        <v>0</v>
      </c>
      <c r="AM24" s="493" t="n">
        <f t="shared" si="59"/>
        <v>0</v>
      </c>
      <c r="AN24" s="493" t="n">
        <f t="shared" si="59"/>
        <v>0</v>
      </c>
    </row>
    <row r="25">
      <c r="B25" s="686" t="s">
        <v>327</v>
      </c>
      <c r="C25" s="516"/>
      <c r="D25" s="507"/>
      <c r="E25" s="516"/>
      <c r="F25" s="527"/>
      <c r="G25" s="527"/>
      <c r="H25" s="392"/>
      <c r="I25" s="392"/>
      <c r="J25" s="392"/>
      <c r="K25" s="392"/>
      <c r="L25" s="392"/>
      <c r="M25" s="392"/>
      <c r="N25" s="527"/>
      <c r="O25" s="527" t="n">
        <f>O34</f>
        <v>12</v>
      </c>
      <c r="P25" s="527" t="n">
        <v>25</v>
      </c>
      <c r="Q25" s="527" t="n">
        <v>5</v>
      </c>
      <c r="R25" s="527" t="n">
        <v>5</v>
      </c>
      <c r="S25" s="527" t="n">
        <v>5</v>
      </c>
      <c r="T25" s="527" t="n">
        <f t="shared" ref="T25:AC25" si="60">T34</f>
        <v>0</v>
      </c>
      <c r="U25" s="527" t="n">
        <f t="shared" si="60"/>
        <v>0</v>
      </c>
      <c r="V25" s="527" t="n">
        <f t="shared" si="60"/>
        <v>0</v>
      </c>
      <c r="W25" s="549" t="n">
        <f t="shared" si="60"/>
        <v>0</v>
      </c>
      <c r="X25" s="527" t="n">
        <f t="shared" si="60"/>
        <v>0</v>
      </c>
      <c r="Y25" s="493" t="n">
        <f t="shared" si="60"/>
        <v>0</v>
      </c>
      <c r="Z25" s="493" t="n">
        <f t="shared" si="60"/>
        <v>0</v>
      </c>
      <c r="AA25" s="493" t="n">
        <f t="shared" si="60"/>
        <v>0</v>
      </c>
      <c r="AB25" s="493" t="n">
        <f t="shared" si="60"/>
        <v>0</v>
      </c>
      <c r="AC25" s="493" t="n">
        <f t="shared" si="60"/>
        <v>0</v>
      </c>
      <c r="AD25" s="493" t="n">
        <f t="shared" ref="AD25:AE25" si="61">AD34</f>
        <v>0</v>
      </c>
      <c r="AE25" s="493" t="n">
        <f t="shared" si="61"/>
        <v>0</v>
      </c>
      <c r="AF25" s="493" t="n">
        <f t="shared" ref="AF25:AG25" si="62">AF34</f>
        <v>0</v>
      </c>
      <c r="AG25" s="493" t="n">
        <f t="shared" si="62"/>
        <v>0</v>
      </c>
      <c r="AH25" s="493" t="n">
        <f t="shared" ref="AH25:AJ25" si="63">AH34</f>
        <v>0</v>
      </c>
      <c r="AI25" s="493" t="n">
        <f t="shared" si="63"/>
        <v>0</v>
      </c>
      <c r="AJ25" s="493" t="n">
        <f t="shared" si="63"/>
        <v>0</v>
      </c>
      <c r="AK25" s="493" t="n">
        <f t="shared" ref="AK25:AN25" si="64">AK34</f>
        <v>0</v>
      </c>
      <c r="AL25" s="493" t="n">
        <f t="shared" si="64"/>
        <v>0</v>
      </c>
      <c r="AM25" s="493" t="n">
        <f t="shared" si="64"/>
        <v>0</v>
      </c>
      <c r="AN25" s="493" t="n">
        <f t="shared" si="64"/>
        <v>0</v>
      </c>
    </row>
    <row r="26">
      <c r="B26" s="686" t="s">
        <v>1277</v>
      </c>
      <c r="C26" s="516"/>
      <c r="D26" s="507"/>
      <c r="E26" s="516"/>
      <c r="F26" s="527"/>
      <c r="G26" s="527"/>
      <c r="H26" s="392"/>
      <c r="I26" s="392"/>
      <c r="J26" s="392"/>
      <c r="K26" s="392"/>
      <c r="L26" s="392"/>
      <c r="M26" s="392"/>
      <c r="N26" s="527"/>
      <c r="O26" s="527"/>
      <c r="P26" s="527"/>
      <c r="Q26" s="527"/>
      <c r="R26" s="527"/>
      <c r="S26" s="668" t="n">
        <f>'IRA and CHIPS'!E198</f>
        <v>0</v>
      </c>
      <c r="T26" s="668" t="n">
        <f>'IRA and CHIPS'!F198</f>
        <v>2.3250000000000002</v>
      </c>
      <c r="U26" s="668" t="n">
        <f>'IRA and CHIPS'!G198</f>
        <v>2.3250000000000002</v>
      </c>
      <c r="V26" s="668" t="n">
        <f>'IRA and CHIPS'!H198</f>
        <v>2.3250000000000002</v>
      </c>
      <c r="W26" s="664" t="n">
        <f>'IRA and CHIPS'!I198</f>
        <v>2.3250000000000002</v>
      </c>
      <c r="X26" s="668" t="n">
        <f>'IRA and CHIPS'!J198</f>
        <v>5.5830000000000002</v>
      </c>
      <c r="Y26" s="678" t="n">
        <f>'IRA and CHIPS'!K198</f>
        <v>5.5830000000000002</v>
      </c>
      <c r="Z26" s="678" t="n">
        <f>'IRA and CHIPS'!L198</f>
        <v>5.5830000000000002</v>
      </c>
      <c r="AA26" s="678" t="n">
        <f>'IRA and CHIPS'!M198</f>
        <v>5.5830000000000002</v>
      </c>
      <c r="AB26" s="678" t="n">
        <f>'IRA and CHIPS'!N198</f>
        <v>8.0220000000000002</v>
      </c>
      <c r="AC26" s="678" t="n">
        <f>'IRA and CHIPS'!O198</f>
        <v>8.0220000000000002</v>
      </c>
      <c r="AD26" s="678" t="n">
        <f>'IRA and CHIPS'!P198</f>
        <v>0</v>
      </c>
      <c r="AE26" s="678" t="n">
        <f>'IRA and CHIPS'!Q198</f>
        <v>0</v>
      </c>
      <c r="AF26" s="678" t="n">
        <f>'IRA and CHIPS'!R198</f>
        <v>0</v>
      </c>
      <c r="AG26" s="678" t="n">
        <f>'IRA and CHIPS'!S198</f>
        <v>0</v>
      </c>
      <c r="AH26" s="678" t="n">
        <f>'IRA and CHIPS'!T198</f>
        <v>0</v>
      </c>
      <c r="AI26" s="678" t="n">
        <f>'IRA and CHIPS'!U198</f>
        <v>0</v>
      </c>
      <c r="AJ26" s="678" t="n">
        <f>'IRA and CHIPS'!V198</f>
        <v>0</v>
      </c>
      <c r="AK26" s="678" t="n">
        <f>'IRA and CHIPS'!W198</f>
        <v>0</v>
      </c>
      <c r="AL26" s="678" t="n">
        <f>'IRA and CHIPS'!X198</f>
        <v>0</v>
      </c>
      <c r="AM26" s="678" t="n">
        <f>'IRA and CHIPS'!Y198</f>
        <v>0</v>
      </c>
      <c r="AN26" s="678" t="n">
        <f>'IRA and CHIPS'!Z198</f>
        <v>0</v>
      </c>
    </row>
    <row r="27">
      <c r="B27" s="686" t="s">
        <v>1085</v>
      </c>
      <c r="C27" s="536"/>
      <c r="D27" s="534"/>
      <c r="E27" s="536"/>
      <c r="F27" s="542"/>
      <c r="G27" s="542"/>
      <c r="H27" s="656"/>
      <c r="I27" s="656"/>
      <c r="J27" s="656"/>
      <c r="K27" s="656"/>
      <c r="L27" s="656"/>
      <c r="M27" s="656"/>
      <c r="N27" s="542"/>
      <c r="O27" s="542"/>
      <c r="P27" s="542"/>
      <c r="Q27" s="542"/>
      <c r="R27" s="542"/>
      <c r="S27" s="669" t="n">
        <f>'IRA and CHIPS'!E187</f>
        <v>0</v>
      </c>
      <c r="T27" s="669" t="n">
        <f>'IRA and CHIPS'!F187</f>
        <v>1.2969999999999999</v>
      </c>
      <c r="U27" s="669" t="n">
        <f>'IRA and CHIPS'!G187</f>
        <v>1.2969999999999999</v>
      </c>
      <c r="V27" s="669" t="n">
        <f>'IRA and CHIPS'!H187</f>
        <v>1.2969999999999999</v>
      </c>
      <c r="W27" s="665" t="n">
        <f>'IRA and CHIPS'!I187</f>
        <v>1.2969999999999999</v>
      </c>
      <c r="X27" s="669" t="n">
        <f>'IRA and CHIPS'!J187</f>
        <v>3.8479999999999999</v>
      </c>
      <c r="Y27" s="687" t="n">
        <f>'IRA and CHIPS'!K187</f>
        <v>3.8479999999999999</v>
      </c>
      <c r="Z27" s="687" t="n">
        <f>'IRA and CHIPS'!L187</f>
        <v>3.8479999999999999</v>
      </c>
      <c r="AA27" s="687" t="n">
        <f>'IRA and CHIPS'!M187</f>
        <v>3.8479999999999999</v>
      </c>
      <c r="AB27" s="687" t="n">
        <f>'IRA and CHIPS'!N187</f>
        <v>6.4420000000000002</v>
      </c>
      <c r="AC27" s="687" t="n">
        <f>'IRA and CHIPS'!O187</f>
        <v>6.4420000000000002</v>
      </c>
      <c r="AD27" s="687" t="n">
        <f>'IRA and CHIPS'!P187</f>
        <v>6.4420000000000002</v>
      </c>
      <c r="AE27" s="687" t="n">
        <f>'IRA and CHIPS'!Q187</f>
        <v>6.4420000000000002</v>
      </c>
      <c r="AF27" s="687" t="n">
        <f>'IRA and CHIPS'!R187</f>
        <v>9.532</v>
      </c>
      <c r="AG27" s="687" t="n">
        <f>'IRA and CHIPS'!S187</f>
        <v>9.532</v>
      </c>
      <c r="AH27" s="687" t="n">
        <f>AG27</f>
        <v>9.532</v>
      </c>
      <c r="AI27" s="687" t="n">
        <f t="shared" ref="AI27:AJ27" si="65">AH27</f>
        <v>9.532</v>
      </c>
      <c r="AJ27" s="687" t="n">
        <f t="shared" si="65"/>
        <v>9.532</v>
      </c>
      <c r="AK27" s="687" t="n">
        <f t="shared" ref="AK27" si="66">AJ27</f>
        <v>9.532</v>
      </c>
      <c r="AL27" s="687" t="n">
        <f t="shared" ref="AL27" si="67">AK27</f>
        <v>9.532</v>
      </c>
      <c r="AM27" s="687" t="n">
        <f t="shared" ref="AM27" si="68">AL27</f>
        <v>9.532</v>
      </c>
      <c r="AN27" s="687" t="n">
        <f t="shared" ref="AN27" si="69">AM27</f>
        <v>9.532</v>
      </c>
    </row>
    <row r="28" ht="15" customHeight="1">
      <c r="B28" s="661" t="s">
        <v>328</v>
      </c>
      <c r="C28" s="662"/>
      <c r="D28" s="688"/>
      <c r="E28" s="662"/>
      <c r="F28" s="662"/>
      <c r="G28" s="662"/>
      <c r="H28" s="527"/>
      <c r="I28" s="527"/>
      <c r="J28" s="527"/>
      <c r="K28" s="527"/>
      <c r="L28" s="527"/>
      <c r="M28" s="527"/>
      <c r="N28" s="527"/>
      <c r="O28" s="527"/>
      <c r="P28" s="577"/>
      <c r="Q28" s="527"/>
      <c r="R28" s="527"/>
      <c r="S28" s="527"/>
      <c r="T28" s="527"/>
      <c r="U28" s="527"/>
      <c r="V28" s="667"/>
      <c r="W28" s="667"/>
      <c r="X28" s="667"/>
      <c r="Y28" s="671"/>
      <c r="Z28" s="671"/>
      <c r="AA28" s="671"/>
      <c r="AB28" s="671"/>
      <c r="AC28" s="671"/>
      <c r="AD28" s="380"/>
      <c r="AE28" s="679"/>
      <c r="AF28" s="679"/>
      <c r="AG28" s="380"/>
      <c r="AH28" s="380"/>
      <c r="AI28" s="380"/>
      <c r="AJ28" s="380"/>
      <c r="AK28" s="380"/>
      <c r="AL28" s="380"/>
      <c r="AM28" s="380"/>
      <c r="AN28" s="380"/>
    </row>
    <row r="29">
      <c r="B29" s="569" t="s">
        <v>329</v>
      </c>
      <c r="C29" s="427"/>
      <c r="D29" s="642"/>
      <c r="E29" s="427"/>
      <c r="F29" s="392"/>
      <c r="G29" s="392"/>
      <c r="H29" s="527"/>
      <c r="I29" s="527"/>
      <c r="J29" s="527"/>
      <c r="K29" s="527"/>
      <c r="L29" s="527"/>
      <c r="M29" s="527"/>
      <c r="N29" s="527" t="n">
        <f>SUM(N30:N34)</f>
        <v>42</v>
      </c>
      <c r="O29" s="527" t="n">
        <f>SUM(O30:O34)</f>
        <v>181</v>
      </c>
      <c r="P29" s="527"/>
      <c r="Q29" s="527"/>
      <c r="R29" s="527"/>
      <c r="S29" s="527"/>
      <c r="T29" s="527"/>
      <c r="U29" s="527"/>
      <c r="V29" s="78"/>
      <c r="W29" s="78"/>
      <c r="X29" s="78"/>
      <c r="Y29" s="380"/>
      <c r="Z29" s="380"/>
      <c r="AA29" s="380"/>
      <c r="AB29" s="380"/>
      <c r="AC29" s="380"/>
      <c r="AD29" s="380"/>
      <c r="AE29" s="679"/>
      <c r="AF29" s="679"/>
      <c r="AG29" s="380"/>
      <c r="AH29" s="380"/>
      <c r="AI29" s="380"/>
      <c r="AJ29" s="380"/>
      <c r="AK29" s="380"/>
      <c r="AL29" s="380"/>
      <c r="AM29" s="380"/>
      <c r="AN29" s="380"/>
    </row>
    <row r="30">
      <c r="B30" s="510" t="s">
        <v>330</v>
      </c>
      <c r="C30" s="427"/>
      <c r="D30" s="642"/>
      <c r="E30" s="427"/>
      <c r="F30" s="392"/>
      <c r="G30" s="392"/>
      <c r="H30" s="527"/>
      <c r="I30" s="527"/>
      <c r="J30" s="527"/>
      <c r="K30" s="527"/>
      <c r="L30" s="692"/>
      <c r="M30" s="527"/>
      <c r="N30" s="527" t="n">
        <f>(4*'Response and Relief Act Score'!$F$15-$M$18)/2</f>
        <v>30</v>
      </c>
      <c r="O30" s="527" t="n">
        <f>(4*'Response and Relief Act Score'!$F$15-$M$18)/2</f>
        <v>30</v>
      </c>
      <c r="P30" s="527"/>
      <c r="Q30" s="527"/>
      <c r="R30" s="527"/>
      <c r="S30" s="527"/>
      <c r="T30" s="527"/>
      <c r="U30" s="527"/>
      <c r="V30" s="78"/>
      <c r="W30" s="78"/>
      <c r="X30" s="78"/>
      <c r="Y30" s="380"/>
      <c r="Z30" s="380"/>
      <c r="AA30" s="380"/>
      <c r="AB30" s="380"/>
      <c r="AC30" s="380"/>
      <c r="AD30" s="380"/>
      <c r="AE30" s="679"/>
      <c r="AF30" s="679"/>
      <c r="AG30" s="380"/>
      <c r="AH30" s="380"/>
      <c r="AI30" s="380"/>
      <c r="AJ30" s="380"/>
      <c r="AK30" s="380"/>
      <c r="AL30" s="380"/>
      <c r="AM30" s="380"/>
      <c r="AN30" s="380"/>
    </row>
    <row r="31">
      <c r="B31" s="510" t="s">
        <v>327</v>
      </c>
      <c r="C31" s="427"/>
      <c r="D31" s="642"/>
      <c r="E31" s="427"/>
      <c r="F31" s="392"/>
      <c r="G31" s="392"/>
      <c r="H31" s="527"/>
      <c r="I31" s="527"/>
      <c r="J31" s="527"/>
      <c r="K31" s="527"/>
      <c r="L31" s="692"/>
      <c r="M31" s="527"/>
      <c r="N31" s="527"/>
      <c r="O31" s="527"/>
      <c r="P31" s="527"/>
      <c r="Q31" s="527"/>
      <c r="R31" s="527"/>
      <c r="S31" s="527"/>
      <c r="T31" s="527"/>
      <c r="U31" s="527"/>
      <c r="V31" s="78"/>
      <c r="W31" s="78"/>
      <c r="X31" s="78"/>
      <c r="Y31" s="380"/>
      <c r="Z31" s="380"/>
      <c r="AA31" s="380"/>
      <c r="AB31" s="380"/>
      <c r="AC31" s="380"/>
      <c r="AD31" s="380"/>
      <c r="AE31" s="679"/>
      <c r="AF31" s="679"/>
      <c r="AG31" s="380"/>
      <c r="AH31" s="380"/>
      <c r="AI31" s="380"/>
      <c r="AJ31" s="380"/>
      <c r="AK31" s="380"/>
      <c r="AL31" s="380"/>
      <c r="AM31" s="380"/>
      <c r="AN31" s="380"/>
    </row>
    <row r="32">
      <c r="B32" s="705" t="s">
        <v>324</v>
      </c>
      <c r="C32" s="427"/>
      <c r="D32" s="642"/>
      <c r="E32" s="427"/>
      <c r="F32" s="392"/>
      <c r="G32" s="392"/>
      <c r="H32" s="527"/>
      <c r="I32" s="527"/>
      <c r="J32" s="527"/>
      <c r="K32" s="527"/>
      <c r="L32" s="527"/>
      <c r="M32" s="527"/>
      <c r="N32" s="527"/>
      <c r="O32" s="527" t="n">
        <v>79</v>
      </c>
      <c r="P32" s="527"/>
      <c r="Q32" s="549"/>
      <c r="R32" s="549"/>
      <c r="S32" s="549"/>
      <c r="T32" s="549"/>
      <c r="U32" s="549"/>
      <c r="V32" s="78"/>
      <c r="W32" s="78"/>
      <c r="X32" s="78"/>
      <c r="Y32" s="380"/>
      <c r="Z32" s="380"/>
      <c r="AA32" s="380"/>
      <c r="AB32" s="380"/>
      <c r="AC32" s="380"/>
      <c r="AD32" s="380"/>
      <c r="AE32" s="679"/>
      <c r="AF32" s="679"/>
      <c r="AG32" s="380"/>
      <c r="AH32" s="380"/>
      <c r="AI32" s="380"/>
      <c r="AJ32" s="380"/>
      <c r="AK32" s="380"/>
      <c r="AL32" s="380"/>
      <c r="AM32" s="380"/>
      <c r="AN32" s="380"/>
    </row>
    <row r="33">
      <c r="B33" s="706" t="s">
        <v>331</v>
      </c>
      <c r="C33" s="427"/>
      <c r="D33" s="642"/>
      <c r="E33" s="427"/>
      <c r="F33" s="392"/>
      <c r="G33" s="392"/>
      <c r="H33" s="527"/>
      <c r="I33" s="527"/>
      <c r="J33" s="527"/>
      <c r="K33" s="527"/>
      <c r="L33" s="527"/>
      <c r="M33" s="527"/>
      <c r="N33" s="527"/>
      <c r="O33" s="527" t="n">
        <f>'Response and Relief Act Score'!F13*4</f>
        <v>60</v>
      </c>
      <c r="P33" s="527"/>
      <c r="Q33" s="549"/>
      <c r="R33" s="549"/>
      <c r="S33" s="549"/>
      <c r="T33" s="549"/>
      <c r="U33" s="549"/>
      <c r="V33" s="78"/>
      <c r="W33" s="78"/>
      <c r="X33" s="78"/>
      <c r="Y33" s="380"/>
      <c r="Z33" s="380"/>
      <c r="AA33" s="380"/>
      <c r="AB33" s="380"/>
      <c r="AC33" s="380"/>
      <c r="AD33" s="380"/>
      <c r="AE33" s="679"/>
      <c r="AF33" s="679"/>
      <c r="AG33" s="380"/>
      <c r="AH33" s="380"/>
      <c r="AI33" s="380"/>
      <c r="AJ33" s="380"/>
      <c r="AK33" s="380"/>
      <c r="AL33" s="380"/>
      <c r="AM33" s="380"/>
      <c r="AN33" s="380"/>
    </row>
    <row r="34" ht="27.65" customHeight="1">
      <c r="B34" s="706" t="s">
        <v>332</v>
      </c>
      <c r="C34" s="427"/>
      <c r="D34" s="690"/>
      <c r="E34" s="691"/>
      <c r="F34" s="656"/>
      <c r="G34" s="656"/>
      <c r="H34" s="542"/>
      <c r="I34" s="542"/>
      <c r="J34" s="542"/>
      <c r="K34" s="542"/>
      <c r="L34" s="696"/>
      <c r="M34" s="542"/>
      <c r="N34" s="542" t="n">
        <f>'Response and Relief Act Score'!F14*4/2</f>
        <v>12</v>
      </c>
      <c r="O34" s="542" t="n">
        <f>'Response and Relief Act Score'!F14*4/2</f>
        <v>12</v>
      </c>
      <c r="P34" s="542"/>
      <c r="Q34" s="542"/>
      <c r="R34" s="542"/>
      <c r="S34" s="542"/>
      <c r="T34" s="542"/>
      <c r="U34" s="527"/>
      <c r="V34" s="78"/>
      <c r="W34" s="78"/>
      <c r="X34" s="78"/>
      <c r="Y34" s="380"/>
      <c r="Z34" s="380"/>
      <c r="AA34" s="380"/>
      <c r="AB34" s="380"/>
      <c r="AC34" s="380"/>
      <c r="AD34" s="380"/>
      <c r="AE34" s="679"/>
      <c r="AF34" s="679"/>
      <c r="AG34" s="380"/>
      <c r="AH34" s="380"/>
      <c r="AI34" s="380"/>
      <c r="AJ34" s="380"/>
      <c r="AK34" s="380"/>
      <c r="AL34" s="380"/>
      <c r="AM34" s="380"/>
      <c r="AN34" s="380"/>
    </row>
    <row r="35" ht="15" customHeight="1">
      <c r="B35" s="659" t="s">
        <v>333</v>
      </c>
      <c r="C35" s="660"/>
      <c r="D35" s="642"/>
      <c r="E35" s="427"/>
      <c r="F35" s="392"/>
      <c r="G35" s="392"/>
      <c r="H35" s="527"/>
      <c r="I35" s="527"/>
      <c r="J35" s="527"/>
      <c r="K35" s="527"/>
      <c r="L35" s="692"/>
      <c r="M35" s="527"/>
      <c r="N35" s="527"/>
      <c r="O35" s="527"/>
      <c r="P35" s="527"/>
      <c r="Q35" s="527"/>
      <c r="R35" s="527"/>
      <c r="S35" s="527"/>
      <c r="T35" s="663"/>
      <c r="U35" s="673"/>
      <c r="V35" s="667"/>
      <c r="W35" s="667"/>
      <c r="X35" s="667"/>
      <c r="Y35" s="671"/>
      <c r="Z35" s="671"/>
      <c r="AA35" s="671"/>
      <c r="AB35" s="671"/>
      <c r="AC35" s="671"/>
      <c r="AD35" s="380"/>
      <c r="AE35" s="679"/>
      <c r="AF35" s="679"/>
      <c r="AG35" s="380"/>
      <c r="AH35" s="380"/>
      <c r="AI35" s="380"/>
      <c r="AJ35" s="380"/>
      <c r="AK35" s="380"/>
      <c r="AL35" s="380"/>
      <c r="AM35" s="380"/>
      <c r="AN35" s="380"/>
    </row>
    <row r="36" ht="13.5" customHeight="1">
      <c r="B36" s="706" t="s">
        <v>97</v>
      </c>
      <c r="C36" s="427"/>
      <c r="D36" s="642"/>
      <c r="E36" s="427"/>
      <c r="F36" s="392"/>
      <c r="G36" s="392"/>
      <c r="H36" s="527"/>
      <c r="I36" s="527"/>
      <c r="J36" s="527"/>
      <c r="K36" s="527"/>
      <c r="L36" s="692"/>
      <c r="M36" s="527" t="n">
        <f>'ARP Quarterly'!C18</f>
        <v>0</v>
      </c>
      <c r="N36" s="527" t="n">
        <f>'ARP Quarterly'!D18</f>
        <v>2.2132800000000001</v>
      </c>
      <c r="O36" s="527" t="n">
        <f>'ARP Quarterly'!E18</f>
        <v>10.082720000000002</v>
      </c>
      <c r="P36" s="527" t="n">
        <f>'ARP Quarterly'!F18</f>
        <v>7.1439999999999992</v>
      </c>
      <c r="Q36" s="527" t="n">
        <f>'ARP Quarterly'!G18</f>
        <v>7.1439999999999992</v>
      </c>
      <c r="R36" s="527" t="n">
        <f>'ARP Quarterly'!H18</f>
        <v>7.1439999999999992</v>
      </c>
      <c r="S36" s="527" t="n">
        <f>'ARP Quarterly'!I18</f>
        <v>7.1439999999999992</v>
      </c>
      <c r="T36" s="527" t="n">
        <f>'ARP Quarterly'!J18</f>
        <v>0</v>
      </c>
      <c r="U36" s="527" t="n">
        <f>'ARP Quarterly'!K18</f>
        <v>0</v>
      </c>
      <c r="V36" s="527" t="n">
        <f>'ARP Quarterly'!L18</f>
        <v>0</v>
      </c>
      <c r="W36" s="527" t="n">
        <f>'ARP Quarterly'!M18</f>
        <v>0</v>
      </c>
      <c r="X36" s="527" t="n">
        <f>'ARP Quarterly'!N18</f>
        <v>0</v>
      </c>
      <c r="Y36" s="493" t="n">
        <f>'ARP Quarterly'!O18</f>
        <v>0</v>
      </c>
      <c r="Z36" s="493" t="n">
        <f>'ARP Quarterly'!P18</f>
        <v>0</v>
      </c>
      <c r="AA36" s="493" t="n">
        <f>'ARP Quarterly'!Q18</f>
        <v>0</v>
      </c>
      <c r="AB36" s="493" t="n">
        <f>'ARP Quarterly'!R18</f>
        <v>0</v>
      </c>
      <c r="AC36" s="493" t="n">
        <f>'ARP Quarterly'!S18</f>
        <v>0</v>
      </c>
      <c r="AD36" s="380"/>
      <c r="AE36" s="679"/>
      <c r="AF36" s="679"/>
      <c r="AG36" s="380"/>
      <c r="AH36" s="380"/>
      <c r="AI36" s="380"/>
      <c r="AJ36" s="380"/>
      <c r="AK36" s="380"/>
      <c r="AL36" s="380"/>
      <c r="AM36" s="380"/>
      <c r="AN36" s="380"/>
    </row>
    <row r="37">
      <c r="B37" s="706" t="s">
        <v>334</v>
      </c>
      <c r="C37" s="427"/>
      <c r="D37" s="642"/>
      <c r="E37" s="427"/>
      <c r="F37" s="392"/>
      <c r="G37" s="392"/>
      <c r="H37" s="527"/>
      <c r="I37" s="527"/>
      <c r="J37" s="527"/>
      <c r="K37" s="527"/>
      <c r="L37" s="692"/>
      <c r="M37" s="527" t="n">
        <f>'ARP Quarterly'!C19</f>
        <v>0</v>
      </c>
      <c r="N37" s="527" t="n">
        <f>'ARP Quarterly'!D19</f>
        <v>15.128640000000001</v>
      </c>
      <c r="O37" s="527" t="n">
        <f>'ARP Quarterly'!E19</f>
        <v>68.919360000000012</v>
      </c>
      <c r="P37" s="527" t="n">
        <f>'ARP Quarterly'!F19</f>
        <v>5.6120000000000001</v>
      </c>
      <c r="Q37" s="527" t="n">
        <f>'ARP Quarterly'!G19</f>
        <v>5.6120000000000001</v>
      </c>
      <c r="R37" s="527" t="n">
        <f>'ARP Quarterly'!H19</f>
        <v>5.6120000000000001</v>
      </c>
      <c r="S37" s="527" t="n">
        <f>'ARP Quarterly'!I19</f>
        <v>5.6120000000000001</v>
      </c>
      <c r="T37" s="527" t="n">
        <f>'ARP Quarterly'!J19</f>
        <v>0.48599999999999993</v>
      </c>
      <c r="U37" s="527" t="n">
        <f>'ARP Quarterly'!K19</f>
        <v>0.48599999999999993</v>
      </c>
      <c r="V37" s="527" t="n">
        <f>'ARP Quarterly'!L19</f>
        <v>0.48599999999999993</v>
      </c>
      <c r="W37" s="527" t="n">
        <f>'ARP Quarterly'!M19</f>
        <v>0.48599999999999993</v>
      </c>
      <c r="X37" s="527" t="n">
        <f>'ARP Quarterly'!N19</f>
        <v>0</v>
      </c>
      <c r="Y37" s="493" t="n">
        <f>'ARP Quarterly'!O19</f>
        <v>0</v>
      </c>
      <c r="Z37" s="493" t="n">
        <f>'ARP Quarterly'!P19</f>
        <v>0</v>
      </c>
      <c r="AA37" s="493" t="n">
        <f>'ARP Quarterly'!Q19</f>
        <v>0</v>
      </c>
      <c r="AB37" s="493" t="n">
        <f>'ARP Quarterly'!R19</f>
        <v>0</v>
      </c>
      <c r="AC37" s="493" t="n">
        <f>'ARP Quarterly'!S19</f>
        <v>0</v>
      </c>
      <c r="AD37" s="380"/>
      <c r="AE37" s="679"/>
      <c r="AF37" s="679"/>
      <c r="AG37" s="380"/>
      <c r="AH37" s="380"/>
      <c r="AI37" s="380"/>
      <c r="AJ37" s="380"/>
      <c r="AK37" s="380"/>
      <c r="AL37" s="380"/>
      <c r="AM37" s="380"/>
      <c r="AN37" s="380"/>
    </row>
    <row r="38">
      <c r="B38" s="706" t="s">
        <v>100</v>
      </c>
      <c r="C38" s="427"/>
      <c r="D38" s="642"/>
      <c r="E38" s="427"/>
      <c r="F38" s="392"/>
      <c r="G38" s="392"/>
      <c r="H38" s="527"/>
      <c r="I38" s="527"/>
      <c r="J38" s="527"/>
      <c r="K38" s="527"/>
      <c r="L38" s="692"/>
      <c r="M38" s="527" t="n">
        <f>'ARP Quarterly'!C20</f>
        <v>0</v>
      </c>
      <c r="N38" s="527" t="n">
        <f>'ARP Quarterly'!D20</f>
        <v>3.2479199999999997</v>
      </c>
      <c r="O38" s="527" t="n">
        <f>'ARP Quarterly'!E20</f>
        <v>14.796080000000002</v>
      </c>
      <c r="P38" s="527" t="n">
        <f>'ARP Quarterly'!F20</f>
        <v>1.7329999999999999</v>
      </c>
      <c r="Q38" s="527" t="n">
        <f>'ARP Quarterly'!G20</f>
        <v>1.7329999999999999</v>
      </c>
      <c r="R38" s="527" t="n">
        <f>'ARP Quarterly'!H20</f>
        <v>1.7329999999999999</v>
      </c>
      <c r="S38" s="527" t="n">
        <f>'ARP Quarterly'!I20</f>
        <v>1.7329999999999999</v>
      </c>
      <c r="T38" s="527" t="n">
        <f>'ARP Quarterly'!J20</f>
        <v>0</v>
      </c>
      <c r="U38" s="527" t="n">
        <f>'ARP Quarterly'!K20</f>
        <v>0</v>
      </c>
      <c r="V38" s="527" t="n">
        <f>'ARP Quarterly'!L20</f>
        <v>0</v>
      </c>
      <c r="W38" s="527" t="n">
        <f>'ARP Quarterly'!M20</f>
        <v>0</v>
      </c>
      <c r="X38" s="527" t="n">
        <f>'ARP Quarterly'!N20</f>
        <v>0</v>
      </c>
      <c r="Y38" s="493" t="n">
        <f>'ARP Quarterly'!O20</f>
        <v>0</v>
      </c>
      <c r="Z38" s="493" t="n">
        <f>'ARP Quarterly'!P20</f>
        <v>0</v>
      </c>
      <c r="AA38" s="493" t="n">
        <f>'ARP Quarterly'!Q20</f>
        <v>0</v>
      </c>
      <c r="AB38" s="493" t="n">
        <f>'ARP Quarterly'!R20</f>
        <v>0</v>
      </c>
      <c r="AC38" s="493" t="n">
        <f>'ARP Quarterly'!S20</f>
        <v>0</v>
      </c>
      <c r="AD38" s="380"/>
      <c r="AE38" s="679"/>
      <c r="AF38" s="679"/>
      <c r="AG38" s="380"/>
      <c r="AH38" s="380"/>
      <c r="AI38" s="380"/>
      <c r="AJ38" s="380"/>
      <c r="AK38" s="380"/>
      <c r="AL38" s="380"/>
      <c r="AM38" s="380"/>
      <c r="AN38" s="380"/>
    </row>
    <row r="39">
      <c r="B39" s="706" t="s">
        <v>324</v>
      </c>
      <c r="C39" s="427"/>
      <c r="D39" s="642"/>
      <c r="E39" s="427"/>
      <c r="F39" s="392"/>
      <c r="G39" s="392"/>
      <c r="H39" s="527"/>
      <c r="I39" s="527"/>
      <c r="J39" s="527"/>
      <c r="K39" s="527"/>
      <c r="L39" s="692"/>
      <c r="M39" s="527" t="n">
        <f>'ARP Quarterly'!C21</f>
        <v>0</v>
      </c>
      <c r="N39" s="527" t="n">
        <f>'ARP Quarterly'!D21</f>
        <v>13.2921</v>
      </c>
      <c r="O39" s="527" t="n">
        <f>'ARP Quarterly'!E21</f>
        <v>60.552900000000008</v>
      </c>
      <c r="P39" s="527" t="n">
        <f>'ARP Quarterly'!F21</f>
        <v>1.0687500000000001</v>
      </c>
      <c r="Q39" s="527" t="n">
        <f>'ARP Quarterly'!G21</f>
        <v>1.0687500000000001</v>
      </c>
      <c r="R39" s="527" t="n">
        <f>'ARP Quarterly'!H21</f>
        <v>1.0687500000000001</v>
      </c>
      <c r="S39" s="527" t="n">
        <f>'ARP Quarterly'!I21</f>
        <v>1.0687500000000001</v>
      </c>
      <c r="T39" s="527" t="n">
        <f>'ARP Quarterly'!J21</f>
        <v>0.78750000000000009</v>
      </c>
      <c r="U39" s="527" t="n">
        <f>'ARP Quarterly'!K21</f>
        <v>0.78750000000000009</v>
      </c>
      <c r="V39" s="527" t="n">
        <f>'ARP Quarterly'!L21</f>
        <v>0.78750000000000009</v>
      </c>
      <c r="W39" s="527" t="n">
        <f>'ARP Quarterly'!M21</f>
        <v>0.78750000000000009</v>
      </c>
      <c r="X39" s="527" t="n">
        <f>'ARP Quarterly'!N21</f>
        <v>0</v>
      </c>
      <c r="Y39" s="493" t="n">
        <f>'ARP Quarterly'!O21</f>
        <v>0</v>
      </c>
      <c r="Z39" s="493" t="n">
        <f>'ARP Quarterly'!P21</f>
        <v>0</v>
      </c>
      <c r="AA39" s="493" t="n">
        <f>'ARP Quarterly'!Q21</f>
        <v>0</v>
      </c>
      <c r="AB39" s="493" t="n">
        <f>'ARP Quarterly'!R21</f>
        <v>0</v>
      </c>
      <c r="AC39" s="493" t="n">
        <f>'ARP Quarterly'!S21</f>
        <v>0</v>
      </c>
      <c r="AD39" s="380"/>
      <c r="AE39" s="679"/>
      <c r="AF39" s="679"/>
      <c r="AG39" s="380"/>
      <c r="AH39" s="380"/>
      <c r="AI39" s="380"/>
      <c r="AJ39" s="380"/>
      <c r="AK39" s="380"/>
      <c r="AL39" s="380"/>
      <c r="AM39" s="380"/>
      <c r="AN39" s="380"/>
    </row>
    <row r="40" ht="30" customHeight="1">
      <c r="B40" s="706" t="s">
        <v>335</v>
      </c>
      <c r="C40" s="427"/>
      <c r="D40" s="642"/>
      <c r="E40" s="427"/>
      <c r="F40" s="392"/>
      <c r="G40" s="392"/>
      <c r="H40" s="527"/>
      <c r="I40" s="527"/>
      <c r="J40" s="527"/>
      <c r="K40" s="527"/>
      <c r="L40" s="692"/>
      <c r="M40" s="527" t="n">
        <f>'ARP Quarterly'!C22</f>
        <v>0</v>
      </c>
      <c r="N40" s="527" t="n">
        <f>'ARP Quarterly'!D22</f>
        <v>22.153499999999998</v>
      </c>
      <c r="O40" s="527" t="n">
        <f>'ARP Quarterly'!E22</f>
        <v>100.92150000000002</v>
      </c>
      <c r="P40" s="527" t="n">
        <f>'ARP Quarterly'!F22</f>
        <v>1.7812500000000002</v>
      </c>
      <c r="Q40" s="527" t="n">
        <f>'ARP Quarterly'!G22</f>
        <v>1.7812500000000002</v>
      </c>
      <c r="R40" s="527" t="n">
        <f>'ARP Quarterly'!H22</f>
        <v>1.7812500000000002</v>
      </c>
      <c r="S40" s="527" t="n">
        <f>'ARP Quarterly'!I22</f>
        <v>1.7812500000000002</v>
      </c>
      <c r="T40" s="527" t="n">
        <f>'ARP Quarterly'!J22</f>
        <v>1.3125000000000002</v>
      </c>
      <c r="U40" s="527" t="n">
        <f>'ARP Quarterly'!K22</f>
        <v>1.3125000000000002</v>
      </c>
      <c r="V40" s="527" t="n">
        <f>'ARP Quarterly'!L22</f>
        <v>1.3125000000000002</v>
      </c>
      <c r="W40" s="527" t="n">
        <f>'ARP Quarterly'!M22</f>
        <v>1.3125000000000002</v>
      </c>
      <c r="X40" s="527" t="n">
        <f>'ARP Quarterly'!N22</f>
        <v>0</v>
      </c>
      <c r="Y40" s="493" t="n">
        <f>'ARP Quarterly'!O22</f>
        <v>0</v>
      </c>
      <c r="Z40" s="493" t="n">
        <f>'ARP Quarterly'!P22</f>
        <v>0</v>
      </c>
      <c r="AA40" s="493" t="n">
        <f>'ARP Quarterly'!Q22</f>
        <v>0</v>
      </c>
      <c r="AB40" s="493" t="n">
        <f>'ARP Quarterly'!R22</f>
        <v>0</v>
      </c>
      <c r="AC40" s="493" t="n">
        <f>'ARP Quarterly'!S22</f>
        <v>0</v>
      </c>
      <c r="AD40" s="380"/>
      <c r="AE40" s="679"/>
      <c r="AF40" s="679"/>
      <c r="AG40" s="380"/>
      <c r="AH40" s="380"/>
      <c r="AI40" s="380"/>
      <c r="AJ40" s="380"/>
      <c r="AK40" s="380"/>
      <c r="AL40" s="380"/>
      <c r="AM40" s="380"/>
      <c r="AN40" s="380"/>
    </row>
    <row r="41">
      <c r="B41" s="706" t="s">
        <v>336</v>
      </c>
      <c r="C41" s="427"/>
      <c r="D41" s="642"/>
      <c r="E41" s="427"/>
      <c r="F41" s="392"/>
      <c r="G41" s="392"/>
      <c r="H41" s="527"/>
      <c r="I41" s="527"/>
      <c r="J41" s="527"/>
      <c r="K41" s="527"/>
      <c r="L41" s="692"/>
      <c r="M41" s="527" t="n">
        <f>'ARP Quarterly'!C23</f>
        <v>0</v>
      </c>
      <c r="N41" s="527" t="n">
        <f>'ARP Quarterly'!D23</f>
        <v>2.9519999999999995</v>
      </c>
      <c r="O41" s="527" t="n">
        <f>'ARP Quarterly'!E23</f>
        <v>13.448</v>
      </c>
      <c r="P41" s="527" t="n">
        <f>'ARP Quarterly'!F23</f>
        <v>11.3</v>
      </c>
      <c r="Q41" s="527" t="n">
        <f>'ARP Quarterly'!G23</f>
        <v>11.3</v>
      </c>
      <c r="R41" s="527" t="n">
        <f>'ARP Quarterly'!H23</f>
        <v>11.3</v>
      </c>
      <c r="S41" s="527" t="n">
        <f>'ARP Quarterly'!I23</f>
        <v>11.3</v>
      </c>
      <c r="T41" s="527" t="n">
        <f>'ARP Quarterly'!J23</f>
        <v>8.4</v>
      </c>
      <c r="U41" s="527" t="n">
        <f>'ARP Quarterly'!K23</f>
        <v>8.4</v>
      </c>
      <c r="V41" s="527" t="n">
        <f>'ARP Quarterly'!L23</f>
        <v>8.4</v>
      </c>
      <c r="W41" s="527" t="n">
        <f>'ARP Quarterly'!M23</f>
        <v>8.4</v>
      </c>
      <c r="X41" s="527" t="n">
        <f>'ARP Quarterly'!N23</f>
        <v>0.2</v>
      </c>
      <c r="Y41" s="493" t="n">
        <f>'ARP Quarterly'!O23</f>
        <v>0.2</v>
      </c>
      <c r="Z41" s="493" t="n">
        <f>'ARP Quarterly'!P23</f>
        <v>0.2</v>
      </c>
      <c r="AA41" s="493" t="n">
        <f>'ARP Quarterly'!Q23</f>
        <v>0.2</v>
      </c>
      <c r="AB41" s="493" t="n">
        <f>'ARP Quarterly'!R23</f>
        <v>0</v>
      </c>
      <c r="AC41" s="493" t="n">
        <f>'ARP Quarterly'!S23</f>
        <v>0</v>
      </c>
      <c r="AD41" s="380"/>
      <c r="AE41" s="679"/>
      <c r="AF41" s="679"/>
      <c r="AG41" s="380"/>
      <c r="AH41" s="380"/>
      <c r="AI41" s="380"/>
      <c r="AJ41" s="380"/>
      <c r="AK41" s="380"/>
      <c r="AL41" s="380"/>
      <c r="AM41" s="380"/>
      <c r="AN41" s="380"/>
    </row>
    <row r="42">
      <c r="B42" s="706" t="s">
        <v>337</v>
      </c>
      <c r="C42" s="427"/>
      <c r="D42" s="642"/>
      <c r="E42" s="427"/>
      <c r="F42" s="392"/>
      <c r="G42" s="392"/>
      <c r="H42" s="527"/>
      <c r="I42" s="527"/>
      <c r="J42" s="527"/>
      <c r="K42" s="527"/>
      <c r="L42" s="692"/>
      <c r="M42" s="527" t="n">
        <f>'ARP Quarterly'!C24</f>
        <v>0</v>
      </c>
      <c r="N42" s="527" t="n">
        <f>'ARP Quarterly'!D24</f>
        <v>-0.20447999999999997</v>
      </c>
      <c r="O42" s="527" t="n">
        <f>'ARP Quarterly'!E24</f>
        <v>-0.93152000000000001</v>
      </c>
      <c r="P42" s="527" t="n">
        <v>0</v>
      </c>
      <c r="Q42" s="527" t="n">
        <v>0</v>
      </c>
      <c r="R42" s="527" t="n">
        <v>0</v>
      </c>
      <c r="S42" s="527" t="n">
        <v>0</v>
      </c>
      <c r="T42" s="527" t="n">
        <v>0</v>
      </c>
      <c r="U42" s="527" t="n">
        <v>0</v>
      </c>
      <c r="V42" s="527" t="n">
        <v>0</v>
      </c>
      <c r="W42" s="527" t="n">
        <v>0</v>
      </c>
      <c r="X42" s="527" t="n">
        <v>0</v>
      </c>
      <c r="Y42" s="493" t="n">
        <v>0</v>
      </c>
      <c r="Z42" s="493" t="n">
        <v>0</v>
      </c>
      <c r="AA42" s="493" t="n">
        <v>0</v>
      </c>
      <c r="AB42" s="493" t="n">
        <v>0</v>
      </c>
      <c r="AC42" s="493" t="n">
        <v>0</v>
      </c>
      <c r="AD42" s="380"/>
      <c r="AE42" s="679"/>
      <c r="AF42" s="679"/>
      <c r="AG42" s="380"/>
      <c r="AH42" s="380"/>
      <c r="AI42" s="380"/>
      <c r="AJ42" s="380"/>
      <c r="AK42" s="380"/>
      <c r="AL42" s="380"/>
      <c r="AM42" s="380"/>
      <c r="AN42" s="380"/>
    </row>
    <row r="43">
      <c r="B43" s="706" t="s">
        <v>223</v>
      </c>
      <c r="C43" s="427"/>
      <c r="D43" s="690"/>
      <c r="E43" s="691"/>
      <c r="F43" s="656"/>
      <c r="G43" s="656"/>
      <c r="H43" s="542"/>
      <c r="I43" s="542"/>
      <c r="J43" s="542"/>
      <c r="K43" s="542"/>
      <c r="L43" s="696"/>
      <c r="M43" s="542" t="n">
        <f>'ARP Quarterly'!C25</f>
        <v>0</v>
      </c>
      <c r="N43" s="542" t="n">
        <f>'ARP Quarterly'!D25</f>
        <v>58.782959999999996</v>
      </c>
      <c r="O43" s="542" t="n">
        <f>'ARP Quarterly'!E25</f>
        <v>267.78904000000006</v>
      </c>
      <c r="P43" s="542" t="n">
        <f>'ARP Quarterly'!F25</f>
        <v>110.24799999999999</v>
      </c>
      <c r="Q43" s="542" t="n">
        <f>'ARP Quarterly'!G25</f>
        <v>110.24799999999999</v>
      </c>
      <c r="R43" s="542" t="n">
        <f>'ARP Quarterly'!H25</f>
        <v>110.24799999999999</v>
      </c>
      <c r="S43" s="542" t="n">
        <f>'ARP Quarterly'!I25</f>
        <v>110.24799999999999</v>
      </c>
      <c r="T43" s="542" t="n">
        <f>'ARP Quarterly'!J25</f>
        <v>12.362</v>
      </c>
      <c r="U43" s="527" t="n">
        <f>'ARP Quarterly'!K25</f>
        <v>12.362</v>
      </c>
      <c r="V43" s="527" t="n">
        <f>'ARP Quarterly'!L25</f>
        <v>12.362</v>
      </c>
      <c r="W43" s="527" t="n">
        <f>'ARP Quarterly'!M25</f>
        <v>12.362</v>
      </c>
      <c r="X43" s="527" t="n">
        <f>'ARP Quarterly'!N25</f>
        <v>-0.67500000000000004</v>
      </c>
      <c r="Y43" s="493" t="n">
        <f>'ARP Quarterly'!O25</f>
        <v>-0.67500000000000004</v>
      </c>
      <c r="Z43" s="493" t="n">
        <f>'ARP Quarterly'!P25</f>
        <v>-0.67500000000000004</v>
      </c>
      <c r="AA43" s="493" t="n">
        <f>'ARP Quarterly'!Q25</f>
        <v>-0.67500000000000004</v>
      </c>
      <c r="AB43" s="493" t="n">
        <f>'ARP Quarterly'!R25</f>
        <v>0</v>
      </c>
      <c r="AC43" s="493" t="n">
        <f>'ARP Quarterly'!S25</f>
        <v>0</v>
      </c>
      <c r="AD43" s="380"/>
      <c r="AE43" s="679"/>
      <c r="AF43" s="679"/>
      <c r="AG43" s="380"/>
      <c r="AH43" s="380"/>
      <c r="AI43" s="380"/>
      <c r="AJ43" s="380"/>
      <c r="AK43" s="380"/>
      <c r="AL43" s="380"/>
      <c r="AM43" s="380"/>
      <c r="AN43" s="380"/>
    </row>
    <row r="44" ht="15" customHeight="1">
      <c r="B44" s="659" t="s">
        <v>338</v>
      </c>
      <c r="C44" s="660"/>
      <c r="D44" s="689"/>
      <c r="E44" s="581"/>
      <c r="F44" s="392"/>
      <c r="G44" s="392"/>
      <c r="H44" s="527"/>
      <c r="I44" s="527"/>
      <c r="J44" s="527"/>
      <c r="K44" s="527"/>
      <c r="L44" s="692"/>
      <c r="M44" s="527"/>
      <c r="N44" s="527"/>
      <c r="O44" s="527"/>
      <c r="P44" s="527"/>
      <c r="Q44" s="527"/>
      <c r="R44" s="527"/>
      <c r="S44" s="527"/>
      <c r="T44" s="527"/>
      <c r="U44" s="673"/>
      <c r="V44" s="667"/>
      <c r="W44" s="667"/>
      <c r="X44" s="667"/>
      <c r="Y44" s="671"/>
      <c r="Z44" s="671"/>
      <c r="AA44" s="671"/>
      <c r="AB44" s="671"/>
      <c r="AC44" s="671"/>
      <c r="AD44" s="380"/>
      <c r="AE44" s="679"/>
      <c r="AF44" s="679"/>
      <c r="AG44" s="380"/>
      <c r="AH44" s="380"/>
      <c r="AI44" s="380"/>
      <c r="AJ44" s="380"/>
      <c r="AK44" s="380"/>
      <c r="AL44" s="380"/>
      <c r="AM44" s="380"/>
      <c r="AN44" s="380"/>
    </row>
    <row r="45" ht="21" customHeight="1">
      <c r="B45" s="573" t="s">
        <v>339</v>
      </c>
      <c r="C45" s="693"/>
      <c r="D45" s="573"/>
      <c r="E45" s="693"/>
      <c r="F45" s="655"/>
      <c r="G45" s="655"/>
      <c r="H45" s="674"/>
      <c r="I45" s="674"/>
      <c r="J45" s="674"/>
      <c r="K45" s="674"/>
      <c r="L45" s="694"/>
      <c r="M45" s="674" t="n">
        <f>'ARP Quarterly'!C6</f>
        <v>0</v>
      </c>
      <c r="N45" s="674" t="n">
        <f>'ARP Quarterly'!D6</f>
        <v>58.782959999999989</v>
      </c>
      <c r="O45" s="674" t="n">
        <f>'ARP Quarterly'!E6</f>
        <v>267.78904</v>
      </c>
      <c r="P45" s="674" t="n">
        <f>'ARP Quarterly'!F6</f>
        <v>110.24799999999999</v>
      </c>
      <c r="Q45" s="674" t="n">
        <f>'ARP Quarterly'!G6</f>
        <v>110.24799999999999</v>
      </c>
      <c r="R45" s="674" t="n">
        <f>'ARP Quarterly'!H6</f>
        <v>110.24799999999999</v>
      </c>
      <c r="S45" s="674" t="n">
        <f>'ARP Quarterly'!I6</f>
        <v>110.24799999999999</v>
      </c>
      <c r="T45" s="674" t="n">
        <f>'ARP Quarterly'!J6</f>
        <v>12.726000000000001</v>
      </c>
      <c r="U45" s="674" t="n">
        <f>'ARP Quarterly'!K6</f>
        <v>12.726000000000001</v>
      </c>
      <c r="V45" s="674" t="n">
        <f>'ARP Quarterly'!L6</f>
        <v>12.726000000000001</v>
      </c>
      <c r="W45" s="674" t="n">
        <f>'ARP Quarterly'!M6</f>
        <v>12.726000000000001</v>
      </c>
      <c r="X45" s="674" t="n">
        <f>'ARP Quarterly'!N6</f>
        <v>1.365</v>
      </c>
      <c r="Y45" s="672" t="n">
        <f>'ARP Quarterly'!O6</f>
        <v>1.365</v>
      </c>
      <c r="Z45" s="672" t="n">
        <f>'ARP Quarterly'!P6</f>
        <v>1.365</v>
      </c>
      <c r="AA45" s="672" t="n">
        <f>'ARP Quarterly'!Q6</f>
        <v>1.365</v>
      </c>
      <c r="AB45" s="672" t="n">
        <f>'ARP Quarterly'!R6</f>
        <v>-0.90100000000000025</v>
      </c>
      <c r="AC45" s="672" t="n">
        <f>'ARP Quarterly'!S6</f>
        <v>-0.90100000000000025</v>
      </c>
      <c r="AD45" s="672" t="n">
        <f>'ARP Quarterly'!T6</f>
        <v>-0.90100000000000025</v>
      </c>
      <c r="AE45" s="672" t="n">
        <f>'ARP Quarterly'!U6</f>
        <v>-0.90100000000000025</v>
      </c>
      <c r="AF45" s="672" t="n">
        <f>'ARP Quarterly'!V6</f>
        <v>-2.1500000000000004</v>
      </c>
      <c r="AG45" s="670" t="n">
        <v>0</v>
      </c>
      <c r="AH45" s="670" t="n">
        <v>0</v>
      </c>
      <c r="AI45" s="670" t="n">
        <v>0</v>
      </c>
      <c r="AJ45" s="670" t="n">
        <v>0</v>
      </c>
      <c r="AK45" s="670" t="n">
        <v>0</v>
      </c>
      <c r="AL45" s="670" t="n">
        <v>0</v>
      </c>
      <c r="AM45" s="670" t="n">
        <v>0</v>
      </c>
      <c r="AN45" s="670" t="n">
        <v>0</v>
      </c>
    </row>
    <row r="46" ht="19.5" customHeight="1">
      <c r="A46" s="666"/>
      <c r="B46" s="701" t="s">
        <v>132</v>
      </c>
      <c r="C46" s="702"/>
      <c r="D46" s="701"/>
      <c r="E46" s="702"/>
      <c r="F46" s="675" t="n">
        <f>F11-F45</f>
        <v>60.5</v>
      </c>
      <c r="G46" s="675" t="n">
        <f>G11-G45</f>
        <v>81.400000000000006</v>
      </c>
      <c r="H46" s="675" t="n">
        <f t="shared" ref="H46:AE46" si="70">H11-H45</f>
        <v>4.7</v>
      </c>
      <c r="I46" s="675" t="n">
        <f>I11-I45</f>
        <v>4.8</v>
      </c>
      <c r="J46" s="675" t="n">
        <f t="shared" si="70"/>
        <v>4.5</v>
      </c>
      <c r="K46" s="675" t="n">
        <f t="shared" si="70"/>
        <v>4.5999999999999996</v>
      </c>
      <c r="L46" s="675" t="n">
        <f>L11-L45</f>
        <v>6.1</v>
      </c>
      <c r="M46" s="675" t="n">
        <f>M11-M45</f>
        <v>6.2</v>
      </c>
      <c r="N46" s="675" t="n">
        <f t="shared" si="70"/>
        <v>-51.682959999999987</v>
      </c>
      <c r="O46" s="675" t="n">
        <f>O11-O45</f>
        <v>-260.78904</v>
      </c>
      <c r="P46" s="675" t="n">
        <f>P11-P45</f>
        <v>-104.34799999999998</v>
      </c>
      <c r="Q46" s="675" t="n">
        <f t="shared" si="70"/>
        <v>-104.648</v>
      </c>
      <c r="R46" s="675" t="n">
        <f t="shared" si="70"/>
        <v>-105.648</v>
      </c>
      <c r="S46" s="675" t="n">
        <f t="shared" si="70"/>
        <v>-105.74799999999999</v>
      </c>
      <c r="T46" s="675" t="n">
        <f t="shared" si="70"/>
        <v>-9.2260000000000009</v>
      </c>
      <c r="U46" s="675" t="n">
        <f t="shared" si="70"/>
        <v>-9.9260000000000019</v>
      </c>
      <c r="V46" s="675" t="n">
        <f>V11-V45</f>
        <v>-9.6260000000000012</v>
      </c>
      <c r="W46" s="675" t="n">
        <f t="shared" si="70"/>
        <v>-9.2260000000000009</v>
      </c>
      <c r="X46" s="675" t="n">
        <f>X11-X45</f>
        <v>2.7349999999999994</v>
      </c>
      <c r="Y46" s="704" t="n">
        <f t="shared" si="70"/>
        <v>2.7349999999999994</v>
      </c>
      <c r="Z46" s="704" t="n">
        <f t="shared" si="70"/>
        <v>3.0350000000000001</v>
      </c>
      <c r="AA46" s="704" t="n">
        <f t="shared" si="70"/>
        <v>3.4349999999999996</v>
      </c>
      <c r="AB46" s="704" t="n">
        <f t="shared" si="70"/>
        <v>5.9009999999999998</v>
      </c>
      <c r="AC46" s="704" t="n">
        <f>AC11-AC45</f>
        <v>5.6010000000000009</v>
      </c>
      <c r="AD46" s="704" t="n">
        <f>AD11-AD45</f>
        <v>5.8010000000000002</v>
      </c>
      <c r="AE46" s="704" t="n">
        <f t="shared" si="70"/>
        <v>5.8010000000000002</v>
      </c>
      <c r="AF46" s="704" t="n">
        <f>AF11-AF45</f>
        <v>10.14</v>
      </c>
      <c r="AG46" s="704" t="n">
        <f>AG11-AG45</f>
        <v>7.99</v>
      </c>
      <c r="AH46" s="704" t="n">
        <f>AH11-AH45</f>
        <v>7.99</v>
      </c>
      <c r="AI46" s="704" t="n">
        <f t="shared" ref="AI46:AN46" si="71">AI11-AI45</f>
        <v>7.99</v>
      </c>
      <c r="AJ46" s="704" t="n">
        <f t="shared" si="71"/>
        <v>7.99</v>
      </c>
      <c r="AK46" s="704" t="n">
        <f t="shared" si="71"/>
        <v>7.99</v>
      </c>
      <c r="AL46" s="704" t="n">
        <f t="shared" si="71"/>
        <v>7.99</v>
      </c>
      <c r="AM46" s="704" t="n">
        <f t="shared" si="71"/>
        <v>7.99</v>
      </c>
      <c r="AN46" s="704" t="n">
        <f t="shared" si="71"/>
        <v>7.99</v>
      </c>
      <c r="AO46" s="666"/>
      <c r="AP46" s="666"/>
      <c r="AQ46" s="666"/>
      <c r="AR46" s="666"/>
      <c r="AS46" s="666"/>
      <c r="AT46" s="666"/>
      <c r="AU46" s="666"/>
      <c r="AV46" s="666"/>
      <c r="AW46" s="666"/>
      <c r="AX46" s="666"/>
      <c r="AY46" s="666"/>
      <c r="AZ46" s="666"/>
      <c r="BA46" s="666"/>
      <c r="BB46" s="666"/>
      <c r="BC46" s="666"/>
      <c r="BD46" s="666"/>
      <c r="BE46" s="666"/>
      <c r="BF46" s="666"/>
      <c r="BG46" s="666"/>
      <c r="BH46" s="666"/>
      <c r="BI46" s="666"/>
      <c r="BJ46" s="666"/>
      <c r="BK46" s="666"/>
      <c r="BL46" s="666"/>
      <c r="BM46" s="666"/>
      <c r="BN46" s="666"/>
      <c r="BO46" s="666"/>
      <c r="BP46" s="666"/>
      <c r="BQ46" s="666"/>
      <c r="BR46" s="666"/>
      <c r="BS46" s="666"/>
      <c r="BT46" s="666"/>
      <c r="BU46" s="666"/>
      <c r="BV46" s="666"/>
      <c r="BW46" s="666"/>
      <c r="BX46" s="666"/>
      <c r="BY46" s="666"/>
      <c r="BZ46" s="666"/>
      <c r="CA46" s="666"/>
    </row>
    <row r="47" ht="19.5" customHeight="1">
      <c r="A47" s="666"/>
      <c r="B47" s="412"/>
      <c r="C47" s="412"/>
      <c r="D47" s="412"/>
      <c r="E47" s="412"/>
      <c r="F47" s="703"/>
      <c r="G47" s="703"/>
      <c r="H47" s="703"/>
      <c r="I47" s="703"/>
      <c r="J47" s="703"/>
      <c r="K47" s="703"/>
      <c r="L47" s="703"/>
      <c r="M47" s="703"/>
      <c r="N47" s="703"/>
      <c r="O47" s="703"/>
      <c r="P47" s="703"/>
      <c r="Q47" s="703"/>
      <c r="R47" s="703"/>
      <c r="S47" s="703"/>
      <c r="T47" s="703"/>
      <c r="U47" s="703"/>
      <c r="V47" s="703"/>
      <c r="W47" s="703"/>
      <c r="X47" s="703"/>
      <c r="Y47" s="703"/>
      <c r="Z47" s="703"/>
      <c r="AA47" s="703"/>
      <c r="AB47" s="703"/>
      <c r="AC47" s="703"/>
      <c r="AG47" s="666"/>
      <c r="AH47" s="666"/>
      <c r="AI47" s="666"/>
      <c r="AJ47" s="666"/>
      <c r="AK47" s="666"/>
      <c r="AL47" s="666"/>
      <c r="AM47" s="666"/>
      <c r="AN47" s="666"/>
      <c r="AO47" s="666"/>
      <c r="AP47" s="666"/>
      <c r="AQ47" s="666"/>
      <c r="AR47" s="666"/>
      <c r="AS47" s="666"/>
      <c r="AT47" s="666"/>
      <c r="AU47" s="666"/>
      <c r="AV47" s="666"/>
      <c r="AW47" s="666"/>
      <c r="AX47" s="666"/>
      <c r="AY47" s="666"/>
      <c r="AZ47" s="666"/>
      <c r="BA47" s="666"/>
      <c r="BB47" s="666"/>
      <c r="BC47" s="666"/>
      <c r="BD47" s="666"/>
      <c r="BE47" s="666"/>
      <c r="BF47" s="666"/>
      <c r="BG47" s="666"/>
      <c r="BH47" s="666"/>
      <c r="BI47" s="666"/>
      <c r="BJ47" s="666"/>
      <c r="BK47" s="666"/>
      <c r="BL47" s="666"/>
      <c r="BM47" s="666"/>
      <c r="BN47" s="666"/>
      <c r="BO47" s="666"/>
      <c r="BP47" s="666"/>
      <c r="BQ47" s="666"/>
      <c r="BR47" s="666"/>
      <c r="BS47" s="666"/>
      <c r="BT47" s="666"/>
      <c r="BU47" s="666"/>
      <c r="BV47" s="666"/>
      <c r="BW47" s="666"/>
      <c r="BX47" s="666"/>
      <c r="BY47" s="666"/>
      <c r="BZ47" s="666"/>
      <c r="CA47" s="666"/>
    </row>
    <row r="48" ht="19.5" customHeight="1">
      <c r="A48" s="666"/>
      <c r="B48" s="412" t="s">
        <v>769</v>
      </c>
      <c r="C48" s="412"/>
      <c r="D48" s="412"/>
      <c r="E48" s="412"/>
      <c r="F48" s="703"/>
      <c r="G48" s="703"/>
      <c r="H48" s="703"/>
      <c r="I48" s="703"/>
      <c r="J48" s="703"/>
      <c r="K48" s="703"/>
      <c r="L48" s="703"/>
      <c r="M48" s="703"/>
      <c r="N48" s="703"/>
      <c r="O48" s="703"/>
      <c r="P48" s="703"/>
      <c r="Q48" s="703"/>
      <c r="R48" s="703"/>
      <c r="S48" s="703"/>
      <c r="T48" s="703" t="n">
        <v>110.8</v>
      </c>
      <c r="U48" s="685" t="n">
        <v>96.021999999999991</v>
      </c>
      <c r="V48" s="391" t="n">
        <v>88.50800000000001</v>
      </c>
      <c r="W48" s="391" t="n">
        <v>88.50800000000001</v>
      </c>
      <c r="X48" s="391" t="n">
        <v>85.631</v>
      </c>
      <c r="Y48" s="391" t="n">
        <v>85.631</v>
      </c>
      <c r="Z48" s="391" t="n">
        <v>85.631</v>
      </c>
      <c r="AA48" s="391" t="n">
        <v>85.631</v>
      </c>
      <c r="AB48" s="391" t="n">
        <v>90.463999999999999</v>
      </c>
      <c r="AC48" s="391" t="n">
        <v>90.463999999999999</v>
      </c>
      <c r="AD48" s="684" t="n">
        <f>U11-U48</f>
        <v>-93.221999999999994</v>
      </c>
      <c r="AG48" s="666"/>
      <c r="AH48" s="666"/>
      <c r="AI48" s="666"/>
      <c r="AJ48" s="666"/>
      <c r="AK48" s="666"/>
      <c r="AL48" s="666"/>
      <c r="AM48" s="666"/>
      <c r="AN48" s="666"/>
      <c r="AO48" s="666"/>
      <c r="AP48" s="666"/>
      <c r="AQ48" s="666"/>
      <c r="AR48" s="666"/>
      <c r="AS48" s="666"/>
      <c r="AT48" s="666"/>
      <c r="AU48" s="666"/>
      <c r="AV48" s="666"/>
      <c r="AW48" s="666"/>
      <c r="AX48" s="666"/>
      <c r="AY48" s="666"/>
      <c r="AZ48" s="666"/>
      <c r="BA48" s="666"/>
      <c r="BB48" s="666"/>
      <c r="BC48" s="666"/>
      <c r="BD48" s="666"/>
      <c r="BE48" s="666"/>
      <c r="BF48" s="666"/>
      <c r="BG48" s="666"/>
      <c r="BH48" s="666"/>
      <c r="BI48" s="666"/>
      <c r="BJ48" s="666"/>
      <c r="BK48" s="666"/>
      <c r="BL48" s="666"/>
      <c r="BM48" s="666"/>
      <c r="BN48" s="666"/>
      <c r="BO48" s="666"/>
      <c r="BP48" s="666"/>
      <c r="BQ48" s="666"/>
      <c r="BR48" s="666"/>
      <c r="BS48" s="666"/>
      <c r="BT48" s="666"/>
      <c r="BU48" s="666"/>
      <c r="BV48" s="666"/>
      <c r="BW48" s="666"/>
      <c r="BX48" s="666"/>
      <c r="BY48" s="666"/>
      <c r="BZ48" s="666"/>
      <c r="CA48" s="666"/>
    </row>
    <row r="49">
      <c r="B49" s="680" t="s">
        <v>315</v>
      </c>
      <c r="C49" s="289"/>
      <c r="D49" s="289"/>
      <c r="E49" s="289"/>
      <c r="F49" s="289"/>
      <c r="G49" s="289"/>
      <c r="H49" s="289"/>
      <c r="I49" s="289"/>
      <c r="J49" s="289"/>
      <c r="K49" s="289"/>
      <c r="L49" s="289"/>
      <c r="M49" s="289"/>
      <c r="N49" s="289"/>
      <c r="O49" s="289"/>
      <c r="P49" s="647"/>
      <c r="Q49" s="647"/>
      <c r="R49" s="647"/>
      <c r="S49" s="647"/>
      <c r="T49" s="681" t="n">
        <v>78.977999999999994</v>
      </c>
      <c r="U49" s="682" t="n">
        <v>76</v>
      </c>
      <c r="V49" s="682" t="n">
        <v>76</v>
      </c>
      <c r="W49" s="682" t="n">
        <v>76</v>
      </c>
      <c r="X49" s="682" t="n">
        <v>76</v>
      </c>
      <c r="Y49" s="682" t="n">
        <v>76</v>
      </c>
      <c r="Z49" s="682" t="n">
        <v>76</v>
      </c>
      <c r="AA49" s="682" t="n">
        <v>76</v>
      </c>
      <c r="AB49" s="682" t="n">
        <v>76</v>
      </c>
      <c r="AC49" s="682" t="n">
        <v>76</v>
      </c>
      <c r="AD49" s="684" t="n">
        <f t="shared" ref="AD49:AD83" si="72">U12-U49</f>
        <v>-85.707999999999998</v>
      </c>
    </row>
    <row r="50">
      <c r="B50" t="s">
        <v>316</v>
      </c>
      <c r="T50" s="88" t="n">
        <v>31.822000000000003</v>
      </c>
      <c r="U50" s="88" t="n">
        <v>20.021999999999998</v>
      </c>
      <c r="V50" s="88" t="n">
        <v>12.508000000000003</v>
      </c>
      <c r="W50" s="88" t="n">
        <v>12.508000000000003</v>
      </c>
      <c r="X50" s="88" t="n">
        <v>9.6310000000000002</v>
      </c>
      <c r="Y50" s="88" t="n">
        <v>9.6310000000000002</v>
      </c>
      <c r="Z50" s="88" t="n">
        <v>9.6310000000000002</v>
      </c>
      <c r="AA50" s="88" t="n">
        <v>9.6310000000000002</v>
      </c>
      <c r="AB50" s="88" t="n">
        <v>14.464</v>
      </c>
      <c r="AC50" s="88" t="n">
        <v>14.464</v>
      </c>
      <c r="AD50" s="684" t="n">
        <f t="shared" si="72"/>
        <v>-7.5139999999999958</v>
      </c>
    </row>
    <row r="51">
      <c r="B51" t="s">
        <v>41</v>
      </c>
      <c r="S51" s="78"/>
      <c r="T51" s="89" t="n">
        <v>0</v>
      </c>
      <c r="U51" s="88"/>
      <c r="V51" s="88"/>
      <c r="W51" s="88"/>
      <c r="X51" s="88"/>
      <c r="Y51" s="88"/>
      <c r="AD51" s="684" t="n">
        <f t="shared" si="72"/>
        <v>0</v>
      </c>
    </row>
    <row r="52">
      <c r="B52" t="s">
        <v>317</v>
      </c>
      <c r="T52" s="89" t="n">
        <v>28.200000000000003</v>
      </c>
      <c r="U52" s="89" t="n">
        <v>16.399999999999999</v>
      </c>
      <c r="V52" s="89" t="n">
        <v>8.886000000000001</v>
      </c>
      <c r="W52" s="89" t="n">
        <v>8.886000000000001</v>
      </c>
      <c r="X52" s="89" t="n">
        <v>0.2</v>
      </c>
      <c r="Y52" s="89" t="n">
        <v>0.2</v>
      </c>
      <c r="Z52" s="89" t="n">
        <v>0.2</v>
      </c>
      <c r="AA52" s="89" t="n">
        <v>0.2</v>
      </c>
      <c r="AB52" s="89" t="n">
        <v>0</v>
      </c>
      <c r="AC52" s="89" t="n">
        <v>0</v>
      </c>
      <c r="AD52" s="684" t="n">
        <f t="shared" si="72"/>
        <v>-7.5139999999999976</v>
      </c>
    </row>
    <row r="53">
      <c r="B53" t="s">
        <v>99</v>
      </c>
      <c r="T53" s="89" t="n">
        <v>0</v>
      </c>
      <c r="U53" s="88"/>
      <c r="V53" s="88"/>
      <c r="W53" s="88"/>
      <c r="X53" s="88"/>
      <c r="Y53" s="88"/>
      <c r="AD53" s="684" t="n">
        <f t="shared" si="72"/>
        <v>0</v>
      </c>
    </row>
    <row r="54">
      <c r="B54" t="s">
        <v>97</v>
      </c>
      <c r="T54" s="89" t="n">
        <v>0</v>
      </c>
      <c r="U54" s="88" t="n">
        <v>0</v>
      </c>
      <c r="V54" s="88" t="n">
        <v>0</v>
      </c>
      <c r="W54" s="88" t="n">
        <v>0</v>
      </c>
      <c r="X54" s="88" t="n">
        <v>0</v>
      </c>
      <c r="Y54" s="88" t="n">
        <v>0</v>
      </c>
      <c r="Z54" s="88" t="n">
        <v>0</v>
      </c>
      <c r="AA54" s="88" t="n">
        <v>0</v>
      </c>
      <c r="AB54" s="88" t="n">
        <v>0</v>
      </c>
      <c r="AC54" s="88" t="n">
        <v>0</v>
      </c>
      <c r="AD54" s="684" t="n">
        <f t="shared" si="72"/>
        <v>0</v>
      </c>
    </row>
    <row r="55">
      <c r="B55" t="s">
        <v>96</v>
      </c>
      <c r="T55" s="89" t="n">
        <v>0.4</v>
      </c>
      <c r="U55" s="88" t="n">
        <v>0</v>
      </c>
      <c r="V55" s="88" t="n">
        <v>0</v>
      </c>
      <c r="W55" s="88" t="n">
        <v>0</v>
      </c>
      <c r="X55" s="88" t="n">
        <v>0</v>
      </c>
      <c r="Y55" s="88" t="n">
        <v>0</v>
      </c>
      <c r="Z55" s="88" t="n">
        <v>0</v>
      </c>
      <c r="AA55" s="88" t="n">
        <v>0</v>
      </c>
      <c r="AB55" s="88" t="n">
        <v>0</v>
      </c>
      <c r="AC55" s="88" t="n">
        <v>0</v>
      </c>
      <c r="AD55" s="684" t="n">
        <f t="shared" si="72"/>
        <v>0</v>
      </c>
    </row>
    <row r="56">
      <c r="B56" t="s">
        <v>321</v>
      </c>
      <c r="T56" s="89" t="n">
        <v>3.6</v>
      </c>
      <c r="U56" s="88"/>
      <c r="V56" s="88"/>
      <c r="W56" s="88"/>
      <c r="X56" s="88"/>
      <c r="Y56" s="88"/>
      <c r="AD56" s="684" t="n">
        <f t="shared" si="72"/>
        <v>0</v>
      </c>
    </row>
    <row r="57">
      <c r="B57" t="s">
        <v>98</v>
      </c>
      <c r="T57" s="89" t="n">
        <v>15.8</v>
      </c>
      <c r="U57" s="88" t="n">
        <v>8</v>
      </c>
      <c r="V57" s="88" t="n">
        <v>0.48599999999999993</v>
      </c>
      <c r="W57" s="88" t="n">
        <v>0.48599999999999993</v>
      </c>
      <c r="X57" s="88" t="n">
        <v>0</v>
      </c>
      <c r="Y57" s="88" t="n">
        <v>0</v>
      </c>
      <c r="Z57" s="88" t="n">
        <v>0</v>
      </c>
      <c r="AA57" s="88" t="n">
        <v>0</v>
      </c>
      <c r="AB57" s="88" t="n">
        <v>0</v>
      </c>
      <c r="AC57" s="88" t="n">
        <v>0</v>
      </c>
      <c r="AD57" s="684" t="n">
        <f t="shared" si="72"/>
        <v>-7.5140000000000002</v>
      </c>
    </row>
    <row r="58">
      <c r="B58" t="s">
        <v>100</v>
      </c>
      <c r="T58" s="89" t="n">
        <v>0</v>
      </c>
      <c r="U58" s="88" t="n">
        <v>0</v>
      </c>
      <c r="V58" s="88" t="n">
        <v>0</v>
      </c>
      <c r="W58" s="88" t="n">
        <v>0</v>
      </c>
      <c r="X58" s="88" t="n">
        <v>0</v>
      </c>
      <c r="Y58" s="88" t="n">
        <v>0</v>
      </c>
      <c r="Z58" s="88" t="n">
        <v>0</v>
      </c>
      <c r="AA58" s="88" t="n">
        <v>0</v>
      </c>
      <c r="AB58" s="88" t="n">
        <v>0</v>
      </c>
      <c r="AC58" s="88" t="n">
        <v>0</v>
      </c>
      <c r="AD58" s="684" t="n">
        <f t="shared" si="72"/>
        <v>0</v>
      </c>
    </row>
    <row r="59">
      <c r="B59" t="s">
        <v>324</v>
      </c>
      <c r="T59" s="89" t="n">
        <v>0</v>
      </c>
      <c r="U59" s="88" t="n">
        <v>0</v>
      </c>
      <c r="V59" s="88" t="n">
        <v>0</v>
      </c>
      <c r="W59" s="88" t="n">
        <v>0</v>
      </c>
      <c r="X59" s="88" t="n">
        <v>0</v>
      </c>
      <c r="Y59" s="88" t="n">
        <v>0</v>
      </c>
      <c r="Z59" s="88" t="n">
        <v>0</v>
      </c>
      <c r="AA59" s="88" t="n">
        <v>0</v>
      </c>
      <c r="AB59" s="88" t="n">
        <v>0</v>
      </c>
      <c r="AC59" s="88" t="n">
        <v>0</v>
      </c>
      <c r="AD59" s="684" t="n">
        <f t="shared" si="72"/>
        <v>0</v>
      </c>
    </row>
    <row r="60">
      <c r="B60" t="s">
        <v>325</v>
      </c>
      <c r="T60" s="89" t="n">
        <v>0</v>
      </c>
      <c r="U60" s="88" t="n">
        <v>0</v>
      </c>
      <c r="V60" s="88" t="n">
        <v>0</v>
      </c>
      <c r="W60" s="88" t="n">
        <v>0</v>
      </c>
      <c r="X60" s="88" t="n">
        <v>0</v>
      </c>
      <c r="Y60" s="88" t="n">
        <v>0</v>
      </c>
      <c r="Z60" s="88" t="n">
        <v>0</v>
      </c>
      <c r="AA60" s="88" t="n">
        <v>0</v>
      </c>
      <c r="AB60" s="88" t="n">
        <v>0</v>
      </c>
      <c r="AC60" s="88" t="n">
        <v>0</v>
      </c>
      <c r="AD60" s="684" t="n">
        <f t="shared" si="72"/>
        <v>0</v>
      </c>
    </row>
    <row r="61">
      <c r="B61" t="s">
        <v>326</v>
      </c>
      <c r="T61" s="88" t="n">
        <v>8.4</v>
      </c>
      <c r="U61" s="88" t="n">
        <v>8.4</v>
      </c>
      <c r="V61" s="88" t="n">
        <v>8.4</v>
      </c>
      <c r="W61" s="88" t="n">
        <v>8.4</v>
      </c>
      <c r="X61" s="88" t="n">
        <v>0.2</v>
      </c>
      <c r="Y61" s="88" t="n">
        <v>0.2</v>
      </c>
      <c r="Z61" s="88" t="n">
        <v>0.2</v>
      </c>
      <c r="AA61" s="88" t="n">
        <v>0.2</v>
      </c>
      <c r="AB61" s="88" t="n">
        <v>0</v>
      </c>
      <c r="AC61" s="88" t="n">
        <v>0</v>
      </c>
      <c r="AD61" s="684" t="n">
        <f t="shared" si="72"/>
        <v>0</v>
      </c>
    </row>
    <row r="62">
      <c r="B62" t="s">
        <v>327</v>
      </c>
      <c r="T62" s="88" t="n">
        <v>0</v>
      </c>
      <c r="U62" s="88" t="n">
        <v>0</v>
      </c>
      <c r="V62" s="88" t="n">
        <v>0</v>
      </c>
      <c r="W62" s="88" t="n">
        <v>0</v>
      </c>
      <c r="X62" s="88" t="n">
        <v>0</v>
      </c>
      <c r="Y62" s="88" t="n">
        <v>0</v>
      </c>
      <c r="Z62" s="88" t="n">
        <v>0</v>
      </c>
      <c r="AA62" s="88" t="n">
        <v>0</v>
      </c>
      <c r="AB62" s="88" t="n">
        <v>0</v>
      </c>
      <c r="AC62" s="88" t="n">
        <v>0</v>
      </c>
      <c r="AD62" s="684" t="n">
        <f t="shared" si="72"/>
        <v>0</v>
      </c>
    </row>
    <row r="63">
      <c r="B63" t="s">
        <v>1277</v>
      </c>
      <c r="T63" s="88" t="n">
        <v>2.3250000000000002</v>
      </c>
      <c r="U63" s="88" t="n">
        <v>2.3250000000000002</v>
      </c>
      <c r="V63" s="88" t="n">
        <v>2.3250000000000002</v>
      </c>
      <c r="W63" s="88" t="n">
        <v>2.3250000000000002</v>
      </c>
      <c r="X63" s="88" t="n">
        <v>5.5830000000000002</v>
      </c>
      <c r="Y63" s="88" t="n">
        <v>5.5830000000000002</v>
      </c>
      <c r="Z63" s="88" t="n">
        <v>5.5830000000000002</v>
      </c>
      <c r="AA63" s="88" t="n">
        <v>5.5830000000000002</v>
      </c>
      <c r="AB63" s="88" t="n">
        <v>8.0220000000000002</v>
      </c>
      <c r="AC63" s="88" t="n">
        <v>8.0220000000000002</v>
      </c>
      <c r="AD63" s="684" t="n">
        <f t="shared" si="72"/>
        <v>0</v>
      </c>
    </row>
    <row r="64">
      <c r="B64" t="s">
        <v>1085</v>
      </c>
      <c r="T64" s="88" t="n">
        <v>1.2969999999999999</v>
      </c>
      <c r="U64" s="88" t="n">
        <v>1.2969999999999999</v>
      </c>
      <c r="V64" s="88" t="n">
        <v>1.2969999999999999</v>
      </c>
      <c r="W64" s="88" t="n">
        <v>1.2969999999999999</v>
      </c>
      <c r="X64" s="88" t="n">
        <v>3.8479999999999999</v>
      </c>
      <c r="Y64" s="88" t="n">
        <v>3.8479999999999999</v>
      </c>
      <c r="Z64" s="88" t="n">
        <v>3.8479999999999999</v>
      </c>
      <c r="AA64" s="88" t="n">
        <v>3.8479999999999999</v>
      </c>
      <c r="AB64" s="88" t="n">
        <v>6.4420000000000002</v>
      </c>
      <c r="AC64" s="88" t="n">
        <v>6.4420000000000002</v>
      </c>
      <c r="AD64" s="684" t="n">
        <f t="shared" si="72"/>
        <v>0</v>
      </c>
    </row>
    <row r="65">
      <c r="B65" t="s">
        <v>328</v>
      </c>
      <c r="T65" s="88"/>
      <c r="U65" s="88"/>
      <c r="AD65" s="684" t="n">
        <f t="shared" si="72"/>
        <v>0</v>
      </c>
    </row>
    <row r="66">
      <c r="B66" t="s">
        <v>329</v>
      </c>
      <c r="T66" s="88"/>
      <c r="U66" s="88"/>
      <c r="AD66" s="684" t="n">
        <f t="shared" si="72"/>
        <v>0</v>
      </c>
    </row>
    <row r="67">
      <c r="B67" t="s">
        <v>330</v>
      </c>
      <c r="T67" s="88"/>
      <c r="U67" s="88"/>
      <c r="AD67" s="684" t="n">
        <f t="shared" si="72"/>
        <v>0</v>
      </c>
    </row>
    <row r="68">
      <c r="B68" t="s">
        <v>327</v>
      </c>
      <c r="T68" s="88"/>
      <c r="U68" s="88"/>
      <c r="AD68" s="684" t="n">
        <f t="shared" si="72"/>
        <v>0</v>
      </c>
    </row>
    <row r="69">
      <c r="B69" t="s">
        <v>324</v>
      </c>
      <c r="T69" s="683"/>
      <c r="U69" s="683"/>
      <c r="AD69" s="684" t="n">
        <f t="shared" si="72"/>
        <v>0</v>
      </c>
    </row>
    <row r="70">
      <c r="B70" t="s">
        <v>331</v>
      </c>
      <c r="T70" s="683"/>
      <c r="U70" s="683"/>
      <c r="AD70" s="684" t="n">
        <f t="shared" si="72"/>
        <v>0</v>
      </c>
    </row>
    <row r="71">
      <c r="B71" t="s">
        <v>332</v>
      </c>
      <c r="T71" s="88"/>
      <c r="U71" s="88"/>
      <c r="AD71" s="684" t="n">
        <f t="shared" si="72"/>
        <v>0</v>
      </c>
    </row>
    <row r="72">
      <c r="B72" t="s">
        <v>333</v>
      </c>
      <c r="T72" s="88"/>
      <c r="U72" s="88"/>
      <c r="AD72" s="684" t="n">
        <f t="shared" si="72"/>
        <v>0</v>
      </c>
    </row>
    <row r="73">
      <c r="B73" t="s">
        <v>97</v>
      </c>
      <c r="T73" s="88" t="n">
        <v>0</v>
      </c>
      <c r="U73" s="88" t="n">
        <v>0</v>
      </c>
      <c r="V73" s="88" t="n">
        <v>0</v>
      </c>
      <c r="W73" s="88" t="n">
        <v>0</v>
      </c>
      <c r="X73" s="88" t="n">
        <v>0</v>
      </c>
      <c r="Y73" s="88" t="n">
        <v>0</v>
      </c>
      <c r="Z73" s="88" t="n">
        <v>0</v>
      </c>
      <c r="AA73" s="88" t="n">
        <v>0</v>
      </c>
      <c r="AB73" s="88" t="n">
        <v>0</v>
      </c>
      <c r="AC73" s="88" t="n">
        <v>0</v>
      </c>
      <c r="AD73" s="684" t="n">
        <f t="shared" si="72"/>
        <v>0</v>
      </c>
    </row>
    <row r="74">
      <c r="B74" t="s">
        <v>334</v>
      </c>
      <c r="T74" s="88" t="n">
        <v>0.48599999999999993</v>
      </c>
      <c r="U74" s="88" t="n">
        <v>0.48599999999999993</v>
      </c>
      <c r="V74" s="88" t="n">
        <v>0.48599999999999993</v>
      </c>
      <c r="W74" s="88" t="n">
        <v>0.48599999999999993</v>
      </c>
      <c r="X74" s="88" t="n">
        <v>0</v>
      </c>
      <c r="Y74" s="88" t="n">
        <v>0</v>
      </c>
      <c r="Z74" s="88" t="n">
        <v>0</v>
      </c>
      <c r="AA74" s="88" t="n">
        <v>0</v>
      </c>
      <c r="AB74" s="88" t="n">
        <v>0</v>
      </c>
      <c r="AC74" s="88" t="n">
        <v>0</v>
      </c>
      <c r="AD74" s="684" t="n">
        <f t="shared" si="72"/>
        <v>0</v>
      </c>
    </row>
    <row r="75">
      <c r="B75" t="s">
        <v>100</v>
      </c>
      <c r="T75" s="88" t="n">
        <v>0</v>
      </c>
      <c r="U75" s="88" t="n">
        <v>0</v>
      </c>
      <c r="V75" s="88" t="n">
        <v>0</v>
      </c>
      <c r="W75" s="88" t="n">
        <v>0</v>
      </c>
      <c r="X75" s="88" t="n">
        <v>0</v>
      </c>
      <c r="Y75" s="88" t="n">
        <v>0</v>
      </c>
      <c r="Z75" s="88" t="n">
        <v>0</v>
      </c>
      <c r="AA75" s="88" t="n">
        <v>0</v>
      </c>
      <c r="AB75" s="88" t="n">
        <v>0</v>
      </c>
      <c r="AC75" s="88" t="n">
        <v>0</v>
      </c>
      <c r="AD75" s="684" t="n">
        <f t="shared" si="72"/>
        <v>0</v>
      </c>
    </row>
    <row r="76">
      <c r="B76" t="s">
        <v>324</v>
      </c>
      <c r="T76" s="88" t="n">
        <v>0.78750000000000009</v>
      </c>
      <c r="U76" s="88" t="n">
        <v>0.78750000000000009</v>
      </c>
      <c r="V76" s="88" t="n">
        <v>0.78750000000000009</v>
      </c>
      <c r="W76" s="88" t="n">
        <v>0.78750000000000009</v>
      </c>
      <c r="X76" s="88" t="n">
        <v>0</v>
      </c>
      <c r="Y76" s="88" t="n">
        <v>0</v>
      </c>
      <c r="Z76" s="88" t="n">
        <v>0</v>
      </c>
      <c r="AA76" s="88" t="n">
        <v>0</v>
      </c>
      <c r="AB76" s="88" t="n">
        <v>0</v>
      </c>
      <c r="AC76" s="88" t="n">
        <v>0</v>
      </c>
      <c r="AD76" s="684" t="n">
        <f t="shared" si="72"/>
        <v>0</v>
      </c>
    </row>
    <row r="77">
      <c r="B77" t="s">
        <v>335</v>
      </c>
      <c r="T77" s="88" t="n">
        <v>1.3125000000000002</v>
      </c>
      <c r="U77" s="88" t="n">
        <v>1.3125000000000002</v>
      </c>
      <c r="V77" s="88" t="n">
        <v>1.3125000000000002</v>
      </c>
      <c r="W77" s="88" t="n">
        <v>1.3125000000000002</v>
      </c>
      <c r="X77" s="88" t="n">
        <v>0</v>
      </c>
      <c r="Y77" s="88" t="n">
        <v>0</v>
      </c>
      <c r="Z77" s="88" t="n">
        <v>0</v>
      </c>
      <c r="AA77" s="88" t="n">
        <v>0</v>
      </c>
      <c r="AB77" s="88" t="n">
        <v>0</v>
      </c>
      <c r="AC77" s="88" t="n">
        <v>0</v>
      </c>
      <c r="AD77" s="684" t="n">
        <f t="shared" si="72"/>
        <v>0</v>
      </c>
    </row>
    <row r="78">
      <c r="B78" t="s">
        <v>336</v>
      </c>
      <c r="T78" s="88" t="n">
        <v>8.4</v>
      </c>
      <c r="U78" s="88" t="n">
        <v>8.4</v>
      </c>
      <c r="V78" s="88" t="n">
        <v>8.4</v>
      </c>
      <c r="W78" s="88" t="n">
        <v>8.4</v>
      </c>
      <c r="X78" s="88" t="n">
        <v>0.2</v>
      </c>
      <c r="Y78" s="88" t="n">
        <v>0.2</v>
      </c>
      <c r="Z78" s="88" t="n">
        <v>0.2</v>
      </c>
      <c r="AA78" s="88" t="n">
        <v>0.2</v>
      </c>
      <c r="AB78" s="88" t="n">
        <v>0</v>
      </c>
      <c r="AC78" s="88" t="n">
        <v>0</v>
      </c>
      <c r="AD78" s="684" t="n">
        <f t="shared" si="72"/>
        <v>0</v>
      </c>
    </row>
    <row r="79">
      <c r="B79" t="s">
        <v>337</v>
      </c>
      <c r="T79" s="88" t="n">
        <v>0</v>
      </c>
      <c r="U79" s="88" t="n">
        <v>0</v>
      </c>
      <c r="V79" s="88" t="n">
        <v>0</v>
      </c>
      <c r="W79" s="88" t="n">
        <v>0</v>
      </c>
      <c r="X79" s="88" t="n">
        <v>0</v>
      </c>
      <c r="Y79" s="88" t="n">
        <v>0</v>
      </c>
      <c r="Z79" s="88" t="n">
        <v>0</v>
      </c>
      <c r="AA79" s="88" t="n">
        <v>0</v>
      </c>
      <c r="AB79" s="88" t="n">
        <v>0</v>
      </c>
      <c r="AC79" s="88" t="n">
        <v>0</v>
      </c>
      <c r="AD79" s="684" t="n">
        <f t="shared" si="72"/>
        <v>0</v>
      </c>
    </row>
    <row r="80">
      <c r="B80" t="s">
        <v>223</v>
      </c>
      <c r="T80" s="88" t="n">
        <v>12.362</v>
      </c>
      <c r="U80" s="88" t="n">
        <v>12.362</v>
      </c>
      <c r="V80" s="88" t="n">
        <v>12.362</v>
      </c>
      <c r="W80" s="88" t="n">
        <v>12.362</v>
      </c>
      <c r="X80" s="88" t="n">
        <v>-0.67500000000000004</v>
      </c>
      <c r="Y80" s="88" t="n">
        <v>-0.67500000000000004</v>
      </c>
      <c r="Z80" s="88" t="n">
        <v>-0.67500000000000004</v>
      </c>
      <c r="AA80" s="88" t="n">
        <v>-0.67500000000000004</v>
      </c>
      <c r="AB80" s="88" t="n">
        <v>0</v>
      </c>
      <c r="AC80" s="88" t="n">
        <v>0</v>
      </c>
      <c r="AD80" s="684" t="n">
        <f t="shared" si="72"/>
        <v>0</v>
      </c>
    </row>
    <row r="81">
      <c r="B81" t="s">
        <v>338</v>
      </c>
      <c r="T81" s="88"/>
      <c r="U81" s="88"/>
      <c r="AD81" s="684" t="n">
        <f t="shared" si="72"/>
        <v>0</v>
      </c>
    </row>
    <row r="82">
      <c r="B82" t="s">
        <v>339</v>
      </c>
      <c r="T82" s="88" t="n">
        <v>12.726000000000001</v>
      </c>
      <c r="U82" s="88" t="n">
        <v>12.726000000000001</v>
      </c>
      <c r="V82" s="88" t="n">
        <v>12.726000000000001</v>
      </c>
      <c r="W82" s="88" t="n">
        <v>12.726000000000001</v>
      </c>
      <c r="X82" s="88" t="n">
        <v>1.365</v>
      </c>
      <c r="Y82" s="88" t="n">
        <v>1.365</v>
      </c>
      <c r="Z82" s="88" t="n">
        <v>1.365</v>
      </c>
      <c r="AA82" s="88" t="n">
        <v>1.365</v>
      </c>
      <c r="AB82" s="88" t="n">
        <v>-0.90100000000000025</v>
      </c>
      <c r="AC82" s="88" t="n">
        <v>-0.90100000000000025</v>
      </c>
      <c r="AD82" s="684" t="n">
        <f t="shared" si="72"/>
        <v>0</v>
      </c>
    </row>
    <row r="83">
      <c r="B83" t="s">
        <v>132</v>
      </c>
      <c r="T83" s="89" t="n">
        <v>98.073999999999998</v>
      </c>
      <c r="U83" s="684" t="n">
        <v>83.295999999999992</v>
      </c>
      <c r="V83" s="89" t="n">
        <v>75.782000000000011</v>
      </c>
      <c r="W83" s="89" t="n">
        <v>75.782000000000011</v>
      </c>
      <c r="X83" s="89" t="n">
        <v>84.266000000000005</v>
      </c>
      <c r="Y83" s="89" t="n">
        <v>84.266000000000005</v>
      </c>
      <c r="Z83" s="89" t="n">
        <v>84.266000000000005</v>
      </c>
      <c r="AA83" s="89" t="n">
        <v>84.266000000000005</v>
      </c>
      <c r="AB83" s="89" t="n">
        <v>91.364999999999995</v>
      </c>
      <c r="AC83" s="89" t="n">
        <v>91.364999999999995</v>
      </c>
      <c r="AD83" s="684" t="n">
        <f t="shared" si="72"/>
        <v>-93.221999999999994</v>
      </c>
    </row>
    <row r="84">
      <c r="AD84" s="684"/>
    </row>
  </sheetData>
  <mergeCells count="16">
    <mergeCell ref="B44:C44"/>
    <mergeCell ref="B28:C28"/>
    <mergeCell ref="B8:C10"/>
    <mergeCell ref="I9:L9"/>
    <mergeCell ref="E9:H9"/>
    <mergeCell ref="B35:C35"/>
    <mergeCell ref="D8:AB8"/>
    <mergeCell ref="AK9:AN9"/>
    <mergeCell ref="U9:X9"/>
    <mergeCell ref="Q9:T9"/>
    <mergeCell ref="B1:AC1"/>
    <mergeCell ref="M9:P9"/>
    <mergeCell ref="B2:AC6"/>
    <mergeCell ref="AC9:AF9"/>
    <mergeCell ref="AG9:AJ9"/>
    <mergeCell ref="AC8:AN8"/>
  </mergeCells>
  <pageMargins left="0.7" right="0.7" top="0.75" bottom="0.75" header="0.3" footer="0.3"/>
  <pageSetup orientation="portrait"/>
  <drawing r:id="rId1"/>
  <legacyDrawing r:id="rIdvml"/>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0" zoomScaleNormal="80" workbookViewId="0">
      <pane xSplit="2" ySplit="4" topLeftCell="C5" activePane="bottomRight" state="frozen"/>
      <selection pane="topRight" activeCell="C1" sqref="C1"/>
      <selection pane="bottomLeft" activeCell="A5" sqref="A5"/>
      <selection pane="bottomRight" activeCell="C10" sqref="C10"/>
    </sheetView>
  </sheetViews>
  <sheetFormatPr defaultRowHeight="15.0" baseColWidth="10"/>
  <cols>
    <col min="2" max="2" width="31.81640625" hidden="0" customWidth="1"/>
    <col min="6" max="6" width="9" hidden="0" customWidth="1"/>
    <col min="7" max="7" width="10.1796875" hidden="0" customWidth="1"/>
    <col min="8" max="8" width="7.453125" hidden="0" customWidth="1"/>
    <col min="9" max="9" width="7.453125" hidden="0" customWidth="1"/>
    <col min="10" max="10" width="7.453125" hidden="0" customWidth="1"/>
    <col min="11" max="11" width="7.453125" hidden="0" customWidth="1"/>
    <col min="13" max="13" width="8.453125" hidden="0" customWidth="1"/>
    <col min="14" max="14" width="9.1796875" hidden="0" customWidth="1"/>
    <col min="15" max="15" width="9.1796875" hidden="0" customWidth="1"/>
    <col min="16" max="16" width="9.1796875" hidden="0" customWidth="1"/>
    <col min="17" max="17" width="9.1796875" hidden="0" customWidth="1"/>
    <col min="18" max="18" width="9.1796875" hidden="0" customWidth="1"/>
    <col min="19" max="19" width="9.1796875" hidden="0" customWidth="1"/>
    <col min="20" max="20" width="9.1796875" hidden="0" customWidth="1"/>
    <col min="21" max="21" width="9.1796875" hidden="0" customWidth="1"/>
    <col min="22" max="22" width="9.1796875" hidden="0" customWidth="1"/>
    <col min="23" max="23" width="9.1796875" hidden="0" customWidth="1"/>
    <col min="24" max="24" width="9.1796875" hidden="0" customWidth="1"/>
    <col min="25" max="25" width="9.1796875" hidden="0" customWidth="1"/>
    <col min="26" max="26" width="9.1796875" hidden="0" customWidth="1"/>
    <col min="27" max="27" width="9.1796875" hidden="0" customWidth="1"/>
    <col min="28" max="28" width="13" hidden="0" customWidth="1"/>
  </cols>
  <sheetData>
    <row r="1">
      <c r="B1" s="266" t="s">
        <v>45</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row>
    <row r="2" ht="14.25" customHeight="1">
      <c r="B2" s="581" t="s">
        <v>764</v>
      </c>
      <c r="C2" s="581"/>
      <c r="D2" s="581"/>
      <c r="E2" s="581"/>
      <c r="F2" s="581"/>
      <c r="G2" s="581"/>
      <c r="H2" s="581"/>
      <c r="I2" s="581"/>
      <c r="J2" s="581"/>
      <c r="K2" s="581"/>
      <c r="L2" s="581"/>
      <c r="M2" s="581"/>
      <c r="N2" s="581"/>
      <c r="O2" s="581"/>
      <c r="P2" s="581"/>
      <c r="Q2" s="581"/>
      <c r="R2" s="581"/>
      <c r="S2" s="581"/>
      <c r="T2" s="581"/>
      <c r="U2" s="581"/>
      <c r="V2" s="721" t="s">
        <v>811</v>
      </c>
      <c r="W2" s="721"/>
      <c r="X2" s="721"/>
      <c r="Y2" s="721"/>
      <c r="Z2" s="721"/>
      <c r="AA2" s="721"/>
      <c r="AB2" s="721"/>
      <c r="AC2" s="767"/>
      <c r="AD2" s="767"/>
      <c r="AE2" s="767"/>
      <c r="AF2" s="767"/>
      <c r="AG2" s="767"/>
      <c r="AH2" s="767"/>
    </row>
    <row r="3" ht="59.9" customHeight="1">
      <c r="B3" s="581"/>
      <c r="C3" s="581"/>
      <c r="D3" s="581"/>
      <c r="E3" s="581"/>
      <c r="F3" s="581"/>
      <c r="G3" s="581"/>
      <c r="H3" s="581"/>
      <c r="I3" s="581"/>
      <c r="J3" s="581"/>
      <c r="K3" s="581"/>
      <c r="L3" s="581"/>
      <c r="M3" s="581"/>
      <c r="N3" s="581"/>
      <c r="O3" s="581"/>
      <c r="P3" s="581"/>
      <c r="Q3" s="581"/>
      <c r="R3" s="581"/>
      <c r="S3" s="581"/>
      <c r="T3" s="581"/>
      <c r="U3" s="581"/>
      <c r="V3" s="721"/>
      <c r="W3" s="721"/>
      <c r="X3" s="721"/>
      <c r="Y3" s="721"/>
      <c r="Z3" s="721"/>
      <c r="AA3" s="721"/>
      <c r="AB3" s="721"/>
      <c r="AC3" s="767"/>
      <c r="AD3" s="767"/>
      <c r="AE3" s="767"/>
      <c r="AF3" s="767"/>
      <c r="AG3" s="767"/>
      <c r="AH3" s="767"/>
    </row>
    <row r="4" ht="88.5" customHeight="1">
      <c r="B4" s="581"/>
      <c r="C4" s="581"/>
      <c r="D4" s="581"/>
      <c r="E4" s="581"/>
      <c r="F4" s="581"/>
      <c r="G4" s="581"/>
      <c r="H4" s="581"/>
      <c r="I4" s="581"/>
      <c r="J4" s="581"/>
      <c r="K4" s="581"/>
      <c r="L4" s="581"/>
      <c r="M4" s="581"/>
      <c r="N4" s="581"/>
      <c r="O4" s="581"/>
      <c r="P4" s="581"/>
      <c r="Q4" s="581"/>
      <c r="R4" s="581"/>
      <c r="S4" s="581"/>
      <c r="T4" s="581"/>
      <c r="U4" s="581"/>
      <c r="V4" s="721"/>
      <c r="W4" s="721"/>
      <c r="X4" s="721"/>
      <c r="Y4" s="721"/>
      <c r="Z4" s="721"/>
      <c r="AA4" s="721"/>
      <c r="AB4" s="721"/>
      <c r="AC4" s="767"/>
      <c r="AD4" s="767"/>
      <c r="AE4" s="767"/>
      <c r="AF4" s="767"/>
      <c r="AG4" s="767"/>
      <c r="AH4" s="767"/>
    </row>
    <row r="5" ht="33" customHeight="1">
      <c r="D5" s="767"/>
      <c r="E5" s="767"/>
      <c r="F5" s="767"/>
      <c r="G5" s="767"/>
      <c r="H5" s="767"/>
      <c r="I5" s="767"/>
      <c r="J5" s="767"/>
      <c r="K5" s="767"/>
      <c r="L5" s="767"/>
      <c r="M5" s="767"/>
      <c r="N5" s="767"/>
      <c r="O5" s="767"/>
      <c r="P5" s="767"/>
      <c r="Q5" s="767"/>
      <c r="R5" s="767"/>
      <c r="S5" s="767"/>
      <c r="T5" s="767"/>
      <c r="U5" s="767"/>
      <c r="V5" s="767"/>
      <c r="W5" s="767"/>
      <c r="X5" s="767"/>
      <c r="Y5" s="767"/>
      <c r="Z5" s="767"/>
      <c r="AA5" s="767"/>
      <c r="AB5" s="767"/>
      <c r="AC5" s="767"/>
      <c r="AD5" s="767"/>
      <c r="AE5" s="767"/>
      <c r="AF5" s="767"/>
      <c r="AG5" s="767"/>
      <c r="AH5" s="767"/>
    </row>
    <row r="6">
      <c r="B6" s="722"/>
      <c r="C6" s="722"/>
      <c r="D6" s="767"/>
      <c r="E6" s="767"/>
      <c r="F6" s="767"/>
      <c r="G6" s="767"/>
      <c r="H6" s="767"/>
      <c r="I6" s="767"/>
      <c r="J6" s="767"/>
      <c r="K6" s="767"/>
      <c r="L6" s="767"/>
      <c r="M6" s="767"/>
      <c r="N6" s="767"/>
      <c r="O6" s="767"/>
      <c r="P6" s="767"/>
      <c r="Q6" s="767"/>
      <c r="R6" s="767"/>
      <c r="S6" s="767"/>
      <c r="T6" s="767"/>
      <c r="U6" s="767"/>
      <c r="V6" s="767"/>
      <c r="W6" s="767"/>
      <c r="X6" s="767"/>
      <c r="Y6" s="767"/>
      <c r="Z6" s="767"/>
      <c r="AA6" s="767"/>
      <c r="AB6" s="767"/>
      <c r="AC6" s="767"/>
      <c r="AD6" s="767"/>
      <c r="AE6" s="767"/>
      <c r="AF6" s="767"/>
      <c r="AG6" s="767"/>
      <c r="AH6" s="767"/>
    </row>
    <row r="7" ht="14.9" customHeight="1">
      <c r="B7" s="268" t="s">
        <v>314</v>
      </c>
      <c r="C7" s="269"/>
      <c r="D7" s="248" t="s">
        <v>191</v>
      </c>
      <c r="E7" s="249"/>
      <c r="F7" s="249"/>
      <c r="G7" s="249"/>
      <c r="H7" s="249"/>
      <c r="I7" s="249"/>
      <c r="J7" s="249"/>
      <c r="K7" s="249"/>
      <c r="L7" s="249"/>
      <c r="M7" s="249"/>
      <c r="N7" s="249"/>
      <c r="O7" s="249"/>
      <c r="P7" s="249"/>
      <c r="Q7" s="249"/>
      <c r="R7" s="249"/>
      <c r="S7" s="249"/>
      <c r="T7" s="249"/>
      <c r="U7" s="249"/>
      <c r="V7" s="249"/>
      <c r="W7" s="249"/>
      <c r="X7" s="249"/>
      <c r="Y7" s="249"/>
      <c r="Z7" s="249"/>
      <c r="AA7" s="249"/>
      <c r="AB7" s="250"/>
      <c r="AC7" s="251" t="s">
        <v>192</v>
      </c>
      <c r="AD7" s="252"/>
      <c r="AE7" s="252"/>
      <c r="AF7" s="252"/>
      <c r="AG7" s="252"/>
      <c r="AH7" s="252"/>
      <c r="AI7" s="252"/>
      <c r="AJ7" s="252"/>
      <c r="AK7" s="252"/>
      <c r="AL7" s="252"/>
      <c r="AM7" s="252"/>
      <c r="AN7" s="253"/>
    </row>
    <row r="8">
      <c r="B8" s="270"/>
      <c r="C8" s="271"/>
      <c r="D8" s="254" t="n">
        <v>2018</v>
      </c>
      <c r="E8" s="254" t="n">
        <v>2019</v>
      </c>
      <c r="F8" s="255"/>
      <c r="G8" s="255"/>
      <c r="H8" s="256"/>
      <c r="I8" s="254" t="n">
        <v>2020</v>
      </c>
      <c r="J8" s="255"/>
      <c r="K8" s="255"/>
      <c r="L8" s="256"/>
      <c r="M8" s="254" t="n">
        <v>2021</v>
      </c>
      <c r="N8" s="255"/>
      <c r="O8" s="255"/>
      <c r="P8" s="256"/>
      <c r="Q8" s="254" t="n">
        <v>2022</v>
      </c>
      <c r="R8" s="255"/>
      <c r="S8" s="255"/>
      <c r="T8" s="256"/>
      <c r="U8" s="298"/>
      <c r="V8" s="298" t="n">
        <v>2023</v>
      </c>
      <c r="W8" s="298"/>
      <c r="X8" s="300"/>
      <c r="Y8" s="305"/>
      <c r="Z8" s="298" t="n">
        <v>2024</v>
      </c>
      <c r="AA8" s="298"/>
      <c r="AB8" s="300"/>
      <c r="AC8" s="261" t="n">
        <v>2025</v>
      </c>
      <c r="AD8" s="264"/>
      <c r="AE8" s="264"/>
      <c r="AF8" s="263"/>
      <c r="AG8" s="261" t="n">
        <v>2026</v>
      </c>
      <c r="AH8" s="264"/>
      <c r="AI8" s="264"/>
      <c r="AJ8" s="263"/>
      <c r="AK8" s="261" t="n">
        <v>2027</v>
      </c>
      <c r="AL8" s="264"/>
      <c r="AM8" s="264"/>
      <c r="AN8" s="263"/>
      <c r="AO8" s="289"/>
    </row>
    <row r="9">
      <c r="B9" s="272"/>
      <c r="C9" s="273"/>
      <c r="D9" s="274" t="s">
        <v>193</v>
      </c>
      <c r="E9" s="274" t="s">
        <v>194</v>
      </c>
      <c r="F9" s="275" t="s">
        <v>195</v>
      </c>
      <c r="G9" s="275" t="s">
        <v>171</v>
      </c>
      <c r="H9" s="276" t="s">
        <v>193</v>
      </c>
      <c r="I9" s="275" t="s">
        <v>194</v>
      </c>
      <c r="J9" s="275" t="s">
        <v>195</v>
      </c>
      <c r="K9" s="275" t="s">
        <v>171</v>
      </c>
      <c r="L9" s="275" t="s">
        <v>193</v>
      </c>
      <c r="M9" s="274" t="s">
        <v>194</v>
      </c>
      <c r="N9" s="275" t="s">
        <v>195</v>
      </c>
      <c r="O9" s="275" t="s">
        <v>171</v>
      </c>
      <c r="P9" s="275" t="s">
        <v>193</v>
      </c>
      <c r="Q9" s="274" t="s">
        <v>194</v>
      </c>
      <c r="R9" s="275" t="s">
        <v>195</v>
      </c>
      <c r="S9" s="275" t="s">
        <v>171</v>
      </c>
      <c r="T9" s="276" t="s">
        <v>193</v>
      </c>
      <c r="U9" s="275" t="s">
        <v>194</v>
      </c>
      <c r="V9" s="294" t="s">
        <v>195</v>
      </c>
      <c r="W9" s="294" t="s">
        <v>171</v>
      </c>
      <c r="X9" s="292" t="s">
        <v>193</v>
      </c>
      <c r="Y9" s="293" t="s">
        <v>194</v>
      </c>
      <c r="Z9" s="295" t="s">
        <v>195</v>
      </c>
      <c r="AA9" s="294" t="s">
        <v>171</v>
      </c>
      <c r="AB9" s="294" t="s">
        <v>193</v>
      </c>
      <c r="AC9" s="293" t="s">
        <v>194</v>
      </c>
      <c r="AD9" s="295" t="s">
        <v>195</v>
      </c>
      <c r="AE9" s="291" t="s">
        <v>171</v>
      </c>
      <c r="AF9" s="291" t="s">
        <v>193</v>
      </c>
      <c r="AG9" s="385" t="s">
        <v>194</v>
      </c>
      <c r="AH9" s="290" t="s">
        <v>195</v>
      </c>
      <c r="AI9" s="290" t="s">
        <v>171</v>
      </c>
      <c r="AJ9" s="430" t="s">
        <v>193</v>
      </c>
      <c r="AK9" s="385" t="s">
        <v>194</v>
      </c>
      <c r="AL9" s="290" t="s">
        <v>195</v>
      </c>
      <c r="AM9" s="290" t="s">
        <v>171</v>
      </c>
      <c r="AN9" s="430" t="s">
        <v>193</v>
      </c>
      <c r="AO9" s="286"/>
    </row>
    <row r="10">
      <c r="B10" s="743" t="s">
        <v>77</v>
      </c>
      <c r="C10" s="769" t="s">
        <v>340</v>
      </c>
      <c r="D10" s="730" t="n">
        <f>'Haver Pivoted'!B13</f>
        <v>5</v>
      </c>
      <c r="E10" s="747" t="n">
        <f>'Haver Pivoted'!C13</f>
        <v>5.3</v>
      </c>
      <c r="F10" s="747" t="n">
        <f>'Haver Pivoted'!D13</f>
        <v>5.6</v>
      </c>
      <c r="G10" s="730" t="n">
        <f>'Haver Pivoted'!E13</f>
        <v>5.9</v>
      </c>
      <c r="H10" s="730" t="n">
        <f>'Haver Pivoted'!F13</f>
        <v>6.2</v>
      </c>
      <c r="I10" s="747" t="n">
        <f>'Haver Pivoted'!G13</f>
        <v>6.6</v>
      </c>
      <c r="J10" s="747" t="n">
        <f>'Haver Pivoted'!H13</f>
        <v>6.9</v>
      </c>
      <c r="K10" s="730" t="n">
        <f>'Haver Pivoted'!I13</f>
        <v>7.3</v>
      </c>
      <c r="L10" s="730" t="n">
        <f>'Haver Pivoted'!J13</f>
        <v>7.8</v>
      </c>
      <c r="M10" s="747" t="n">
        <f>'Haver Pivoted'!K13</f>
        <v>8</v>
      </c>
      <c r="N10" s="747" t="n">
        <f>'Haver Pivoted'!L13</f>
        <v>8.6</v>
      </c>
      <c r="O10" s="730" t="n">
        <f>'Haver Pivoted'!M13</f>
        <v>8.5</v>
      </c>
      <c r="P10" s="730" t="n">
        <f>'Haver Pivoted'!N13</f>
        <v>9</v>
      </c>
      <c r="Q10" s="747" t="n">
        <f>'Haver Pivoted'!O13</f>
        <v>9.6</v>
      </c>
      <c r="R10" s="747" t="n">
        <f>'Haver Pivoted'!P13</f>
        <v>9.6999999999999993</v>
      </c>
      <c r="S10" s="724" t="n">
        <f>'Haver Pivoted'!Q13</f>
        <v>10.1</v>
      </c>
      <c r="T10" s="748" t="n">
        <f>'Haver Pivoted'!R13</f>
        <v>10.199999999999999</v>
      </c>
      <c r="U10" s="748" t="n">
        <f>'Haver Pivoted'!S13</f>
        <v>11.1</v>
      </c>
      <c r="V10" s="724" t="n">
        <f>'Haver Pivoted'!T13</f>
        <v>11.4</v>
      </c>
      <c r="W10" s="724" t="n">
        <f>'Haver Pivoted'!U13</f>
        <v>12</v>
      </c>
      <c r="X10" s="748" t="n">
        <f>'Haver Pivoted'!V13</f>
        <v>13.3</v>
      </c>
      <c r="Y10" s="748" t="n">
        <f>'Haver Pivoted'!W13</f>
        <v>13.8</v>
      </c>
      <c r="Z10" s="724" t="n">
        <f>'Haver Pivoted'!X13</f>
        <v>13.8</v>
      </c>
      <c r="AA10" s="724" t="n">
        <f>'Haver Pivoted'!Y13</f>
        <v>14.6</v>
      </c>
      <c r="AB10" s="748" t="n">
        <f>'Haver Pivoted'!Z13</f>
        <v>15.2</v>
      </c>
      <c r="AC10" s="748" t="n">
        <f>'Haver Pivoted'!AA13</f>
        <v>14.9</v>
      </c>
      <c r="AD10" s="724" t="n">
        <f>'Haver Pivoted'!AB13</f>
        <v>15.9</v>
      </c>
      <c r="AE10" s="257"/>
      <c r="AF10" s="257"/>
      <c r="AG10" s="257"/>
      <c r="AH10" s="257"/>
      <c r="AI10" s="257"/>
      <c r="AJ10" s="257"/>
      <c r="AK10" s="257"/>
      <c r="AL10" s="257"/>
      <c r="AM10" s="257"/>
      <c r="AN10" s="257"/>
    </row>
    <row r="11">
      <c r="B11" s="737" t="s">
        <v>341</v>
      </c>
      <c r="C11" s="289" t="s">
        <v>250</v>
      </c>
      <c r="D11" s="764" t="n">
        <f>'Haver Pivoted'!B40</f>
        <v>0</v>
      </c>
      <c r="E11" s="764" t="n">
        <f>'Haver Pivoted'!C40</f>
        <v>0</v>
      </c>
      <c r="F11" s="764" t="n">
        <f>'Haver Pivoted'!D40</f>
        <v>0</v>
      </c>
      <c r="G11" s="764" t="n">
        <f>'Haver Pivoted'!E40</f>
        <v>0</v>
      </c>
      <c r="H11" s="764" t="n">
        <f>'Haver Pivoted'!F40</f>
        <v>0</v>
      </c>
      <c r="I11" s="764" t="n">
        <f>'Haver Pivoted'!G40</f>
        <v>0</v>
      </c>
      <c r="J11" s="764" t="n">
        <f>'Haver Pivoted'!H40</f>
        <v>0</v>
      </c>
      <c r="K11" s="764" t="n">
        <f>'Haver Pivoted'!I40</f>
        <v>0</v>
      </c>
      <c r="L11" s="764" t="n">
        <f>'Haver Pivoted'!J40</f>
        <v>0</v>
      </c>
      <c r="M11" s="764" t="n">
        <f>'Haver Pivoted'!K40</f>
        <v>0</v>
      </c>
      <c r="N11" s="764" t="n">
        <f>'Haver Pivoted'!L40</f>
        <v>0</v>
      </c>
      <c r="O11" s="764" t="n">
        <f>'Haver Pivoted'!M40</f>
        <v>0</v>
      </c>
      <c r="P11" s="764" t="n">
        <f>'Haver Pivoted'!N40</f>
        <v>0</v>
      </c>
      <c r="Q11" s="764" t="n">
        <f>'Haver Pivoted'!O40</f>
        <v>0</v>
      </c>
      <c r="R11" s="764" t="n">
        <f>'Haver Pivoted'!P40</f>
        <v>0</v>
      </c>
      <c r="S11" s="725" t="n">
        <f>'Haver Pivoted'!Q40</f>
        <v>0</v>
      </c>
      <c r="T11" s="725" t="n">
        <f>'Haver Pivoted'!R40</f>
        <v>0</v>
      </c>
      <c r="U11" s="725" t="n">
        <f>'Haver Pivoted'!S40</f>
        <v>0</v>
      </c>
      <c r="V11" s="725" t="n">
        <f>'Haver Pivoted'!T40</f>
        <v>0</v>
      </c>
      <c r="W11" s="725" t="n">
        <f>'Haver Pivoted'!U40</f>
        <v>0</v>
      </c>
      <c r="X11" s="725" t="n">
        <f>'Haver Pivoted'!V40</f>
        <v>0</v>
      </c>
      <c r="Y11" s="725" t="n">
        <f>'Haver Pivoted'!W40</f>
        <v>0</v>
      </c>
      <c r="Z11" s="725" t="n">
        <f>'Haver Pivoted'!X40</f>
        <v>0</v>
      </c>
      <c r="AA11" s="725" t="n">
        <f>'Haver Pivoted'!Y40</f>
        <v>0</v>
      </c>
      <c r="AB11" s="725" t="n">
        <f>'Haver Pivoted'!Z40</f>
        <v>0</v>
      </c>
      <c r="AC11" s="725" t="n">
        <f>'Haver Pivoted'!AA40</f>
        <v>0</v>
      </c>
      <c r="AD11" s="725" t="n">
        <f>'Haver Pivoted'!AB40</f>
        <v>0</v>
      </c>
      <c r="AE11" s="257"/>
      <c r="AF11" s="257"/>
      <c r="AG11" s="257"/>
      <c r="AH11" s="257"/>
      <c r="AI11" s="257"/>
      <c r="AJ11" s="257"/>
      <c r="AK11" s="257"/>
      <c r="AL11" s="257"/>
      <c r="AM11" s="257"/>
      <c r="AN11" s="257"/>
    </row>
    <row r="12" ht="27.65" customHeight="1">
      <c r="B12" s="690" t="s">
        <v>796</v>
      </c>
      <c r="C12" s="77"/>
      <c r="D12" s="766" t="n">
        <f t="shared" ref="D12:AC12" si="0">D11/D10</f>
        <v>0</v>
      </c>
      <c r="E12" s="752" t="n">
        <f t="shared" si="0"/>
        <v>0</v>
      </c>
      <c r="F12" s="752" t="n">
        <f t="shared" si="0"/>
        <v>0</v>
      </c>
      <c r="G12" s="752" t="n">
        <f t="shared" si="0"/>
        <v>0</v>
      </c>
      <c r="H12" s="752" t="n">
        <f t="shared" si="0"/>
        <v>0</v>
      </c>
      <c r="I12" s="752" t="n">
        <f t="shared" si="0"/>
        <v>0</v>
      </c>
      <c r="J12" s="752" t="n">
        <f t="shared" si="0"/>
        <v>0</v>
      </c>
      <c r="K12" s="752" t="n">
        <f t="shared" si="0"/>
        <v>0</v>
      </c>
      <c r="L12" s="752" t="n">
        <f t="shared" si="0"/>
        <v>0</v>
      </c>
      <c r="M12" s="752" t="n">
        <f t="shared" si="0"/>
        <v>0</v>
      </c>
      <c r="N12" s="752" t="n">
        <f t="shared" si="0"/>
        <v>0</v>
      </c>
      <c r="O12" s="752" t="n">
        <f t="shared" si="0"/>
        <v>0</v>
      </c>
      <c r="P12" s="752" t="n">
        <f t="shared" si="0"/>
        <v>0</v>
      </c>
      <c r="Q12" s="752" t="n">
        <f t="shared" si="0"/>
        <v>0</v>
      </c>
      <c r="R12" s="752" t="n">
        <f t="shared" si="0"/>
        <v>0</v>
      </c>
      <c r="S12" s="731" t="n">
        <f>S11/S10</f>
        <v>0</v>
      </c>
      <c r="T12" s="731" t="n">
        <f t="shared" si="0"/>
        <v>0</v>
      </c>
      <c r="U12" s="731" t="n">
        <f t="shared" si="0"/>
        <v>0</v>
      </c>
      <c r="V12" s="731" t="n">
        <f t="shared" si="0"/>
        <v>0</v>
      </c>
      <c r="W12" s="731" t="n">
        <f t="shared" si="0"/>
        <v>0</v>
      </c>
      <c r="X12" s="731" t="n">
        <f t="shared" si="0"/>
        <v>0</v>
      </c>
      <c r="Y12" s="731" t="n">
        <f t="shared" si="0"/>
        <v>0</v>
      </c>
      <c r="Z12" s="731" t="n">
        <f t="shared" si="0"/>
        <v>0</v>
      </c>
      <c r="AA12" s="731" t="n">
        <f t="shared" si="0"/>
        <v>0</v>
      </c>
      <c r="AB12" s="731" t="n">
        <f t="shared" si="0"/>
        <v>0</v>
      </c>
      <c r="AC12" s="731" t="n">
        <f t="shared" si="0"/>
        <v>0</v>
      </c>
      <c r="AD12" s="731" t="n">
        <f>AD11/AD10</f>
        <v>0</v>
      </c>
      <c r="AE12" s="768" t="n">
        <f>AVERAGE(AA12:AD12)</f>
        <v>0</v>
      </c>
      <c r="AF12" s="768" t="n">
        <f t="shared" ref="AF12:AN12" si="1">AVERAGE(AB12:AE12)</f>
        <v>0</v>
      </c>
      <c r="AG12" s="768" t="n">
        <f t="shared" si="1"/>
        <v>0</v>
      </c>
      <c r="AH12" s="768" t="n">
        <f t="shared" si="1"/>
        <v>0</v>
      </c>
      <c r="AI12" s="768" t="n">
        <f t="shared" si="1"/>
        <v>0</v>
      </c>
      <c r="AJ12" s="768" t="n">
        <f t="shared" si="1"/>
        <v>0</v>
      </c>
      <c r="AK12" s="768" t="n">
        <f t="shared" si="1"/>
        <v>0</v>
      </c>
      <c r="AL12" s="768" t="n">
        <f t="shared" si="1"/>
        <v>0</v>
      </c>
      <c r="AM12" s="768" t="n">
        <f t="shared" si="1"/>
        <v>0</v>
      </c>
      <c r="AN12" s="768" t="n">
        <f t="shared" si="1"/>
        <v>0</v>
      </c>
    </row>
    <row r="13">
      <c r="O13" s="78"/>
      <c r="P13" s="289"/>
      <c r="Q13" s="78"/>
      <c r="R13" s="78"/>
      <c r="S13" s="78"/>
      <c r="T13" s="657"/>
      <c r="Y13" s="286"/>
      <c r="Z13" s="286"/>
      <c r="AA13" s="286"/>
      <c r="AB13" s="286"/>
      <c r="AC13" s="286"/>
      <c r="AD13" s="286"/>
      <c r="AE13" s="286"/>
      <c r="AF13" s="286"/>
      <c r="AG13" s="286"/>
      <c r="AH13" s="286"/>
      <c r="AI13" s="78"/>
    </row>
    <row r="14">
      <c r="B14" s="680" t="s">
        <v>263</v>
      </c>
      <c r="O14" s="78"/>
      <c r="P14" s="289"/>
      <c r="Q14" s="78"/>
      <c r="R14" s="78"/>
      <c r="S14" s="78"/>
      <c r="T14" s="657"/>
      <c r="Y14" s="286"/>
      <c r="Z14" s="286"/>
      <c r="AA14" s="286"/>
      <c r="AB14" s="286"/>
      <c r="AC14" s="286"/>
      <c r="AD14" s="286"/>
      <c r="AE14" s="286"/>
      <c r="AF14" s="286"/>
      <c r="AG14" s="286"/>
      <c r="AH14" s="286"/>
      <c r="AI14" s="78"/>
    </row>
    <row r="15">
      <c r="B15" s="727" t="s">
        <v>342</v>
      </c>
      <c r="C15" s="744" t="n">
        <v>2020</v>
      </c>
      <c r="D15" s="744" t="n">
        <v>2021</v>
      </c>
      <c r="E15" s="744" t="n">
        <v>2022</v>
      </c>
      <c r="F15" s="744" t="n">
        <v>2023</v>
      </c>
      <c r="G15" s="744" t="n">
        <v>2024</v>
      </c>
      <c r="H15" s="744" t="n">
        <v>2025</v>
      </c>
      <c r="I15" s="744" t="n">
        <v>2026</v>
      </c>
      <c r="J15" s="744" t="n">
        <v>2027</v>
      </c>
      <c r="K15" s="745" t="n">
        <v>2028</v>
      </c>
      <c r="L15" s="744" t="n">
        <v>2029</v>
      </c>
      <c r="M15" s="744" t="n">
        <v>2030</v>
      </c>
      <c r="N15" s="744" t="n">
        <v>2031</v>
      </c>
      <c r="O15" s="745" t="n">
        <v>2032</v>
      </c>
      <c r="P15" s="744" t="n">
        <v>2033</v>
      </c>
      <c r="Q15" s="744" t="n">
        <v>2034</v>
      </c>
      <c r="R15" s="744" t="n">
        <v>2035</v>
      </c>
      <c r="S15" s="78"/>
      <c r="T15" s="741"/>
      <c r="U15" s="741"/>
      <c r="V15" s="741"/>
      <c r="W15" s="741"/>
      <c r="X15" s="741"/>
      <c r="Y15" s="741"/>
      <c r="Z15" s="741"/>
      <c r="AA15" s="741"/>
      <c r="AB15" s="741"/>
      <c r="AC15" s="741"/>
      <c r="AD15" s="741"/>
      <c r="AE15" s="741"/>
      <c r="AF15" s="741"/>
      <c r="AG15" s="741"/>
      <c r="AH15" s="741"/>
      <c r="AI15" s="78"/>
    </row>
    <row r="16" ht="26.5" customHeight="1">
      <c r="B16" s="726" t="s">
        <v>1864</v>
      </c>
      <c r="C16" s="404" t="n">
        <v>458.46800000000002</v>
      </c>
      <c r="D16" s="415" t="n">
        <v>520.58799999999997</v>
      </c>
      <c r="E16" s="415" t="n">
        <v>591.94899999999996</v>
      </c>
      <c r="F16" s="415" t="n">
        <v>615.77200000000005</v>
      </c>
      <c r="G16" s="415" t="n">
        <v>617.51700000000005</v>
      </c>
      <c r="H16" s="415" t="n">
        <v>655.87</v>
      </c>
      <c r="I16" s="415" t="n">
        <v>695.20899999999995</v>
      </c>
      <c r="J16" s="415" t="n">
        <v>737.62</v>
      </c>
      <c r="K16" s="415" t="n">
        <v>766.58699999999999</v>
      </c>
      <c r="L16" s="415" t="n">
        <v>803.17</v>
      </c>
      <c r="M16" s="415" t="n">
        <v>836.60199999999998</v>
      </c>
      <c r="N16" s="415" t="n">
        <v>870.99400000000003</v>
      </c>
      <c r="O16" s="415" t="n">
        <v>910.18399999999997</v>
      </c>
      <c r="P16" s="415" t="n">
        <v>947.56500000000005</v>
      </c>
      <c r="Q16" s="415" t="n">
        <v>985.65899999999999</v>
      </c>
      <c r="R16" s="415" t="n">
        <v>1025.287</v>
      </c>
      <c r="S16" s="78"/>
      <c r="T16" s="78"/>
      <c r="U16" s="78"/>
      <c r="V16" s="78"/>
      <c r="W16" s="78"/>
      <c r="X16" s="78"/>
      <c r="Y16" s="78"/>
      <c r="Z16" s="78"/>
      <c r="AA16" s="78"/>
      <c r="AB16" s="78"/>
      <c r="AC16" s="78"/>
      <c r="AD16" s="78"/>
      <c r="AE16" s="78"/>
      <c r="AF16" s="78"/>
      <c r="AH16" s="78"/>
      <c r="AI16" s="78"/>
    </row>
    <row r="17">
      <c r="B17" s="737" t="s">
        <v>343</v>
      </c>
      <c r="C17" s="741" t="n">
        <f>AVERAGE(H12:K12)</f>
        <v>0</v>
      </c>
      <c r="D17" s="741" t="n">
        <f>AVERAGE(L12:O12)</f>
        <v>0</v>
      </c>
      <c r="E17" s="741" t="n">
        <f>AVERAGE(P12:S12)</f>
        <v>0</v>
      </c>
      <c r="F17" s="741" t="n">
        <f>AVERAGE(T12:W12)</f>
        <v>0</v>
      </c>
      <c r="G17" s="741" t="n">
        <f>AVERAGE(X12:AA12)</f>
        <v>0</v>
      </c>
      <c r="H17" s="741" t="n">
        <f>AVERAGE(Y12:AB12)</f>
        <v>0</v>
      </c>
      <c r="I17" s="741" t="n">
        <f>AVERAGE(AB12:AE12)</f>
        <v>0</v>
      </c>
      <c r="J17" s="741" t="n">
        <f>AVERAGE(AA12:AI12)</f>
        <v>0</v>
      </c>
    </row>
    <row r="18">
      <c r="B18" s="737" t="s">
        <v>344</v>
      </c>
      <c r="C18" s="286" t="e">
        <f t="shared" ref="C18:K18" si="2">C16/C17</f>
        <v>#DIV/0!</v>
      </c>
      <c r="D18" s="286" t="e">
        <f t="shared" si="2"/>
        <v>#DIV/0!</v>
      </c>
      <c r="E18" s="286" t="e">
        <f t="shared" si="2"/>
        <v>#DIV/0!</v>
      </c>
      <c r="F18" s="286" t="e">
        <f t="shared" si="2"/>
        <v>#DIV/0!</v>
      </c>
      <c r="G18" s="286" t="e">
        <f t="shared" si="2"/>
        <v>#DIV/0!</v>
      </c>
      <c r="H18" s="286" t="e">
        <f t="shared" si="2"/>
        <v>#DIV/0!</v>
      </c>
      <c r="I18" s="286" t="e">
        <f t="shared" si="2"/>
        <v>#DIV/0!</v>
      </c>
      <c r="J18" s="286" t="e">
        <f t="shared" si="2"/>
        <v>#DIV/0!</v>
      </c>
      <c r="K18" s="286" t="e">
        <f t="shared" si="2"/>
        <v>#DIV/0!</v>
      </c>
    </row>
    <row r="19" ht="32.25" customHeight="1">
      <c r="B19" s="690" t="s">
        <v>345</v>
      </c>
      <c r="C19" s="734"/>
      <c r="D19" s="752" t="e">
        <f>D18/C18-1</f>
        <v>#DIV/0!</v>
      </c>
      <c r="E19" s="752" t="e">
        <f t="shared" ref="E19" si="3">E18/D18-1</f>
        <v>#DIV/0!</v>
      </c>
      <c r="F19" s="752" t="e">
        <f t="shared" ref="F19" si="4">F18/E18-1</f>
        <v>#DIV/0!</v>
      </c>
      <c r="G19" s="752" t="e">
        <f>G18/F18-1</f>
        <v>#DIV/0!</v>
      </c>
      <c r="H19" s="752" t="e">
        <f>H18/G18-1</f>
        <v>#DIV/0!</v>
      </c>
      <c r="I19" s="752" t="e">
        <f>I18/H18-1</f>
        <v>#DIV/0!</v>
      </c>
      <c r="J19" s="752" t="e">
        <f>J18/I18-1</f>
        <v>#DIV/0!</v>
      </c>
      <c r="K19" s="752" t="e">
        <f t="shared" ref="K19" si="5">K18/J18-1</f>
        <v>#DIV/0!</v>
      </c>
      <c r="L19" s="754"/>
      <c r="R19" s="78"/>
      <c r="S19" s="683"/>
      <c r="T19" s="683"/>
      <c r="U19" s="683"/>
    </row>
    <row r="20" ht="32.25" customHeight="1">
      <c r="B20" s="427"/>
      <c r="C20" s="286"/>
      <c r="D20" s="741"/>
      <c r="E20" s="741"/>
      <c r="F20" s="741"/>
      <c r="G20" s="741"/>
      <c r="H20" s="741"/>
      <c r="I20" s="741"/>
      <c r="J20" s="741"/>
      <c r="K20" s="754"/>
      <c r="L20" s="754"/>
      <c r="R20" s="78"/>
      <c r="S20" s="683"/>
      <c r="T20" s="683"/>
      <c r="U20" s="683"/>
    </row>
    <row r="22">
      <c r="B22" s="680" t="s">
        <v>276</v>
      </c>
    </row>
    <row r="23">
      <c r="B23" s="268" t="s">
        <v>346</v>
      </c>
      <c r="C23" s="269"/>
      <c r="D23" s="248" t="s">
        <v>191</v>
      </c>
      <c r="E23" s="249"/>
      <c r="F23" s="249"/>
      <c r="G23" s="249"/>
      <c r="H23" s="249"/>
      <c r="I23" s="249"/>
      <c r="J23" s="249"/>
      <c r="K23" s="249"/>
      <c r="L23" s="249"/>
      <c r="M23" s="249"/>
      <c r="N23" s="249"/>
      <c r="O23" s="249"/>
      <c r="P23" s="249"/>
      <c r="Q23" s="249"/>
      <c r="R23" s="249"/>
      <c r="S23" s="249"/>
      <c r="T23" s="249"/>
      <c r="U23" s="249"/>
      <c r="V23" s="249"/>
      <c r="W23" s="249"/>
      <c r="X23" s="249"/>
      <c r="Y23" s="249"/>
      <c r="Z23" s="249"/>
      <c r="AA23" s="249"/>
      <c r="AB23" s="250"/>
      <c r="AC23" s="251" t="s">
        <v>192</v>
      </c>
      <c r="AD23" s="252"/>
      <c r="AE23" s="252"/>
      <c r="AF23" s="252"/>
      <c r="AG23" s="252"/>
      <c r="AH23" s="252"/>
      <c r="AI23" s="252"/>
      <c r="AJ23" s="252"/>
      <c r="AK23" s="252"/>
      <c r="AL23" s="252"/>
      <c r="AM23" s="252"/>
      <c r="AN23" s="253"/>
    </row>
    <row r="24">
      <c r="B24" s="270"/>
      <c r="C24" s="271"/>
      <c r="D24" s="254" t="n">
        <v>2018</v>
      </c>
      <c r="E24" s="254" t="n">
        <v>2019</v>
      </c>
      <c r="F24" s="255"/>
      <c r="G24" s="255"/>
      <c r="H24" s="256"/>
      <c r="I24" s="254" t="n">
        <v>2020</v>
      </c>
      <c r="J24" s="255"/>
      <c r="K24" s="255"/>
      <c r="L24" s="256"/>
      <c r="M24" s="254" t="n">
        <v>2021</v>
      </c>
      <c r="N24" s="255"/>
      <c r="O24" s="255"/>
      <c r="P24" s="256"/>
      <c r="Q24" s="254" t="n">
        <v>2022</v>
      </c>
      <c r="R24" s="255"/>
      <c r="S24" s="255"/>
      <c r="T24" s="256"/>
      <c r="U24" s="305"/>
      <c r="V24" s="304" t="n">
        <v>2023</v>
      </c>
      <c r="W24" s="304"/>
      <c r="X24" s="300"/>
      <c r="Y24" s="305"/>
      <c r="Z24" s="304" t="n">
        <v>2024</v>
      </c>
      <c r="AA24" s="304"/>
      <c r="AB24" s="300"/>
      <c r="AC24" s="261" t="n">
        <v>2025</v>
      </c>
      <c r="AD24" s="264"/>
      <c r="AE24" s="264"/>
      <c r="AF24" s="263"/>
      <c r="AG24" s="261" t="n">
        <v>2026</v>
      </c>
      <c r="AH24" s="264"/>
      <c r="AI24" s="264"/>
      <c r="AJ24" s="263"/>
      <c r="AK24" s="261" t="n">
        <v>2027</v>
      </c>
      <c r="AL24" s="264"/>
      <c r="AM24" s="264"/>
      <c r="AN24" s="263"/>
    </row>
    <row r="25">
      <c r="B25" s="272"/>
      <c r="C25" s="273"/>
      <c r="D25" s="274" t="s">
        <v>193</v>
      </c>
      <c r="E25" s="274" t="s">
        <v>194</v>
      </c>
      <c r="F25" s="275" t="s">
        <v>195</v>
      </c>
      <c r="G25" s="275" t="s">
        <v>171</v>
      </c>
      <c r="H25" s="276" t="s">
        <v>193</v>
      </c>
      <c r="I25" s="275" t="s">
        <v>194</v>
      </c>
      <c r="J25" s="275" t="s">
        <v>195</v>
      </c>
      <c r="K25" s="275" t="s">
        <v>171</v>
      </c>
      <c r="L25" s="275" t="s">
        <v>193</v>
      </c>
      <c r="M25" s="274" t="s">
        <v>194</v>
      </c>
      <c r="N25" s="275" t="s">
        <v>195</v>
      </c>
      <c r="O25" s="275" t="s">
        <v>171</v>
      </c>
      <c r="P25" s="275" t="s">
        <v>193</v>
      </c>
      <c r="Q25" s="274" t="s">
        <v>194</v>
      </c>
      <c r="R25" s="275" t="s">
        <v>195</v>
      </c>
      <c r="S25" s="275" t="s">
        <v>171</v>
      </c>
      <c r="T25" s="276" t="s">
        <v>193</v>
      </c>
      <c r="U25" s="293" t="s">
        <v>194</v>
      </c>
      <c r="V25" s="295" t="s">
        <v>195</v>
      </c>
      <c r="W25" s="294" t="s">
        <v>171</v>
      </c>
      <c r="X25" s="294" t="s">
        <v>193</v>
      </c>
      <c r="Y25" s="293" t="s">
        <v>194</v>
      </c>
      <c r="Z25" s="295" t="s">
        <v>195</v>
      </c>
      <c r="AA25" s="294" t="s">
        <v>171</v>
      </c>
      <c r="AB25" s="294" t="s">
        <v>193</v>
      </c>
      <c r="AC25" s="293" t="s">
        <v>194</v>
      </c>
      <c r="AD25" s="295" t="s">
        <v>195</v>
      </c>
      <c r="AE25" s="291" t="s">
        <v>171</v>
      </c>
      <c r="AF25" s="291" t="s">
        <v>193</v>
      </c>
      <c r="AG25" s="385" t="s">
        <v>194</v>
      </c>
      <c r="AH25" s="290" t="s">
        <v>195</v>
      </c>
      <c r="AI25" s="290" t="s">
        <v>171</v>
      </c>
      <c r="AJ25" s="430" t="s">
        <v>193</v>
      </c>
      <c r="AK25" s="385" t="s">
        <v>194</v>
      </c>
      <c r="AL25" s="290" t="s">
        <v>195</v>
      </c>
      <c r="AM25" s="290" t="s">
        <v>171</v>
      </c>
      <c r="AN25" s="430" t="s">
        <v>193</v>
      </c>
    </row>
    <row r="26" ht="19.5" customHeight="1">
      <c r="B26" s="732" t="s">
        <v>347</v>
      </c>
      <c r="C26" s="762"/>
      <c r="D26" s="749" t="n">
        <f t="shared" ref="D26:AD26" si="6">D10</f>
        <v>5</v>
      </c>
      <c r="E26" s="750" t="n">
        <f t="shared" si="6"/>
        <v>5.3</v>
      </c>
      <c r="F26" s="750" t="n">
        <f t="shared" si="6"/>
        <v>5.6</v>
      </c>
      <c r="G26" s="750" t="n">
        <f t="shared" si="6"/>
        <v>5.9</v>
      </c>
      <c r="H26" s="750" t="n">
        <f t="shared" si="6"/>
        <v>6.2</v>
      </c>
      <c r="I26" s="750" t="n">
        <f t="shared" si="6"/>
        <v>6.6</v>
      </c>
      <c r="J26" s="750" t="n">
        <f t="shared" si="6"/>
        <v>6.9</v>
      </c>
      <c r="K26" s="750" t="n">
        <f t="shared" si="6"/>
        <v>7.3</v>
      </c>
      <c r="L26" s="750" t="n">
        <f t="shared" si="6"/>
        <v>7.8</v>
      </c>
      <c r="M26" s="750" t="n">
        <f t="shared" si="6"/>
        <v>8</v>
      </c>
      <c r="N26" s="750" t="n">
        <f t="shared" si="6"/>
        <v>8.6</v>
      </c>
      <c r="O26" s="750" t="n">
        <f t="shared" si="6"/>
        <v>8.5</v>
      </c>
      <c r="P26" s="750" t="n">
        <f t="shared" si="6"/>
        <v>9</v>
      </c>
      <c r="Q26" s="750" t="n">
        <f t="shared" si="6"/>
        <v>9.6</v>
      </c>
      <c r="R26" s="750" t="n">
        <f t="shared" si="6"/>
        <v>9.6999999999999993</v>
      </c>
      <c r="S26" s="751" t="n">
        <f t="shared" si="6"/>
        <v>10.1</v>
      </c>
      <c r="T26" s="742" t="n">
        <f t="shared" si="6"/>
        <v>10.199999999999999</v>
      </c>
      <c r="U26" s="751" t="n">
        <f t="shared" si="6"/>
        <v>11.1</v>
      </c>
      <c r="V26" s="751" t="n">
        <f t="shared" si="6"/>
        <v>11.4</v>
      </c>
      <c r="W26" s="751" t="n">
        <f t="shared" si="6"/>
        <v>12</v>
      </c>
      <c r="X26" s="751" t="n">
        <f t="shared" si="6"/>
        <v>13.3</v>
      </c>
      <c r="Y26" s="751" t="n">
        <f t="shared" si="6"/>
        <v>13.8</v>
      </c>
      <c r="Z26" s="751" t="n">
        <f t="shared" si="6"/>
        <v>13.8</v>
      </c>
      <c r="AA26" s="751" t="n">
        <f t="shared" si="6"/>
        <v>14.6</v>
      </c>
      <c r="AB26" s="751" t="n">
        <f t="shared" si="6"/>
        <v>15.2</v>
      </c>
      <c r="AC26" s="751" t="n">
        <f t="shared" si="6"/>
        <v>14.9</v>
      </c>
      <c r="AD26" s="751" t="n">
        <f t="shared" si="6"/>
        <v>15.9</v>
      </c>
      <c r="AE26" s="761" t="e">
        <f>AD26*(1+$H$19)^0.25+AE27</f>
        <v>#DIV/0!</v>
      </c>
      <c r="AF26" s="728" t="e">
        <f>AE26*(1+$I$19)^0.25+AF27</f>
        <v>#DIV/0!</v>
      </c>
      <c r="AG26" s="740" t="e">
        <f>AF26*(1+$I$19)^0.25+AG27</f>
        <v>#DIV/0!</v>
      </c>
      <c r="AH26" s="740" t="e">
        <f>AG26*(1+$I$19)^0.25+AH27</f>
        <v>#DIV/0!</v>
      </c>
      <c r="AI26" s="740" t="e">
        <f>AH26*(1+$I$19)^0.25+AI27</f>
        <v>#DIV/0!</v>
      </c>
      <c r="AJ26" s="728" t="e">
        <f>AI26*(1+$J$19)^0.25+AJ27</f>
        <v>#DIV/0!</v>
      </c>
      <c r="AK26" s="740" t="e">
        <f>AJ26*(1+$J$19)^0.25+AK27</f>
        <v>#DIV/0!</v>
      </c>
      <c r="AL26" s="740" t="e">
        <f>AK26*(1+$J$19)^0.25+AL27</f>
        <v>#DIV/0!</v>
      </c>
      <c r="AM26" s="740" t="e">
        <f>AL26*(1+$J$19)^0.25+AM27</f>
        <v>#DIV/0!</v>
      </c>
      <c r="AN26" s="728" t="e">
        <f>AM26*(1+$K$19)^0.25+AN27</f>
        <v>#DIV/0!</v>
      </c>
      <c r="AO26" s="729" t="s">
        <v>1732</v>
      </c>
    </row>
    <row r="27" ht="19.5" customHeight="1">
      <c r="B27" s="733" t="s">
        <v>1602</v>
      </c>
      <c r="C27" s="412"/>
      <c r="D27" s="763"/>
      <c r="E27" s="738"/>
      <c r="F27" s="738"/>
      <c r="G27" s="738"/>
      <c r="H27" s="738"/>
      <c r="I27" s="738"/>
      <c r="J27" s="738"/>
      <c r="K27" s="738"/>
      <c r="L27" s="738"/>
      <c r="M27" s="738"/>
      <c r="N27" s="738"/>
      <c r="O27" s="738"/>
      <c r="P27" s="738"/>
      <c r="Q27" s="738"/>
      <c r="R27" s="738"/>
      <c r="S27" s="738"/>
      <c r="T27" s="738"/>
      <c r="U27" s="738"/>
      <c r="V27" s="738"/>
      <c r="W27" s="738"/>
      <c r="X27" s="738"/>
      <c r="Y27" s="740"/>
      <c r="Z27" s="740"/>
      <c r="AA27" s="740"/>
      <c r="AB27" s="740"/>
      <c r="AC27" s="740" t="n">
        <v>26</v>
      </c>
      <c r="AD27" s="740" t="n">
        <v>-5</v>
      </c>
      <c r="AE27" s="740"/>
      <c r="AF27" s="740" t="n">
        <v>-4.4999999999999998E-2</v>
      </c>
      <c r="AG27" s="740"/>
      <c r="AH27" s="740"/>
      <c r="AI27" s="740"/>
      <c r="AJ27" s="740" t="n">
        <v>-18.45</v>
      </c>
      <c r="AK27" s="740"/>
      <c r="AL27" s="740"/>
      <c r="AM27" s="740"/>
      <c r="AN27" s="740"/>
    </row>
    <row r="28" ht="19.399999999999999" customHeight="1">
      <c r="B28" s="753" t="s">
        <v>140</v>
      </c>
      <c r="C28" s="412"/>
      <c r="D28" s="763" t="n">
        <f t="shared" ref="D28:Q28" si="7">D10*D12</f>
        <v>0</v>
      </c>
      <c r="E28" s="738" t="n">
        <f t="shared" si="7"/>
        <v>0</v>
      </c>
      <c r="F28" s="738" t="n">
        <f t="shared" si="7"/>
        <v>0</v>
      </c>
      <c r="G28" s="738" t="n">
        <f t="shared" si="7"/>
        <v>0</v>
      </c>
      <c r="H28" s="738" t="n">
        <f t="shared" si="7"/>
        <v>0</v>
      </c>
      <c r="I28" s="738" t="n">
        <f t="shared" si="7"/>
        <v>0</v>
      </c>
      <c r="J28" s="738" t="n">
        <f t="shared" si="7"/>
        <v>0</v>
      </c>
      <c r="K28" s="738" t="n">
        <f t="shared" si="7"/>
        <v>0</v>
      </c>
      <c r="L28" s="738" t="n">
        <f t="shared" si="7"/>
        <v>0</v>
      </c>
      <c r="M28" s="738" t="n">
        <f t="shared" si="7"/>
        <v>0</v>
      </c>
      <c r="N28" s="738" t="n">
        <f t="shared" si="7"/>
        <v>0</v>
      </c>
      <c r="O28" s="738" t="n">
        <f t="shared" si="7"/>
        <v>0</v>
      </c>
      <c r="P28" s="738" t="n">
        <f t="shared" si="7"/>
        <v>0</v>
      </c>
      <c r="Q28" s="738" t="n">
        <f t="shared" si="7"/>
        <v>0</v>
      </c>
      <c r="R28" s="738" t="n">
        <f t="shared" ref="R28:AN28" si="8">R26*R12</f>
        <v>0</v>
      </c>
      <c r="S28" s="738" t="n">
        <f t="shared" si="8"/>
        <v>0</v>
      </c>
      <c r="T28" s="738" t="n">
        <f t="shared" si="8"/>
        <v>0</v>
      </c>
      <c r="U28" s="738" t="n">
        <f t="shared" si="8"/>
        <v>0</v>
      </c>
      <c r="V28" s="738" t="n">
        <f t="shared" si="8"/>
        <v>0</v>
      </c>
      <c r="W28" s="738" t="n">
        <f t="shared" si="8"/>
        <v>0</v>
      </c>
      <c r="X28" s="738" t="n">
        <f t="shared" si="8"/>
        <v>0</v>
      </c>
      <c r="Y28" s="740" t="n">
        <f t="shared" si="8"/>
        <v>0</v>
      </c>
      <c r="Z28" s="740" t="n">
        <f t="shared" si="8"/>
        <v>0</v>
      </c>
      <c r="AA28" s="740" t="n">
        <f t="shared" si="8"/>
        <v>0</v>
      </c>
      <c r="AB28" s="740" t="n">
        <f t="shared" si="8"/>
        <v>0</v>
      </c>
      <c r="AC28" s="740" t="n">
        <f t="shared" si="8"/>
        <v>0</v>
      </c>
      <c r="AD28" s="740" t="n">
        <f t="shared" si="8"/>
        <v>0</v>
      </c>
      <c r="AE28" s="740" t="e">
        <f t="shared" si="8"/>
        <v>#DIV/0!</v>
      </c>
      <c r="AF28" s="740" t="e">
        <f t="shared" si="8"/>
        <v>#DIV/0!</v>
      </c>
      <c r="AG28" s="740" t="e">
        <f t="shared" si="8"/>
        <v>#DIV/0!</v>
      </c>
      <c r="AH28" s="740" t="e">
        <f t="shared" si="8"/>
        <v>#DIV/0!</v>
      </c>
      <c r="AI28" s="740" t="e">
        <f t="shared" si="8"/>
        <v>#DIV/0!</v>
      </c>
      <c r="AJ28" s="740" t="e">
        <f t="shared" si="8"/>
        <v>#DIV/0!</v>
      </c>
      <c r="AK28" s="740" t="e">
        <f t="shared" si="8"/>
        <v>#DIV/0!</v>
      </c>
      <c r="AL28" s="740" t="e">
        <f t="shared" si="8"/>
        <v>#DIV/0!</v>
      </c>
      <c r="AM28" s="740" t="e">
        <f t="shared" si="8"/>
        <v>#DIV/0!</v>
      </c>
      <c r="AN28" s="740" t="e">
        <f t="shared" si="8"/>
        <v>#DIV/0!</v>
      </c>
    </row>
    <row r="29" ht="19.399999999999999" customHeight="1">
      <c r="B29" s="736" t="s">
        <v>348</v>
      </c>
      <c r="C29" s="506"/>
      <c r="D29" s="765" t="n">
        <f t="shared" ref="D29:AN29" si="9">D26-D28</f>
        <v>5</v>
      </c>
      <c r="E29" s="739" t="n">
        <f t="shared" si="9"/>
        <v>5.3</v>
      </c>
      <c r="F29" s="739" t="n">
        <f t="shared" si="9"/>
        <v>5.6</v>
      </c>
      <c r="G29" s="739" t="n">
        <f t="shared" si="9"/>
        <v>5.9</v>
      </c>
      <c r="H29" s="739" t="n">
        <f t="shared" si="9"/>
        <v>6.2</v>
      </c>
      <c r="I29" s="739" t="n">
        <f t="shared" si="9"/>
        <v>6.6</v>
      </c>
      <c r="J29" s="739" t="n">
        <f t="shared" si="9"/>
        <v>6.9</v>
      </c>
      <c r="K29" s="739" t="n">
        <f t="shared" si="9"/>
        <v>7.3</v>
      </c>
      <c r="L29" s="739" t="n">
        <f t="shared" si="9"/>
        <v>7.8</v>
      </c>
      <c r="M29" s="739" t="n">
        <f t="shared" si="9"/>
        <v>8</v>
      </c>
      <c r="N29" s="739" t="n">
        <f t="shared" si="9"/>
        <v>8.6</v>
      </c>
      <c r="O29" s="739" t="n">
        <f t="shared" si="9"/>
        <v>8.5</v>
      </c>
      <c r="P29" s="739" t="n">
        <f t="shared" si="9"/>
        <v>9</v>
      </c>
      <c r="Q29" s="739" t="n">
        <f t="shared" si="9"/>
        <v>9.6</v>
      </c>
      <c r="R29" s="739" t="n">
        <f t="shared" si="9"/>
        <v>9.6999999999999993</v>
      </c>
      <c r="S29" s="739" t="n">
        <f t="shared" si="9"/>
        <v>10.1</v>
      </c>
      <c r="T29" s="739" t="n">
        <f t="shared" si="9"/>
        <v>10.199999999999999</v>
      </c>
      <c r="U29" s="739" t="n">
        <f t="shared" si="9"/>
        <v>11.1</v>
      </c>
      <c r="V29" s="739" t="n">
        <f t="shared" si="9"/>
        <v>11.4</v>
      </c>
      <c r="W29" s="739" t="n">
        <f t="shared" si="9"/>
        <v>12</v>
      </c>
      <c r="X29" s="739" t="n">
        <f t="shared" si="9"/>
        <v>13.3</v>
      </c>
      <c r="Y29" s="760" t="n">
        <f t="shared" si="9"/>
        <v>13.8</v>
      </c>
      <c r="Z29" s="760" t="n">
        <f t="shared" si="9"/>
        <v>13.8</v>
      </c>
      <c r="AA29" s="760" t="n">
        <f t="shared" si="9"/>
        <v>14.6</v>
      </c>
      <c r="AB29" s="760" t="n">
        <f t="shared" si="9"/>
        <v>15.2</v>
      </c>
      <c r="AC29" s="760" t="n">
        <f t="shared" si="9"/>
        <v>14.9</v>
      </c>
      <c r="AD29" s="760" t="n">
        <f t="shared" si="9"/>
        <v>15.9</v>
      </c>
      <c r="AE29" s="760" t="e">
        <f t="shared" si="9"/>
        <v>#DIV/0!</v>
      </c>
      <c r="AF29" s="760" t="e">
        <f t="shared" si="9"/>
        <v>#DIV/0!</v>
      </c>
      <c r="AG29" s="760" t="e">
        <f t="shared" si="9"/>
        <v>#DIV/0!</v>
      </c>
      <c r="AH29" s="760" t="e">
        <f t="shared" si="9"/>
        <v>#DIV/0!</v>
      </c>
      <c r="AI29" s="760" t="e">
        <f t="shared" si="9"/>
        <v>#DIV/0!</v>
      </c>
      <c r="AJ29" s="760" t="e">
        <f t="shared" si="9"/>
        <v>#DIV/0!</v>
      </c>
      <c r="AK29" s="760" t="e">
        <f t="shared" si="9"/>
        <v>#DIV/0!</v>
      </c>
      <c r="AL29" s="760" t="e">
        <f t="shared" si="9"/>
        <v>#DIV/0!</v>
      </c>
      <c r="AM29" s="760" t="e">
        <f t="shared" si="9"/>
        <v>#DIV/0!</v>
      </c>
      <c r="AN29" s="760" t="e">
        <f t="shared" si="9"/>
        <v>#DIV/0!</v>
      </c>
    </row>
    <row r="30" ht="19.399999999999999" customHeight="1">
      <c r="B30" s="289"/>
      <c r="C30" s="289"/>
      <c r="D30" s="657"/>
      <c r="E30" s="657"/>
      <c r="F30" s="657"/>
      <c r="G30" s="657"/>
      <c r="H30" s="657"/>
      <c r="I30" s="657"/>
      <c r="J30" s="657"/>
      <c r="K30" s="657"/>
      <c r="L30" s="657"/>
      <c r="M30" s="657"/>
      <c r="N30" s="657"/>
      <c r="O30" s="657"/>
      <c r="P30" s="657"/>
      <c r="Q30" s="657"/>
      <c r="R30" s="657"/>
      <c r="S30" s="657"/>
      <c r="T30" s="657"/>
      <c r="U30" s="657"/>
      <c r="V30" s="657"/>
      <c r="W30" s="657"/>
      <c r="X30" s="657"/>
    </row>
    <row r="31" ht="19.399999999999999" customHeight="1">
      <c r="B31" s="289"/>
      <c r="C31" s="289"/>
      <c r="D31" s="657"/>
      <c r="E31" s="657"/>
      <c r="F31" s="657"/>
      <c r="G31" s="657"/>
      <c r="H31" s="657"/>
      <c r="I31" s="657"/>
    </row>
    <row r="32" ht="19.399999999999999" customHeight="1">
      <c r="B32" s="289"/>
      <c r="C32" s="289"/>
      <c r="D32" s="657"/>
      <c r="E32" s="657"/>
      <c r="F32" s="657"/>
      <c r="G32" s="657"/>
      <c r="H32" s="657"/>
      <c r="I32" s="657"/>
    </row>
    <row r="33" ht="19.399999999999999" customHeight="1">
      <c r="B33" s="289"/>
      <c r="C33" s="289"/>
      <c r="D33" s="657"/>
      <c r="E33" s="657"/>
      <c r="F33" s="657"/>
      <c r="G33" s="657"/>
      <c r="H33" s="657"/>
      <c r="I33" s="657"/>
      <c r="J33" s="657"/>
      <c r="K33" s="657"/>
      <c r="L33" s="657"/>
      <c r="M33" s="657"/>
      <c r="N33" s="657"/>
      <c r="O33" s="657"/>
      <c r="P33" s="657"/>
      <c r="Q33" s="657"/>
      <c r="R33" s="657"/>
      <c r="S33" s="657"/>
      <c r="T33" s="657"/>
      <c r="Y33" s="657"/>
      <c r="Z33" s="657"/>
      <c r="AA33" s="657"/>
      <c r="AB33" s="657"/>
      <c r="AC33" s="657"/>
      <c r="AD33" s="657"/>
      <c r="AE33" s="657"/>
      <c r="AF33" s="657"/>
      <c r="AG33" s="657"/>
      <c r="AH33" s="657"/>
    </row>
    <row r="34" ht="19.399999999999999" customHeight="1">
      <c r="B34" s="289"/>
      <c r="C34" s="289"/>
      <c r="D34" s="657"/>
      <c r="E34" s="657"/>
      <c r="F34" s="657"/>
      <c r="G34" s="657"/>
      <c r="H34" s="657"/>
      <c r="I34" s="657"/>
      <c r="J34" s="657"/>
      <c r="K34" s="657"/>
      <c r="L34" s="657"/>
      <c r="M34" s="657"/>
      <c r="N34" s="657"/>
      <c r="O34" s="657"/>
      <c r="P34" s="657"/>
      <c r="Q34" s="657"/>
      <c r="R34" s="657"/>
      <c r="S34" s="657"/>
      <c r="T34" s="657"/>
      <c r="Y34" s="657"/>
      <c r="Z34" s="657"/>
      <c r="AA34" s="657"/>
      <c r="AB34" s="657"/>
      <c r="AC34" s="657"/>
      <c r="AD34" s="657"/>
      <c r="AE34" s="657"/>
      <c r="AF34" s="657"/>
      <c r="AG34" s="657"/>
      <c r="AH34" s="657"/>
    </row>
    <row r="35" ht="19" customHeight="1">
      <c r="B35" s="289"/>
      <c r="C35" s="289"/>
      <c r="D35" s="657"/>
      <c r="E35" s="657"/>
      <c r="F35" s="657"/>
      <c r="G35" s="657"/>
      <c r="H35" s="657"/>
      <c r="I35" s="657"/>
      <c r="J35" s="657"/>
      <c r="K35" s="657"/>
      <c r="L35" s="657"/>
      <c r="M35" s="657"/>
      <c r="N35" s="657"/>
      <c r="O35" s="657"/>
      <c r="AG35" s="657"/>
      <c r="AH35" s="657"/>
    </row>
    <row r="36" ht="19" customHeight="1">
      <c r="B36" s="289"/>
      <c r="C36" s="289"/>
      <c r="D36" s="657"/>
      <c r="E36" s="657"/>
      <c r="F36" s="657"/>
      <c r="G36" s="657"/>
      <c r="H36" s="657"/>
      <c r="I36" s="657"/>
      <c r="J36" s="657"/>
      <c r="K36" s="657"/>
      <c r="L36" s="657"/>
      <c r="M36" s="657"/>
      <c r="N36" s="657"/>
      <c r="O36" s="657"/>
      <c r="AG36" s="657"/>
      <c r="AH36" s="657"/>
    </row>
    <row r="37" ht="19.399999999999999" customHeight="1">
      <c r="B37" s="289"/>
      <c r="C37" s="289"/>
      <c r="D37" s="657"/>
      <c r="E37" s="657"/>
      <c r="F37" s="657"/>
      <c r="G37" s="657"/>
      <c r="H37" s="657"/>
      <c r="I37" s="657"/>
      <c r="J37" s="657"/>
      <c r="K37" s="657"/>
      <c r="L37" s="657"/>
      <c r="M37" s="657"/>
      <c r="N37" s="657"/>
      <c r="O37" s="657"/>
      <c r="P37" s="657"/>
      <c r="Q37" s="657"/>
      <c r="R37" s="657"/>
      <c r="S37" s="657"/>
      <c r="T37" s="657"/>
      <c r="Y37" s="657"/>
      <c r="Z37" s="657"/>
      <c r="AA37" s="657"/>
      <c r="AB37" s="657"/>
      <c r="AC37" s="657"/>
      <c r="AD37" s="657"/>
      <c r="AE37" s="657"/>
      <c r="AF37" s="657"/>
      <c r="AG37" s="657"/>
      <c r="AH37" s="657"/>
    </row>
    <row r="38" ht="14.9" customHeight="1">
      <c r="B38" s="755" t="s">
        <v>349</v>
      </c>
      <c r="C38" s="756"/>
      <c r="D38" s="756"/>
      <c r="E38" s="757"/>
      <c r="F38" s="758" t="n">
        <v>2021</v>
      </c>
      <c r="G38" s="758" t="n">
        <v>2022</v>
      </c>
      <c r="H38" s="758" t="n">
        <v>2023</v>
      </c>
      <c r="I38" s="758" t="n">
        <v>2024</v>
      </c>
      <c r="J38" s="758" t="n">
        <v>2025</v>
      </c>
      <c r="K38" s="758" t="n">
        <v>2025</v>
      </c>
      <c r="L38" s="758" t="n">
        <v>2027</v>
      </c>
      <c r="M38" s="758" t="n">
        <v>2028</v>
      </c>
      <c r="N38" s="758" t="n">
        <v>2029</v>
      </c>
      <c r="O38" s="758" t="n">
        <v>2030</v>
      </c>
      <c r="P38" s="759" t="n">
        <v>2031</v>
      </c>
    </row>
    <row r="39" ht="15" customHeight="1">
      <c r="B39" s="715" t="s">
        <v>350</v>
      </c>
      <c r="C39" s="716"/>
      <c r="D39" s="716"/>
      <c r="E39" s="717"/>
      <c r="F39" s="286" t="n">
        <v>287</v>
      </c>
      <c r="G39" s="286" t="n">
        <v>534</v>
      </c>
      <c r="H39" s="286" t="n">
        <v>247</v>
      </c>
      <c r="I39" s="286" t="n">
        <v>63</v>
      </c>
      <c r="J39" s="286"/>
      <c r="K39" s="286"/>
      <c r="L39" s="286"/>
      <c r="M39" s="286"/>
      <c r="N39" s="286"/>
      <c r="O39" s="286"/>
      <c r="P39" s="735"/>
    </row>
    <row r="40" ht="15" customHeight="1">
      <c r="B40" s="712" t="s">
        <v>351</v>
      </c>
      <c r="C40" s="713"/>
      <c r="D40" s="713"/>
      <c r="E40" s="714"/>
      <c r="F40" s="286" t="n">
        <v>0</v>
      </c>
      <c r="G40" s="286" t="n">
        <v>0</v>
      </c>
      <c r="H40" s="286" t="n">
        <v>756</v>
      </c>
      <c r="I40" s="286" t="n">
        <v>1249</v>
      </c>
      <c r="J40" s="286" t="n">
        <v>1417</v>
      </c>
      <c r="K40" s="286" t="n">
        <v>1522</v>
      </c>
      <c r="L40" s="286" t="n">
        <v>1107</v>
      </c>
      <c r="M40" s="286"/>
      <c r="N40" s="286"/>
      <c r="O40" s="286"/>
      <c r="P40" s="735"/>
    </row>
    <row r="41" ht="14.5" customHeight="1">
      <c r="B41" s="712" t="s">
        <v>352</v>
      </c>
      <c r="C41" s="713"/>
      <c r="D41" s="713"/>
      <c r="E41" s="714"/>
      <c r="F41" s="286" t="n">
        <v>0</v>
      </c>
      <c r="G41" s="286" t="n">
        <v>5</v>
      </c>
      <c r="H41" s="286" t="n">
        <v>77</v>
      </c>
      <c r="I41" s="286" t="n">
        <v>307</v>
      </c>
      <c r="J41" s="286" t="n">
        <v>332</v>
      </c>
      <c r="K41" s="286" t="n">
        <v>270</v>
      </c>
      <c r="L41" s="286" t="n">
        <v>25</v>
      </c>
      <c r="M41" s="286" t="n">
        <v>32</v>
      </c>
      <c r="N41" s="286" t="n">
        <v>40</v>
      </c>
      <c r="O41" s="286" t="n">
        <v>49</v>
      </c>
      <c r="P41" s="735" t="n">
        <v>58</v>
      </c>
    </row>
    <row r="42" ht="32.9" customHeight="1">
      <c r="B42" s="709" t="s">
        <v>353</v>
      </c>
      <c r="C42" s="710"/>
      <c r="D42" s="710"/>
      <c r="E42" s="711"/>
      <c r="F42" s="286" t="n">
        <v>0</v>
      </c>
      <c r="G42" s="286" t="n">
        <v>0</v>
      </c>
      <c r="H42" s="286" t="n">
        <v>3768</v>
      </c>
      <c r="I42" s="286" t="n">
        <v>3428</v>
      </c>
      <c r="J42" s="286" t="n">
        <v>2176</v>
      </c>
      <c r="K42" s="286" t="n">
        <v>2304</v>
      </c>
      <c r="L42" s="286" t="n">
        <v>2129</v>
      </c>
      <c r="M42" s="286" t="n">
        <v>1335</v>
      </c>
      <c r="N42" s="286" t="n">
        <v>478</v>
      </c>
      <c r="O42" s="286" t="n">
        <v>531</v>
      </c>
      <c r="P42" s="735" t="n">
        <v>212</v>
      </c>
    </row>
    <row r="43" ht="32.9" customHeight="1">
      <c r="B43" s="709" t="s">
        <v>354</v>
      </c>
      <c r="C43" s="710"/>
      <c r="D43" s="710"/>
      <c r="E43" s="711"/>
      <c r="F43" s="286" t="n">
        <v>38</v>
      </c>
      <c r="G43" s="286" t="n">
        <v>81</v>
      </c>
      <c r="H43" s="286" t="n">
        <v>43</v>
      </c>
      <c r="I43" s="286"/>
      <c r="J43" s="286"/>
      <c r="K43" s="286"/>
      <c r="L43" s="286"/>
      <c r="M43" s="286"/>
      <c r="N43" s="286"/>
      <c r="O43" s="286"/>
      <c r="P43" s="735"/>
    </row>
    <row r="44" ht="14.5" customHeight="1">
      <c r="B44" s="712" t="s">
        <v>355</v>
      </c>
      <c r="C44" s="713"/>
      <c r="D44" s="713"/>
      <c r="E44" s="714"/>
      <c r="F44" s="286"/>
      <c r="G44" s="286"/>
      <c r="H44" s="286"/>
      <c r="I44" s="286" t="n">
        <v>-184</v>
      </c>
      <c r="J44" s="286" t="n">
        <v>-1830</v>
      </c>
      <c r="K44" s="286" t="n">
        <v>-2406</v>
      </c>
      <c r="L44" s="286" t="n">
        <v>-2419</v>
      </c>
      <c r="M44" s="286" t="n">
        <v>-2467</v>
      </c>
      <c r="N44" s="286" t="n">
        <v>-2531</v>
      </c>
      <c r="O44" s="286" t="n">
        <v>-2667</v>
      </c>
      <c r="P44" s="735" t="n">
        <v>-2809</v>
      </c>
    </row>
    <row r="45" ht="15.75" customHeight="1">
      <c r="B45" s="718" t="s">
        <v>356</v>
      </c>
      <c r="C45" s="719"/>
      <c r="D45" s="719"/>
      <c r="E45" s="720"/>
      <c r="F45" s="286" t="n">
        <v>6524</v>
      </c>
      <c r="G45" s="286" t="n">
        <v>6143</v>
      </c>
      <c r="H45" s="286"/>
      <c r="I45" s="286"/>
      <c r="J45" s="286"/>
      <c r="K45" s="286"/>
      <c r="L45" s="286"/>
      <c r="M45" s="286"/>
      <c r="N45" s="286"/>
      <c r="O45" s="286"/>
      <c r="P45" s="735"/>
    </row>
    <row r="46" ht="14.5" customHeight="1">
      <c r="B46" s="712" t="s">
        <v>357</v>
      </c>
      <c r="C46" s="713"/>
      <c r="D46" s="713"/>
      <c r="E46" s="714"/>
      <c r="F46" s="286" t="n">
        <v>50</v>
      </c>
      <c r="G46" s="286" t="n">
        <v>175</v>
      </c>
      <c r="H46" s="286" t="n">
        <v>25</v>
      </c>
      <c r="I46" s="286"/>
      <c r="J46" s="286"/>
      <c r="K46" s="286"/>
      <c r="L46" s="286"/>
      <c r="M46" s="286"/>
      <c r="N46" s="286"/>
      <c r="O46" s="286"/>
      <c r="P46" s="735"/>
    </row>
    <row r="47" ht="14.5" customHeight="1">
      <c r="B47" s="712" t="s">
        <v>358</v>
      </c>
      <c r="C47" s="713"/>
      <c r="D47" s="713"/>
      <c r="E47" s="714"/>
      <c r="F47" s="286" t="n">
        <v>829</v>
      </c>
      <c r="G47" s="286" t="n">
        <v>844</v>
      </c>
      <c r="H47" s="286"/>
      <c r="I47" s="286"/>
      <c r="J47" s="286"/>
      <c r="K47" s="286"/>
      <c r="L47" s="286"/>
      <c r="M47" s="286"/>
      <c r="N47" s="286"/>
      <c r="O47" s="286"/>
      <c r="P47" s="735"/>
    </row>
    <row r="48">
      <c r="B48" s="401" t="s">
        <v>359</v>
      </c>
      <c r="C48" s="402"/>
      <c r="D48" s="402"/>
      <c r="E48" s="723"/>
      <c r="F48" s="286" t="n">
        <f t="shared" ref="F48:P48" si="10">SUM(F39:F47)</f>
        <v>7728</v>
      </c>
      <c r="G48" s="286" t="n">
        <f t="shared" si="10"/>
        <v>7782</v>
      </c>
      <c r="H48" s="286" t="n">
        <f t="shared" si="10"/>
        <v>4916</v>
      </c>
      <c r="I48" s="286" t="n">
        <f t="shared" si="10"/>
        <v>4863</v>
      </c>
      <c r="J48" s="286" t="n">
        <f t="shared" si="10"/>
        <v>2095</v>
      </c>
      <c r="K48" s="286" t="n">
        <f t="shared" si="10"/>
        <v>1690</v>
      </c>
      <c r="L48" s="286" t="n">
        <f t="shared" si="10"/>
        <v>842</v>
      </c>
      <c r="M48" s="286" t="n">
        <f t="shared" si="10"/>
        <v>-1100</v>
      </c>
      <c r="N48" s="286" t="n">
        <f t="shared" si="10"/>
        <v>-2013</v>
      </c>
      <c r="O48" s="286" t="n">
        <f t="shared" si="10"/>
        <v>-2087</v>
      </c>
      <c r="P48" s="735" t="n">
        <f t="shared" si="10"/>
        <v>-2539</v>
      </c>
    </row>
    <row r="49">
      <c r="B49" s="718" t="s">
        <v>360</v>
      </c>
      <c r="C49" s="719"/>
      <c r="D49" s="719"/>
      <c r="E49" s="720"/>
      <c r="F49" s="286" t="n">
        <f t="shared" ref="F49:P49" si="11">F45+F43+F42</f>
        <v>6562</v>
      </c>
      <c r="G49" s="286" t="n">
        <f t="shared" si="11"/>
        <v>6224</v>
      </c>
      <c r="H49" s="286" t="n">
        <f t="shared" si="11"/>
        <v>3811</v>
      </c>
      <c r="I49" s="286" t="n">
        <f t="shared" si="11"/>
        <v>3428</v>
      </c>
      <c r="J49" s="286" t="n">
        <f t="shared" si="11"/>
        <v>2176</v>
      </c>
      <c r="K49" s="286" t="n">
        <f t="shared" si="11"/>
        <v>2304</v>
      </c>
      <c r="L49" s="286" t="n">
        <f t="shared" si="11"/>
        <v>2129</v>
      </c>
      <c r="M49" s="286" t="n">
        <f t="shared" si="11"/>
        <v>1335</v>
      </c>
      <c r="N49" s="286" t="n">
        <f t="shared" si="11"/>
        <v>478</v>
      </c>
      <c r="O49" s="286" t="n">
        <f t="shared" si="11"/>
        <v>531</v>
      </c>
      <c r="P49" s="735" t="n">
        <f t="shared" si="11"/>
        <v>212</v>
      </c>
      <c r="Q49" s="289" t="s">
        <v>361</v>
      </c>
    </row>
    <row r="50">
      <c r="B50" s="712" t="s">
        <v>362</v>
      </c>
      <c r="C50" s="713"/>
      <c r="D50" s="713"/>
      <c r="E50" s="714"/>
      <c r="F50" s="286" t="n">
        <f>(F49/1000)/M26</f>
        <v>0.82025000000000003</v>
      </c>
      <c r="G50" s="286" t="n">
        <f>(G49/F49)*F50</f>
        <v>0.77800000000000002</v>
      </c>
      <c r="H50" s="286" t="n">
        <f>(H49/G49)*G50+H51</f>
        <v>0.47637499999999999</v>
      </c>
      <c r="I50" s="286" t="n">
        <f>(I49/H49)*H50+I51</f>
        <v>0.42849999999999999</v>
      </c>
      <c r="J50" s="286" t="n">
        <f>J51</f>
        <v>0</v>
      </c>
      <c r="K50" s="286" t="n">
        <f t="shared" ref="K50:L50" si="12">K51</f>
        <v>0</v>
      </c>
      <c r="L50" s="286" t="n">
        <f t="shared" si="12"/>
        <v>0</v>
      </c>
      <c r="M50" s="286"/>
      <c r="N50" s="286"/>
      <c r="O50" s="286"/>
      <c r="P50" s="735"/>
      <c r="Q50" s="289" t="s">
        <v>363</v>
      </c>
    </row>
    <row r="51" ht="29.25" customHeight="1">
      <c r="B51" s="712" t="s">
        <v>797</v>
      </c>
      <c r="C51" s="713"/>
      <c r="D51" s="713"/>
      <c r="E51" s="714"/>
      <c r="F51" s="286"/>
      <c r="G51" s="286"/>
      <c r="H51" s="286"/>
      <c r="I51" s="286"/>
      <c r="J51" s="286"/>
      <c r="K51" s="286"/>
      <c r="L51" s="286"/>
      <c r="M51" s="286"/>
      <c r="N51" s="286"/>
      <c r="O51" s="286"/>
      <c r="P51" s="735"/>
      <c r="Q51" s="289"/>
    </row>
    <row r="52">
      <c r="B52" s="643"/>
      <c r="C52" s="644"/>
      <c r="D52" s="644"/>
      <c r="E52" s="708"/>
      <c r="F52" s="734"/>
      <c r="G52" s="734"/>
      <c r="H52" s="734"/>
      <c r="I52" s="734"/>
      <c r="J52" s="734"/>
      <c r="K52" s="734"/>
      <c r="L52" s="734"/>
      <c r="M52" s="734"/>
      <c r="N52" s="734"/>
      <c r="O52" s="734"/>
      <c r="P52" s="746"/>
    </row>
  </sheetData>
  <mergeCells count="37">
    <mergeCell ref="B6:C6"/>
    <mergeCell ref="B45:E45"/>
    <mergeCell ref="B46:E46"/>
    <mergeCell ref="B47:E47"/>
    <mergeCell ref="B48:E48"/>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s>
  <pageMargins left="0.7" right="0.7" top="0.75" bottom="0.75" header="0.3" footer="0.3"/>
  <pageSetup paperSize="9" orientation="portrait" horizontalDpi="300" verticalDpi="300"/>
  <drawing r:id="rId1"/>
  <legacyDrawing r:id="rIdvml"/>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5" zoomScaleNormal="85" workbookViewId="0">
      <pane xSplit="2" ySplit="4" topLeftCell="C5" activePane="bottomRight" state="frozen"/>
      <selection pane="topRight" activeCell="C1" sqref="C1"/>
      <selection pane="bottomLeft" activeCell="A5" sqref="A5"/>
      <selection pane="bottomRight" activeCell="C10" sqref="C10"/>
    </sheetView>
  </sheetViews>
  <sheetFormatPr defaultRowHeight="15.0" baseColWidth="10"/>
  <cols>
    <col min="2" max="2" width="51.1796875" hidden="0" customWidth="1"/>
    <col min="3" max="3" width="7.453125" hidden="0" customWidth="1"/>
    <col min="4" max="4" width="8.81640625" hidden="0" customWidth="1"/>
    <col min="5" max="5" width="9" hidden="0" customWidth="1"/>
    <col min="6" max="6" width="8.81640625" hidden="0" customWidth="1"/>
    <col min="7" max="7" width="9.54296875" hidden="0" customWidth="1"/>
    <col min="8" max="8" width="9.81640625" hidden="0" customWidth="1"/>
    <col min="9" max="9" width="10.1796875" hidden="0" customWidth="1"/>
    <col min="10" max="10" width="9.1796875" hidden="0" customWidth="1"/>
    <col min="11" max="11" width="9.81640625" hidden="0" customWidth="1"/>
    <col min="12" max="12" width="8.81640625" hidden="0" customWidth="1"/>
    <col min="13" max="13" width="8.81640625" hidden="0" customWidth="1"/>
    <col min="14" max="14" width="9.1796875" hidden="0" customWidth="1"/>
    <col min="15" max="15" width="8.81640625" hidden="0" customWidth="1"/>
    <col min="16" max="16" width="8.81640625" hidden="0" customWidth="1"/>
    <col min="17" max="17" width="8.81640625" hidden="0" customWidth="1"/>
    <col min="18" max="18" width="8.81640625" hidden="0" customWidth="1"/>
    <col min="19" max="19" width="8.81640625" hidden="0" customWidth="1"/>
    <col min="20" max="20" width="9.1796875" hidden="0" customWidth="1"/>
    <col min="21" max="21" width="9.1796875" hidden="0" customWidth="1"/>
    <col min="22" max="22" width="9.1796875" hidden="0" customWidth="1"/>
  </cols>
  <sheetData>
    <row r="1">
      <c r="B1" s="266" t="s">
        <v>46</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25" customHeight="1">
      <c r="B2" s="581" t="s">
        <v>765</v>
      </c>
      <c r="C2" s="581"/>
      <c r="D2" s="581"/>
      <c r="E2" s="581"/>
      <c r="F2" s="581"/>
      <c r="G2" s="581"/>
      <c r="H2" s="581"/>
      <c r="I2" s="581"/>
      <c r="J2" s="581"/>
      <c r="K2" s="581"/>
      <c r="L2" s="581"/>
      <c r="M2" s="581"/>
      <c r="N2" s="581"/>
      <c r="O2" s="581"/>
      <c r="P2" s="581"/>
      <c r="Q2" s="581"/>
      <c r="R2" s="581"/>
      <c r="S2" s="767"/>
      <c r="T2" s="770" t="s">
        <v>812</v>
      </c>
      <c r="U2" s="770"/>
      <c r="V2" s="770"/>
      <c r="W2" s="770"/>
      <c r="X2" s="770"/>
      <c r="Y2" s="770"/>
      <c r="Z2" s="770"/>
      <c r="AA2" s="770"/>
      <c r="AB2" s="770"/>
      <c r="AC2" s="770"/>
    </row>
    <row r="3">
      <c r="B3" s="581"/>
      <c r="C3" s="581"/>
      <c r="D3" s="581"/>
      <c r="E3" s="581"/>
      <c r="F3" s="581"/>
      <c r="G3" s="581"/>
      <c r="H3" s="581"/>
      <c r="I3" s="581"/>
      <c r="J3" s="581"/>
      <c r="K3" s="581"/>
      <c r="L3" s="581"/>
      <c r="M3" s="581"/>
      <c r="N3" s="581"/>
      <c r="O3" s="581"/>
      <c r="P3" s="581"/>
      <c r="Q3" s="581"/>
      <c r="R3" s="581"/>
      <c r="S3" s="767"/>
      <c r="T3" s="770"/>
      <c r="U3" s="770"/>
      <c r="V3" s="770"/>
      <c r="W3" s="770"/>
      <c r="X3" s="770"/>
      <c r="Y3" s="770"/>
      <c r="Z3" s="770"/>
      <c r="AA3" s="770"/>
      <c r="AB3" s="770"/>
      <c r="AC3" s="770"/>
    </row>
    <row r="4" ht="21" customHeight="1">
      <c r="B4" s="581"/>
      <c r="C4" s="581"/>
      <c r="D4" s="581"/>
      <c r="E4" s="581"/>
      <c r="F4" s="581"/>
      <c r="G4" s="581"/>
      <c r="H4" s="581"/>
      <c r="I4" s="581"/>
      <c r="J4" s="581"/>
      <c r="K4" s="581"/>
      <c r="L4" s="581"/>
      <c r="M4" s="581"/>
      <c r="N4" s="581"/>
      <c r="O4" s="581"/>
      <c r="P4" s="581"/>
      <c r="Q4" s="581"/>
      <c r="R4" s="581"/>
      <c r="S4" s="767"/>
      <c r="T4" s="770"/>
      <c r="U4" s="770"/>
      <c r="V4" s="770"/>
      <c r="W4" s="770"/>
      <c r="X4" s="770"/>
      <c r="Y4" s="770"/>
      <c r="Z4" s="770"/>
      <c r="AA4" s="770"/>
      <c r="AB4" s="770"/>
      <c r="AC4" s="770"/>
    </row>
    <row r="6">
      <c r="B6" s="680" t="s">
        <v>244</v>
      </c>
    </row>
    <row r="7" ht="14.9" customHeight="1">
      <c r="B7" s="268" t="s">
        <v>314</v>
      </c>
      <c r="C7" s="269"/>
      <c r="D7" s="379" t="s">
        <v>191</v>
      </c>
      <c r="E7" s="379"/>
      <c r="F7" s="379"/>
      <c r="G7" s="379"/>
      <c r="H7" s="379"/>
      <c r="I7" s="379"/>
      <c r="J7" s="379"/>
      <c r="K7" s="379"/>
      <c r="L7" s="379"/>
      <c r="M7" s="379"/>
      <c r="N7" s="379"/>
      <c r="O7" s="379"/>
      <c r="P7" s="379"/>
      <c r="Q7" s="379"/>
      <c r="R7" s="379"/>
      <c r="S7" s="379"/>
      <c r="T7" s="379"/>
      <c r="U7" s="379"/>
      <c r="V7" s="379"/>
      <c r="W7" s="379"/>
      <c r="X7" s="379"/>
      <c r="Y7" s="379"/>
      <c r="Z7" s="379"/>
      <c r="AA7" s="379"/>
      <c r="AB7" s="773"/>
      <c r="AC7" s="251" t="s">
        <v>192</v>
      </c>
      <c r="AD7" s="252"/>
      <c r="AE7" s="252"/>
      <c r="AF7" s="252"/>
      <c r="AG7" s="252"/>
      <c r="AH7" s="252"/>
      <c r="AI7" s="252"/>
      <c r="AJ7" s="252"/>
      <c r="AK7" s="252"/>
      <c r="AL7" s="252"/>
      <c r="AM7" s="252"/>
      <c r="AN7" s="253"/>
    </row>
    <row r="8">
      <c r="B8" s="270"/>
      <c r="C8" s="271"/>
      <c r="D8" s="254" t="n">
        <v>2018</v>
      </c>
      <c r="E8" s="254" t="n">
        <v>2019</v>
      </c>
      <c r="F8" s="441"/>
      <c r="G8" s="441"/>
      <c r="H8" s="256"/>
      <c r="I8" s="254" t="n">
        <v>2020</v>
      </c>
      <c r="J8" s="441"/>
      <c r="K8" s="441"/>
      <c r="L8" s="441"/>
      <c r="M8" s="254" t="n">
        <v>2021</v>
      </c>
      <c r="N8" s="441"/>
      <c r="O8" s="441"/>
      <c r="P8" s="255"/>
      <c r="Q8" s="254" t="n">
        <v>2022</v>
      </c>
      <c r="R8" s="255"/>
      <c r="S8" s="255"/>
      <c r="T8" s="255"/>
      <c r="U8" s="254" t="n">
        <v>2023</v>
      </c>
      <c r="V8" s="255"/>
      <c r="W8" s="255"/>
      <c r="X8" s="256"/>
      <c r="Y8" s="298"/>
      <c r="Z8" s="304" t="n">
        <v>2024</v>
      </c>
      <c r="AA8" s="304"/>
      <c r="AB8" s="300"/>
      <c r="AC8" s="261" t="n">
        <v>2025</v>
      </c>
      <c r="AD8" s="262"/>
      <c r="AE8" s="262"/>
      <c r="AF8" s="263"/>
      <c r="AG8" s="261" t="n">
        <v>2026</v>
      </c>
      <c r="AH8" s="262"/>
      <c r="AI8" s="262"/>
      <c r="AJ8" s="263"/>
      <c r="AK8" s="261" t="n">
        <v>2027</v>
      </c>
      <c r="AL8" s="262"/>
      <c r="AM8" s="262"/>
      <c r="AN8" s="263"/>
    </row>
    <row r="9">
      <c r="B9" s="272"/>
      <c r="C9" s="273"/>
      <c r="D9" s="274" t="s">
        <v>193</v>
      </c>
      <c r="E9" s="274" t="s">
        <v>194</v>
      </c>
      <c r="F9" s="275" t="s">
        <v>195</v>
      </c>
      <c r="G9" s="275" t="s">
        <v>171</v>
      </c>
      <c r="H9" s="276" t="s">
        <v>193</v>
      </c>
      <c r="I9" s="275" t="s">
        <v>194</v>
      </c>
      <c r="J9" s="275" t="s">
        <v>195</v>
      </c>
      <c r="K9" s="275" t="s">
        <v>171</v>
      </c>
      <c r="L9" s="275" t="s">
        <v>193</v>
      </c>
      <c r="M9" s="274" t="s">
        <v>194</v>
      </c>
      <c r="N9" s="275" t="s">
        <v>195</v>
      </c>
      <c r="O9" s="275" t="s">
        <v>171</v>
      </c>
      <c r="P9" s="275" t="s">
        <v>193</v>
      </c>
      <c r="Q9" s="274" t="s">
        <v>194</v>
      </c>
      <c r="R9" s="275" t="s">
        <v>195</v>
      </c>
      <c r="S9" s="275" t="s">
        <v>171</v>
      </c>
      <c r="T9" s="275" t="s">
        <v>193</v>
      </c>
      <c r="U9" s="293" t="s">
        <v>194</v>
      </c>
      <c r="V9" s="294" t="s">
        <v>195</v>
      </c>
      <c r="W9" s="294" t="s">
        <v>171</v>
      </c>
      <c r="X9" s="292" t="s">
        <v>193</v>
      </c>
      <c r="Y9" s="294" t="s">
        <v>194</v>
      </c>
      <c r="Z9" s="295" t="s">
        <v>195</v>
      </c>
      <c r="AA9" s="294" t="s">
        <v>171</v>
      </c>
      <c r="AB9" s="294" t="s">
        <v>193</v>
      </c>
      <c r="AC9" s="293" t="s">
        <v>194</v>
      </c>
      <c r="AD9" s="295" t="s">
        <v>195</v>
      </c>
      <c r="AE9" s="291" t="s">
        <v>171</v>
      </c>
      <c r="AF9" s="291" t="s">
        <v>193</v>
      </c>
      <c r="AG9" s="296" t="s">
        <v>194</v>
      </c>
      <c r="AH9" s="290" t="s">
        <v>195</v>
      </c>
      <c r="AI9" s="291" t="s">
        <v>171</v>
      </c>
      <c r="AJ9" s="297" t="s">
        <v>193</v>
      </c>
      <c r="AK9" s="296" t="s">
        <v>194</v>
      </c>
      <c r="AL9" s="290" t="s">
        <v>195</v>
      </c>
      <c r="AM9" s="291" t="s">
        <v>171</v>
      </c>
      <c r="AN9" s="297" t="s">
        <v>193</v>
      </c>
    </row>
    <row r="10" ht="14.9" customHeight="1">
      <c r="B10" s="777" t="s">
        <v>364</v>
      </c>
      <c r="C10" s="78" t="s">
        <v>808</v>
      </c>
      <c r="D10" s="749" t="n">
        <f>'Haver Pivoted'!B12</f>
        <v>7</v>
      </c>
      <c r="E10" s="750" t="n">
        <f>'Haver Pivoted'!C12</f>
        <v>7.2</v>
      </c>
      <c r="F10" s="750" t="n">
        <f>'Haver Pivoted'!D12</f>
        <v>7.3</v>
      </c>
      <c r="G10" s="750" t="n">
        <f>'Haver Pivoted'!E12</f>
        <v>7.5</v>
      </c>
      <c r="H10" s="750" t="n">
        <f>'Haver Pivoted'!F12</f>
        <v>7.8</v>
      </c>
      <c r="I10" s="750" t="n">
        <f>'Haver Pivoted'!G12</f>
        <v>8</v>
      </c>
      <c r="J10" s="750" t="n">
        <f>'Haver Pivoted'!H12</f>
        <v>8.1</v>
      </c>
      <c r="K10" s="750" t="n">
        <f>'Haver Pivoted'!I12</f>
        <v>8.3000000000000007</v>
      </c>
      <c r="L10" s="750" t="n">
        <f>'Haver Pivoted'!J12</f>
        <v>8.5</v>
      </c>
      <c r="M10" s="750" t="n">
        <f>'Haver Pivoted'!K12</f>
        <v>8.6999999999999993</v>
      </c>
      <c r="N10" s="750" t="n">
        <f>'Haver Pivoted'!L12</f>
        <v>8.9</v>
      </c>
      <c r="O10" s="750" t="n">
        <f>'Haver Pivoted'!M12</f>
        <v>9.1999999999999993</v>
      </c>
      <c r="P10" s="750" t="n">
        <f>'Haver Pivoted'!N12</f>
        <v>9.5</v>
      </c>
      <c r="Q10" s="750" t="n">
        <f>'Haver Pivoted'!O12</f>
        <v>10</v>
      </c>
      <c r="R10" s="750" t="n">
        <f>'Haver Pivoted'!P12</f>
        <v>10.5</v>
      </c>
      <c r="S10" s="751" t="n">
        <f>'Haver Pivoted'!Q12</f>
        <v>11</v>
      </c>
      <c r="T10" s="742" t="n">
        <f>'Haver Pivoted'!R12</f>
        <v>11.7</v>
      </c>
      <c r="U10" s="776" t="n">
        <f>'Haver Pivoted'!S12</f>
        <v>12.4</v>
      </c>
      <c r="V10" s="751" t="n">
        <f>'Haver Pivoted'!T12</f>
        <v>13.1</v>
      </c>
      <c r="W10" s="751" t="n">
        <f>'Haver Pivoted'!U12</f>
        <v>13.8</v>
      </c>
      <c r="X10" s="751" t="n">
        <f>'Haver Pivoted'!V12</f>
        <v>14.5</v>
      </c>
      <c r="Y10" s="751" t="n">
        <f>'Haver Pivoted'!W12</f>
        <v>15.2</v>
      </c>
      <c r="Z10" s="751" t="n">
        <f>'Haver Pivoted'!X12</f>
        <v>16</v>
      </c>
      <c r="AA10" s="751" t="n">
        <f>'Haver Pivoted'!Y12</f>
        <v>16.8</v>
      </c>
      <c r="AB10" s="751" t="n">
        <f>'Haver Pivoted'!Z12</f>
        <v>17.600000000000001</v>
      </c>
      <c r="AC10" s="751" t="n">
        <f>'Haver Pivoted'!AA12</f>
        <v>18.399999999999999</v>
      </c>
      <c r="AD10" s="751" t="n">
        <f>'Haver Pivoted'!AB12</f>
        <v>19.2</v>
      </c>
      <c r="AE10" s="761" t="n">
        <f t="shared" ref="AE10" si="0">AD10*(1+AE13)+AE12</f>
        <v>19.444513501822815</v>
      </c>
      <c r="AF10" s="761" t="n">
        <f>AE10*(1+AF13)+AF12</f>
        <v>19.73550058158127</v>
      </c>
      <c r="AG10" s="761" t="n">
        <f>AF10*(1+AG13)+AG12</f>
        <v>20.030842282018636</v>
      </c>
      <c r="AH10" s="761" t="n">
        <f t="shared" ref="AH10:AI10" si="1">AG10*(1+AH13)+AH12</f>
        <v>20.330603770018858</v>
      </c>
      <c r="AI10" s="761" t="n">
        <f t="shared" si="1"/>
        <v>20.634851187688085</v>
      </c>
      <c r="AJ10" s="761" t="n">
        <f>AI10*(1+AJ13)+AJ12</f>
        <v>20.946315392672279</v>
      </c>
      <c r="AK10" s="761" t="n">
        <f>AJ10*(1+AK13)+AK12</f>
        <v>21.262480864949563</v>
      </c>
      <c r="AL10" s="761" t="n">
        <f t="shared" ref="AL10:AN10" si="2">AK10*(1+AL13)+AL12</f>
        <v>21.583418565849705</v>
      </c>
      <c r="AM10" s="761" t="n">
        <f t="shared" si="2"/>
        <v>21.909200527798841</v>
      </c>
      <c r="AN10" s="761" t="n">
        <f t="shared" si="2"/>
        <v>21.909200527798841</v>
      </c>
    </row>
    <row r="11" ht="28.5" customHeight="1">
      <c r="B11" s="797" t="s">
        <v>810</v>
      </c>
      <c r="C11" s="789" t="s">
        <v>430</v>
      </c>
      <c r="D11" s="798"/>
      <c r="E11" s="786"/>
      <c r="F11" s="786"/>
      <c r="G11" s="786"/>
      <c r="H11" s="786"/>
      <c r="I11" s="786"/>
      <c r="J11" s="787" t="n">
        <f>'Haver Pivoted'!H46</f>
        <v>0</v>
      </c>
      <c r="K11" s="787" t="n">
        <f>'Haver Pivoted'!I46</f>
        <v>0</v>
      </c>
      <c r="L11" s="787" t="n">
        <f>'Haver Pivoted'!J46</f>
        <v>0</v>
      </c>
      <c r="M11" s="787" t="n">
        <f>'Haver Pivoted'!K46</f>
        <v>0</v>
      </c>
      <c r="N11" s="787" t="n">
        <f>'Haver Pivoted'!L46</f>
        <v>0</v>
      </c>
      <c r="O11" s="787" t="n">
        <f>'Haver Pivoted'!M46</f>
        <v>0</v>
      </c>
      <c r="P11" s="787" t="n">
        <f>'Haver Pivoted'!N46</f>
        <v>0</v>
      </c>
      <c r="Q11" s="787" t="n">
        <f>'Haver Pivoted'!O46</f>
        <v>0</v>
      </c>
      <c r="R11" s="787" t="n">
        <f>'Haver Pivoted'!P46</f>
        <v>0</v>
      </c>
      <c r="S11" s="707" t="n">
        <f>'Haver Pivoted'!Q46</f>
        <v>0</v>
      </c>
      <c r="T11" s="707" t="n">
        <f>'Haver Pivoted'!R46</f>
        <v>0</v>
      </c>
      <c r="U11" s="707" t="n">
        <f>'Haver Pivoted'!S46</f>
        <v>0</v>
      </c>
      <c r="V11" s="707" t="n">
        <f>'Haver Pivoted'!T46</f>
        <v>0</v>
      </c>
      <c r="W11" s="707" t="n">
        <f>'Haver Pivoted'!U46</f>
        <v>0</v>
      </c>
      <c r="X11" s="707" t="n">
        <f>'Haver Pivoted'!V46</f>
        <v>0</v>
      </c>
      <c r="Y11" s="707" t="n">
        <f>'Haver Pivoted'!W46</f>
        <v>0</v>
      </c>
      <c r="Z11" s="707" t="n">
        <f>'Haver Pivoted'!X46</f>
        <v>0</v>
      </c>
      <c r="AA11" s="707" t="n">
        <f>'Haver Pivoted'!Y46</f>
        <v>0</v>
      </c>
      <c r="AB11" s="707" t="n">
        <f>'Haver Pivoted'!Z46</f>
        <v>0</v>
      </c>
      <c r="AC11" s="707" t="n">
        <f>'Haver Pivoted'!AA46</f>
        <v>0</v>
      </c>
      <c r="AD11" s="707" t="n">
        <f>'Haver Pivoted'!AB46</f>
        <v>0</v>
      </c>
      <c r="AE11" s="779"/>
      <c r="AF11" s="779"/>
      <c r="AG11" s="779"/>
      <c r="AH11" s="779"/>
      <c r="AI11" s="779"/>
      <c r="AJ11" s="779"/>
      <c r="AK11" s="779"/>
      <c r="AL11" s="779"/>
      <c r="AM11" s="779"/>
      <c r="AN11" s="779"/>
    </row>
    <row r="12">
      <c r="B12" s="797" t="s">
        <v>1736</v>
      </c>
      <c r="C12" s="789"/>
      <c r="D12" s="798"/>
      <c r="E12" s="786"/>
      <c r="F12" s="786"/>
      <c r="G12" s="786"/>
      <c r="H12" s="786"/>
      <c r="I12" s="786"/>
      <c r="J12" s="787"/>
      <c r="K12" s="787"/>
      <c r="L12" s="787"/>
      <c r="M12" s="787"/>
      <c r="N12" s="787"/>
      <c r="O12" s="787"/>
      <c r="P12" s="787"/>
      <c r="Q12" s="787"/>
      <c r="R12" s="787"/>
      <c r="S12" s="707"/>
      <c r="T12" s="707"/>
      <c r="U12" s="707"/>
      <c r="V12" s="707"/>
      <c r="W12" s="549" t="n">
        <v>-7</v>
      </c>
      <c r="X12" s="779"/>
      <c r="Y12" s="779" t="n">
        <v>-13.3</v>
      </c>
      <c r="Z12" s="779" t="n">
        <v>-8</v>
      </c>
      <c r="AA12" s="779" t="n">
        <v>-2</v>
      </c>
      <c r="AB12" s="779" t="n">
        <v>12</v>
      </c>
      <c r="AC12" s="779" t="n">
        <f>16</f>
        <v>16</v>
      </c>
      <c r="AD12" s="779" t="n">
        <v>15</v>
      </c>
      <c r="AE12" s="779"/>
      <c r="AF12" s="779"/>
      <c r="AG12" s="779"/>
      <c r="AH12" s="779"/>
      <c r="AI12" s="779"/>
      <c r="AJ12" s="779"/>
      <c r="AK12" s="779"/>
      <c r="AL12" s="779"/>
      <c r="AM12" s="779"/>
      <c r="AN12" s="779"/>
    </row>
    <row r="13">
      <c r="B13" s="792" t="s">
        <v>365</v>
      </c>
      <c r="C13" s="791"/>
      <c r="D13" s="765"/>
      <c r="E13" s="739"/>
      <c r="F13" s="739"/>
      <c r="G13" s="739"/>
      <c r="H13" s="739"/>
      <c r="I13" s="739"/>
      <c r="J13" s="752"/>
      <c r="K13" s="752"/>
      <c r="L13" s="752"/>
      <c r="M13" s="752"/>
      <c r="N13" s="752" t="n">
        <f>(1 + $E$26)^0.25-1</f>
        <v>0</v>
      </c>
      <c r="O13" s="752" t="n">
        <f>(1 + $E$26)^0.25-1</f>
        <v>0</v>
      </c>
      <c r="P13" s="752" t="n">
        <f>(1 + $F$26)^0.25-1</f>
        <v>3.0584654007782985E-2</v>
      </c>
      <c r="Q13" s="752" t="n">
        <f>(1 +$F$26)^0.25-1</f>
        <v>3.0584654007782985E-2</v>
      </c>
      <c r="R13" s="752" t="n">
        <f>(1 +$F$26)^0.25-1</f>
        <v>3.0584654007782985E-2</v>
      </c>
      <c r="S13" s="788" t="n">
        <f>(1 +$F$26)^0.25-1</f>
        <v>3.0584654007782985E-2</v>
      </c>
      <c r="T13" s="788" t="n">
        <f>(1 +$G$26)^0.25-1</f>
        <v>1.0343738735768992E-2</v>
      </c>
      <c r="U13" s="788" t="n">
        <f>(1 +$G$26)^0.25-1</f>
        <v>1.0343738735768992E-2</v>
      </c>
      <c r="V13" s="788" t="n">
        <f>(1 +$G$26)^0.25-1</f>
        <v>1.0343738735768992E-2</v>
      </c>
      <c r="W13" s="752" t="n">
        <f>(1 +$G$26)^0.25-1</f>
        <v>1.0343738735768992E-2</v>
      </c>
      <c r="X13" s="780" t="n">
        <f>(1 +$H$26)^0.25-1</f>
        <v>2.4149796973031323E-2</v>
      </c>
      <c r="Y13" s="768" t="n">
        <f t="shared" ref="Y13:AA13" si="3">(1 +$H$26)^0.25-1</f>
        <v>2.4149796973031323E-2</v>
      </c>
      <c r="Z13" s="768" t="n">
        <f t="shared" si="3"/>
        <v>2.4149796973031323E-2</v>
      </c>
      <c r="AA13" s="768" t="n">
        <f t="shared" si="3"/>
        <v>2.4149796973031323E-2</v>
      </c>
      <c r="AB13" s="780" t="n">
        <f>(1 +$I$26)^0.25-1</f>
        <v>1.2735078219938245E-2</v>
      </c>
      <c r="AC13" s="768" t="n">
        <f>(1 +$I$26)^0.25-1</f>
        <v>1.2735078219938245E-2</v>
      </c>
      <c r="AD13" s="768" t="n">
        <f t="shared" ref="AD13:AE13" si="4">(1 +$I$26)^0.25-1</f>
        <v>1.2735078219938245E-2</v>
      </c>
      <c r="AE13" s="768" t="n">
        <f t="shared" si="4"/>
        <v>1.2735078219938245E-2</v>
      </c>
      <c r="AF13" s="780" t="n">
        <f>(1 +$J$26)^0.25-1</f>
        <v>1.4964996667629515E-2</v>
      </c>
      <c r="AG13" s="768" t="n">
        <f>(1 +$J$26)^0.25-1</f>
        <v>1.4964996667629515E-2</v>
      </c>
      <c r="AH13" s="768" t="n">
        <f>(1 +$J$26)^0.25-1</f>
        <v>1.4964996667629515E-2</v>
      </c>
      <c r="AI13" s="768" t="n">
        <f>(1 +$J$26)^0.25-1</f>
        <v>1.4964996667629515E-2</v>
      </c>
      <c r="AJ13" s="780" t="n">
        <f>(1 +$K$26)^0.25-1</f>
        <v>1.5094085348676067E-2</v>
      </c>
      <c r="AK13" s="768" t="n">
        <f>(1 +$K$26)^0.25-1</f>
        <v>1.5094085348676067E-2</v>
      </c>
      <c r="AL13" s="768" t="n">
        <f t="shared" ref="AL13:AM13" si="5">(1 +$K$26)^0.25-1</f>
        <v>1.5094085348676067E-2</v>
      </c>
      <c r="AM13" s="768" t="n">
        <f t="shared" si="5"/>
        <v>1.5094085348676067E-2</v>
      </c>
      <c r="AN13" s="780" t="n">
        <f>(1 +$L$26)^0.25-1</f>
        <v>0</v>
      </c>
    </row>
    <row r="14" ht="15.75" customHeight="1">
      <c r="B14" s="790"/>
      <c r="C14" s="778"/>
      <c r="D14" s="657"/>
      <c r="E14" s="657"/>
      <c r="F14" s="657"/>
      <c r="G14" s="657"/>
      <c r="H14" s="657"/>
      <c r="I14" s="657"/>
      <c r="J14" s="741"/>
      <c r="K14" s="741"/>
      <c r="L14" s="741"/>
      <c r="M14" s="741"/>
    </row>
    <row r="15" ht="15.75" customHeight="1">
      <c r="B15" s="790"/>
      <c r="C15" s="778"/>
      <c r="D15" s="657"/>
    </row>
    <row r="16" ht="15.75" customHeight="1">
      <c r="B16" s="790"/>
      <c r="C16" s="778"/>
      <c r="D16" s="657"/>
      <c r="E16" s="657"/>
      <c r="F16" s="657"/>
      <c r="G16" s="657"/>
      <c r="H16" s="657"/>
      <c r="I16" s="657"/>
      <c r="J16" s="741"/>
      <c r="K16" s="741"/>
      <c r="L16" s="741"/>
    </row>
    <row r="17">
      <c r="B17" s="790"/>
      <c r="C17" s="778"/>
      <c r="D17" s="657"/>
      <c r="E17" s="657"/>
      <c r="F17" s="657"/>
      <c r="G17" s="657"/>
      <c r="H17" s="657"/>
      <c r="I17" s="657"/>
      <c r="J17" s="741"/>
      <c r="K17" s="741"/>
      <c r="L17" s="741"/>
    </row>
    <row r="18">
      <c r="B18" s="790"/>
      <c r="C18" s="778"/>
      <c r="D18" s="657"/>
      <c r="E18" s="657"/>
      <c r="F18" s="657"/>
      <c r="G18" s="657"/>
      <c r="H18" s="657"/>
      <c r="I18" s="657"/>
      <c r="J18" s="741"/>
      <c r="K18" s="741"/>
      <c r="L18" s="741"/>
      <c r="N18" s="683"/>
      <c r="R18" s="683"/>
      <c r="V18" s="683"/>
      <c r="Z18" s="683"/>
    </row>
    <row r="19" ht="14.9" customHeight="1">
      <c r="B19" s="680" t="s">
        <v>263</v>
      </c>
    </row>
    <row r="20">
      <c r="B20" s="795" t="s">
        <v>342</v>
      </c>
      <c r="C20" s="795" t="n">
        <v>2019</v>
      </c>
      <c r="D20" s="796" t="n">
        <v>2020</v>
      </c>
      <c r="E20" s="771" t="n">
        <v>2021</v>
      </c>
      <c r="F20" s="771" t="n">
        <v>2022</v>
      </c>
      <c r="G20" s="771" t="n">
        <v>2023</v>
      </c>
      <c r="H20" s="771" t="n">
        <v>2024</v>
      </c>
      <c r="I20" s="771" t="n">
        <v>2025</v>
      </c>
      <c r="J20" s="771" t="n">
        <v>2026</v>
      </c>
      <c r="K20" s="772" t="n">
        <v>2027</v>
      </c>
    </row>
    <row r="21" ht="21" customHeight="1">
      <c r="B21" s="782" t="s">
        <v>1865</v>
      </c>
      <c r="C21" s="774"/>
      <c r="D21" s="774"/>
      <c r="E21" s="393" t="n">
        <v>867.67600000000004</v>
      </c>
      <c r="F21" s="393" t="n">
        <v>974.649</v>
      </c>
      <c r="G21" s="393" t="n">
        <v>1008.504</v>
      </c>
      <c r="H21" s="393" t="n">
        <v>1088.9089999999999</v>
      </c>
      <c r="I21" s="393" t="n">
        <v>1145.4469999999999</v>
      </c>
      <c r="J21" s="393" t="n">
        <v>1215.568</v>
      </c>
      <c r="K21" s="801" t="n">
        <v>1290.6379999999999</v>
      </c>
      <c r="L21" s="781" t="n">
        <v>1371.894</v>
      </c>
      <c r="M21" s="781" t="n">
        <v>1460.277</v>
      </c>
      <c r="N21" s="781" t="n">
        <v>1554.6379999999999</v>
      </c>
      <c r="O21" s="781" t="n">
        <v>1658.7670000000001</v>
      </c>
      <c r="P21" s="549" t="n">
        <v>1770.1189999999999</v>
      </c>
      <c r="Q21" s="549" t="n">
        <v>1904.5160000000001</v>
      </c>
      <c r="R21" s="549" t="n">
        <v>2036.5410000000002</v>
      </c>
      <c r="S21" s="549" t="n">
        <v>2166.35</v>
      </c>
      <c r="T21" s="549"/>
      <c r="U21" s="549"/>
      <c r="V21" s="549"/>
      <c r="W21" s="549"/>
      <c r="X21" s="549"/>
      <c r="Y21" s="549"/>
      <c r="Z21" s="549"/>
      <c r="AA21" s="549"/>
      <c r="AB21" s="549"/>
      <c r="AC21" s="549"/>
    </row>
    <row r="22" ht="21" customHeight="1">
      <c r="B22" s="783"/>
      <c r="C22" s="800"/>
      <c r="D22" s="800"/>
      <c r="E22" s="393" t="n">
        <f>AVERAGE(L10:O10)</f>
        <v>8.8249999999999993</v>
      </c>
      <c r="F22" s="393" t="n">
        <f>AVERAGE(P10:S10)</f>
        <v>10.25</v>
      </c>
      <c r="G22" s="393" t="n">
        <f>AVERAGE(T10:W10)</f>
        <v>12.75</v>
      </c>
      <c r="H22" s="393" t="n">
        <f>AVERAGE(X10:AA10)</f>
        <v>15.625</v>
      </c>
      <c r="I22" s="393" t="n">
        <f>AVERAGE(AB10:AE10)</f>
        <v>18.661128375455704</v>
      </c>
      <c r="J22" s="657" t="n">
        <f>AVERAGE(AF10:AI10)</f>
        <v>20.18294945532671</v>
      </c>
      <c r="K22" s="478" t="n">
        <f>AVERAGE(AJ10:AM10)</f>
        <v>21.425353837817596</v>
      </c>
      <c r="L22" s="781"/>
      <c r="M22" s="781"/>
      <c r="N22" s="781"/>
      <c r="O22" s="781"/>
      <c r="P22" s="549"/>
      <c r="Q22" s="549"/>
      <c r="R22" s="549"/>
      <c r="S22" s="549"/>
      <c r="T22" s="549"/>
      <c r="U22" s="549"/>
      <c r="V22" s="549"/>
      <c r="W22" s="549"/>
      <c r="X22" s="549"/>
      <c r="Y22" s="549"/>
      <c r="Z22" s="549"/>
      <c r="AA22" s="549"/>
      <c r="AB22" s="549"/>
      <c r="AC22" s="549"/>
    </row>
    <row r="23" ht="21" customHeight="1">
      <c r="B23" s="799" t="s">
        <v>366</v>
      </c>
      <c r="C23" s="286"/>
      <c r="D23" s="286" t="n">
        <v>47</v>
      </c>
      <c r="E23" s="286" t="n">
        <v>48</v>
      </c>
      <c r="F23" s="286" t="n">
        <v>-50</v>
      </c>
      <c r="G23" s="286" t="n">
        <v>-45</v>
      </c>
      <c r="H23" s="286"/>
      <c r="I23" s="286"/>
      <c r="J23" s="286" t="n">
        <f>SUM(D23:G23)</f>
        <v>0</v>
      </c>
      <c r="K23" s="735" t="n">
        <v>0</v>
      </c>
      <c r="M23" s="781"/>
      <c r="N23" s="781"/>
      <c r="O23" s="781"/>
      <c r="P23" s="549"/>
      <c r="Q23" s="549"/>
      <c r="R23" s="549"/>
      <c r="S23" s="549"/>
      <c r="T23" s="549"/>
      <c r="U23" s="549"/>
      <c r="V23" s="549"/>
      <c r="W23" s="549"/>
      <c r="X23" s="549"/>
      <c r="Y23" s="549"/>
      <c r="Z23" s="549"/>
      <c r="AA23" s="549"/>
      <c r="AB23" s="549"/>
      <c r="AC23" s="549"/>
    </row>
    <row r="24">
      <c r="B24" s="799" t="s">
        <v>1278</v>
      </c>
      <c r="C24" s="800"/>
      <c r="D24" s="800"/>
      <c r="E24" s="800" t="n">
        <f>E21-E23</f>
        <v>819.67600000000004</v>
      </c>
      <c r="F24" s="800" t="n">
        <f>F21+F23</f>
        <v>924.649</v>
      </c>
      <c r="G24" s="800" t="n">
        <f>G21+G23</f>
        <v>963.50400000000002</v>
      </c>
      <c r="H24" s="800" t="n">
        <f>H21+H23</f>
        <v>1088.9089999999999</v>
      </c>
      <c r="I24" s="800" t="n">
        <f>I21+I23</f>
        <v>1145.4469999999999</v>
      </c>
      <c r="J24" s="800" t="n">
        <f t="shared" ref="J24:K24" si="6">J21+J23</f>
        <v>1215.568</v>
      </c>
      <c r="K24" s="775" t="n">
        <f t="shared" si="6"/>
        <v>1290.6379999999999</v>
      </c>
      <c r="N24" s="794"/>
      <c r="O24" s="778"/>
      <c r="P24" s="549"/>
      <c r="Q24" s="549"/>
      <c r="R24" s="549"/>
      <c r="S24" s="549"/>
      <c r="T24" s="549"/>
      <c r="U24" s="549"/>
      <c r="V24" s="549"/>
      <c r="W24" s="549"/>
      <c r="X24" s="549"/>
      <c r="Y24" s="549"/>
      <c r="Z24" s="549"/>
      <c r="AA24" s="549"/>
      <c r="AB24" s="549"/>
      <c r="AC24" s="549"/>
    </row>
    <row r="25">
      <c r="B25" s="799" t="s">
        <v>368</v>
      </c>
      <c r="C25" s="657" t="n">
        <f>AVERAGE(D10:G10)</f>
        <v>7.25</v>
      </c>
      <c r="D25" s="657" t="n">
        <f>AVERAGE(H10:K10)</f>
        <v>8.0500000000000007</v>
      </c>
      <c r="E25" s="800" t="n">
        <f>AVERAGE(L10:O10)</f>
        <v>8.8249999999999993</v>
      </c>
      <c r="F25" s="286"/>
      <c r="G25" s="286"/>
      <c r="H25" s="286"/>
      <c r="I25" s="286"/>
      <c r="J25" s="286"/>
      <c r="K25" s="735"/>
      <c r="L25" s="289" t="s">
        <v>367</v>
      </c>
      <c r="P25" s="549"/>
      <c r="Q25" s="549"/>
      <c r="R25" s="549"/>
      <c r="S25" s="549"/>
      <c r="T25" s="549"/>
      <c r="U25" s="549"/>
      <c r="V25" s="549"/>
      <c r="W25" s="549"/>
      <c r="X25" s="549"/>
      <c r="Y25" s="549"/>
      <c r="Z25" s="549"/>
      <c r="AA25" s="549"/>
      <c r="AB25" s="549"/>
      <c r="AC25" s="549"/>
    </row>
    <row r="26">
      <c r="B26" s="784" t="s">
        <v>821</v>
      </c>
      <c r="C26" s="286"/>
      <c r="D26" s="286"/>
      <c r="E26" s="286"/>
      <c r="F26" s="286" t="n">
        <f>F24/E24-1</f>
        <v>0.12806645552632978</v>
      </c>
      <c r="G26" s="286" t="n">
        <f>G24/F24-1+G27</f>
        <v>4.2021350804467339E-2</v>
      </c>
      <c r="H26" s="286" t="n">
        <f>H24/G24-1+H27-0.03</f>
        <v>0.10015514206479662</v>
      </c>
      <c r="I26" s="286" t="n">
        <f>I24/H24-1</f>
        <v>5.1921694099323235E-2</v>
      </c>
      <c r="J26" s="286" t="n">
        <f>J24/I24-1</f>
        <v>6.1217149287570827E-2</v>
      </c>
      <c r="K26" s="735" t="n">
        <f>K24/J24-1</f>
        <v>6.1757137404077733E-2</v>
      </c>
      <c r="P26" s="289"/>
      <c r="Q26" s="289"/>
      <c r="R26" s="289"/>
      <c r="S26" s="289"/>
      <c r="T26" s="289"/>
      <c r="U26" s="289"/>
      <c r="V26" s="289"/>
      <c r="W26" s="289"/>
      <c r="X26" s="289"/>
      <c r="Y26" s="289"/>
      <c r="Z26" s="289"/>
      <c r="AA26" s="289"/>
      <c r="AB26" s="289"/>
      <c r="AC26" s="289"/>
    </row>
    <row r="27">
      <c r="B27" s="785" t="s">
        <v>795</v>
      </c>
      <c r="C27" s="734"/>
      <c r="D27" s="734"/>
      <c r="E27" s="734"/>
      <c r="F27" s="734"/>
      <c r="G27" s="734" t="n">
        <v>0</v>
      </c>
      <c r="H27" s="734"/>
      <c r="I27" s="734"/>
      <c r="J27" s="734"/>
      <c r="K27" s="746"/>
      <c r="P27" s="289"/>
      <c r="Q27" s="289"/>
      <c r="R27" s="289"/>
      <c r="S27" s="289"/>
      <c r="T27" s="289"/>
      <c r="U27" s="289"/>
      <c r="V27" s="289"/>
      <c r="W27" s="289"/>
      <c r="X27" s="289"/>
      <c r="Y27" s="289"/>
      <c r="Z27" s="289"/>
      <c r="AA27" s="289"/>
      <c r="AB27" s="289"/>
      <c r="AC27" s="289"/>
    </row>
    <row r="28">
      <c r="C28" s="793"/>
      <c r="D28" s="793"/>
      <c r="E28" s="793"/>
      <c r="F28" s="793"/>
      <c r="G28" s="793"/>
      <c r="H28" s="793"/>
      <c r="I28" s="793"/>
      <c r="J28" s="793"/>
      <c r="P28" s="289"/>
      <c r="Q28" s="289"/>
      <c r="R28" s="289"/>
      <c r="S28" s="289"/>
      <c r="T28" s="289"/>
      <c r="U28" s="289"/>
      <c r="V28" s="289"/>
      <c r="W28" s="289"/>
      <c r="X28" s="289"/>
      <c r="Y28" s="289"/>
      <c r="Z28" s="289"/>
      <c r="AA28" s="289"/>
      <c r="AB28" s="289"/>
      <c r="AC28" s="289"/>
    </row>
    <row r="29">
      <c r="P29" s="289"/>
      <c r="Q29" s="289"/>
      <c r="R29" s="289"/>
      <c r="S29" s="289"/>
      <c r="T29" s="289"/>
      <c r="U29" s="289"/>
      <c r="V29" s="289"/>
      <c r="W29" s="289"/>
      <c r="X29" s="289"/>
      <c r="Y29" s="289"/>
      <c r="Z29" s="289"/>
      <c r="AA29" s="289"/>
      <c r="AB29" s="289"/>
      <c r="AC29" s="289"/>
    </row>
    <row r="30">
      <c r="S30" s="289"/>
      <c r="T30" s="289"/>
      <c r="U30" s="289"/>
      <c r="V30" s="289"/>
      <c r="W30" s="289"/>
      <c r="X30" s="289"/>
      <c r="Y30" s="289"/>
      <c r="Z30" s="289"/>
      <c r="AA30" s="289"/>
      <c r="AB30" s="289"/>
      <c r="AC30" s="289"/>
      <c r="AD30" s="289"/>
      <c r="AE30" s="289"/>
      <c r="AF30" s="289"/>
    </row>
    <row r="31">
      <c r="P31" s="289"/>
      <c r="Q31" s="289"/>
      <c r="R31" s="289"/>
      <c r="S31" s="289"/>
      <c r="T31" s="289"/>
      <c r="U31" s="289"/>
      <c r="V31" s="289"/>
      <c r="W31" s="289"/>
      <c r="X31" s="289"/>
      <c r="Y31" s="289"/>
      <c r="Z31" s="289"/>
      <c r="AA31" s="289"/>
      <c r="AB31" s="289"/>
      <c r="AC31" s="289"/>
    </row>
    <row r="32">
      <c r="F32" s="78"/>
      <c r="G32" s="78"/>
      <c r="P32" s="289"/>
      <c r="Q32" s="289"/>
      <c r="R32" s="289"/>
      <c r="S32" s="289"/>
      <c r="T32" s="289"/>
      <c r="U32" s="289"/>
      <c r="V32" s="289"/>
      <c r="W32" s="289"/>
      <c r="X32" s="289"/>
      <c r="Y32" s="289"/>
      <c r="Z32" s="289"/>
      <c r="AA32" s="289"/>
      <c r="AB32" s="289"/>
      <c r="AC32" s="289"/>
    </row>
    <row r="33">
      <c r="P33" s="289"/>
      <c r="Q33" s="289"/>
      <c r="R33" s="289"/>
      <c r="S33" s="289"/>
      <c r="T33" s="289"/>
      <c r="U33" s="289"/>
      <c r="V33" s="289"/>
      <c r="W33" s="289"/>
      <c r="X33" s="289"/>
      <c r="Y33" s="289"/>
      <c r="Z33" s="289"/>
      <c r="AA33" s="289"/>
      <c r="AB33" s="289"/>
      <c r="AC33" s="289"/>
    </row>
    <row r="34">
      <c r="P34" s="289"/>
      <c r="Q34" s="289"/>
      <c r="R34" s="289"/>
      <c r="S34" s="289"/>
      <c r="T34" s="289"/>
      <c r="U34" s="289"/>
      <c r="V34" s="289"/>
      <c r="W34" s="289"/>
      <c r="X34" s="289"/>
      <c r="Y34" s="289"/>
      <c r="Z34" s="289"/>
      <c r="AA34" s="289"/>
      <c r="AB34" s="289"/>
      <c r="AC34" s="28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vml"/>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3" ySplit="8" topLeftCell="V9" activePane="bottomRight" state="frozen"/>
      <selection pane="topRight" activeCell="D1" sqref="D1"/>
      <selection pane="bottomLeft" activeCell="A9" sqref="A9"/>
      <selection pane="bottomRight" activeCell="AD12" sqref="AD12"/>
    </sheetView>
  </sheetViews>
  <sheetFormatPr defaultRowHeight="15.0" baseColWidth="10"/>
  <cols>
    <col min="1" max="1" width="16.81640625" hidden="0" customWidth="1"/>
    <col min="3" max="3" width="24.6328125" hidden="0" customWidth="1"/>
  </cols>
  <sheetData>
    <row r="1">
      <c r="B1" s="266" t="s">
        <v>1280</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c r="B2" s="377" t="s">
        <v>1283</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row>
    <row r="3">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row>
    <row r="4">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row>
    <row r="5">
      <c r="B5" s="547"/>
      <c r="C5" s="289"/>
      <c r="D5" s="289"/>
      <c r="E5" s="289"/>
      <c r="F5" s="289"/>
      <c r="G5" s="289"/>
      <c r="H5" s="289"/>
      <c r="I5" s="289"/>
      <c r="J5" s="289"/>
      <c r="K5" s="289"/>
      <c r="L5" s="289"/>
      <c r="M5" s="289"/>
      <c r="N5" s="289"/>
      <c r="O5" s="289"/>
      <c r="P5" s="289"/>
      <c r="Q5" s="289"/>
      <c r="R5" s="289"/>
      <c r="S5" s="289"/>
      <c r="T5" s="289"/>
      <c r="U5" s="289"/>
      <c r="V5" s="289"/>
      <c r="W5" s="289"/>
      <c r="X5" s="289"/>
      <c r="Y5" s="289"/>
    </row>
    <row r="6">
      <c r="B6" s="268" t="s">
        <v>1595</v>
      </c>
      <c r="C6" s="592"/>
      <c r="D6" s="272" t="s">
        <v>191</v>
      </c>
      <c r="E6" s="594"/>
      <c r="F6" s="594"/>
      <c r="G6" s="594"/>
      <c r="H6" s="594"/>
      <c r="I6" s="594"/>
      <c r="J6" s="594"/>
      <c r="K6" s="594"/>
      <c r="L6" s="594"/>
      <c r="M6" s="594"/>
      <c r="N6" s="594"/>
      <c r="O6" s="594"/>
      <c r="P6" s="594"/>
      <c r="Q6" s="593"/>
      <c r="R6" s="593"/>
      <c r="S6" s="593"/>
      <c r="T6" s="593"/>
      <c r="U6" s="593"/>
      <c r="V6" s="271"/>
      <c r="W6" s="802" t="s">
        <v>192</v>
      </c>
      <c r="X6" s="803"/>
      <c r="Y6" s="803"/>
      <c r="Z6" s="803"/>
      <c r="AA6" s="803"/>
      <c r="AB6" s="803"/>
      <c r="AC6" s="803"/>
      <c r="AD6" s="803"/>
      <c r="AE6" s="803"/>
      <c r="AF6" s="803"/>
      <c r="AG6" s="804"/>
      <c r="AH6" s="804"/>
      <c r="AI6" s="804"/>
      <c r="AJ6" s="804"/>
      <c r="AK6" s="804"/>
      <c r="AL6" s="804"/>
      <c r="AM6" s="804"/>
      <c r="AN6" s="804"/>
    </row>
    <row r="7">
      <c r="B7" s="270"/>
      <c r="C7" s="271"/>
      <c r="D7" s="274" t="n">
        <v>2018</v>
      </c>
      <c r="E7" s="274" t="n">
        <v>2019</v>
      </c>
      <c r="F7" s="275"/>
      <c r="G7" s="275"/>
      <c r="H7" s="276"/>
      <c r="I7" s="274" t="n">
        <v>2020</v>
      </c>
      <c r="J7" s="275"/>
      <c r="K7" s="275"/>
      <c r="L7" s="275"/>
      <c r="M7" s="274" t="n">
        <v>2021</v>
      </c>
      <c r="N7" s="275"/>
      <c r="O7" s="275"/>
      <c r="P7" s="275"/>
      <c r="Q7" s="259" t="n">
        <v>2022</v>
      </c>
      <c r="R7" s="260"/>
      <c r="S7" s="298"/>
      <c r="T7" s="298"/>
      <c r="U7" s="305"/>
      <c r="V7" s="298" t="n">
        <v>2023</v>
      </c>
      <c r="W7" s="475"/>
      <c r="X7" s="301"/>
      <c r="Y7" s="264" t="n">
        <v>2024</v>
      </c>
      <c r="Z7" s="262"/>
      <c r="AA7" s="262"/>
      <c r="AB7" s="263"/>
      <c r="AC7" s="261" t="n">
        <v>2025</v>
      </c>
      <c r="AD7" s="262"/>
      <c r="AE7" s="262"/>
      <c r="AF7" s="263"/>
      <c r="AG7" s="261" t="n">
        <v>2026</v>
      </c>
      <c r="AH7" s="262"/>
      <c r="AI7" s="262"/>
      <c r="AJ7" s="263"/>
      <c r="AK7" s="261" t="n">
        <v>2027</v>
      </c>
      <c r="AL7" s="262"/>
      <c r="AM7" s="262"/>
      <c r="AN7" s="263"/>
    </row>
    <row r="8">
      <c r="B8" s="272"/>
      <c r="C8" s="273"/>
      <c r="D8" s="274" t="s">
        <v>193</v>
      </c>
      <c r="E8" s="274" t="s">
        <v>194</v>
      </c>
      <c r="F8" s="275" t="s">
        <v>195</v>
      </c>
      <c r="G8" s="275" t="s">
        <v>171</v>
      </c>
      <c r="H8" s="276" t="s">
        <v>193</v>
      </c>
      <c r="I8" s="275" t="s">
        <v>194</v>
      </c>
      <c r="J8" s="275" t="s">
        <v>195</v>
      </c>
      <c r="K8" s="275" t="s">
        <v>171</v>
      </c>
      <c r="L8" s="275" t="s">
        <v>193</v>
      </c>
      <c r="M8" s="274" t="s">
        <v>194</v>
      </c>
      <c r="N8" s="275" t="s">
        <v>195</v>
      </c>
      <c r="O8" s="275" t="s">
        <v>171</v>
      </c>
      <c r="P8" s="275" t="s">
        <v>193</v>
      </c>
      <c r="Q8" s="293" t="s">
        <v>194</v>
      </c>
      <c r="R8" s="294" t="s">
        <v>195</v>
      </c>
      <c r="S8" s="294" t="s">
        <v>171</v>
      </c>
      <c r="T8" s="294" t="s">
        <v>193</v>
      </c>
      <c r="U8" s="293" t="s">
        <v>194</v>
      </c>
      <c r="V8" s="294" t="s">
        <v>195</v>
      </c>
      <c r="W8" s="291" t="s">
        <v>171</v>
      </c>
      <c r="X8" s="297" t="s">
        <v>193</v>
      </c>
      <c r="Y8" s="291" t="s">
        <v>194</v>
      </c>
      <c r="Z8" s="290" t="s">
        <v>195</v>
      </c>
      <c r="AA8" s="291" t="s">
        <v>171</v>
      </c>
      <c r="AB8" s="291" t="s">
        <v>193</v>
      </c>
      <c r="AC8" s="296" t="s">
        <v>194</v>
      </c>
      <c r="AD8" s="290" t="s">
        <v>195</v>
      </c>
      <c r="AE8" s="291" t="s">
        <v>171</v>
      </c>
      <c r="AF8" s="291" t="s">
        <v>193</v>
      </c>
      <c r="AG8" s="296" t="s">
        <v>194</v>
      </c>
      <c r="AH8" s="290" t="s">
        <v>195</v>
      </c>
      <c r="AI8" s="291" t="s">
        <v>171</v>
      </c>
      <c r="AJ8" s="291" t="s">
        <v>193</v>
      </c>
      <c r="AK8" s="296" t="s">
        <v>194</v>
      </c>
      <c r="AL8" s="257" t="s">
        <v>195</v>
      </c>
      <c r="AM8" s="296" t="s">
        <v>171</v>
      </c>
      <c r="AN8" s="290" t="s">
        <v>193</v>
      </c>
    </row>
    <row r="9">
      <c r="B9" s="177" t="s">
        <v>1282</v>
      </c>
      <c r="C9" s="832"/>
      <c r="D9" s="833"/>
      <c r="E9" s="832"/>
      <c r="F9" s="832"/>
      <c r="G9" s="832"/>
      <c r="H9" s="832"/>
      <c r="I9" s="832"/>
      <c r="J9" s="834"/>
      <c r="K9" s="834"/>
      <c r="L9" s="834"/>
      <c r="M9" s="834"/>
      <c r="N9" s="834"/>
      <c r="O9" s="834"/>
      <c r="P9" s="834"/>
      <c r="Q9" s="812"/>
      <c r="R9" s="813" t="n">
        <v>0</v>
      </c>
      <c r="S9" s="814" t="n">
        <v>0</v>
      </c>
      <c r="T9" s="813" t="n">
        <v>0</v>
      </c>
      <c r="U9" s="813" t="n">
        <v>0</v>
      </c>
      <c r="V9" s="813" t="n">
        <v>0</v>
      </c>
      <c r="W9" s="813" t="n">
        <v>-7.7999999999999999E-4</v>
      </c>
      <c r="X9" s="813" t="n">
        <v>-7.7999999999999999E-4</v>
      </c>
      <c r="Y9" s="813" t="n">
        <v>-9.5E-4</v>
      </c>
      <c r="Z9" s="813" t="n">
        <v>-9.5E-4</v>
      </c>
      <c r="AA9" s="813" t="n">
        <v>-9.5E-4</v>
      </c>
      <c r="AB9" s="813" t="n">
        <v>-9.5E-4</v>
      </c>
      <c r="AC9" s="813" t="n">
        <v>-9.3999999999999997E-4</v>
      </c>
      <c r="AD9" s="813" t="n">
        <v>-9.3999999999999997E-4</v>
      </c>
      <c r="AE9" s="813" t="n">
        <v>-9.3999999999999997E-4</v>
      </c>
      <c r="AF9" s="813" t="n">
        <v>-9.3999999999999997E-4</v>
      </c>
      <c r="AG9" s="813" t="n">
        <v>-9.3999999999999997E-4</v>
      </c>
      <c r="AH9" s="813" t="n">
        <v>-9.3999999999999997E-4</v>
      </c>
      <c r="AI9" s="813" t="n">
        <v>0</v>
      </c>
      <c r="AJ9" s="813" t="n">
        <v>0</v>
      </c>
    </row>
    <row r="10">
      <c r="B10" s="78" t="s">
        <v>1281</v>
      </c>
      <c r="C10" s="412"/>
      <c r="D10" s="753"/>
      <c r="E10" s="412"/>
      <c r="F10" s="412"/>
      <c r="G10" s="412"/>
      <c r="H10" s="412"/>
      <c r="I10" s="412"/>
      <c r="J10" s="811"/>
      <c r="K10" s="811"/>
      <c r="L10" s="811"/>
      <c r="M10" s="811"/>
      <c r="N10" s="811"/>
      <c r="O10" s="811"/>
      <c r="P10" s="811"/>
      <c r="Q10" s="811"/>
      <c r="R10" s="809"/>
      <c r="S10" s="809"/>
      <c r="T10" s="809"/>
      <c r="U10" s="809" t="n">
        <v>26095</v>
      </c>
      <c r="V10" s="809" t="n">
        <v>26404</v>
      </c>
      <c r="W10" s="809" t="n">
        <v>26686</v>
      </c>
      <c r="X10" s="809" t="n">
        <v>26931</v>
      </c>
      <c r="Y10" s="809" t="n">
        <v>27174</v>
      </c>
      <c r="Z10" s="809" t="n">
        <v>27411</v>
      </c>
      <c r="AA10" s="809" t="n">
        <v>27647</v>
      </c>
      <c r="AB10" s="809" t="n">
        <v>27893</v>
      </c>
      <c r="AC10" s="809" t="n">
        <v>28143</v>
      </c>
      <c r="AD10" s="809" t="n">
        <v>28400</v>
      </c>
      <c r="AE10" s="809" t="n">
        <v>28649</v>
      </c>
      <c r="AF10" s="809" t="n">
        <v>28910</v>
      </c>
      <c r="AG10" s="809" t="n">
        <v>28910</v>
      </c>
      <c r="AH10" s="809" t="n">
        <v>28910</v>
      </c>
    </row>
    <row r="11">
      <c r="B11" s="806" t="s">
        <v>1970</v>
      </c>
      <c r="C11" s="807"/>
      <c r="D11" s="753"/>
      <c r="E11" s="412"/>
      <c r="F11" s="412"/>
      <c r="G11" s="412"/>
      <c r="H11" s="412"/>
      <c r="I11" s="412"/>
      <c r="J11" s="811"/>
      <c r="K11" s="811"/>
      <c r="L11" s="811"/>
      <c r="M11" s="811"/>
      <c r="N11" s="811"/>
      <c r="O11" s="811"/>
      <c r="P11" s="811"/>
      <c r="Q11" s="811"/>
      <c r="R11" s="809"/>
      <c r="S11" s="809"/>
      <c r="T11" s="809"/>
      <c r="U11" s="809"/>
      <c r="V11" s="809"/>
      <c r="W11" s="809"/>
      <c r="X11" s="809"/>
      <c r="Y11" s="809"/>
      <c r="Z11" s="809"/>
      <c r="AA11" s="809"/>
      <c r="AB11" s="809"/>
      <c r="AC11" s="809"/>
      <c r="AD11" s="809"/>
      <c r="AE11" s="809" t="n">
        <v>-11</v>
      </c>
      <c r="AF11" s="809" t="n">
        <v>-11</v>
      </c>
      <c r="AG11" s="809" t="n">
        <v>-11</v>
      </c>
      <c r="AH11" s="809" t="n">
        <v>-11</v>
      </c>
      <c r="AI11" s="809" t="n">
        <v>-11</v>
      </c>
      <c r="AJ11" s="809" t="n">
        <v>-11</v>
      </c>
      <c r="AK11" s="809" t="n">
        <v>-11</v>
      </c>
      <c r="AL11" s="809" t="n">
        <v>-11</v>
      </c>
    </row>
    <row r="12">
      <c r="B12" s="78" t="s">
        <v>223</v>
      </c>
      <c r="C12" s="702"/>
      <c r="D12" s="701"/>
      <c r="E12" s="702"/>
      <c r="F12" s="702"/>
      <c r="G12" s="702"/>
      <c r="H12" s="702"/>
      <c r="I12" s="702"/>
      <c r="J12" s="831" t="n">
        <v>45</v>
      </c>
      <c r="K12" s="831" t="n">
        <v>45</v>
      </c>
      <c r="L12" s="831" t="n">
        <v>45</v>
      </c>
      <c r="M12" s="831" t="n">
        <v>45</v>
      </c>
      <c r="N12" s="831" t="n">
        <v>45</v>
      </c>
      <c r="O12" s="831" t="n">
        <v>45</v>
      </c>
      <c r="P12" s="831" t="n">
        <v>45</v>
      </c>
      <c r="Q12" s="831" t="n">
        <v>45</v>
      </c>
      <c r="R12" s="830" t="n">
        <v>45</v>
      </c>
      <c r="S12" s="830" t="n">
        <v>45</v>
      </c>
      <c r="T12" s="830" t="n">
        <v>45</v>
      </c>
      <c r="U12" s="835" t="n">
        <v>45</v>
      </c>
      <c r="V12" s="835" t="n">
        <v>45</v>
      </c>
      <c r="W12" s="835" t="n">
        <f>W9*W10*(-1)*0.1</f>
        <v>2.0815079999999999</v>
      </c>
      <c r="X12" s="835" t="n">
        <f t="shared" ref="X12:AD12" si="0">X9*X10*(-1)*0.1</f>
        <v>2.1006180000000003</v>
      </c>
      <c r="Y12" s="835" t="n">
        <f t="shared" si="0"/>
        <v>2.5815300000000003</v>
      </c>
      <c r="Z12" s="835" t="n">
        <f t="shared" si="0"/>
        <v>2.6040450000000002</v>
      </c>
      <c r="AA12" s="835" t="n">
        <f t="shared" si="0"/>
        <v>2.626465</v>
      </c>
      <c r="AB12" s="835" t="n">
        <f>AB9*AB10*(-1)*0.1</f>
        <v>2.6498349999999999</v>
      </c>
      <c r="AC12" s="835" t="n">
        <f>AC9*AC10*(-1)*0.1</f>
        <v>2.6454420000000001</v>
      </c>
      <c r="AD12" s="835" t="n">
        <f t="shared" si="0"/>
        <v>2.6696</v>
      </c>
      <c r="AE12" s="835" t="n">
        <f>AE9*AE10*(-1)*0.1+AE11</f>
        <v>-8.3069939999999995</v>
      </c>
      <c r="AF12" s="835" t="n">
        <f t="shared" ref="AF12:AL12" si="1">AF9*AF10*(-1)*0.1+AF11</f>
        <v>-8.2824600000000004</v>
      </c>
      <c r="AG12" s="835" t="n">
        <f t="shared" si="1"/>
        <v>-8.2824600000000004</v>
      </c>
      <c r="AH12" s="835" t="n">
        <f t="shared" si="1"/>
        <v>-8.2824600000000004</v>
      </c>
      <c r="AI12" s="835" t="n">
        <f t="shared" si="1"/>
        <v>-11</v>
      </c>
      <c r="AJ12" s="835" t="n">
        <f t="shared" si="1"/>
        <v>-11</v>
      </c>
      <c r="AK12" s="835" t="n">
        <f t="shared" si="1"/>
        <v>-11</v>
      </c>
      <c r="AL12" s="835" t="n">
        <f t="shared" si="1"/>
        <v>-11</v>
      </c>
    </row>
    <row r="13">
      <c r="B13" s="78"/>
      <c r="C13" s="412"/>
      <c r="D13" s="412"/>
      <c r="E13" s="412"/>
      <c r="F13" s="412"/>
      <c r="G13" s="412"/>
      <c r="H13" s="412"/>
      <c r="I13" s="412"/>
      <c r="J13" s="811"/>
      <c r="K13" s="811"/>
      <c r="L13" s="811"/>
      <c r="M13" s="811"/>
      <c r="N13" s="811"/>
      <c r="O13" s="811"/>
      <c r="P13" s="811"/>
      <c r="Q13" s="811"/>
      <c r="R13" s="809"/>
      <c r="S13" s="809"/>
      <c r="T13" s="809"/>
      <c r="U13" s="96"/>
      <c r="V13" s="96"/>
      <c r="W13" s="96"/>
      <c r="X13" s="96"/>
      <c r="Y13" s="96"/>
      <c r="Z13" s="96"/>
      <c r="AA13" s="96"/>
      <c r="AB13" s="96"/>
      <c r="AC13" s="96"/>
      <c r="AD13" s="96"/>
      <c r="AE13" s="96"/>
      <c r="AF13" s="96"/>
      <c r="AG13" s="96"/>
      <c r="AH13" s="96"/>
    </row>
    <row r="14">
      <c r="B14" s="289"/>
      <c r="C14" s="289"/>
      <c r="D14" s="289"/>
      <c r="E14" s="289"/>
      <c r="F14" s="289"/>
      <c r="G14" s="289"/>
      <c r="H14" s="289"/>
      <c r="I14" s="289"/>
      <c r="J14" s="289"/>
      <c r="K14" s="289"/>
      <c r="L14" s="289"/>
      <c r="M14" s="289"/>
      <c r="N14" s="289"/>
      <c r="O14" s="289"/>
      <c r="P14" s="289"/>
      <c r="Q14" s="289"/>
      <c r="R14" s="289"/>
      <c r="S14" s="289"/>
      <c r="T14" s="289"/>
      <c r="U14" s="289"/>
      <c r="V14" s="289"/>
      <c r="W14" s="289"/>
      <c r="X14" s="289"/>
      <c r="Y14" s="289"/>
      <c r="Z14" s="78"/>
      <c r="AA14" s="78"/>
      <c r="AB14" s="78"/>
      <c r="AC14" s="78"/>
    </row>
    <row r="15">
      <c r="B15" s="12" t="s">
        <v>1649</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row>
    <row r="16">
      <c r="B16" s="268" t="s">
        <v>1594</v>
      </c>
      <c r="C16" s="592"/>
      <c r="D16" s="248" t="s">
        <v>191</v>
      </c>
      <c r="E16" s="249"/>
      <c r="F16" s="249"/>
      <c r="G16" s="249"/>
      <c r="H16" s="249"/>
      <c r="I16" s="249"/>
      <c r="J16" s="249"/>
      <c r="K16" s="249"/>
      <c r="L16" s="249"/>
      <c r="M16" s="249"/>
      <c r="N16" s="249"/>
      <c r="O16" s="249"/>
      <c r="P16" s="249"/>
      <c r="Q16" s="249"/>
      <c r="R16" s="249"/>
      <c r="S16" s="249"/>
      <c r="T16" s="249"/>
      <c r="U16" s="249"/>
      <c r="V16" s="249"/>
      <c r="W16" s="803" t="s">
        <v>192</v>
      </c>
      <c r="X16" s="803"/>
      <c r="Y16" s="803"/>
      <c r="Z16" s="803"/>
      <c r="AA16" s="803"/>
      <c r="AB16" s="803"/>
      <c r="AC16" s="803"/>
      <c r="AD16" s="803"/>
      <c r="AE16" s="803"/>
      <c r="AF16" s="803"/>
      <c r="AG16" s="804"/>
      <c r="AH16" s="804"/>
    </row>
    <row r="17">
      <c r="B17" s="270"/>
      <c r="C17" s="271"/>
      <c r="D17" s="274" t="n">
        <v>2018</v>
      </c>
      <c r="E17" s="274" t="n">
        <v>2019</v>
      </c>
      <c r="F17" s="275"/>
      <c r="G17" s="275"/>
      <c r="H17" s="276"/>
      <c r="I17" s="274" t="n">
        <v>2020</v>
      </c>
      <c r="J17" s="275"/>
      <c r="K17" s="275"/>
      <c r="L17" s="275"/>
      <c r="M17" s="274" t="n">
        <v>2021</v>
      </c>
      <c r="N17" s="275"/>
      <c r="O17" s="275"/>
      <c r="P17" s="275"/>
      <c r="Q17" s="259" t="n">
        <v>2022</v>
      </c>
      <c r="R17" s="805"/>
      <c r="S17" s="298"/>
      <c r="T17" s="300"/>
      <c r="U17" s="305"/>
      <c r="V17" s="298" t="n">
        <v>2023</v>
      </c>
      <c r="W17" s="810"/>
      <c r="X17" s="810"/>
      <c r="Y17" s="261" t="n">
        <v>2024</v>
      </c>
      <c r="Z17" s="262"/>
      <c r="AA17" s="262"/>
      <c r="AB17" s="263"/>
      <c r="AC17" s="261" t="n">
        <v>2025</v>
      </c>
      <c r="AD17" s="262"/>
      <c r="AE17" s="262"/>
      <c r="AF17" s="263"/>
      <c r="AG17" s="261" t="n">
        <v>2026</v>
      </c>
      <c r="AH17" s="263"/>
    </row>
    <row r="18">
      <c r="B18" s="272"/>
      <c r="C18" s="273"/>
      <c r="D18" s="274" t="s">
        <v>193</v>
      </c>
      <c r="E18" s="274" t="s">
        <v>194</v>
      </c>
      <c r="F18" s="275" t="s">
        <v>195</v>
      </c>
      <c r="G18" s="275" t="s">
        <v>171</v>
      </c>
      <c r="H18" s="276" t="s">
        <v>193</v>
      </c>
      <c r="I18" s="275" t="s">
        <v>194</v>
      </c>
      <c r="J18" s="275" t="s">
        <v>195</v>
      </c>
      <c r="K18" s="275" t="s">
        <v>171</v>
      </c>
      <c r="L18" s="275" t="s">
        <v>193</v>
      </c>
      <c r="M18" s="274" t="s">
        <v>194</v>
      </c>
      <c r="N18" s="275" t="s">
        <v>195</v>
      </c>
      <c r="O18" s="275" t="s">
        <v>171</v>
      </c>
      <c r="P18" s="275" t="s">
        <v>193</v>
      </c>
      <c r="Q18" s="293" t="s">
        <v>194</v>
      </c>
      <c r="R18" s="294" t="s">
        <v>195</v>
      </c>
      <c r="S18" s="294" t="s">
        <v>171</v>
      </c>
      <c r="T18" s="292" t="s">
        <v>193</v>
      </c>
      <c r="U18" s="293" t="s">
        <v>194</v>
      </c>
      <c r="V18" s="294" t="s">
        <v>195</v>
      </c>
      <c r="W18" s="291" t="s">
        <v>171</v>
      </c>
      <c r="X18" s="291" t="s">
        <v>193</v>
      </c>
      <c r="Y18" s="296" t="s">
        <v>194</v>
      </c>
      <c r="Z18" s="290" t="s">
        <v>195</v>
      </c>
      <c r="AA18" s="291" t="s">
        <v>171</v>
      </c>
      <c r="AB18" s="297" t="s">
        <v>193</v>
      </c>
      <c r="AC18" s="296" t="s">
        <v>194</v>
      </c>
      <c r="AD18" s="290" t="s">
        <v>195</v>
      </c>
      <c r="AE18" s="291" t="s">
        <v>171</v>
      </c>
      <c r="AF18" s="291" t="s">
        <v>193</v>
      </c>
      <c r="AG18" s="296" t="s">
        <v>194</v>
      </c>
      <c r="AH18" s="297" t="s">
        <v>195</v>
      </c>
    </row>
    <row r="19">
      <c r="B19" s="177" t="s">
        <v>1282</v>
      </c>
      <c r="C19" s="818"/>
      <c r="D19" s="819"/>
      <c r="E19" s="818"/>
      <c r="F19" s="818"/>
      <c r="G19" s="818"/>
      <c r="H19" s="818"/>
      <c r="I19" s="818"/>
      <c r="J19" s="820"/>
      <c r="K19" s="820"/>
      <c r="L19" s="820"/>
      <c r="M19" s="820"/>
      <c r="N19" s="820"/>
      <c r="O19" s="820"/>
      <c r="P19" s="820"/>
      <c r="Q19" s="820"/>
      <c r="R19" s="821" t="n">
        <v>0</v>
      </c>
      <c r="S19" s="815" t="n">
        <v>0</v>
      </c>
      <c r="T19" s="817" t="n">
        <v>0</v>
      </c>
      <c r="U19" s="817" t="n">
        <v>-7.7999999999999999E-4</v>
      </c>
      <c r="V19" s="817" t="n">
        <v>-7.7999999999999999E-4</v>
      </c>
      <c r="W19" s="817" t="n">
        <v>-7.7999999999999999E-4</v>
      </c>
      <c r="X19" s="817" t="n">
        <v>-7.7999999999999999E-4</v>
      </c>
      <c r="Y19" s="817" t="n">
        <v>-9.5E-4</v>
      </c>
      <c r="Z19" s="817" t="n">
        <v>-9.5E-4</v>
      </c>
      <c r="AA19" s="817" t="n">
        <v>-9.5E-4</v>
      </c>
      <c r="AB19" s="817" t="n">
        <v>-9.5E-4</v>
      </c>
      <c r="AC19" s="817" t="n">
        <v>-9.3999999999999997E-4</v>
      </c>
      <c r="AD19" s="817" t="n">
        <v>-9.3999999999999997E-4</v>
      </c>
      <c r="AE19" s="817" t="n">
        <v>-9.3999999999999997E-4</v>
      </c>
      <c r="AF19" s="817" t="n">
        <v>-9.3999999999999997E-4</v>
      </c>
      <c r="AG19" s="815" t="n">
        <v>-9.3999999999999997E-4</v>
      </c>
      <c r="AH19" s="815" t="n">
        <v>-9.3999999999999997E-4</v>
      </c>
    </row>
    <row r="20">
      <c r="B20" s="78" t="s">
        <v>1281</v>
      </c>
      <c r="C20" s="822"/>
      <c r="D20" s="823"/>
      <c r="E20" s="822"/>
      <c r="F20" s="822"/>
      <c r="G20" s="822"/>
      <c r="H20" s="822"/>
      <c r="I20" s="822"/>
      <c r="J20" s="824"/>
      <c r="K20" s="824"/>
      <c r="L20" s="824"/>
      <c r="M20" s="824"/>
      <c r="N20" s="824"/>
      <c r="O20" s="824"/>
      <c r="P20" s="824"/>
      <c r="Q20" s="824"/>
      <c r="R20" s="816"/>
      <c r="S20" s="816"/>
      <c r="T20" s="816"/>
      <c r="U20" s="816" t="n">
        <v>26095</v>
      </c>
      <c r="V20" s="816" t="n">
        <v>26404</v>
      </c>
      <c r="W20" s="816" t="n">
        <v>26686</v>
      </c>
      <c r="X20" s="816" t="n">
        <v>26931</v>
      </c>
      <c r="Y20" s="816" t="n">
        <v>27174</v>
      </c>
      <c r="Z20" s="816" t="n">
        <v>27411</v>
      </c>
      <c r="AA20" s="816" t="n">
        <v>27647</v>
      </c>
      <c r="AB20" s="816" t="n">
        <v>27893</v>
      </c>
      <c r="AC20" s="816" t="n">
        <v>28143</v>
      </c>
      <c r="AD20" s="816" t="n">
        <v>28400</v>
      </c>
      <c r="AE20" s="816" t="n">
        <v>28649</v>
      </c>
      <c r="AF20" s="816" t="n">
        <v>28910</v>
      </c>
      <c r="AG20" s="816" t="n">
        <v>28910</v>
      </c>
      <c r="AH20" s="816" t="n">
        <v>28910</v>
      </c>
    </row>
    <row r="21">
      <c r="B21" s="78" t="s">
        <v>223</v>
      </c>
      <c r="C21" s="825"/>
      <c r="D21" s="826"/>
      <c r="E21" s="825"/>
      <c r="F21" s="825"/>
      <c r="G21" s="825"/>
      <c r="H21" s="825"/>
      <c r="I21" s="825"/>
      <c r="J21" s="827"/>
      <c r="K21" s="827"/>
      <c r="L21" s="827"/>
      <c r="M21" s="827"/>
      <c r="N21" s="827"/>
      <c r="O21" s="827"/>
      <c r="P21" s="827"/>
      <c r="Q21" s="827"/>
      <c r="R21" s="828" t="n">
        <f>R19*R20</f>
        <v>0</v>
      </c>
      <c r="S21" s="828" t="n">
        <f t="shared" ref="S21:T21" si="2">S19*S20</f>
        <v>0</v>
      </c>
      <c r="T21" s="828" t="n">
        <f t="shared" si="2"/>
        <v>0</v>
      </c>
      <c r="U21" s="829" t="n">
        <f>U19*U20*-1</f>
        <v>20.354099999999999</v>
      </c>
      <c r="V21" s="829" t="n">
        <f t="shared" ref="V21:AF21" si="3">V19*V20*-1</f>
        <v>20.595119999999998</v>
      </c>
      <c r="W21" s="829" t="n">
        <f t="shared" si="3"/>
        <v>20.815079999999998</v>
      </c>
      <c r="X21" s="829" t="n">
        <f t="shared" si="3"/>
        <v>21.006180000000001</v>
      </c>
      <c r="Y21" s="829" t="n">
        <f t="shared" si="3"/>
        <v>25.815300000000001</v>
      </c>
      <c r="Z21" s="829" t="n">
        <f t="shared" si="3"/>
        <v>26.04045</v>
      </c>
      <c r="AA21" s="829" t="n">
        <f t="shared" si="3"/>
        <v>26.26465</v>
      </c>
      <c r="AB21" s="829" t="n">
        <f t="shared" si="3"/>
        <v>26.498349999999999</v>
      </c>
      <c r="AC21" s="829" t="n">
        <f t="shared" si="3"/>
        <v>26.454419999999999</v>
      </c>
      <c r="AD21" s="829" t="n">
        <f t="shared" si="3"/>
        <v>26.695999999999998</v>
      </c>
      <c r="AE21" s="829" t="n">
        <f t="shared" si="3"/>
        <v>26.930059999999997</v>
      </c>
      <c r="AF21" s="829" t="n">
        <f t="shared" si="3"/>
        <v>27.1754</v>
      </c>
      <c r="AG21" s="829" t="n">
        <f>AG19*AG20*-1</f>
        <v>27.1754</v>
      </c>
      <c r="AH21" s="829" t="n">
        <f>AH19*AH20*-1</f>
        <v>27.1754</v>
      </c>
    </row>
    <row r="24">
      <c r="C24" t="s">
        <v>1738</v>
      </c>
      <c r="F24" s="808" t="s">
        <v>1737</v>
      </c>
    </row>
  </sheetData>
  <mergeCells count="25">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 ref="B1:AC1"/>
    <mergeCell ref="B2:AC4"/>
    <mergeCell ref="B6:C8"/>
    <mergeCell ref="E7:H7"/>
    <mergeCell ref="I7:L7"/>
    <mergeCell ref="M7:P7"/>
    <mergeCell ref="Q7:R7"/>
    <mergeCell ref="D6:V6"/>
    <mergeCell ref="AC7:AF7"/>
    <mergeCell ref="W6:AG6"/>
    <mergeCell ref="AG7:AJ7"/>
  </mergeCells>
  <hyperlinks>
    <hyperlink ref="F24" r:id="rId1h"/>
  </hyperlinks>
  <pageMargins left="0.7" right="0.7" top="0.75" bottom="0.75" header="0.3" footer="0.3"/>
  <pageSetup paperSize="9" orientation="portrait" horizontalDpi="300" verticalDpi="300"/>
  <drawing r:id="rId1"/>
  <legacyDrawing r:id="rIdvml"/>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90" zoomScaleNormal="90" workbookViewId="0">
      <pane xSplit="3" ySplit="10" topLeftCell="D50" activePane="bottomRight" state="frozen"/>
      <selection pane="topRight" activeCell="D1" sqref="D1"/>
      <selection pane="bottomLeft" activeCell="A11" sqref="A11"/>
      <selection pane="bottomRight" activeCell="F55" sqref="F55"/>
    </sheetView>
  </sheetViews>
  <sheetFormatPr defaultRowHeight="15.0" baseColWidth="10" outlineLevelRow="1"/>
  <cols>
    <col min="2" max="2" width="71.1796875" hidden="0" customWidth="1"/>
    <col min="6" max="6" width="12.1796875" hidden="0" customWidth="1"/>
    <col min="7" max="7" width="10.453125" hidden="0" customWidth="1"/>
    <col min="9" max="9" width="12" hidden="0" customWidth="1"/>
  </cols>
  <sheetData>
    <row r="1" ht="18" customHeight="1">
      <c r="B1" s="842" t="s">
        <v>375</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row>
    <row r="2" ht="34.5" customHeight="1" outlineLevel="1" hidden="1">
      <c r="B2" s="377" t="s">
        <v>766</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ht="3" customHeight="1" outlineLevel="1" hidden="1">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ht="10.4" customHeight="1" outlineLevel="1" hidden="1">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row>
    <row r="5" ht="14.25" customHeight="1" outlineLevel="1" hidden="1">
      <c r="B5" s="267"/>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row>
    <row r="6" ht="14.25" customHeight="1" outlineLevel="1" hidden="1">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row>
    <row r="7">
      <c r="B7" s="891" t="s">
        <v>244</v>
      </c>
      <c r="C7" s="414"/>
      <c r="D7" s="414"/>
      <c r="E7" s="414"/>
      <c r="F7" s="414"/>
      <c r="G7" s="414"/>
      <c r="H7" s="415"/>
      <c r="I7" s="415"/>
      <c r="J7" s="415"/>
      <c r="K7" s="415"/>
      <c r="L7" s="415"/>
      <c r="M7" s="415"/>
      <c r="N7" s="415"/>
      <c r="O7" s="415"/>
      <c r="P7" s="415"/>
      <c r="Q7" s="415"/>
      <c r="R7" s="415"/>
      <c r="S7" s="415"/>
      <c r="T7" s="415"/>
      <c r="U7" s="415"/>
    </row>
    <row r="8" ht="14.9" customHeight="1">
      <c r="B8" s="876" t="s">
        <v>215</v>
      </c>
      <c r="C8" s="877"/>
      <c r="D8" s="248" t="s">
        <v>191</v>
      </c>
      <c r="E8" s="249"/>
      <c r="F8" s="249"/>
      <c r="G8" s="249"/>
      <c r="H8" s="249"/>
      <c r="I8" s="249"/>
      <c r="J8" s="249"/>
      <c r="K8" s="249"/>
      <c r="L8" s="249"/>
      <c r="M8" s="249"/>
      <c r="N8" s="249"/>
      <c r="O8" s="249"/>
      <c r="P8" s="249"/>
      <c r="Q8" s="249"/>
      <c r="R8" s="249"/>
      <c r="S8" s="249"/>
      <c r="T8" s="249"/>
      <c r="U8" s="249"/>
      <c r="V8" s="249"/>
      <c r="W8" s="249"/>
      <c r="X8" s="249"/>
      <c r="Y8" s="249"/>
      <c r="Z8" s="249"/>
      <c r="AA8" s="249"/>
      <c r="AB8" s="250"/>
      <c r="AC8" s="251" t="s">
        <v>192</v>
      </c>
      <c r="AD8" s="252"/>
      <c r="AE8" s="252"/>
      <c r="AF8" s="252"/>
      <c r="AG8" s="252"/>
      <c r="AH8" s="252"/>
      <c r="AI8" s="252"/>
      <c r="AJ8" s="252"/>
      <c r="AK8" s="252"/>
      <c r="AL8" s="252"/>
      <c r="AM8" s="252"/>
      <c r="AN8" s="253"/>
    </row>
    <row r="9" ht="14.9" customHeight="1">
      <c r="B9" s="878"/>
      <c r="C9" s="879"/>
      <c r="D9" s="254" t="n">
        <v>2018</v>
      </c>
      <c r="E9" s="254" t="n">
        <v>2019</v>
      </c>
      <c r="F9" s="441"/>
      <c r="G9" s="441"/>
      <c r="H9" s="256"/>
      <c r="I9" s="254" t="n">
        <v>2020</v>
      </c>
      <c r="J9" s="441"/>
      <c r="K9" s="441"/>
      <c r="L9" s="441"/>
      <c r="M9" s="254" t="n">
        <v>2021</v>
      </c>
      <c r="N9" s="441"/>
      <c r="O9" s="441"/>
      <c r="P9" s="441"/>
      <c r="Q9" s="254" t="n">
        <v>2022</v>
      </c>
      <c r="R9" s="255"/>
      <c r="S9" s="255"/>
      <c r="T9" s="256"/>
      <c r="U9" s="254" t="n">
        <v>2023</v>
      </c>
      <c r="V9" s="255"/>
      <c r="W9" s="255"/>
      <c r="X9" s="256"/>
      <c r="Y9" s="658"/>
      <c r="Z9" s="298" t="n">
        <v>2024</v>
      </c>
      <c r="AA9" s="304"/>
      <c r="AB9" s="300"/>
      <c r="AC9" s="261" t="n">
        <v>2025</v>
      </c>
      <c r="AD9" s="262"/>
      <c r="AE9" s="262"/>
      <c r="AF9" s="264"/>
      <c r="AG9" s="261" t="n">
        <v>2026</v>
      </c>
      <c r="AH9" s="262"/>
      <c r="AI9" s="262"/>
      <c r="AJ9" s="263"/>
      <c r="AK9" s="261" t="n">
        <v>2027</v>
      </c>
      <c r="AL9" s="262"/>
      <c r="AM9" s="262"/>
      <c r="AN9" s="263"/>
    </row>
    <row r="10">
      <c r="B10" s="878"/>
      <c r="C10" s="879"/>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6" t="s">
        <v>193</v>
      </c>
      <c r="U10" s="275" t="s">
        <v>194</v>
      </c>
      <c r="V10" s="294" t="s">
        <v>195</v>
      </c>
      <c r="W10" s="294" t="s">
        <v>171</v>
      </c>
      <c r="X10" s="292" t="s">
        <v>193</v>
      </c>
      <c r="Y10" s="293" t="s">
        <v>194</v>
      </c>
      <c r="Z10" s="295" t="s">
        <v>195</v>
      </c>
      <c r="AA10" s="294" t="s">
        <v>171</v>
      </c>
      <c r="AB10" s="294" t="s">
        <v>193</v>
      </c>
      <c r="AC10" s="274" t="s">
        <v>194</v>
      </c>
      <c r="AD10" s="295" t="s">
        <v>195</v>
      </c>
      <c r="AE10" s="291" t="s">
        <v>171</v>
      </c>
      <c r="AF10" s="291" t="s">
        <v>193</v>
      </c>
      <c r="AG10" s="296" t="s">
        <v>194</v>
      </c>
      <c r="AH10" s="290" t="s">
        <v>195</v>
      </c>
      <c r="AI10" s="291" t="s">
        <v>171</v>
      </c>
      <c r="AJ10" s="297" t="s">
        <v>193</v>
      </c>
      <c r="AK10" s="296" t="s">
        <v>194</v>
      </c>
      <c r="AL10" s="290" t="s">
        <v>195</v>
      </c>
      <c r="AM10" s="291" t="s">
        <v>171</v>
      </c>
      <c r="AN10" s="297" t="s">
        <v>193</v>
      </c>
    </row>
    <row r="11">
      <c r="B11" s="840" t="s">
        <v>376</v>
      </c>
      <c r="C11" s="841"/>
      <c r="D11" s="840"/>
      <c r="E11" s="889"/>
      <c r="F11" s="889"/>
      <c r="G11" s="889"/>
      <c r="H11" s="457"/>
      <c r="I11" s="457"/>
      <c r="J11" s="457"/>
      <c r="K11" s="457"/>
      <c r="L11" s="457"/>
      <c r="M11" s="747"/>
      <c r="N11" s="747"/>
      <c r="O11" s="747"/>
      <c r="P11" s="457"/>
      <c r="Q11" s="457"/>
      <c r="R11" s="457"/>
      <c r="S11" s="457"/>
      <c r="T11" s="428"/>
      <c r="U11" s="457"/>
      <c r="V11" s="457"/>
      <c r="W11" s="457"/>
      <c r="X11" s="457"/>
      <c r="Y11" s="457"/>
      <c r="Z11" s="457"/>
      <c r="AA11" s="457"/>
      <c r="AB11" s="457"/>
      <c r="AC11" s="457"/>
      <c r="AD11" s="457"/>
      <c r="AE11" s="457"/>
      <c r="AF11" s="457"/>
      <c r="AG11" s="457"/>
      <c r="AH11" s="457"/>
      <c r="AI11" s="457"/>
      <c r="AJ11" s="457"/>
      <c r="AK11" s="457"/>
      <c r="AL11" s="457"/>
      <c r="AM11" s="457"/>
      <c r="AN11" s="457"/>
    </row>
    <row r="12" ht="17.149999999999999" customHeight="1">
      <c r="B12" s="869" t="s">
        <v>377</v>
      </c>
      <c r="C12" s="289" t="s">
        <v>378</v>
      </c>
      <c r="D12" s="725" t="n">
        <f>'Haver Pivoted'!B31</f>
        <v>48.3</v>
      </c>
      <c r="E12" s="850" t="n">
        <f>'Haver Pivoted'!C31</f>
        <v>57.5</v>
      </c>
      <c r="F12" s="850" t="n">
        <f>'Haver Pivoted'!D31</f>
        <v>56.9</v>
      </c>
      <c r="G12" s="850" t="n">
        <f>'Haver Pivoted'!E31</f>
        <v>59.8</v>
      </c>
      <c r="H12" s="850" t="n">
        <f>'Haver Pivoted'!F31</f>
        <v>61</v>
      </c>
      <c r="I12" s="850" t="n">
        <f>'Haver Pivoted'!G31</f>
        <v>67.900000000000006</v>
      </c>
      <c r="J12" s="850" t="n">
        <f>'Haver Pivoted'!H31</f>
        <v>67.2</v>
      </c>
      <c r="K12" s="850" t="n">
        <f>'Haver Pivoted'!I31</f>
        <v>68.2</v>
      </c>
      <c r="L12" s="850" t="n">
        <f>'Haver Pivoted'!J31</f>
        <v>70.2</v>
      </c>
      <c r="M12" s="850" t="n">
        <f>'Haver Pivoted'!K31</f>
        <v>70.2</v>
      </c>
      <c r="N12" s="850" t="n">
        <f>'Haver Pivoted'!L31</f>
        <v>70.3</v>
      </c>
      <c r="O12" s="850" t="n">
        <f>'Haver Pivoted'!M31</f>
        <v>80.599999999999994</v>
      </c>
      <c r="P12" s="850" t="n">
        <f>'Haver Pivoted'!N31</f>
        <v>82.2</v>
      </c>
      <c r="Q12" s="850" t="n">
        <f>'Haver Pivoted'!O31</f>
        <v>83.6</v>
      </c>
      <c r="R12" s="850" t="n">
        <f>'Haver Pivoted'!P31</f>
        <v>85.1</v>
      </c>
      <c r="S12" s="850" t="n">
        <f>'Haver Pivoted'!Q31</f>
        <v>87.3</v>
      </c>
      <c r="T12" s="850" t="n">
        <f>'Haver Pivoted'!R31</f>
        <v>94.1</v>
      </c>
      <c r="U12" s="850" t="n">
        <f>'Haver Pivoted'!S31</f>
        <v>100.7</v>
      </c>
      <c r="V12" s="850" t="n">
        <f>'Haver Pivoted'!T31</f>
        <v>106.4</v>
      </c>
      <c r="W12" s="850" t="n">
        <f>'Haver Pivoted'!U31</f>
        <v>112</v>
      </c>
      <c r="X12" s="850" t="n">
        <f>'Haver Pivoted'!V31</f>
        <v>120.5</v>
      </c>
      <c r="Y12" s="850" t="n">
        <f>'Haver Pivoted'!W31</f>
        <v>134.19999999999999</v>
      </c>
      <c r="Z12" s="850" t="n">
        <f>'Haver Pivoted'!X31</f>
        <v>136.80000000000001</v>
      </c>
      <c r="AA12" s="850" t="n">
        <f>'Haver Pivoted'!Y31</f>
        <v>137.80000000000001</v>
      </c>
      <c r="AB12" s="850" t="n">
        <f>'Haver Pivoted'!Z31</f>
        <v>141.30000000000001</v>
      </c>
      <c r="AC12" s="850" t="n">
        <f>'Haver Pivoted'!AA31</f>
        <v>139.6</v>
      </c>
      <c r="AD12" s="850" t="n">
        <f>'Haver Pivoted'!AB31</f>
        <v>145.4</v>
      </c>
      <c r="AE12" s="859" t="n">
        <f t="shared" ref="AE12:AN12" si="0">SUM(AE13:AE29)-AE27</f>
        <v>169.11991850182284</v>
      </c>
      <c r="AF12" s="859" t="n">
        <f t="shared" si="0"/>
        <v>156.24468760658129</v>
      </c>
      <c r="AG12" s="859" t="n">
        <f t="shared" si="0"/>
        <v>169.41509324214366</v>
      </c>
      <c r="AH12" s="859" t="n">
        <f t="shared" si="0"/>
        <v>181.86038144494449</v>
      </c>
      <c r="AI12" s="859" t="n">
        <f t="shared" si="0"/>
        <v>196.03752321098835</v>
      </c>
      <c r="AJ12" s="859" t="n">
        <f t="shared" si="0"/>
        <v>202.06624623608906</v>
      </c>
      <c r="AK12" s="859" t="n">
        <f t="shared" si="0"/>
        <v>220.66166370658345</v>
      </c>
      <c r="AL12" s="859" t="n">
        <f t="shared" si="0"/>
        <v>235.85357962227175</v>
      </c>
      <c r="AM12" s="859" t="n">
        <f t="shared" si="0"/>
        <v>251.04969469008299</v>
      </c>
      <c r="AN12" s="859" t="n">
        <f t="shared" si="0"/>
        <v>244.27437946147444</v>
      </c>
    </row>
    <row r="13">
      <c r="B13" s="865" t="s">
        <v>1739</v>
      </c>
      <c r="C13" s="289"/>
      <c r="D13" s="850" t="n">
        <f t="shared" ref="D13:Q13" si="1">D14+D15</f>
        <v>2.9</v>
      </c>
      <c r="E13" s="850" t="n">
        <f t="shared" si="1"/>
        <v>3.9</v>
      </c>
      <c r="F13" s="850" t="n">
        <f t="shared" si="1"/>
        <v>4.5999999999999996</v>
      </c>
      <c r="G13" s="850" t="n">
        <f t="shared" si="1"/>
        <v>5.4</v>
      </c>
      <c r="H13" s="850" t="n">
        <f t="shared" si="1"/>
        <v>5.7</v>
      </c>
      <c r="I13" s="850" t="n">
        <f t="shared" si="1"/>
        <v>6.3</v>
      </c>
      <c r="J13" s="850" t="n">
        <f t="shared" si="1"/>
        <v>6.3</v>
      </c>
      <c r="K13" s="850" t="n">
        <f t="shared" si="1"/>
        <v>6.3</v>
      </c>
      <c r="L13" s="850" t="n">
        <f t="shared" si="1"/>
        <v>6.5</v>
      </c>
      <c r="M13" s="850" t="n">
        <f t="shared" si="1"/>
        <v>6.9</v>
      </c>
      <c r="N13" s="850" t="n">
        <f t="shared" si="1"/>
        <v>5.8</v>
      </c>
      <c r="O13" s="850" t="n">
        <f t="shared" si="1"/>
        <v>5</v>
      </c>
      <c r="P13" s="850" t="n">
        <f t="shared" si="1"/>
        <v>4.5999999999999996</v>
      </c>
      <c r="Q13" s="850" t="n">
        <f t="shared" si="1"/>
        <v>4.5</v>
      </c>
      <c r="R13" s="850" t="n">
        <f t="shared" ref="R13:U13" si="2">R14+R15</f>
        <v>4.5</v>
      </c>
      <c r="S13" s="850" t="n">
        <f t="shared" si="2"/>
        <v>4.7</v>
      </c>
      <c r="T13" s="850" t="n">
        <f t="shared" si="2"/>
        <v>5.8</v>
      </c>
      <c r="U13" s="850" t="n">
        <f t="shared" si="2"/>
        <v>6.7</v>
      </c>
      <c r="V13" s="850" t="n">
        <f t="shared" ref="V13:AC13" si="3">V14+V15</f>
        <v>6.8914285714285715</v>
      </c>
      <c r="W13" s="850" t="n">
        <f t="shared" si="3"/>
        <v>6.8914285714285715</v>
      </c>
      <c r="X13" s="850" t="n">
        <f t="shared" si="3"/>
        <v>14.2</v>
      </c>
      <c r="Y13" s="850" t="n">
        <f t="shared" si="3"/>
        <v>19.399999999999999</v>
      </c>
      <c r="Z13" s="850" t="n">
        <f t="shared" si="3"/>
        <v>20.2</v>
      </c>
      <c r="AA13" s="850" t="n">
        <f t="shared" si="3"/>
        <v>18.8</v>
      </c>
      <c r="AB13" s="850" t="n">
        <f t="shared" si="3"/>
        <v>17.7</v>
      </c>
      <c r="AC13" s="850" t="n">
        <f t="shared" si="3"/>
        <v>16.3</v>
      </c>
      <c r="AD13" s="850" t="n">
        <f>AD14+AD15</f>
        <v>16.100000000000001</v>
      </c>
      <c r="AE13" s="859" t="n">
        <f>'Unemployment Insurance'!AE21+'Unemployment Insurance'!AE20</f>
        <v>35.700000000000003</v>
      </c>
      <c r="AF13" s="859" t="n">
        <f>'Unemployment Insurance'!AF21+'Unemployment Insurance'!AF20</f>
        <v>35.700000000000003</v>
      </c>
      <c r="AG13" s="859" t="n">
        <f>'Unemployment Insurance'!AG21+'Unemployment Insurance'!AG20</f>
        <v>35.700000000000003</v>
      </c>
      <c r="AH13" s="859" t="n">
        <f>'Unemployment Insurance'!AH21+'Unemployment Insurance'!AH20</f>
        <v>35.700000000000003</v>
      </c>
      <c r="AI13" s="859" t="n">
        <f>'Unemployment Insurance'!AI21+'Unemployment Insurance'!AI20</f>
        <v>35.700000000000003</v>
      </c>
      <c r="AJ13" s="859" t="n">
        <f>'Unemployment Insurance'!AJ21+'Unemployment Insurance'!AJ20</f>
        <v>35.700000000000003</v>
      </c>
      <c r="AK13" s="859" t="n">
        <f>'Unemployment Insurance'!AK21+'Unemployment Insurance'!AK20</f>
        <v>36.700000000000003</v>
      </c>
      <c r="AL13" s="859" t="n">
        <f>'Unemployment Insurance'!AL21+'Unemployment Insurance'!AL20</f>
        <v>37.700000000000003</v>
      </c>
      <c r="AM13" s="859" t="n">
        <f>'Unemployment Insurance'!AM21+'Unemployment Insurance'!AM20</f>
        <v>38.700000000000003</v>
      </c>
      <c r="AN13" s="859" t="n">
        <f>'Unemployment Insurance'!AN21+'Unemployment Insurance'!AN20</f>
        <v>39.700000000000003</v>
      </c>
    </row>
    <row r="14">
      <c r="B14" s="562" t="s">
        <v>136</v>
      </c>
      <c r="C14" s="289"/>
      <c r="D14" s="850" t="n">
        <f>'Unemployment Insurance'!D20</f>
        <v>0</v>
      </c>
      <c r="E14" s="850" t="n">
        <f>'Unemployment Insurance'!E20</f>
        <v>0</v>
      </c>
      <c r="F14" s="850" t="n">
        <f>'Unemployment Insurance'!F20</f>
        <v>0</v>
      </c>
      <c r="G14" s="850" t="n">
        <f>'Unemployment Insurance'!G20</f>
        <v>0</v>
      </c>
      <c r="H14" s="850" t="n">
        <f>'Unemployment Insurance'!H20</f>
        <v>0</v>
      </c>
      <c r="I14" s="850" t="n">
        <f>'Unemployment Insurance'!I20</f>
        <v>0</v>
      </c>
      <c r="J14" s="850" t="n">
        <f>'Unemployment Insurance'!J20</f>
        <v>0</v>
      </c>
      <c r="K14" s="850" t="n">
        <f>'Unemployment Insurance'!K20</f>
        <v>0</v>
      </c>
      <c r="L14" s="850" t="n">
        <f>'Unemployment Insurance'!L20</f>
        <v>0</v>
      </c>
      <c r="M14" s="850" t="n">
        <f>'Unemployment Insurance'!M20</f>
        <v>0</v>
      </c>
      <c r="N14" s="850" t="n">
        <f>'Unemployment Insurance'!N20</f>
        <v>0</v>
      </c>
      <c r="O14" s="850" t="n">
        <f>'Unemployment Insurance'!O20</f>
        <v>0</v>
      </c>
      <c r="P14" s="850" t="n">
        <f>'Unemployment Insurance'!P20</f>
        <v>0</v>
      </c>
      <c r="Q14" s="850" t="n">
        <f>'Unemployment Insurance'!Q20</f>
        <v>0</v>
      </c>
      <c r="R14" s="850" t="n">
        <f>'Unemployment Insurance'!R20</f>
        <v>0</v>
      </c>
      <c r="S14" s="850" t="n">
        <f>'Unemployment Insurance'!S20</f>
        <v>0</v>
      </c>
      <c r="T14" s="850" t="n">
        <f>'Unemployment Insurance'!T20</f>
        <v>0</v>
      </c>
      <c r="U14" s="850" t="n">
        <f>'Unemployment Insurance'!U20</f>
        <v>0</v>
      </c>
      <c r="V14" s="850" t="n">
        <f>'Unemployment Insurance'!V20</f>
        <v>0</v>
      </c>
      <c r="W14" s="850" t="n">
        <f>'Unemployment Insurance'!W20</f>
        <v>0</v>
      </c>
      <c r="X14" s="850" t="n">
        <f>'Unemployment Insurance'!X20</f>
        <v>7.3736571428571427</v>
      </c>
      <c r="Y14" s="850" t="n">
        <f>'Unemployment Insurance'!Y20</f>
        <v>12.317142857142855</v>
      </c>
      <c r="Z14" s="850" t="n">
        <f>'Unemployment Insurance'!Z20</f>
        <v>-14.7</v>
      </c>
      <c r="AA14" s="850" t="n">
        <f>'Unemployment Insurance'!AA20</f>
        <v>-16.900000000000002</v>
      </c>
      <c r="AB14" s="850" t="n">
        <f>'Unemployment Insurance'!AB20</f>
        <v>-18.000000000000004</v>
      </c>
      <c r="AC14" s="850" t="n">
        <f>'Unemployment Insurance'!AC20</f>
        <v>-19.400000000000002</v>
      </c>
      <c r="AD14" s="850" t="n">
        <f>'Unemployment Insurance'!AD20</f>
        <v>-19.600000000000001</v>
      </c>
      <c r="AE14" s="859"/>
      <c r="AF14" s="859"/>
      <c r="AG14" s="859"/>
      <c r="AH14" s="859"/>
      <c r="AI14" s="859"/>
      <c r="AJ14" s="859"/>
      <c r="AK14" s="859"/>
      <c r="AL14" s="859"/>
      <c r="AM14" s="859"/>
      <c r="AN14" s="859"/>
    </row>
    <row r="15">
      <c r="B15" s="562" t="s">
        <v>138</v>
      </c>
      <c r="C15" s="289"/>
      <c r="D15" s="850" t="n">
        <f>'Unemployment Insurance'!D21</f>
        <v>2.9</v>
      </c>
      <c r="E15" s="850" t="n">
        <f>'Unemployment Insurance'!E21</f>
        <v>3.9</v>
      </c>
      <c r="F15" s="850" t="n">
        <f>'Unemployment Insurance'!F21</f>
        <v>4.5999999999999996</v>
      </c>
      <c r="G15" s="850" t="n">
        <f>'Unemployment Insurance'!G21</f>
        <v>5.4</v>
      </c>
      <c r="H15" s="850" t="n">
        <f>'Unemployment Insurance'!H21</f>
        <v>5.7</v>
      </c>
      <c r="I15" s="850" t="n">
        <f>'Unemployment Insurance'!I21</f>
        <v>6.3</v>
      </c>
      <c r="J15" s="850" t="n">
        <f>'Unemployment Insurance'!J21</f>
        <v>6.3</v>
      </c>
      <c r="K15" s="850" t="n">
        <f>'Unemployment Insurance'!K21</f>
        <v>6.3</v>
      </c>
      <c r="L15" s="850" t="n">
        <f>'Unemployment Insurance'!L21</f>
        <v>6.5</v>
      </c>
      <c r="M15" s="850" t="n">
        <f>'Unemployment Insurance'!M21</f>
        <v>6.9</v>
      </c>
      <c r="N15" s="850" t="n">
        <f>'Unemployment Insurance'!N21</f>
        <v>5.8</v>
      </c>
      <c r="O15" s="850" t="n">
        <f>'Unemployment Insurance'!O21</f>
        <v>5</v>
      </c>
      <c r="P15" s="850" t="n">
        <f>'Unemployment Insurance'!P21</f>
        <v>4.5999999999999996</v>
      </c>
      <c r="Q15" s="850" t="n">
        <f>'Unemployment Insurance'!Q21</f>
        <v>4.5</v>
      </c>
      <c r="R15" s="850" t="n">
        <f>'Unemployment Insurance'!R21</f>
        <v>4.5</v>
      </c>
      <c r="S15" s="850" t="n">
        <f>'Unemployment Insurance'!S21</f>
        <v>4.7</v>
      </c>
      <c r="T15" s="850" t="n">
        <f>'Unemployment Insurance'!T21</f>
        <v>5.8</v>
      </c>
      <c r="U15" s="850" t="n">
        <f>'Unemployment Insurance'!U21</f>
        <v>6.7</v>
      </c>
      <c r="V15" s="850" t="n">
        <f>'Unemployment Insurance'!V21</f>
        <v>6.8914285714285715</v>
      </c>
      <c r="W15" s="850" t="n">
        <f>'Unemployment Insurance'!W21</f>
        <v>6.8914285714285715</v>
      </c>
      <c r="X15" s="850" t="n">
        <f>'Unemployment Insurance'!X21</f>
        <v>6.8263428571428566</v>
      </c>
      <c r="Y15" s="850" t="n">
        <f>'Unemployment Insurance'!Y21</f>
        <v>7.0828571428571427</v>
      </c>
      <c r="Z15" s="850" t="n">
        <f>'Unemployment Insurance'!Z21</f>
        <v>34.9</v>
      </c>
      <c r="AA15" s="850" t="n">
        <f>'Unemployment Insurance'!AA21</f>
        <v>35.700000000000003</v>
      </c>
      <c r="AB15" s="850" t="n">
        <f>'Unemployment Insurance'!AB21</f>
        <v>35.700000000000003</v>
      </c>
      <c r="AC15" s="850" t="n">
        <f>'Unemployment Insurance'!AC21</f>
        <v>35.700000000000003</v>
      </c>
      <c r="AD15" s="850" t="n">
        <f>'Unemployment Insurance'!AD21</f>
        <v>35.700000000000003</v>
      </c>
      <c r="AE15" s="859"/>
      <c r="AF15" s="859"/>
      <c r="AG15" s="859"/>
      <c r="AH15" s="859"/>
      <c r="AI15" s="859"/>
      <c r="AJ15" s="859"/>
      <c r="AK15" s="859"/>
      <c r="AL15" s="859"/>
      <c r="AM15" s="859"/>
      <c r="AN15" s="859"/>
    </row>
    <row r="16" ht="17.899999999999999" customHeight="1">
      <c r="B16" s="865" t="s">
        <v>46</v>
      </c>
      <c r="C16" s="289"/>
      <c r="D16" s="844" t="n">
        <f>Medicare!D10</f>
        <v>7</v>
      </c>
      <c r="E16" s="859" t="n">
        <f>Medicare!E10</f>
        <v>7.2</v>
      </c>
      <c r="F16" s="859" t="n">
        <f>Medicare!F10</f>
        <v>7.3</v>
      </c>
      <c r="G16" s="859" t="n">
        <f>Medicare!G10</f>
        <v>7.5</v>
      </c>
      <c r="H16" s="859" t="n">
        <f>Medicare!H10</f>
        <v>7.8</v>
      </c>
      <c r="I16" s="859" t="n">
        <f>Medicare!I10</f>
        <v>8</v>
      </c>
      <c r="J16" s="859" t="n">
        <f>Medicare!J10</f>
        <v>8.1</v>
      </c>
      <c r="K16" s="859" t="n">
        <f>Medicare!K10</f>
        <v>8.3000000000000007</v>
      </c>
      <c r="L16" s="859" t="n">
        <f>Medicare!L10</f>
        <v>8.5</v>
      </c>
      <c r="M16" s="859" t="n">
        <f>Medicare!M10</f>
        <v>8.6999999999999993</v>
      </c>
      <c r="N16" s="859" t="n">
        <f>Medicare!N10</f>
        <v>8.9</v>
      </c>
      <c r="O16" s="859" t="n">
        <f>Medicare!O10</f>
        <v>9.1999999999999993</v>
      </c>
      <c r="P16" s="859" t="n">
        <f>Medicare!P10</f>
        <v>9.5</v>
      </c>
      <c r="Q16" s="859" t="n">
        <f>Medicare!Q10</f>
        <v>10</v>
      </c>
      <c r="R16" s="859" t="n">
        <f>Medicare!R10</f>
        <v>10.5</v>
      </c>
      <c r="S16" s="859" t="n">
        <f>Medicare!S10</f>
        <v>11</v>
      </c>
      <c r="T16" s="859" t="n">
        <f>Medicare!T10</f>
        <v>11.7</v>
      </c>
      <c r="U16" s="859" t="n">
        <f>Medicare!U10</f>
        <v>12.4</v>
      </c>
      <c r="V16" s="859" t="n">
        <f>Medicare!V10</f>
        <v>13.1</v>
      </c>
      <c r="W16" s="859" t="n">
        <f>Medicare!W10</f>
        <v>13.8</v>
      </c>
      <c r="X16" s="859" t="n">
        <f>Medicare!X10</f>
        <v>14.5</v>
      </c>
      <c r="Y16" s="859" t="n">
        <f>Medicare!Y10</f>
        <v>15.2</v>
      </c>
      <c r="Z16" s="859" t="n">
        <f>Medicare!Z10</f>
        <v>16</v>
      </c>
      <c r="AA16" s="859" t="n">
        <f>Medicare!AA10</f>
        <v>16.8</v>
      </c>
      <c r="AB16" s="859" t="n">
        <f>Medicare!AB10</f>
        <v>17.600000000000001</v>
      </c>
      <c r="AC16" s="859" t="n">
        <f>Medicare!AC10</f>
        <v>18.399999999999999</v>
      </c>
      <c r="AD16" s="859" t="n">
        <f>Medicare!AD10</f>
        <v>19.2</v>
      </c>
      <c r="AE16" s="859" t="n">
        <f>Medicare!AE10</f>
        <v>19.444513501822815</v>
      </c>
      <c r="AF16" s="859" t="n">
        <f>Medicare!AF10</f>
        <v>19.73550058158127</v>
      </c>
      <c r="AG16" s="859" t="n">
        <f>Medicare!AG10</f>
        <v>20.030842282018636</v>
      </c>
      <c r="AH16" s="859" t="n">
        <f>Medicare!AH10</f>
        <v>20.330603770018858</v>
      </c>
      <c r="AI16" s="859" t="n">
        <f>Medicare!AI10</f>
        <v>20.634851187688085</v>
      </c>
      <c r="AJ16" s="859" t="n">
        <f>Medicare!AJ10</f>
        <v>20.946315392672279</v>
      </c>
      <c r="AK16" s="859" t="n">
        <f>Medicare!AK10</f>
        <v>21.262480864949563</v>
      </c>
      <c r="AL16" s="859" t="n">
        <f>Medicare!AL10</f>
        <v>21.583418565849705</v>
      </c>
      <c r="AM16" s="859" t="n">
        <f>Medicare!AM10</f>
        <v>21.909200527798841</v>
      </c>
      <c r="AN16" s="859" t="n">
        <f>Medicare!AN10</f>
        <v>21.909200527798841</v>
      </c>
    </row>
    <row r="17" ht="17.899999999999999" customHeight="1">
      <c r="B17" s="737" t="s">
        <v>385</v>
      </c>
      <c r="C17" s="289" t="s">
        <v>386</v>
      </c>
      <c r="D17" s="844" t="n">
        <f>D61</f>
        <v>27.088000000000001</v>
      </c>
      <c r="E17" s="844" t="n">
        <f t="shared" ref="E17:AN17" si="4">E61</f>
        <v>34.148000000000003</v>
      </c>
      <c r="F17" s="844" t="n">
        <f t="shared" si="4"/>
        <v>31.952000000000002</v>
      </c>
      <c r="G17" s="844" t="n">
        <f t="shared" si="4"/>
        <v>32.332000000000001</v>
      </c>
      <c r="H17" s="844" t="n">
        <f t="shared" si="4"/>
        <v>32.82</v>
      </c>
      <c r="I17" s="844" t="n">
        <f t="shared" si="4"/>
        <v>38.700000000000003</v>
      </c>
      <c r="J17" s="844" t="n">
        <f t="shared" si="4"/>
        <v>37.216000000000001</v>
      </c>
      <c r="K17" s="844" t="n">
        <f t="shared" si="4"/>
        <v>37.731999999999999</v>
      </c>
      <c r="L17" s="844" t="n">
        <f t="shared" si="4"/>
        <v>38.283999999999999</v>
      </c>
      <c r="M17" s="844" t="n">
        <f t="shared" si="4"/>
        <v>38.747999999999998</v>
      </c>
      <c r="N17" s="844" t="n">
        <f t="shared" si="4"/>
        <v>39.283999999999999</v>
      </c>
      <c r="O17" s="844" t="n">
        <f t="shared" si="4"/>
        <v>47.475999999999999</v>
      </c>
      <c r="P17" s="844" t="n">
        <f t="shared" si="4"/>
        <v>49.095999999999997</v>
      </c>
      <c r="Q17" s="844" t="n">
        <f t="shared" si="4"/>
        <v>50.332000000000001</v>
      </c>
      <c r="R17" s="844" t="n">
        <f t="shared" si="4"/>
        <v>51.216000000000001</v>
      </c>
      <c r="S17" s="844" t="n">
        <f t="shared" si="4"/>
        <v>52.015999999999998</v>
      </c>
      <c r="T17" s="844" t="n">
        <f t="shared" si="4"/>
        <v>52.463999999999999</v>
      </c>
      <c r="U17" s="844" t="n">
        <f t="shared" si="4"/>
        <v>56.915999999999997</v>
      </c>
      <c r="V17" s="844" t="n">
        <f t="shared" si="4"/>
        <v>59.804000000000002</v>
      </c>
      <c r="W17" s="844" t="n">
        <f t="shared" si="4"/>
        <v>61.244</v>
      </c>
      <c r="X17" s="844" t="n">
        <f t="shared" si="4"/>
        <v>62</v>
      </c>
      <c r="Y17" s="844" t="n">
        <f t="shared" si="4"/>
        <v>62.887999999999998</v>
      </c>
      <c r="Z17" s="844" t="n">
        <f t="shared" si="4"/>
        <v>69.012</v>
      </c>
      <c r="AA17" s="844" t="n">
        <f t="shared" si="4"/>
        <v>69.680000000000007</v>
      </c>
      <c r="AB17" s="844" t="n">
        <f t="shared" si="4"/>
        <v>70.959999999999994</v>
      </c>
      <c r="AC17" s="844" t="n">
        <f t="shared" si="4"/>
        <v>71.415999999999997</v>
      </c>
      <c r="AD17" s="844" t="n">
        <f t="shared" si="4"/>
        <v>76.995999999999995</v>
      </c>
      <c r="AE17" s="844" t="n">
        <f t="shared" si="4"/>
        <v>80.995999999999995</v>
      </c>
      <c r="AF17" s="844" t="n">
        <f t="shared" si="4"/>
        <v>93.995999999999995</v>
      </c>
      <c r="AG17" s="844" t="n">
        <f t="shared" si="4"/>
        <v>109.15790799999999</v>
      </c>
      <c r="AH17" s="844" t="n">
        <f t="shared" si="4"/>
        <v>122.15790799999999</v>
      </c>
      <c r="AI17" s="844" t="n">
        <f t="shared" si="4"/>
        <v>135.15790799999999</v>
      </c>
      <c r="AJ17" s="844" t="n">
        <f t="shared" si="4"/>
        <v>148.15790799999999</v>
      </c>
      <c r="AK17" s="844" t="n">
        <f t="shared" si="4"/>
        <v>164.565539884</v>
      </c>
      <c r="AL17" s="844" t="n">
        <f t="shared" si="4"/>
        <v>177.565539884</v>
      </c>
      <c r="AM17" s="844" t="n">
        <f t="shared" si="4"/>
        <v>190.565539884</v>
      </c>
      <c r="AN17" s="844" t="n">
        <f t="shared" si="4"/>
        <v>203.565539884</v>
      </c>
    </row>
    <row r="18" ht="18" customHeight="1">
      <c r="B18" s="866" t="s">
        <v>379</v>
      </c>
      <c r="C18" s="289"/>
      <c r="D18" s="859" t="n">
        <f>'Rebate Checks (expired)'!D10 +'Rebate Checks (expired)'!D11</f>
        <v>0</v>
      </c>
      <c r="E18" s="859" t="n">
        <f>'Rebate Checks (expired)'!E10 +'Rebate Checks (expired)'!E11</f>
        <v>0</v>
      </c>
      <c r="F18" s="859" t="n">
        <f>'Rebate Checks (expired)'!F10 +'Rebate Checks (expired)'!F11</f>
        <v>0</v>
      </c>
      <c r="G18" s="859" t="n">
        <f>'Rebate Checks (expired)'!G10 +'Rebate Checks (expired)'!G11</f>
        <v>0</v>
      </c>
      <c r="H18" s="859" t="n">
        <f>'Rebate Checks (expired)'!H10 +'Rebate Checks (expired)'!H11</f>
        <v>0</v>
      </c>
      <c r="I18" s="859" t="n">
        <f>'Rebate Checks (expired)'!I10 +'Rebate Checks (expired)'!I11</f>
        <v>0</v>
      </c>
      <c r="J18" s="859" t="n">
        <f>'Rebate Checks (expired)'!J10 +'Rebate Checks (expired)'!J11</f>
        <v>0</v>
      </c>
      <c r="K18" s="859" t="n">
        <f>'Rebate Checks (expired)'!K10 +'Rebate Checks (expired)'!K11</f>
        <v>0</v>
      </c>
      <c r="L18" s="859" t="n">
        <f>'Rebate Checks (expired)'!L10 +'Rebate Checks (expired)'!L11</f>
        <v>0</v>
      </c>
      <c r="M18" s="859" t="n">
        <f>'Rebate Checks (expired)'!M10 +'Rebate Checks (expired)'!M11</f>
        <v>0</v>
      </c>
      <c r="N18" s="859" t="n">
        <f>'Rebate Checks (expired)'!N10 +'Rebate Checks (expired)'!N11</f>
        <v>0</v>
      </c>
      <c r="O18" s="859" t="n">
        <f>'Rebate Checks (expired)'!O10 +'Rebate Checks (expired)'!O11</f>
        <v>0</v>
      </c>
      <c r="P18" s="859" t="n">
        <f>'Rebate Checks (expired)'!P10 +'Rebate Checks (expired)'!P11</f>
        <v>0</v>
      </c>
      <c r="Q18" s="859" t="n">
        <f>'Rebate Checks (expired)'!Q10 +'Rebate Checks (expired)'!Q11</f>
        <v>0</v>
      </c>
      <c r="R18" s="859" t="n">
        <f>'Rebate Checks (expired)'!Q10 +'Rebate Checks (expired)'!R11</f>
        <v>0</v>
      </c>
      <c r="S18" s="859" t="n">
        <f>'Rebate Checks (expired)'!S10 +'Rebate Checks (expired)'!S11</f>
        <v>0</v>
      </c>
      <c r="T18" s="859" t="n">
        <f>'Rebate Checks (expired)'!T10 +'Rebate Checks (expired)'!T11</f>
        <v>0</v>
      </c>
      <c r="U18" s="859" t="n">
        <f>'Rebate Checks (expired)'!U10 +'Rebate Checks (expired)'!U11</f>
        <v>0</v>
      </c>
      <c r="V18" s="859" t="n">
        <f>'Rebate Checks (expired)'!V10 +'Rebate Checks (expired)'!V11</f>
        <v>0</v>
      </c>
      <c r="W18" s="859" t="n">
        <f>'Rebate Checks (expired)'!W10 +'Rebate Checks (expired)'!W11</f>
        <v>0</v>
      </c>
      <c r="X18" s="859" t="n">
        <f>'Rebate Checks (expired)'!X10 +'Rebate Checks (expired)'!X11</f>
        <v>0</v>
      </c>
      <c r="Y18" s="859" t="n">
        <f>'Rebate Checks (expired)'!Y10 +'Rebate Checks (expired)'!Y11</f>
        <v>0</v>
      </c>
      <c r="Z18" s="859" t="n">
        <f>'Rebate Checks (expired)'!Z10 +'Rebate Checks (expired)'!Z11</f>
        <v>0</v>
      </c>
      <c r="AA18" s="859" t="n">
        <f>'Rebate Checks (expired)'!AA10 +'Rebate Checks (expired)'!AA11</f>
        <v>0</v>
      </c>
      <c r="AB18" s="859" t="n">
        <f>'Rebate Checks (expired)'!AB10 +'Rebate Checks (expired)'!AB11</f>
        <v>0</v>
      </c>
      <c r="AC18" s="859" t="n">
        <f>'Rebate Checks (expired)'!AC10 +'Rebate Checks (expired)'!AC11</f>
        <v>0</v>
      </c>
      <c r="AD18" s="859" t="n">
        <f>'Rebate Checks (expired)'!AD10 +'Rebate Checks (expired)'!AD11</f>
        <v>0</v>
      </c>
      <c r="AE18" s="859" t="n">
        <f>'Rebate Checks (expired)'!AE10 +'Rebate Checks (expired)'!AE11</f>
        <v>0</v>
      </c>
      <c r="AF18" s="859" t="n">
        <f>'Rebate Checks (expired)'!AF10 +'Rebate Checks (expired)'!AF11</f>
        <v>0</v>
      </c>
      <c r="AG18" s="859" t="n">
        <f>'Rebate Checks (expired)'!AG10 +'Rebate Checks (expired)'!AG11</f>
        <v>0</v>
      </c>
      <c r="AH18" s="859" t="n">
        <f>'Rebate Checks (expired)'!AH10 +'Rebate Checks (expired)'!AH11</f>
        <v>0</v>
      </c>
      <c r="AI18" s="859" t="n">
        <f>'Rebate Checks (expired)'!AI10 +'Rebate Checks (expired)'!AI11</f>
        <v>0</v>
      </c>
      <c r="AJ18" s="859" t="n">
        <f>'Rebate Checks (expired)'!AJ10 +'Rebate Checks (expired)'!AJ11</f>
        <v>0</v>
      </c>
      <c r="AK18" s="859" t="n">
        <f>'Rebate Checks (expired)'!AK10 +'Rebate Checks (expired)'!AK11</f>
        <v>0</v>
      </c>
      <c r="AL18" s="859" t="n">
        <f>'Rebate Checks (expired)'!AL10 +'Rebate Checks (expired)'!AL11</f>
        <v>0</v>
      </c>
      <c r="AM18" s="859" t="n">
        <f>'Rebate Checks (expired)'!AM10 +'Rebate Checks (expired)'!AM11</f>
        <v>0</v>
      </c>
      <c r="AN18" s="859" t="n">
        <f>'Rebate Checks (expired)'!AN10 +'Rebate Checks (expired)'!AN11</f>
        <v>0</v>
      </c>
    </row>
    <row r="19" ht="18" customHeight="1">
      <c r="B19" s="867" t="s">
        <v>1740</v>
      </c>
      <c r="C19" s="289"/>
      <c r="D19" s="859" t="n">
        <f>'Rebate Checks (expired)'!D10</f>
        <v>0</v>
      </c>
      <c r="E19" s="859" t="n">
        <f>'Rebate Checks (expired)'!E10</f>
        <v>0</v>
      </c>
      <c r="F19" s="859" t="n">
        <f>'Rebate Checks (expired)'!F10</f>
        <v>0</v>
      </c>
      <c r="G19" s="859" t="n">
        <f>'Rebate Checks (expired)'!G10</f>
        <v>0</v>
      </c>
      <c r="H19" s="859" t="n">
        <f>'Rebate Checks (expired)'!H10</f>
        <v>0</v>
      </c>
      <c r="I19" s="859" t="n">
        <f>'Rebate Checks (expired)'!I10</f>
        <v>0</v>
      </c>
      <c r="J19" s="859" t="n">
        <f>'Rebate Checks (expired)'!J10</f>
        <v>0</v>
      </c>
      <c r="K19" s="859" t="n">
        <f>'Rebate Checks (expired)'!K10</f>
        <v>0</v>
      </c>
      <c r="L19" s="859" t="n">
        <f>'Rebate Checks (expired)'!L10</f>
        <v>0</v>
      </c>
      <c r="M19" s="859" t="n">
        <f>'Rebate Checks (expired)'!M10</f>
        <v>-585.6</v>
      </c>
      <c r="N19" s="859" t="n">
        <f>'Rebate Checks (expired)'!N10</f>
        <v>0</v>
      </c>
      <c r="O19" s="859" t="n">
        <f>'Rebate Checks (expired)'!O10</f>
        <v>0</v>
      </c>
      <c r="P19" s="859" t="n">
        <f>'Rebate Checks (expired)'!P10</f>
        <v>0</v>
      </c>
      <c r="Q19" s="859" t="n">
        <f>'Rebate Checks (expired)'!Q10</f>
        <v>0</v>
      </c>
      <c r="R19" s="859" t="n">
        <f>'Rebate Checks (expired)'!R10</f>
        <v>0</v>
      </c>
      <c r="S19" s="859" t="n">
        <f>'Rebate Checks (expired)'!S10</f>
        <v>0</v>
      </c>
      <c r="T19" s="859" t="n">
        <f>'Rebate Checks (expired)'!T10</f>
        <v>0</v>
      </c>
      <c r="U19" s="859" t="n">
        <f>'Rebate Checks (expired)'!U10</f>
        <v>0</v>
      </c>
      <c r="V19" s="859" t="n">
        <f>'Rebate Checks (expired)'!V10</f>
        <v>0</v>
      </c>
      <c r="W19" s="859" t="n">
        <f>'Rebate Checks (expired)'!W10</f>
        <v>0</v>
      </c>
      <c r="X19" s="859"/>
      <c r="Y19" s="859"/>
      <c r="Z19" s="859"/>
      <c r="AA19" s="859"/>
      <c r="AB19" s="859"/>
      <c r="AC19" s="859"/>
      <c r="AD19" s="859"/>
      <c r="AE19" s="859"/>
      <c r="AF19" s="859"/>
      <c r="AG19" s="859"/>
      <c r="AH19" s="859"/>
      <c r="AI19" s="859"/>
      <c r="AJ19" s="859"/>
      <c r="AK19" s="859"/>
      <c r="AL19" s="859"/>
      <c r="AM19" s="859"/>
      <c r="AN19" s="859"/>
    </row>
    <row r="20" ht="18" customHeight="1">
      <c r="B20" s="867" t="s">
        <v>1741</v>
      </c>
      <c r="C20" s="289"/>
      <c r="D20" s="859" t="n">
        <f>'Rebate Checks (expired)'!D11</f>
        <v>0</v>
      </c>
      <c r="E20" s="859" t="n">
        <f>'Rebate Checks (expired)'!E11</f>
        <v>0</v>
      </c>
      <c r="F20" s="859" t="n">
        <f>'Rebate Checks (expired)'!F11</f>
        <v>0</v>
      </c>
      <c r="G20" s="859" t="n">
        <f>'Rebate Checks (expired)'!G11</f>
        <v>0</v>
      </c>
      <c r="H20" s="859" t="n">
        <f>'Rebate Checks (expired)'!H11</f>
        <v>0</v>
      </c>
      <c r="I20" s="859" t="n">
        <f>'Rebate Checks (expired)'!I11</f>
        <v>0</v>
      </c>
      <c r="J20" s="859" t="n">
        <f>'Rebate Checks (expired)'!J11</f>
        <v>0</v>
      </c>
      <c r="K20" s="859" t="n">
        <f>'Rebate Checks (expired)'!K11</f>
        <v>0</v>
      </c>
      <c r="L20" s="859" t="n">
        <f>'Rebate Checks (expired)'!L11</f>
        <v>0</v>
      </c>
      <c r="M20" s="859" t="n">
        <f>'Rebate Checks (expired)'!M11</f>
        <v>585.6</v>
      </c>
      <c r="N20" s="859" t="n">
        <f>'Rebate Checks (expired)'!N11</f>
        <v>0</v>
      </c>
      <c r="O20" s="859" t="n">
        <f>'Rebate Checks (expired)'!O11</f>
        <v>0</v>
      </c>
      <c r="P20" s="859" t="n">
        <f>'Rebate Checks (expired)'!P11</f>
        <v>0</v>
      </c>
      <c r="Q20" s="859" t="n">
        <f>'Rebate Checks (expired)'!Q11</f>
        <v>0</v>
      </c>
      <c r="R20" s="859" t="n">
        <f>'Rebate Checks (expired)'!R11</f>
        <v>0</v>
      </c>
      <c r="S20" s="859" t="n">
        <f>'Rebate Checks (expired)'!S11</f>
        <v>0</v>
      </c>
      <c r="T20" s="859" t="n">
        <f>'Rebate Checks (expired)'!T11</f>
        <v>0</v>
      </c>
      <c r="U20" s="859" t="n">
        <f>'Rebate Checks (expired)'!U11</f>
        <v>0</v>
      </c>
      <c r="V20" s="859" t="n">
        <f>'Rebate Checks (expired)'!V11</f>
        <v>0</v>
      </c>
      <c r="W20" s="859" t="n">
        <f>'Rebate Checks (expired)'!W11</f>
        <v>0</v>
      </c>
      <c r="X20" s="859"/>
      <c r="Y20" s="859"/>
      <c r="Z20" s="859"/>
      <c r="AA20" s="859"/>
      <c r="AB20" s="859"/>
      <c r="AC20" s="859"/>
      <c r="AD20" s="859"/>
      <c r="AE20" s="859"/>
      <c r="AF20" s="859"/>
      <c r="AG20" s="859"/>
      <c r="AH20" s="859"/>
      <c r="AI20" s="859"/>
      <c r="AJ20" s="859"/>
      <c r="AK20" s="859"/>
      <c r="AL20" s="859"/>
      <c r="AM20" s="859"/>
      <c r="AN20" s="859"/>
    </row>
    <row r="21" ht="18" customHeight="1">
      <c r="B21" s="868" t="s">
        <v>40</v>
      </c>
      <c r="C21" s="289"/>
      <c r="D21" s="845" t="n">
        <f>'Provider Relief (expired)'!D11</f>
        <v>0</v>
      </c>
      <c r="E21" s="846" t="n">
        <f>'Provider Relief (expired)'!E11</f>
        <v>0</v>
      </c>
      <c r="F21" s="846" t="n">
        <f>'Provider Relief (expired)'!F11</f>
        <v>0</v>
      </c>
      <c r="G21" s="846" t="n">
        <f>'Provider Relief (expired)'!G11</f>
        <v>0</v>
      </c>
      <c r="H21" s="846" t="n">
        <f>'Provider Relief (expired)'!H11</f>
        <v>0</v>
      </c>
      <c r="I21" s="846" t="n">
        <f>'Provider Relief (expired)'!I11</f>
        <v>0</v>
      </c>
      <c r="J21" s="846" t="n">
        <f>'Provider Relief (expired)'!J11</f>
        <v>0</v>
      </c>
      <c r="K21" s="846" t="n">
        <f>'Provider Relief (expired)'!K11</f>
        <v>0</v>
      </c>
      <c r="L21" s="846" t="n">
        <f>'Provider Relief (expired)'!L11</f>
        <v>0</v>
      </c>
      <c r="M21" s="846" t="n">
        <f>'Provider Relief (expired)'!M11</f>
        <v>0</v>
      </c>
      <c r="N21" s="846" t="n">
        <f>'Provider Relief (expired)'!N11</f>
        <v>0</v>
      </c>
      <c r="O21" s="846" t="n">
        <f>'Provider Relief (expired)'!O11</f>
        <v>0</v>
      </c>
      <c r="P21" s="846" t="n">
        <f>'Provider Relief (expired)'!P11</f>
        <v>0</v>
      </c>
      <c r="Q21" s="846" t="n">
        <f>'Provider Relief (expired)'!Q11</f>
        <v>0</v>
      </c>
      <c r="R21" s="846" t="n">
        <f>'Provider Relief (expired)'!R11</f>
        <v>0</v>
      </c>
      <c r="S21" s="846" t="n">
        <f>'Provider Relief (expired)'!S11</f>
        <v>0</v>
      </c>
      <c r="T21" s="846" t="n">
        <f>'Provider Relief (expired)'!T11</f>
        <v>0</v>
      </c>
      <c r="U21" s="846" t="n">
        <v>0</v>
      </c>
      <c r="V21" s="859" t="n">
        <v>0</v>
      </c>
      <c r="W21" s="859" t="n">
        <v>0</v>
      </c>
      <c r="X21" s="859" t="n">
        <v>0</v>
      </c>
      <c r="Y21" s="859" t="n">
        <v>0</v>
      </c>
      <c r="Z21" s="859" t="n">
        <v>0</v>
      </c>
      <c r="AA21" s="859" t="n">
        <v>0</v>
      </c>
      <c r="AB21" s="859" t="n">
        <v>0</v>
      </c>
      <c r="AC21" s="859" t="n">
        <v>0</v>
      </c>
      <c r="AD21" s="859" t="n">
        <v>0</v>
      </c>
      <c r="AE21" s="859" t="n">
        <v>0</v>
      </c>
      <c r="AF21" s="859" t="n">
        <v>0</v>
      </c>
      <c r="AG21" s="859" t="n">
        <v>0</v>
      </c>
      <c r="AH21" s="859" t="n">
        <v>0</v>
      </c>
      <c r="AI21" s="859" t="n">
        <v>0</v>
      </c>
      <c r="AJ21" s="859" t="n">
        <v>0</v>
      </c>
      <c r="AK21" s="859" t="n">
        <v>0</v>
      </c>
      <c r="AL21" s="859" t="n">
        <v>0</v>
      </c>
      <c r="AM21" s="859" t="n">
        <v>0</v>
      </c>
      <c r="AN21" s="859" t="n">
        <v>0</v>
      </c>
    </row>
    <row r="22" ht="20.149999999999999" customHeight="1">
      <c r="B22" s="416" t="s">
        <v>382</v>
      </c>
      <c r="C22" s="412"/>
      <c r="D22" s="847"/>
      <c r="E22" s="843"/>
      <c r="F22" s="843"/>
      <c r="G22" s="843"/>
      <c r="H22" s="740"/>
      <c r="I22" s="740"/>
      <c r="J22" s="740"/>
      <c r="K22" s="740"/>
      <c r="L22" s="740"/>
      <c r="M22" s="740" t="n">
        <f>'ARP Quarterly'!C5</f>
        <v>0</v>
      </c>
      <c r="N22" s="740" t="n">
        <f>'ARP Quarterly'!D5</f>
        <v>33.921840000000024</v>
      </c>
      <c r="O22" s="740" t="n">
        <f>'ARP Quarterly'!E5</f>
        <v>44.966160000000031</v>
      </c>
      <c r="P22" s="740" t="n">
        <f>'ARP Quarterly'!F5</f>
        <v>52.756999999999998</v>
      </c>
      <c r="Q22" s="740" t="n">
        <f>'ARP Quarterly'!G5</f>
        <v>52.756999999999998</v>
      </c>
      <c r="R22" s="740" t="n">
        <f>'ARP Quarterly'!H5</f>
        <v>52.756999999999998</v>
      </c>
      <c r="S22" s="740" t="n">
        <f>'ARP Quarterly'!I5</f>
        <v>52.756999999999998</v>
      </c>
      <c r="T22" s="740" t="n">
        <v>30</v>
      </c>
      <c r="U22" s="740" t="n">
        <f>'ARP Quarterly'!K5</f>
        <v>12</v>
      </c>
      <c r="V22" s="740" t="n">
        <f>'ARP Quarterly'!L5</f>
        <v>12</v>
      </c>
      <c r="W22" s="740" t="n">
        <f>'ARP Quarterly'!M5</f>
        <v>12</v>
      </c>
      <c r="X22" s="740" t="n">
        <f>'ARP Quarterly'!N5</f>
        <v>4.2219999999999995</v>
      </c>
      <c r="Y22" s="740" t="n">
        <f>'ARP Quarterly'!O5</f>
        <v>4.2219999999999995</v>
      </c>
      <c r="Z22" s="740" t="n">
        <f>'ARP Quarterly'!P5</f>
        <v>4.2219999999999995</v>
      </c>
      <c r="AA22" s="740" t="n">
        <f>'ARP Quarterly'!Q5</f>
        <v>4.2219999999999995</v>
      </c>
      <c r="AB22" s="740" t="n">
        <f>'ARP Quarterly'!R5</f>
        <v>2.3719999999999999</v>
      </c>
      <c r="AC22" s="740" t="n">
        <f>'ARP Quarterly'!S5</f>
        <v>2.3719999999999999</v>
      </c>
      <c r="AD22" s="740" t="n">
        <f>'ARP Quarterly'!T5</f>
        <v>2.3719999999999999</v>
      </c>
      <c r="AE22" s="740" t="n">
        <f>'ARP Quarterly'!U5</f>
        <v>2.3719999999999999</v>
      </c>
      <c r="AF22" s="740" t="n">
        <f>'ARP Quarterly'!V5</f>
        <v>0.49</v>
      </c>
      <c r="AG22" s="380" t="n">
        <v>0</v>
      </c>
      <c r="AH22" s="380" t="n">
        <v>0</v>
      </c>
      <c r="AI22" s="380" t="n">
        <v>0</v>
      </c>
      <c r="AJ22" s="380" t="n">
        <v>0</v>
      </c>
      <c r="AK22" s="380" t="n">
        <v>0</v>
      </c>
      <c r="AL22" s="380" t="n">
        <v>0</v>
      </c>
      <c r="AM22" s="380" t="n">
        <v>0</v>
      </c>
      <c r="AN22" s="380" t="n">
        <v>0</v>
      </c>
    </row>
    <row r="23" ht="22.4" customHeight="1">
      <c r="B23" s="401" t="s">
        <v>151</v>
      </c>
      <c r="C23" s="871"/>
      <c r="D23" s="845"/>
      <c r="E23" s="846"/>
      <c r="F23" s="846"/>
      <c r="G23" s="846"/>
      <c r="H23" s="846"/>
      <c r="I23" s="846"/>
      <c r="J23" s="846"/>
      <c r="K23" s="846"/>
      <c r="L23" s="846"/>
      <c r="M23" s="859" t="n">
        <f>'ARP Quarterly'!C4</f>
        <v>0</v>
      </c>
      <c r="N23" s="859" t="n">
        <f>'ARP Quarterly'!D4</f>
        <v>0</v>
      </c>
      <c r="O23" s="859" t="n">
        <f>'ARP Quarterly'!E4</f>
        <v>3.1040000000000418</v>
      </c>
      <c r="P23" s="859" t="n">
        <f>'ARP Quarterly'!F4</f>
        <v>19.719000000000005</v>
      </c>
      <c r="Q23" s="859" t="n">
        <f>'ARP Quarterly'!G4</f>
        <v>19.719000000000005</v>
      </c>
      <c r="R23" s="859" t="n">
        <f>'ARP Quarterly'!H4</f>
        <v>19.719000000000005</v>
      </c>
      <c r="S23" s="859" t="n">
        <f>'ARP Quarterly'!I4</f>
        <v>19.719000000000005</v>
      </c>
      <c r="T23" s="859" t="n">
        <f>'ARP Quarterly'!J4</f>
        <v>1.4159999999999999</v>
      </c>
      <c r="U23" s="859" t="n">
        <f>'ARP Quarterly'!K4</f>
        <v>1.4159999999999999</v>
      </c>
      <c r="V23" s="859" t="n">
        <f>'ARP Quarterly'!L4</f>
        <v>1.4159999999999999</v>
      </c>
      <c r="W23" s="859" t="n">
        <f>'ARP Quarterly'!M4</f>
        <v>1.4159999999999999</v>
      </c>
      <c r="X23" s="859" t="n">
        <f>'ARP Quarterly'!N4</f>
        <v>1.4790000000000001</v>
      </c>
      <c r="Y23" s="859" t="n">
        <f>'ARP Quarterly'!O4</f>
        <v>1.4790000000000001</v>
      </c>
      <c r="Z23" s="859" t="n">
        <f>'ARP Quarterly'!P4</f>
        <v>1.4790000000000001</v>
      </c>
      <c r="AA23" s="859" t="n">
        <f>'ARP Quarterly'!Q4</f>
        <v>1.4790000000000001</v>
      </c>
      <c r="AB23" s="859" t="n">
        <f>'ARP Quarterly'!R4</f>
        <v>1.63</v>
      </c>
      <c r="AC23" s="859" t="n">
        <f>'ARP Quarterly'!S4</f>
        <v>1.63</v>
      </c>
      <c r="AD23" s="859" t="n">
        <f>'ARP Quarterly'!T4</f>
        <v>1.63</v>
      </c>
      <c r="AE23" s="859" t="n">
        <f>'ARP Quarterly'!U4</f>
        <v>1.63</v>
      </c>
      <c r="AF23" s="859" t="n">
        <f>'ARP Quarterly'!V4</f>
        <v>1.671</v>
      </c>
      <c r="AG23" s="849" t="n">
        <v>0</v>
      </c>
      <c r="AH23" s="849" t="n">
        <v>0</v>
      </c>
      <c r="AI23" s="849" t="n">
        <v>0</v>
      </c>
      <c r="AJ23" s="849" t="n">
        <v>0</v>
      </c>
      <c r="AK23" s="849" t="n">
        <v>0</v>
      </c>
      <c r="AL23" s="849" t="n">
        <v>0</v>
      </c>
      <c r="AM23" s="849" t="n">
        <v>0</v>
      </c>
      <c r="AN23" s="849" t="n">
        <v>0</v>
      </c>
      <c r="AO23" s="871"/>
      <c r="AP23" s="871"/>
      <c r="AQ23" s="871"/>
      <c r="AR23" s="871"/>
      <c r="AS23" s="871"/>
      <c r="AT23" s="871"/>
      <c r="AU23" s="871"/>
      <c r="AV23" s="871"/>
      <c r="AW23" s="871"/>
      <c r="AX23" s="871"/>
      <c r="AY23" s="871"/>
      <c r="AZ23" s="871"/>
      <c r="BA23" s="871"/>
      <c r="BB23" s="871"/>
      <c r="BC23" s="871"/>
      <c r="BD23" s="871"/>
      <c r="BE23" s="871"/>
      <c r="BF23" s="871"/>
      <c r="BG23" s="871"/>
      <c r="BH23" s="871"/>
      <c r="BI23" s="871"/>
      <c r="BJ23" s="871"/>
      <c r="BK23" s="871"/>
      <c r="BL23" s="871"/>
      <c r="BM23" s="871"/>
      <c r="BN23" s="871"/>
      <c r="BO23" s="871"/>
      <c r="BP23" s="871"/>
      <c r="BQ23" s="871"/>
      <c r="BR23" s="871"/>
      <c r="BS23" s="871"/>
      <c r="BT23" s="871"/>
      <c r="BU23" s="871"/>
      <c r="BV23" s="871"/>
      <c r="BW23" s="871"/>
      <c r="BX23" s="871"/>
      <c r="BY23" s="871"/>
      <c r="BZ23" s="871"/>
      <c r="CA23" s="871"/>
      <c r="CB23" s="871"/>
      <c r="CC23" s="871"/>
      <c r="CD23" s="871"/>
      <c r="CE23" s="871"/>
      <c r="CF23" s="871"/>
      <c r="CG23" s="871"/>
      <c r="CH23" s="871"/>
      <c r="CI23" s="871"/>
      <c r="CJ23" s="871"/>
      <c r="CK23" s="871"/>
      <c r="CL23" s="871"/>
      <c r="CM23" s="871"/>
      <c r="CN23" s="871"/>
      <c r="CO23" s="871"/>
      <c r="CP23" s="871"/>
      <c r="CQ23" s="871"/>
      <c r="CR23" s="871"/>
      <c r="CS23" s="871"/>
      <c r="CT23" s="871"/>
      <c r="CU23" s="871"/>
      <c r="CV23" s="871"/>
      <c r="CW23" s="871"/>
      <c r="CX23" s="871"/>
    </row>
    <row r="24" ht="36.65" customHeight="1">
      <c r="B24" s="401" t="s">
        <v>1332</v>
      </c>
      <c r="C24" s="289"/>
      <c r="D24" s="277" t="n">
        <f>D44</f>
        <v>0</v>
      </c>
      <c r="E24" s="257" t="n">
        <f t="shared" ref="E24:AE24" si="5">E44</f>
        <v>0</v>
      </c>
      <c r="F24" s="257" t="n">
        <f t="shared" si="5"/>
        <v>0</v>
      </c>
      <c r="G24" s="257" t="n">
        <f t="shared" si="5"/>
        <v>0</v>
      </c>
      <c r="H24" s="257" t="n">
        <f t="shared" si="5"/>
        <v>0</v>
      </c>
      <c r="I24" s="859" t="n">
        <f t="shared" si="5"/>
        <v>0.23799999999999999</v>
      </c>
      <c r="J24" s="859" t="n">
        <f t="shared" si="5"/>
        <v>0.33799999999999986</v>
      </c>
      <c r="K24" s="859" t="n">
        <f t="shared" si="5"/>
        <v>0.51</v>
      </c>
      <c r="L24" s="859" t="n">
        <f t="shared" si="5"/>
        <v>0.47</v>
      </c>
      <c r="M24" s="859" t="n">
        <f t="shared" si="5"/>
        <v>0.46199999999999997</v>
      </c>
      <c r="N24" s="859" t="n">
        <f t="shared" si="5"/>
        <v>0.746</v>
      </c>
      <c r="O24" s="859" t="n">
        <f t="shared" si="5"/>
        <v>0.79400000000000004</v>
      </c>
      <c r="P24" s="859" t="n">
        <f t="shared" si="5"/>
        <v>0.79400000000000004</v>
      </c>
      <c r="Q24" s="859" t="n">
        <f t="shared" si="5"/>
        <v>0.78200000000000003</v>
      </c>
      <c r="R24" s="859" t="n">
        <f t="shared" si="5"/>
        <v>0.88600000000000012</v>
      </c>
      <c r="S24" s="859" t="n">
        <f t="shared" si="5"/>
        <v>0.92599999999999971</v>
      </c>
      <c r="T24" s="859" t="n">
        <f t="shared" si="5"/>
        <v>1.702</v>
      </c>
      <c r="U24" s="859" t="n">
        <f t="shared" si="5"/>
        <v>1.798</v>
      </c>
      <c r="V24" s="859" t="n">
        <f>V44</f>
        <v>2.258</v>
      </c>
      <c r="W24" s="859" t="n">
        <f>W44</f>
        <v>2.5259999999999998</v>
      </c>
      <c r="X24" s="859" t="n">
        <f t="shared" si="5"/>
        <v>3.0019999999999998</v>
      </c>
      <c r="Y24" s="859" t="n">
        <f t="shared" si="5"/>
        <v>3.1499999999999995</v>
      </c>
      <c r="Z24" s="859" t="n">
        <f t="shared" si="5"/>
        <v>3.4699999999999998</v>
      </c>
      <c r="AA24" s="859" t="n">
        <f t="shared" si="5"/>
        <v>3.3179999999999996</v>
      </c>
      <c r="AB24" s="859" t="n">
        <f t="shared" si="5"/>
        <v>3.4059999999999997</v>
      </c>
      <c r="AC24" s="859" t="n">
        <f t="shared" si="5"/>
        <v>3.3140000000000001</v>
      </c>
      <c r="AD24" s="859" t="n">
        <f t="shared" si="5"/>
        <v>3.0540000000000003</v>
      </c>
      <c r="AE24" s="859" t="n">
        <f t="shared" si="5"/>
        <v>3.0540000000000003</v>
      </c>
      <c r="AF24" s="859" t="n">
        <f>AF44</f>
        <v>-4.907</v>
      </c>
      <c r="AG24" s="859" t="n">
        <f>AG44</f>
        <v>-4.907</v>
      </c>
      <c r="AH24" s="859" t="n">
        <f>AH44</f>
        <v>-4.907</v>
      </c>
      <c r="AI24" s="859" t="n">
        <f>AI44</f>
        <v>-4.907</v>
      </c>
      <c r="AJ24" s="859" t="n">
        <f>AJ44</f>
        <v>-13.061999999999999</v>
      </c>
      <c r="AK24" s="859" t="n">
        <f t="shared" ref="AK24:AN24" si="6">AK44</f>
        <v>-13.061999999999999</v>
      </c>
      <c r="AL24" s="859" t="n">
        <f t="shared" si="6"/>
        <v>-13.061999999999999</v>
      </c>
      <c r="AM24" s="859" t="n">
        <f t="shared" si="6"/>
        <v>-13.061999999999999</v>
      </c>
      <c r="AN24" s="859" t="n">
        <f t="shared" si="6"/>
        <v>-34.707000000000001</v>
      </c>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c r="CQ24" s="289"/>
      <c r="CR24" s="289"/>
      <c r="CS24" s="289"/>
      <c r="CT24" s="289"/>
      <c r="CU24" s="289"/>
      <c r="CV24" s="289"/>
      <c r="CW24" s="289"/>
    </row>
    <row r="25" ht="15.65" customHeight="1">
      <c r="B25" s="401" t="s">
        <v>708</v>
      </c>
      <c r="C25" s="289" t="s">
        <v>735</v>
      </c>
      <c r="D25" s="845" t="n">
        <v>30</v>
      </c>
      <c r="E25" s="846" t="n">
        <v>30</v>
      </c>
      <c r="F25" s="846" t="n">
        <v>30</v>
      </c>
      <c r="G25" s="846" t="n">
        <v>30</v>
      </c>
      <c r="H25" s="846" t="n">
        <v>30</v>
      </c>
      <c r="I25" s="846" t="n">
        <v>30</v>
      </c>
      <c r="J25" s="846" t="n">
        <v>30</v>
      </c>
      <c r="K25" s="384" t="n">
        <v>30.2</v>
      </c>
      <c r="L25" s="384" t="n">
        <v>30.2</v>
      </c>
      <c r="M25" s="384" t="n">
        <f>'Haver Pivoted'!K89</f>
        <v>0</v>
      </c>
      <c r="N25" s="384" t="n">
        <f>'Haver Pivoted'!L89</f>
        <v>0</v>
      </c>
      <c r="O25" s="384" t="n">
        <f>'Haver Pivoted'!M89</f>
        <v>0</v>
      </c>
      <c r="P25" s="384" t="n">
        <f>'Haver Pivoted'!N89</f>
        <v>0</v>
      </c>
      <c r="Q25" s="384" t="n">
        <f>'Haver Pivoted'!O89</f>
        <v>0</v>
      </c>
      <c r="R25" s="384" t="n">
        <f>'Haver Pivoted'!P89</f>
        <v>0</v>
      </c>
      <c r="S25" s="615" t="n">
        <f>'Haver Pivoted'!Q89</f>
        <v>0</v>
      </c>
      <c r="T25" s="615" t="n">
        <f>'Haver Pivoted'!R89</f>
        <v>0</v>
      </c>
      <c r="U25" s="859" t="n">
        <v>34</v>
      </c>
      <c r="V25" s="859" t="n">
        <v>34</v>
      </c>
      <c r="W25" s="859" t="n">
        <v>34</v>
      </c>
      <c r="X25" s="859" t="n">
        <v>34</v>
      </c>
      <c r="Y25" s="859" t="n">
        <v>34</v>
      </c>
      <c r="Z25" s="859" t="n">
        <v>34</v>
      </c>
      <c r="AA25" s="859" t="n">
        <v>34</v>
      </c>
      <c r="AB25" s="859" t="n">
        <v>34</v>
      </c>
      <c r="AC25" s="859" t="n">
        <v>34</v>
      </c>
      <c r="AD25" s="859" t="n">
        <v>34</v>
      </c>
      <c r="AE25" s="859" t="n">
        <v>34</v>
      </c>
      <c r="AF25" s="859" t="n">
        <v>34</v>
      </c>
      <c r="AG25" s="859" t="n">
        <v>34</v>
      </c>
      <c r="AH25" s="859" t="n">
        <v>34</v>
      </c>
      <c r="AI25" s="859" t="n">
        <v>35</v>
      </c>
      <c r="AJ25" s="859" t="n">
        <v>36</v>
      </c>
      <c r="AK25" s="859" t="n">
        <v>37</v>
      </c>
      <c r="AL25" s="859" t="n">
        <v>38</v>
      </c>
      <c r="AM25" s="859" t="n">
        <v>39</v>
      </c>
      <c r="AN25" s="859" t="n">
        <v>40</v>
      </c>
    </row>
    <row r="26" ht="21.65" customHeight="1">
      <c r="B26" s="401" t="s">
        <v>380</v>
      </c>
      <c r="C26" s="289"/>
      <c r="D26" s="277"/>
      <c r="E26" s="257"/>
      <c r="F26" s="257"/>
      <c r="G26" s="257"/>
      <c r="H26" s="859"/>
      <c r="I26" s="859"/>
      <c r="J26" s="859" t="n">
        <f>'PPP (expired)'!J53</f>
        <v>0</v>
      </c>
      <c r="K26" s="859" t="n">
        <f>'PPP (expired)'!K53</f>
        <v>0</v>
      </c>
      <c r="L26" s="859" t="n">
        <f>'PPP (expired)'!L53</f>
        <v>0</v>
      </c>
      <c r="M26" s="859" t="n">
        <f>'PPP (expired)'!M53</f>
        <v>0</v>
      </c>
      <c r="N26" s="859" t="n">
        <f>'PPP (expired)'!N53</f>
        <v>0</v>
      </c>
      <c r="O26" s="859" t="n">
        <f>'PPP (expired)'!O53</f>
        <v>0</v>
      </c>
      <c r="P26" s="859" t="n">
        <f>'PPP (expired)'!P53</f>
        <v>0</v>
      </c>
      <c r="Q26" s="859" t="n">
        <f>'PPP (expired)'!Q53</f>
        <v>0</v>
      </c>
      <c r="R26" s="859" t="n">
        <f>'PPP (expired)'!Q61</f>
        <v>0</v>
      </c>
      <c r="S26" s="859" t="n">
        <f>'PPP (expired)'!S53</f>
        <v>0</v>
      </c>
      <c r="T26" s="859" t="n">
        <f>'PPP (expired)'!T53</f>
        <v>0</v>
      </c>
      <c r="U26" s="859" t="n">
        <f>'PPP (expired)'!U53</f>
        <v>0</v>
      </c>
      <c r="V26" s="859" t="n">
        <f>'PPP (expired)'!V53</f>
        <v>0</v>
      </c>
      <c r="W26" s="859" t="n">
        <f>'PPP (expired)'!W53</f>
        <v>0</v>
      </c>
      <c r="X26" s="859" t="n">
        <f>'PPP (expired)'!X53</f>
        <v>0</v>
      </c>
      <c r="Y26" s="859" t="n">
        <f>'PPP (expired)'!Y53</f>
        <v>0</v>
      </c>
      <c r="Z26" s="859" t="n">
        <f>'PPP (expired)'!Z53</f>
        <v>0</v>
      </c>
      <c r="AA26" s="859" t="n">
        <f>'PPP (expired)'!AA53</f>
        <v>0</v>
      </c>
      <c r="AB26" s="859" t="n">
        <f>'PPP (expired)'!AB53</f>
        <v>0</v>
      </c>
      <c r="AC26" s="859" t="n">
        <f>'PPP (expired)'!AC53</f>
        <v>0</v>
      </c>
      <c r="AD26" s="859" t="n">
        <f>'PPP (expired)'!AD53</f>
        <v>0</v>
      </c>
      <c r="AE26" s="859" t="n">
        <f>'PPP (expired)'!AE53</f>
        <v>0</v>
      </c>
      <c r="AF26" s="859" t="n">
        <f>'PPP (expired)'!AF53</f>
        <v>0</v>
      </c>
      <c r="AG26" s="859" t="n">
        <f>'PPP (expired)'!AG53</f>
        <v>0</v>
      </c>
      <c r="AH26" s="859" t="n">
        <f>'PPP (expired)'!AH53</f>
        <v>0</v>
      </c>
      <c r="AI26" s="859" t="n">
        <f>'PPP (expired)'!AI53</f>
        <v>0</v>
      </c>
      <c r="AJ26" s="859" t="n">
        <f>'PPP (expired)'!AJ53</f>
        <v>0</v>
      </c>
      <c r="AK26" s="859" t="n">
        <f>'PPP (expired)'!AK53</f>
        <v>0</v>
      </c>
      <c r="AL26" s="859" t="n">
        <f>'PPP (expired)'!AL53</f>
        <v>0</v>
      </c>
      <c r="AM26" s="859" t="n">
        <f>'PPP (expired)'!AM53</f>
        <v>0</v>
      </c>
      <c r="AN26" s="859" t="n">
        <f>'PPP (expired)'!AN53</f>
        <v>0</v>
      </c>
    </row>
    <row r="27" ht="21" customHeight="1">
      <c r="B27" s="416" t="s">
        <v>706</v>
      </c>
      <c r="C27" s="412"/>
      <c r="D27" s="847" t="n">
        <f t="shared" ref="D27:AN27" si="7">D23+D21</f>
        <v>0</v>
      </c>
      <c r="E27" s="843" t="n">
        <f t="shared" si="7"/>
        <v>0</v>
      </c>
      <c r="F27" s="843" t="n">
        <f t="shared" si="7"/>
        <v>0</v>
      </c>
      <c r="G27" s="843" t="n">
        <f t="shared" si="7"/>
        <v>0</v>
      </c>
      <c r="H27" s="843" t="n">
        <f t="shared" si="7"/>
        <v>0</v>
      </c>
      <c r="I27" s="843" t="n">
        <f t="shared" si="7"/>
        <v>0</v>
      </c>
      <c r="J27" s="843" t="n">
        <f t="shared" si="7"/>
        <v>0</v>
      </c>
      <c r="K27" s="843" t="n">
        <f t="shared" si="7"/>
        <v>0</v>
      </c>
      <c r="L27" s="843" t="n">
        <f t="shared" si="7"/>
        <v>0</v>
      </c>
      <c r="M27" s="843" t="n">
        <f t="shared" si="7"/>
        <v>0</v>
      </c>
      <c r="N27" s="843" t="n">
        <f t="shared" si="7"/>
        <v>0</v>
      </c>
      <c r="O27" s="843" t="n">
        <f t="shared" si="7"/>
        <v>3.1040000000000418</v>
      </c>
      <c r="P27" s="740" t="n">
        <f t="shared" si="7"/>
        <v>19.719000000000005</v>
      </c>
      <c r="Q27" s="843" t="n">
        <f t="shared" si="7"/>
        <v>19.719000000000005</v>
      </c>
      <c r="R27" s="843" t="n">
        <f t="shared" si="7"/>
        <v>19.719000000000005</v>
      </c>
      <c r="S27" s="843" t="n">
        <f t="shared" si="7"/>
        <v>19.719000000000005</v>
      </c>
      <c r="T27" s="740" t="n">
        <f t="shared" si="7"/>
        <v>1.4159999999999999</v>
      </c>
      <c r="U27" s="740" t="n">
        <f t="shared" si="7"/>
        <v>1.4159999999999999</v>
      </c>
      <c r="V27" s="740" t="n">
        <f t="shared" si="7"/>
        <v>1.4159999999999999</v>
      </c>
      <c r="W27" s="740" t="n">
        <f t="shared" si="7"/>
        <v>1.4159999999999999</v>
      </c>
      <c r="X27" s="740" t="n">
        <f t="shared" si="7"/>
        <v>1.4790000000000001</v>
      </c>
      <c r="Y27" s="740" t="n">
        <f t="shared" si="7"/>
        <v>1.4790000000000001</v>
      </c>
      <c r="Z27" s="740" t="n">
        <f t="shared" si="7"/>
        <v>1.4790000000000001</v>
      </c>
      <c r="AA27" s="740" t="n">
        <f t="shared" si="7"/>
        <v>1.4790000000000001</v>
      </c>
      <c r="AB27" s="740" t="n">
        <f t="shared" si="7"/>
        <v>1.63</v>
      </c>
      <c r="AC27" s="740" t="n">
        <f t="shared" si="7"/>
        <v>1.63</v>
      </c>
      <c r="AD27" s="740" t="n">
        <f t="shared" si="7"/>
        <v>1.63</v>
      </c>
      <c r="AE27" s="740" t="n">
        <f t="shared" si="7"/>
        <v>1.63</v>
      </c>
      <c r="AF27" s="740" t="n">
        <f t="shared" si="7"/>
        <v>1.671</v>
      </c>
      <c r="AG27" s="740" t="n">
        <f t="shared" si="7"/>
        <v>0</v>
      </c>
      <c r="AH27" s="740" t="n">
        <f t="shared" si="7"/>
        <v>0</v>
      </c>
      <c r="AI27" s="740" t="n">
        <f t="shared" si="7"/>
        <v>0</v>
      </c>
      <c r="AJ27" s="740" t="n">
        <f t="shared" si="7"/>
        <v>0</v>
      </c>
      <c r="AK27" s="740" t="n">
        <f t="shared" si="7"/>
        <v>0</v>
      </c>
      <c r="AL27" s="740" t="n">
        <f t="shared" si="7"/>
        <v>0</v>
      </c>
      <c r="AM27" s="740" t="n">
        <f t="shared" si="7"/>
        <v>0</v>
      </c>
      <c r="AN27" s="740" t="n">
        <f t="shared" si="7"/>
        <v>0</v>
      </c>
    </row>
    <row r="28" ht="44.9" customHeight="1">
      <c r="B28" s="401" t="s">
        <v>1085</v>
      </c>
      <c r="D28" s="844"/>
      <c r="E28" s="859"/>
      <c r="F28" s="859"/>
      <c r="G28" s="859"/>
      <c r="H28" s="859"/>
      <c r="I28" s="859"/>
      <c r="J28" s="859"/>
      <c r="K28" s="859"/>
      <c r="L28" s="859"/>
      <c r="M28" s="859"/>
      <c r="N28" s="859"/>
      <c r="O28" s="859"/>
      <c r="P28" s="859"/>
      <c r="Q28" s="859"/>
      <c r="R28" s="859"/>
      <c r="S28" s="859" t="n">
        <f>'IRA and CHIPS'!E191</f>
        <v>-0.622</v>
      </c>
      <c r="T28" s="859" t="n">
        <f>'IRA and CHIPS'!F191</f>
        <v>21.89</v>
      </c>
      <c r="U28" s="859" t="n">
        <f>'IRA and CHIPS'!G191</f>
        <v>21.89</v>
      </c>
      <c r="V28" s="859" t="n">
        <f>'IRA and CHIPS'!H191</f>
        <v>21.89</v>
      </c>
      <c r="W28" s="859" t="n">
        <f>'IRA and CHIPS'!I191</f>
        <v>21.89</v>
      </c>
      <c r="X28" s="859" t="n">
        <f>'IRA and CHIPS'!J191</f>
        <v>15.439</v>
      </c>
      <c r="Y28" s="859" t="n">
        <f>'IRA and CHIPS'!K191</f>
        <v>15.439</v>
      </c>
      <c r="Z28" s="859" t="n">
        <f>'IRA and CHIPS'!L191</f>
        <v>15.439</v>
      </c>
      <c r="AA28" s="859" t="n">
        <f>'IRA and CHIPS'!M191</f>
        <v>15.439</v>
      </c>
      <c r="AB28" s="859" t="n">
        <f>'IRA and CHIPS'!N191</f>
        <v>16.966999999999999</v>
      </c>
      <c r="AC28" s="859" t="n">
        <f>'IRA and CHIPS'!O191</f>
        <v>16.966999999999999</v>
      </c>
      <c r="AD28" s="859" t="n">
        <f>'IRA and CHIPS'!P191</f>
        <v>16.966999999999999</v>
      </c>
      <c r="AE28" s="859" t="n">
        <f>'IRA and CHIPS'!Q191</f>
        <v>16.966999999999999</v>
      </c>
      <c r="AF28" s="859" t="n">
        <f>'IRA and CHIPS'!R191</f>
        <v>0.72799999999999998</v>
      </c>
      <c r="AG28" s="859" t="n">
        <f>'IRA and CHIPS'!S191</f>
        <v>0.72799999999999998</v>
      </c>
      <c r="AH28" s="859" t="n">
        <f>0</f>
        <v>0</v>
      </c>
      <c r="AI28" s="859" t="n">
        <f>0</f>
        <v>0</v>
      </c>
      <c r="AJ28" s="859" t="n">
        <f>0</f>
        <v>0</v>
      </c>
      <c r="AK28" s="859" t="n">
        <f>0</f>
        <v>0</v>
      </c>
      <c r="AL28" s="859" t="n">
        <f>0</f>
        <v>0</v>
      </c>
      <c r="AM28" s="859" t="n">
        <f>0</f>
        <v>0</v>
      </c>
      <c r="AN28" s="859" t="n">
        <f>0</f>
        <v>0</v>
      </c>
    </row>
    <row r="29" ht="44.9" customHeight="1">
      <c r="B29" s="401" t="s">
        <v>713</v>
      </c>
      <c r="C29" s="289"/>
      <c r="D29" s="859" t="n">
        <f t="shared" ref="D29:AN29" si="8">D60</f>
        <v>-18.688000000000002</v>
      </c>
      <c r="E29" s="859" t="n">
        <f t="shared" si="8"/>
        <v>-17.748000000000005</v>
      </c>
      <c r="F29" s="859" t="n">
        <f t="shared" si="8"/>
        <v>-16.952000000000005</v>
      </c>
      <c r="G29" s="859" t="n">
        <f t="shared" si="8"/>
        <v>-15.432000000000002</v>
      </c>
      <c r="H29" s="859" t="n">
        <f t="shared" si="8"/>
        <v>-15.319999999999993</v>
      </c>
      <c r="I29" s="859" t="n">
        <f t="shared" si="8"/>
        <v>-15.337999999999994</v>
      </c>
      <c r="J29" s="859" t="n">
        <f t="shared" si="8"/>
        <v>-14.754000000000005</v>
      </c>
      <c r="K29" s="859" t="n">
        <f t="shared" si="8"/>
        <v>-14.841999999999999</v>
      </c>
      <c r="L29" s="859" t="n">
        <f t="shared" si="8"/>
        <v>-13.754000000000005</v>
      </c>
      <c r="M29" s="859" t="n">
        <f t="shared" si="8"/>
        <v>15.39</v>
      </c>
      <c r="N29" s="859" t="n">
        <f t="shared" si="8"/>
        <v>-18.351840000000038</v>
      </c>
      <c r="O29" s="859" t="n">
        <f t="shared" si="8"/>
        <v>-29.940160000000077</v>
      </c>
      <c r="P29" s="859" t="n">
        <f t="shared" si="8"/>
        <v>-54.265999999999977</v>
      </c>
      <c r="Q29" s="859" t="n">
        <f t="shared" si="8"/>
        <v>-54.490000000000009</v>
      </c>
      <c r="R29" s="859" t="n">
        <f t="shared" si="8"/>
        <v>-54.478000000000009</v>
      </c>
      <c r="S29" s="859" t="n">
        <f t="shared" si="8"/>
        <v>-53.195999999999984</v>
      </c>
      <c r="T29" s="859" t="n">
        <f t="shared" si="8"/>
        <v>-30.872000000000014</v>
      </c>
      <c r="U29" s="859" t="n">
        <f t="shared" si="8"/>
        <v>-46.42</v>
      </c>
      <c r="V29" s="859" t="n">
        <f t="shared" si="8"/>
        <v>-44.95942857142856</v>
      </c>
      <c r="W29" s="859" t="n">
        <f t="shared" si="8"/>
        <v>-41.767428571428582</v>
      </c>
      <c r="X29" s="859" t="n">
        <f t="shared" si="8"/>
        <v>-28.341999999999985</v>
      </c>
      <c r="Y29" s="859" t="n">
        <f t="shared" si="8"/>
        <v>-21.578000000000003</v>
      </c>
      <c r="Z29" s="859" t="n">
        <f t="shared" si="8"/>
        <v>-27.021999999999991</v>
      </c>
      <c r="AA29" s="859" t="n">
        <f t="shared" si="8"/>
        <v>-25.937999999999988</v>
      </c>
      <c r="AB29" s="859" t="n">
        <f t="shared" si="8"/>
        <v>-23.33499999999998</v>
      </c>
      <c r="AC29" s="859" t="n">
        <f t="shared" si="8"/>
        <v>-24.799000000000007</v>
      </c>
      <c r="AD29" s="859" t="n">
        <f t="shared" si="8"/>
        <v>-24.918999999999983</v>
      </c>
      <c r="AE29" s="859" t="n">
        <f t="shared" si="8"/>
        <v>-25.043594999999979</v>
      </c>
      <c r="AF29" s="859" t="n">
        <f t="shared" si="8"/>
        <v>-25.168812974999977</v>
      </c>
      <c r="AG29" s="859" t="n">
        <f t="shared" si="8"/>
        <v>-25.294657039874973</v>
      </c>
      <c r="AH29" s="859" t="n">
        <f t="shared" si="8"/>
        <v>-25.421130325074344</v>
      </c>
      <c r="AI29" s="859" t="n">
        <f t="shared" si="8"/>
        <v>-25.548235976699711</v>
      </c>
      <c r="AJ29" s="859" t="n">
        <f t="shared" si="8"/>
        <v>-25.675977156583208</v>
      </c>
      <c r="AK29" s="859" t="n">
        <f t="shared" si="8"/>
        <v>-25.804357042366121</v>
      </c>
      <c r="AL29" s="859" t="n">
        <f t="shared" si="8"/>
        <v>-25.93337882757795</v>
      </c>
      <c r="AM29" s="859" t="n">
        <f t="shared" si="8"/>
        <v>-26.063045721715838</v>
      </c>
      <c r="AN29" s="859" t="n">
        <f t="shared" si="8"/>
        <v>-26.193360950324415</v>
      </c>
    </row>
    <row r="30" ht="31.4" customHeight="1">
      <c r="B30" s="753" t="s">
        <v>710</v>
      </c>
      <c r="C30" s="412"/>
      <c r="D30" s="740" t="n">
        <f t="shared" ref="D30:AN30" si="9">D12-D13-D16-D18-D22-D23</f>
        <v>38.4</v>
      </c>
      <c r="E30" s="740" t="n">
        <f t="shared" si="9"/>
        <v>46.4</v>
      </c>
      <c r="F30" s="740" t="n">
        <f t="shared" si="9"/>
        <v>45</v>
      </c>
      <c r="G30" s="740" t="n">
        <f t="shared" si="9"/>
        <v>46.9</v>
      </c>
      <c r="H30" s="740" t="n">
        <f t="shared" si="9"/>
        <v>47.5</v>
      </c>
      <c r="I30" s="740" t="n">
        <f t="shared" si="9"/>
        <v>53.600000000000009</v>
      </c>
      <c r="J30" s="740" t="n">
        <f t="shared" si="9"/>
        <v>52.800000000000004</v>
      </c>
      <c r="K30" s="740" t="n">
        <f t="shared" si="9"/>
        <v>53.600000000000009</v>
      </c>
      <c r="L30" s="740" t="n">
        <f t="shared" si="9"/>
        <v>55.2</v>
      </c>
      <c r="M30" s="740" t="n">
        <f t="shared" si="9"/>
        <v>54.600000000000009</v>
      </c>
      <c r="N30" s="740" t="n">
        <f t="shared" si="9"/>
        <v>21.678159999999977</v>
      </c>
      <c r="O30" s="740" t="n">
        <f t="shared" si="9"/>
        <v>18.329839999999919</v>
      </c>
      <c r="P30" s="740" t="n">
        <f t="shared" si="9"/>
        <v>-4.3759999999999941</v>
      </c>
      <c r="Q30" s="740" t="n">
        <f t="shared" si="9"/>
        <v>-3.3760000000000083</v>
      </c>
      <c r="R30" s="740" t="n">
        <f t="shared" si="9"/>
        <v>-2.3760000000000083</v>
      </c>
      <c r="S30" s="740" t="n">
        <f t="shared" si="9"/>
        <v>-0.87600000000000833</v>
      </c>
      <c r="T30" s="740" t="n">
        <f t="shared" si="9"/>
        <v>45.183999999999997</v>
      </c>
      <c r="U30" s="740" t="n">
        <f t="shared" si="9"/>
        <v>68.183999999999997</v>
      </c>
      <c r="V30" s="740" t="n">
        <f t="shared" si="9"/>
        <v>72.992571428571438</v>
      </c>
      <c r="W30" s="740" t="n">
        <f t="shared" si="9"/>
        <v>77.892571428571429</v>
      </c>
      <c r="X30" s="740" t="n">
        <f t="shared" si="9"/>
        <v>86.099000000000004</v>
      </c>
      <c r="Y30" s="740" t="n">
        <f t="shared" si="9"/>
        <v>93.898999999999987</v>
      </c>
      <c r="Z30" s="740" t="n">
        <f t="shared" si="9"/>
        <v>94.899000000000015</v>
      </c>
      <c r="AA30" s="740" t="n">
        <f t="shared" si="9"/>
        <v>96.499000000000024</v>
      </c>
      <c r="AB30" s="740" t="n">
        <f t="shared" si="9"/>
        <v>101.998</v>
      </c>
      <c r="AC30" s="740" t="n">
        <f t="shared" si="9"/>
        <v>100.89800000000001</v>
      </c>
      <c r="AD30" s="740" t="n">
        <f t="shared" si="9"/>
        <v>106.09800000000001</v>
      </c>
      <c r="AE30" s="740" t="n">
        <f t="shared" si="9"/>
        <v>109.97340500000004</v>
      </c>
      <c r="AF30" s="740" t="n">
        <f t="shared" si="9"/>
        <v>98.648187025000027</v>
      </c>
      <c r="AG30" s="740" t="n">
        <f t="shared" si="9"/>
        <v>113.68425096012503</v>
      </c>
      <c r="AH30" s="740" t="n">
        <f t="shared" si="9"/>
        <v>125.82977767492565</v>
      </c>
      <c r="AI30" s="740" t="n">
        <f t="shared" si="9"/>
        <v>139.70267202330029</v>
      </c>
      <c r="AJ30" s="740" t="n">
        <f t="shared" si="9"/>
        <v>145.41993084341678</v>
      </c>
      <c r="AK30" s="740" t="n">
        <f t="shared" si="9"/>
        <v>162.6991828416339</v>
      </c>
      <c r="AL30" s="740" t="n">
        <f t="shared" si="9"/>
        <v>176.57016105642205</v>
      </c>
      <c r="AM30" s="740" t="n">
        <f t="shared" si="9"/>
        <v>190.44049416228412</v>
      </c>
      <c r="AN30" s="740" t="n">
        <f t="shared" si="9"/>
        <v>182.66517893367561</v>
      </c>
    </row>
    <row r="31" ht="31.4" customHeight="1">
      <c r="B31" s="840" t="s">
        <v>383</v>
      </c>
      <c r="C31" s="841"/>
      <c r="D31" s="749"/>
      <c r="E31" s="750"/>
      <c r="F31" s="750"/>
      <c r="G31" s="750"/>
      <c r="H31" s="750"/>
      <c r="I31" s="750"/>
      <c r="J31" s="750"/>
      <c r="K31" s="750"/>
      <c r="L31" s="750"/>
      <c r="M31" s="750"/>
      <c r="N31" s="750"/>
      <c r="O31" s="750"/>
      <c r="P31" s="750"/>
      <c r="Q31" s="750"/>
      <c r="R31" s="750"/>
      <c r="S31" s="750"/>
      <c r="T31" s="738"/>
      <c r="U31" s="750"/>
      <c r="V31" s="738"/>
      <c r="W31" s="738"/>
      <c r="X31" s="740"/>
      <c r="Y31" s="740"/>
      <c r="Z31" s="740"/>
      <c r="AA31" s="740"/>
      <c r="AB31" s="740"/>
      <c r="AC31" s="740"/>
      <c r="AD31" s="740" t="n">
        <f t="shared" ref="AD31:AL31" si="10">AD12-AD15</f>
        <v>109.7</v>
      </c>
      <c r="AE31" s="740" t="n">
        <f t="shared" si="10"/>
        <v>169.11991850182284</v>
      </c>
      <c r="AF31" s="740" t="n">
        <f t="shared" si="10"/>
        <v>156.24468760658129</v>
      </c>
      <c r="AG31" s="740" t="n">
        <f t="shared" si="10"/>
        <v>169.41509324214366</v>
      </c>
      <c r="AH31" s="740" t="n">
        <f t="shared" si="10"/>
        <v>181.86038144494449</v>
      </c>
      <c r="AI31" s="740" t="n">
        <f t="shared" si="10"/>
        <v>196.03752321098835</v>
      </c>
      <c r="AJ31" s="740" t="n">
        <f t="shared" si="10"/>
        <v>202.06624623608906</v>
      </c>
      <c r="AK31" s="740" t="n">
        <f t="shared" si="10"/>
        <v>220.66166370658345</v>
      </c>
      <c r="AL31" s="740" t="n">
        <f t="shared" si="10"/>
        <v>235.85357962227175</v>
      </c>
      <c r="AM31" s="740"/>
      <c r="AN31" s="740"/>
    </row>
    <row r="32">
      <c r="B32" s="431" t="s">
        <v>715</v>
      </c>
      <c r="C32" s="289" t="s">
        <v>384</v>
      </c>
      <c r="D32" s="419" t="n">
        <f>'Haver Pivoted'!B37</f>
        <v>14.7</v>
      </c>
      <c r="E32" s="286" t="n">
        <f>'Haver Pivoted'!C37</f>
        <v>15.6</v>
      </c>
      <c r="F32" s="286" t="n">
        <f>'Haver Pivoted'!D37</f>
        <v>16.600000000000001</v>
      </c>
      <c r="G32" s="286" t="n">
        <f>'Haver Pivoted'!E37</f>
        <v>17.5</v>
      </c>
      <c r="H32" s="286" t="n">
        <f>'Haver Pivoted'!F37</f>
        <v>18.3</v>
      </c>
      <c r="I32" s="286" t="n">
        <f>'Haver Pivoted'!G37</f>
        <v>19.100000000000001</v>
      </c>
      <c r="J32" s="286" t="n">
        <f>'Haver Pivoted'!H37</f>
        <v>19.600000000000001</v>
      </c>
      <c r="K32" s="286" t="n">
        <f>'Haver Pivoted'!I37</f>
        <v>20.3</v>
      </c>
      <c r="L32" s="286" t="n">
        <f>'Haver Pivoted'!J37</f>
        <v>21.2</v>
      </c>
      <c r="M32" s="286" t="n">
        <f>'Haver Pivoted'!K37</f>
        <v>21.6</v>
      </c>
      <c r="N32" s="286" t="n">
        <f>'Haver Pivoted'!L37</f>
        <v>22.5</v>
      </c>
      <c r="O32" s="286" t="n">
        <f>'Haver Pivoted'!M37</f>
        <v>22.5</v>
      </c>
      <c r="P32" s="286" t="n">
        <f>'Haver Pivoted'!N37</f>
        <v>23.2</v>
      </c>
      <c r="Q32" s="286" t="n">
        <f>'Haver Pivoted'!O37</f>
        <v>24</v>
      </c>
      <c r="R32" s="286" t="n">
        <f>'Haver Pivoted'!P37</f>
        <v>24.2</v>
      </c>
      <c r="S32" s="809" t="n">
        <f>'Haver Pivoted'!Q37</f>
        <v>25</v>
      </c>
      <c r="T32" s="809" t="n">
        <f>'Haver Pivoted'!R37</f>
        <v>23.4</v>
      </c>
      <c r="U32" s="809" t="n">
        <f>'Haver Pivoted'!S37</f>
        <v>24.7</v>
      </c>
      <c r="V32" s="862" t="n">
        <f>'Haver Pivoted'!T37</f>
        <v>25.9</v>
      </c>
      <c r="W32" s="862" t="n">
        <f>'Haver Pivoted'!U37</f>
        <v>27.1</v>
      </c>
      <c r="X32" s="862" t="n">
        <f>'Haver Pivoted'!V37</f>
        <v>29.2</v>
      </c>
      <c r="Y32" s="862" t="n">
        <f>'Haver Pivoted'!W37</f>
        <v>30.5</v>
      </c>
      <c r="Z32" s="862" t="n">
        <f>'Haver Pivoted'!X37</f>
        <v>31</v>
      </c>
      <c r="AA32" s="862" t="n">
        <f>'Haver Pivoted'!Y37</f>
        <v>32.6</v>
      </c>
      <c r="AB32" s="862" t="n">
        <f>'Haver Pivoted'!Z37</f>
        <v>33.4</v>
      </c>
      <c r="AC32" s="862" t="n">
        <f>'Haver Pivoted'!AA37</f>
        <v>33.4</v>
      </c>
      <c r="AD32" s="862" t="n">
        <f>'Haver Pivoted'!AB37</f>
        <v>34.700000000000003</v>
      </c>
      <c r="AE32" s="433"/>
      <c r="AF32" s="433"/>
      <c r="AG32" s="433"/>
      <c r="AH32" s="433"/>
      <c r="AI32" s="433"/>
      <c r="AJ32" s="433"/>
      <c r="AK32" s="433"/>
      <c r="AL32" s="433"/>
      <c r="AM32" s="433"/>
      <c r="AN32" s="433"/>
    </row>
    <row r="33">
      <c r="B33" s="737" t="s">
        <v>142</v>
      </c>
      <c r="C33" s="289"/>
      <c r="D33" s="764" t="n">
        <f>Medicaid!D26</f>
        <v>5</v>
      </c>
      <c r="E33" s="657" t="n">
        <f>Medicaid!E26</f>
        <v>5.3</v>
      </c>
      <c r="F33" s="657" t="n">
        <f>Medicaid!F26</f>
        <v>5.6</v>
      </c>
      <c r="G33" s="657" t="n">
        <f>Medicaid!G26</f>
        <v>5.9</v>
      </c>
      <c r="H33" s="657" t="n">
        <f>Medicaid!H26</f>
        <v>6.2</v>
      </c>
      <c r="I33" s="657" t="n">
        <f>Medicaid!I26</f>
        <v>6.6</v>
      </c>
      <c r="J33" s="657" t="n">
        <f>Medicaid!J26</f>
        <v>6.9</v>
      </c>
      <c r="K33" s="657" t="n">
        <f>Medicaid!K26</f>
        <v>7.3</v>
      </c>
      <c r="L33" s="657" t="n">
        <f>Medicaid!L26</f>
        <v>7.8</v>
      </c>
      <c r="M33" s="657" t="n">
        <f>Medicaid!M26</f>
        <v>8</v>
      </c>
      <c r="N33" s="657" t="n">
        <f>Medicaid!N26</f>
        <v>8.6</v>
      </c>
      <c r="O33" s="657" t="n">
        <f>Medicaid!O26</f>
        <v>8.5</v>
      </c>
      <c r="P33" s="657" t="n">
        <f>Medicaid!P26</f>
        <v>9</v>
      </c>
      <c r="Q33" s="657" t="n">
        <f>Medicaid!Q26</f>
        <v>9.6</v>
      </c>
      <c r="R33" s="657" t="n">
        <f>Medicaid!R26</f>
        <v>9.6999999999999993</v>
      </c>
      <c r="S33" s="809" t="n">
        <f>Medicaid!S26</f>
        <v>10.1</v>
      </c>
      <c r="T33" s="657" t="n">
        <f>Medicaid!T26</f>
        <v>10.199999999999999</v>
      </c>
      <c r="U33" s="657" t="n">
        <f>Medicaid!U26</f>
        <v>11.1</v>
      </c>
      <c r="V33" s="657" t="n">
        <f>Medicaid!V26</f>
        <v>11.4</v>
      </c>
      <c r="W33" s="657" t="n">
        <f>Medicaid!W26</f>
        <v>12</v>
      </c>
      <c r="X33" s="859" t="n">
        <f>Medicaid!X26</f>
        <v>13.3</v>
      </c>
      <c r="Y33" s="859" t="n">
        <f>Medicaid!Y26</f>
        <v>13.8</v>
      </c>
      <c r="Z33" s="859" t="n">
        <f>Medicaid!Z26</f>
        <v>13.8</v>
      </c>
      <c r="AA33" s="859" t="n">
        <f>Medicaid!AA26</f>
        <v>14.6</v>
      </c>
      <c r="AB33" s="859" t="n">
        <f>Medicaid!AB26</f>
        <v>15.2</v>
      </c>
      <c r="AC33" s="859" t="n">
        <f>Medicaid!AC26</f>
        <v>14.9</v>
      </c>
      <c r="AD33" s="859" t="n">
        <f>Medicaid!AD26</f>
        <v>15.9</v>
      </c>
      <c r="AE33" s="859" t="e">
        <f>Medicaid!AE26</f>
        <v>#DIV/0!</v>
      </c>
      <c r="AF33" s="859" t="e">
        <f>Medicaid!AF26</f>
        <v>#DIV/0!</v>
      </c>
      <c r="AG33" s="859" t="e">
        <f>Medicaid!AG26</f>
        <v>#DIV/0!</v>
      </c>
      <c r="AH33" s="859" t="e">
        <f>Medicaid!AH26</f>
        <v>#DIV/0!</v>
      </c>
      <c r="AI33" s="859" t="e">
        <f>Medicaid!AI26</f>
        <v>#DIV/0!</v>
      </c>
      <c r="AJ33" s="859" t="e">
        <f>Medicaid!AJ26</f>
        <v>#DIV/0!</v>
      </c>
      <c r="AK33" s="859" t="e">
        <f>Medicaid!AK26</f>
        <v>#DIV/0!</v>
      </c>
      <c r="AL33" s="859" t="e">
        <f>Medicaid!AL26</f>
        <v>#DIV/0!</v>
      </c>
      <c r="AM33" s="859" t="e">
        <f>Medicaid!AM26</f>
        <v>#DIV/0!</v>
      </c>
      <c r="AN33" s="859" t="e">
        <f>Medicaid!AN26</f>
        <v>#DIV/0!</v>
      </c>
    </row>
    <row r="34" ht="14.9" customHeight="1">
      <c r="B34" s="753" t="s">
        <v>716</v>
      </c>
      <c r="C34" s="412"/>
      <c r="D34" s="763" t="n">
        <f>D32-D33</f>
        <v>9.6999999999999993</v>
      </c>
      <c r="E34" s="738" t="n">
        <f t="shared" ref="E34:O34" si="11">E32-E33</f>
        <v>10.3</v>
      </c>
      <c r="F34" s="738" t="n">
        <f t="shared" si="11"/>
        <v>11.000000000000002</v>
      </c>
      <c r="G34" s="738" t="n">
        <f>G32-G33</f>
        <v>11.6</v>
      </c>
      <c r="H34" s="738" t="n">
        <f t="shared" si="11"/>
        <v>12.100000000000001</v>
      </c>
      <c r="I34" s="738" t="n">
        <f t="shared" si="11"/>
        <v>12.500000000000002</v>
      </c>
      <c r="J34" s="738" t="n">
        <f t="shared" si="11"/>
        <v>12.700000000000001</v>
      </c>
      <c r="K34" s="738" t="n">
        <f t="shared" si="11"/>
        <v>13</v>
      </c>
      <c r="L34" s="738" t="n">
        <f t="shared" si="11"/>
        <v>13.399999999999999</v>
      </c>
      <c r="M34" s="738" t="n">
        <f t="shared" si="11"/>
        <v>13.600000000000001</v>
      </c>
      <c r="N34" s="738" t="n">
        <f t="shared" si="11"/>
        <v>13.9</v>
      </c>
      <c r="O34" s="738" t="n">
        <f t="shared" si="11"/>
        <v>14</v>
      </c>
      <c r="P34" s="738" t="n">
        <f>P32-P33</f>
        <v>14.2</v>
      </c>
      <c r="Q34" s="738" t="n">
        <f>Q32-Q33</f>
        <v>14.4</v>
      </c>
      <c r="R34" s="738" t="n">
        <f>R32-R33</f>
        <v>14.5</v>
      </c>
      <c r="S34" s="809" t="n">
        <f>S32-S33</f>
        <v>14.9</v>
      </c>
      <c r="T34" s="809" t="n">
        <f>T32-T33</f>
        <v>13.2</v>
      </c>
      <c r="U34" s="738" t="n">
        <f>T34*(1+AVERAGE($F$36:$I$36))+U35</f>
        <v>-56.144395866938552</v>
      </c>
      <c r="V34" s="738" t="n">
        <f>U34*(1+AVERAGE($F$36:$I$36))+V35</f>
        <v>-58.932918441075152</v>
      </c>
      <c r="W34" s="738" t="n">
        <f t="shared" ref="W34:AN34" si="12">V34*(1+AVERAGE($F$36:$I$36))</f>
        <v>-61.859938509510165</v>
      </c>
      <c r="X34" s="740" t="n">
        <f t="shared" si="12"/>
        <v>-64.932334824492131</v>
      </c>
      <c r="Y34" s="740" t="n">
        <f t="shared" si="12"/>
        <v>-68.157327785118412</v>
      </c>
      <c r="Z34" s="740" t="n">
        <f t="shared" si="12"/>
        <v>-71.542496405902327</v>
      </c>
      <c r="AA34" s="740" t="n">
        <f t="shared" si="12"/>
        <v>-75.09579612811774</v>
      </c>
      <c r="AB34" s="740" t="n">
        <f t="shared" si="12"/>
        <v>-78.825577515779401</v>
      </c>
      <c r="AC34" s="740" t="n">
        <f t="shared" si="12"/>
        <v>-82.740605880196114</v>
      </c>
      <c r="AD34" s="740" t="n">
        <f t="shared" si="12"/>
        <v>-86.850081879216191</v>
      </c>
      <c r="AE34" s="740" t="n">
        <f t="shared" si="12"/>
        <v>-91.163663139575235</v>
      </c>
      <c r="AF34" s="740" t="n">
        <f t="shared" si="12"/>
        <v>-95.691486953160634</v>
      </c>
      <c r="AG34" s="740" t="n">
        <f t="shared" si="12"/>
        <v>-100.44419410053094</v>
      </c>
      <c r="AH34" s="740" t="n">
        <f t="shared" si="12"/>
        <v>-105.43295385767749</v>
      </c>
      <c r="AI34" s="740" t="n">
        <f t="shared" si="12"/>
        <v>-110.66949024479646</v>
      </c>
      <c r="AJ34" s="740" t="n">
        <f t="shared" si="12"/>
        <v>-116.16610957875801</v>
      </c>
      <c r="AK34" s="740" t="n">
        <f t="shared" si="12"/>
        <v>-121.93572939402338</v>
      </c>
      <c r="AL34" s="740" t="n">
        <f t="shared" si="12"/>
        <v>-127.99190879997673</v>
      </c>
      <c r="AM34" s="740" t="n">
        <f t="shared" si="12"/>
        <v>-134.34888034601377</v>
      </c>
      <c r="AN34" s="740" t="n">
        <f t="shared" si="12"/>
        <v>-141.02158346927322</v>
      </c>
    </row>
    <row r="35" ht="14.9" customHeight="1">
      <c r="B35" s="753" t="s">
        <v>1971</v>
      </c>
      <c r="C35" s="412"/>
      <c r="D35" s="763"/>
      <c r="E35" s="738"/>
      <c r="F35" s="738"/>
      <c r="G35" s="738"/>
      <c r="H35" s="738"/>
      <c r="I35" s="738"/>
      <c r="J35" s="738"/>
      <c r="K35" s="738"/>
      <c r="L35" s="738"/>
      <c r="M35" s="738"/>
      <c r="N35" s="738"/>
      <c r="O35" s="738"/>
      <c r="P35" s="738"/>
      <c r="Q35" s="738"/>
      <c r="R35" s="738"/>
      <c r="S35" s="809"/>
      <c r="T35" s="738"/>
      <c r="U35" s="738" t="n">
        <v>-70</v>
      </c>
      <c r="V35" s="738"/>
      <c r="W35" s="738"/>
      <c r="X35" s="740"/>
      <c r="Y35" s="740"/>
      <c r="Z35" s="740"/>
      <c r="AA35" s="740"/>
      <c r="AB35" s="740"/>
      <c r="AC35" s="740"/>
      <c r="AD35" s="740"/>
      <c r="AE35" s="740"/>
      <c r="AF35" s="740"/>
      <c r="AG35" s="740"/>
      <c r="AH35" s="740"/>
      <c r="AI35" s="740"/>
      <c r="AJ35" s="740"/>
      <c r="AK35" s="740"/>
      <c r="AL35" s="740"/>
      <c r="AM35" s="740"/>
      <c r="AN35" s="740"/>
    </row>
    <row r="36">
      <c r="B36" s="848" t="s">
        <v>717</v>
      </c>
      <c r="C36" s="506"/>
      <c r="D36" s="765"/>
      <c r="E36" s="752" t="n">
        <f>E34/D34-1</f>
        <v>6.1855670103093008E-2</v>
      </c>
      <c r="F36" s="752" t="n">
        <f t="shared" ref="F36:N36" si="13">F34/E34-1</f>
        <v>6.7961165048543881E-2</v>
      </c>
      <c r="G36" s="752" t="n">
        <f>G34/F34-1</f>
        <v>5.4545454545454453E-2</v>
      </c>
      <c r="H36" s="752" t="n">
        <f t="shared" si="13"/>
        <v>4.3103448275862322E-2</v>
      </c>
      <c r="I36" s="752" t="n">
        <f t="shared" si="13"/>
        <v>3.3057851239669533E-2</v>
      </c>
      <c r="J36" s="752" t="n">
        <f t="shared" si="13"/>
        <v>1.6000000000000014E-2</v>
      </c>
      <c r="K36" s="752" t="n">
        <f t="shared" si="13"/>
        <v>2.3622047244094446E-2</v>
      </c>
      <c r="L36" s="752" t="n">
        <f t="shared" si="13"/>
        <v>3.076923076923066E-2</v>
      </c>
      <c r="M36" s="752" t="n">
        <f t="shared" si="13"/>
        <v>1.4925373134328623E-2</v>
      </c>
      <c r="N36" s="752" t="n">
        <f t="shared" si="13"/>
        <v>2.2058823529411686E-2</v>
      </c>
      <c r="O36" s="752" t="n">
        <f>O34/N34-1</f>
        <v>7.194244604316502E-3</v>
      </c>
      <c r="P36" s="752" t="n">
        <f t="shared" ref="P36:S36" si="14">P34/O34-1</f>
        <v>1.4285714285714235E-2</v>
      </c>
      <c r="Q36" s="752" t="n">
        <f t="shared" si="14"/>
        <v>1.4084507042253502E-2</v>
      </c>
      <c r="R36" s="752" t="n">
        <f t="shared" si="14"/>
        <v>6.9444444444444198E-3</v>
      </c>
      <c r="S36" s="752" t="n">
        <f t="shared" si="14"/>
        <v>2.7586206896551779E-2</v>
      </c>
      <c r="T36" s="739"/>
      <c r="U36" s="739"/>
      <c r="V36" s="739"/>
      <c r="W36" s="739"/>
      <c r="X36" s="760"/>
      <c r="Y36" s="760"/>
      <c r="Z36" s="760"/>
      <c r="AA36" s="760"/>
      <c r="AB36" s="760"/>
      <c r="AC36" s="760"/>
      <c r="AD36" s="760"/>
      <c r="AE36" s="760"/>
      <c r="AF36" s="760"/>
      <c r="AG36" s="760"/>
      <c r="AH36" s="760"/>
      <c r="AI36" s="760"/>
      <c r="AJ36" s="760"/>
      <c r="AK36" s="760"/>
      <c r="AL36" s="760"/>
      <c r="AM36" s="760"/>
      <c r="AN36" s="760"/>
    </row>
    <row r="38">
      <c r="P38" s="647"/>
      <c r="Q38" s="647"/>
    </row>
    <row r="39">
      <c r="B39" s="680" t="s">
        <v>263</v>
      </c>
      <c r="D39" s="657"/>
      <c r="E39" s="657"/>
      <c r="F39" s="657"/>
      <c r="G39" s="657"/>
      <c r="H39" s="657"/>
      <c r="I39" s="657"/>
      <c r="J39" s="657"/>
      <c r="K39" s="657"/>
      <c r="L39" s="657"/>
      <c r="M39" s="657"/>
      <c r="N39" s="657"/>
      <c r="O39" s="657"/>
      <c r="P39" s="657"/>
      <c r="Q39" s="657"/>
      <c r="R39" s="657"/>
      <c r="S39" s="657"/>
      <c r="T39" s="657"/>
      <c r="U39" s="657"/>
      <c r="V39" s="657"/>
      <c r="W39" s="657"/>
      <c r="X39" s="657"/>
      <c r="Y39" s="657"/>
      <c r="Z39" s="657"/>
      <c r="AA39" s="657"/>
      <c r="AB39" s="657"/>
      <c r="AC39" s="657"/>
    </row>
    <row r="40" ht="45.75" customHeight="1">
      <c r="B40" s="265" t="s">
        <v>387</v>
      </c>
      <c r="C40" s="265"/>
      <c r="D40" s="267"/>
      <c r="E40" s="267"/>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row>
    <row r="41" ht="14.9" customHeight="1">
      <c r="B41" s="270" t="s">
        <v>388</v>
      </c>
      <c r="C41" s="271"/>
      <c r="D41" s="379" t="s">
        <v>191</v>
      </c>
      <c r="E41" s="379"/>
      <c r="F41" s="379"/>
      <c r="G41" s="379"/>
      <c r="H41" s="379"/>
      <c r="I41" s="379"/>
      <c r="J41" s="379"/>
      <c r="K41" s="379"/>
      <c r="L41" s="379"/>
      <c r="M41" s="379"/>
      <c r="N41" s="379"/>
      <c r="O41" s="379"/>
      <c r="P41" s="379"/>
      <c r="Q41" s="379"/>
      <c r="R41" s="379"/>
      <c r="S41" s="379"/>
      <c r="T41" s="379"/>
      <c r="U41" s="379"/>
      <c r="V41" s="379"/>
      <c r="W41" s="379"/>
      <c r="X41" s="379"/>
      <c r="Y41" s="379"/>
      <c r="Z41" s="379"/>
      <c r="AA41" s="379"/>
      <c r="AB41" s="379"/>
      <c r="AC41" s="251" t="s">
        <v>192</v>
      </c>
      <c r="AD41" s="252"/>
      <c r="AE41" s="252"/>
      <c r="AF41" s="252"/>
      <c r="AG41" s="252"/>
      <c r="AH41" s="252"/>
      <c r="AI41" s="252"/>
      <c r="AJ41" s="252"/>
      <c r="AK41" s="252"/>
      <c r="AL41" s="252"/>
      <c r="AM41" s="252"/>
      <c r="AN41" s="253"/>
    </row>
    <row r="42">
      <c r="B42" s="270"/>
      <c r="C42" s="271"/>
      <c r="D42" s="254" t="n">
        <v>2018</v>
      </c>
      <c r="E42" s="254" t="n">
        <v>2019</v>
      </c>
      <c r="F42" s="441"/>
      <c r="G42" s="441"/>
      <c r="H42" s="256"/>
      <c r="I42" s="254" t="n">
        <v>2020</v>
      </c>
      <c r="J42" s="441"/>
      <c r="K42" s="441"/>
      <c r="L42" s="441"/>
      <c r="M42" s="254" t="n">
        <v>2021</v>
      </c>
      <c r="N42" s="441"/>
      <c r="O42" s="441"/>
      <c r="P42" s="441"/>
      <c r="Q42" s="254" t="n">
        <v>2022</v>
      </c>
      <c r="R42" s="255"/>
      <c r="S42" s="255"/>
      <c r="T42" s="256"/>
      <c r="U42" s="298"/>
      <c r="V42" s="304" t="n">
        <v>2023</v>
      </c>
      <c r="W42" s="304"/>
      <c r="X42" s="300"/>
      <c r="Y42" s="305"/>
      <c r="Z42" s="304" t="n">
        <v>2024</v>
      </c>
      <c r="AA42" s="304"/>
      <c r="AB42" s="300"/>
      <c r="AC42" s="261" t="n">
        <v>2025</v>
      </c>
      <c r="AD42" s="262"/>
      <c r="AE42" s="262"/>
      <c r="AF42" s="263"/>
      <c r="AG42" s="261" t="n">
        <v>2026</v>
      </c>
      <c r="AH42" s="262"/>
      <c r="AI42" s="262"/>
      <c r="AJ42" s="263"/>
      <c r="AK42" s="261" t="n">
        <v>2027</v>
      </c>
      <c r="AL42" s="262"/>
      <c r="AM42" s="262"/>
      <c r="AN42" s="263"/>
    </row>
    <row r="43">
      <c r="B43" s="272"/>
      <c r="C43" s="273"/>
      <c r="D43" s="274" t="s">
        <v>193</v>
      </c>
      <c r="E43" s="274" t="s">
        <v>194</v>
      </c>
      <c r="F43" s="275" t="s">
        <v>195</v>
      </c>
      <c r="G43" s="275" t="s">
        <v>171</v>
      </c>
      <c r="H43" s="276" t="s">
        <v>193</v>
      </c>
      <c r="I43" s="275" t="s">
        <v>194</v>
      </c>
      <c r="J43" s="275" t="s">
        <v>195</v>
      </c>
      <c r="K43" s="275" t="s">
        <v>171</v>
      </c>
      <c r="L43" s="275" t="s">
        <v>193</v>
      </c>
      <c r="M43" s="274" t="s">
        <v>194</v>
      </c>
      <c r="N43" s="275" t="s">
        <v>195</v>
      </c>
      <c r="O43" s="275" t="s">
        <v>171</v>
      </c>
      <c r="P43" s="275" t="s">
        <v>193</v>
      </c>
      <c r="Q43" s="274" t="s">
        <v>194</v>
      </c>
      <c r="R43" s="275" t="s">
        <v>195</v>
      </c>
      <c r="S43" s="275" t="s">
        <v>171</v>
      </c>
      <c r="T43" s="276" t="s">
        <v>193</v>
      </c>
      <c r="U43" s="275" t="s">
        <v>194</v>
      </c>
      <c r="V43" s="294" t="s">
        <v>195</v>
      </c>
      <c r="W43" s="294" t="s">
        <v>171</v>
      </c>
      <c r="X43" s="292" t="s">
        <v>193</v>
      </c>
      <c r="Y43" s="293" t="s">
        <v>194</v>
      </c>
      <c r="Z43" s="295" t="s">
        <v>195</v>
      </c>
      <c r="AA43" s="294" t="s">
        <v>171</v>
      </c>
      <c r="AB43" s="294" t="s">
        <v>193</v>
      </c>
      <c r="AC43" s="293" t="s">
        <v>194</v>
      </c>
      <c r="AD43" s="295" t="s">
        <v>195</v>
      </c>
      <c r="AE43" s="291" t="s">
        <v>171</v>
      </c>
      <c r="AF43" s="291" t="s">
        <v>193</v>
      </c>
      <c r="AG43" s="296" t="s">
        <v>194</v>
      </c>
      <c r="AH43" s="290" t="s">
        <v>195</v>
      </c>
      <c r="AI43" s="291" t="s">
        <v>171</v>
      </c>
      <c r="AJ43" s="297" t="s">
        <v>193</v>
      </c>
      <c r="AK43" s="296" t="s">
        <v>194</v>
      </c>
      <c r="AL43" s="290" t="s">
        <v>195</v>
      </c>
      <c r="AM43" s="291" t="s">
        <v>171</v>
      </c>
      <c r="AN43" s="297" t="s">
        <v>193</v>
      </c>
    </row>
    <row r="44">
      <c r="B44" s="737" t="s">
        <v>1897</v>
      </c>
      <c r="D44" s="405"/>
      <c r="E44" s="457"/>
      <c r="F44" s="457"/>
      <c r="G44" s="457"/>
      <c r="H44" s="457"/>
      <c r="I44" s="747" t="n">
        <f>(I45-AVERAGE($E45:$H45))</f>
        <v>0.23799999999999999</v>
      </c>
      <c r="J44" s="747" t="n">
        <f t="shared" ref="J44:AD44" si="15">(J45-AVERAGE($E45:$H45))</f>
        <v>0.33799999999999986</v>
      </c>
      <c r="K44" s="747" t="n">
        <f t="shared" si="15"/>
        <v>0.51</v>
      </c>
      <c r="L44" s="747" t="n">
        <f t="shared" si="15"/>
        <v>0.47</v>
      </c>
      <c r="M44" s="747" t="n">
        <f t="shared" si="15"/>
        <v>0.46199999999999997</v>
      </c>
      <c r="N44" s="747" t="n">
        <f t="shared" si="15"/>
        <v>0.746</v>
      </c>
      <c r="O44" s="747" t="n">
        <f t="shared" si="15"/>
        <v>0.79400000000000004</v>
      </c>
      <c r="P44" s="747" t="n">
        <f t="shared" si="15"/>
        <v>0.79400000000000004</v>
      </c>
      <c r="Q44" s="747" t="n">
        <f t="shared" si="15"/>
        <v>0.78200000000000003</v>
      </c>
      <c r="R44" s="747" t="n">
        <f t="shared" si="15"/>
        <v>0.88600000000000012</v>
      </c>
      <c r="S44" s="748" t="n">
        <f t="shared" si="15"/>
        <v>0.92599999999999971</v>
      </c>
      <c r="T44" s="854" t="n">
        <f t="shared" si="15"/>
        <v>1.702</v>
      </c>
      <c r="U44" s="748" t="n">
        <f t="shared" si="15"/>
        <v>1.798</v>
      </c>
      <c r="V44" s="748" t="n">
        <f t="shared" si="15"/>
        <v>2.258</v>
      </c>
      <c r="W44" s="748" t="n">
        <f t="shared" si="15"/>
        <v>2.5259999999999998</v>
      </c>
      <c r="X44" s="748" t="n">
        <f t="shared" si="15"/>
        <v>3.0019999999999998</v>
      </c>
      <c r="Y44" s="748" t="n">
        <f t="shared" si="15"/>
        <v>3.1499999999999995</v>
      </c>
      <c r="Z44" s="748" t="n">
        <f t="shared" si="15"/>
        <v>3.4699999999999998</v>
      </c>
      <c r="AA44" s="748" t="n">
        <f t="shared" si="15"/>
        <v>3.3179999999999996</v>
      </c>
      <c r="AB44" s="748" t="n">
        <f t="shared" si="15"/>
        <v>3.4059999999999997</v>
      </c>
      <c r="AC44" s="748" t="n">
        <f t="shared" si="15"/>
        <v>3.3140000000000001</v>
      </c>
      <c r="AD44" s="748" t="n">
        <f t="shared" si="15"/>
        <v>3.0540000000000003</v>
      </c>
      <c r="AE44" s="890" t="n">
        <f t="shared" ref="AE44:AM44" si="16">AD44+AE46</f>
        <v>3.0540000000000003</v>
      </c>
      <c r="AF44" s="890" t="n">
        <f t="shared" si="16"/>
        <v>-4.907</v>
      </c>
      <c r="AG44" s="890" t="n">
        <f t="shared" si="16"/>
        <v>-4.907</v>
      </c>
      <c r="AH44" s="890" t="n">
        <f t="shared" si="16"/>
        <v>-4.907</v>
      </c>
      <c r="AI44" s="890" t="n">
        <f t="shared" si="16"/>
        <v>-4.907</v>
      </c>
      <c r="AJ44" s="890" t="n">
        <f t="shared" si="16"/>
        <v>-13.061999999999999</v>
      </c>
      <c r="AK44" s="890" t="n">
        <f t="shared" si="16"/>
        <v>-13.061999999999999</v>
      </c>
      <c r="AL44" s="890" t="n">
        <f t="shared" si="16"/>
        <v>-13.061999999999999</v>
      </c>
      <c r="AM44" s="890" t="n">
        <f t="shared" si="16"/>
        <v>-13.061999999999999</v>
      </c>
      <c r="AN44" s="890" t="n">
        <f>AM44+AN46</f>
        <v>-34.707000000000001</v>
      </c>
    </row>
    <row r="45">
      <c r="B45" s="737" t="s">
        <v>1892</v>
      </c>
      <c r="C45" s="289" t="s">
        <v>389</v>
      </c>
      <c r="D45" s="419" t="n">
        <f>'Haver Pivoted'!B66</f>
        <v>0.58399999999999996</v>
      </c>
      <c r="E45" s="286" t="n">
        <f>'Haver Pivoted'!C66</f>
        <v>0.98</v>
      </c>
      <c r="F45" s="286" t="n">
        <f>'Haver Pivoted'!D66</f>
        <v>1.256</v>
      </c>
      <c r="G45" s="286" t="n">
        <f>'Haver Pivoted'!E66</f>
        <v>1.5920000000000001</v>
      </c>
      <c r="H45" s="286" t="n">
        <f>'Haver Pivoted'!F66</f>
        <v>1.62</v>
      </c>
      <c r="I45" s="286" t="n">
        <f>'Haver Pivoted'!G66</f>
        <v>1.6</v>
      </c>
      <c r="J45" s="286" t="n">
        <f>'Haver Pivoted'!H66</f>
        <v>1.7</v>
      </c>
      <c r="K45" s="286" t="n">
        <f>'Haver Pivoted'!I66</f>
        <v>1.8720000000000001</v>
      </c>
      <c r="L45" s="286" t="n">
        <f>'Haver Pivoted'!J66</f>
        <v>1.8320000000000001</v>
      </c>
      <c r="M45" s="286" t="n">
        <f>'Haver Pivoted'!K66</f>
        <v>1.8240000000000001</v>
      </c>
      <c r="N45" s="286" t="n">
        <f>'Haver Pivoted'!L66</f>
        <v>2.1080000000000001</v>
      </c>
      <c r="O45" s="286" t="n">
        <f>'Haver Pivoted'!M66</f>
        <v>2.1560000000000001</v>
      </c>
      <c r="P45" s="286" t="n">
        <f>'Haver Pivoted'!N66</f>
        <v>2.1560000000000001</v>
      </c>
      <c r="Q45" s="286" t="n">
        <f>'Haver Pivoted'!O66</f>
        <v>2.1440000000000001</v>
      </c>
      <c r="R45" s="286" t="n">
        <f>'Haver Pivoted'!P66</f>
        <v>2.2480000000000002</v>
      </c>
      <c r="S45" s="275" t="n">
        <f>'Haver Pivoted'!Q66</f>
        <v>2.2879999999999998</v>
      </c>
      <c r="T45" s="275" t="n">
        <f>'Haver Pivoted'!R66</f>
        <v>3.0640000000000001</v>
      </c>
      <c r="U45" s="275" t="n">
        <f>'Haver Pivoted'!S66</f>
        <v>3.16</v>
      </c>
      <c r="V45" s="275" t="n">
        <f>'Haver Pivoted'!T66</f>
        <v>3.62</v>
      </c>
      <c r="W45" s="275" t="n">
        <f>'Haver Pivoted'!U66</f>
        <v>3.8879999999999999</v>
      </c>
      <c r="X45" s="275" t="n">
        <f>'Haver Pivoted'!V66</f>
        <v>4.3639999999999999</v>
      </c>
      <c r="Y45" s="275" t="n">
        <f>'Haver Pivoted'!W66</f>
        <v>4.5119999999999996</v>
      </c>
      <c r="Z45" s="275" t="n">
        <f>'Haver Pivoted'!X66</f>
        <v>4.8319999999999999</v>
      </c>
      <c r="AA45" s="275" t="n">
        <f>'Haver Pivoted'!Y66</f>
        <v>4.68</v>
      </c>
      <c r="AB45" s="275" t="n">
        <f>'Haver Pivoted'!Z66</f>
        <v>4.7679999999999998</v>
      </c>
      <c r="AC45" s="275" t="n">
        <f>'Haver Pivoted'!AA66</f>
        <v>4.6760000000000002</v>
      </c>
      <c r="AD45" s="275" t="n">
        <f>'Haver Pivoted'!AB66</f>
        <v>4.4160000000000004</v>
      </c>
      <c r="AE45" s="380"/>
      <c r="AF45" s="380"/>
      <c r="AG45" s="380"/>
      <c r="AH45" s="380"/>
      <c r="AI45" s="380"/>
      <c r="AJ45" s="380"/>
      <c r="AK45" s="380"/>
      <c r="AL45" s="380"/>
      <c r="AM45" s="380"/>
      <c r="AN45" s="380"/>
    </row>
    <row r="46">
      <c r="B46" s="851" t="s">
        <v>1896</v>
      </c>
      <c r="C46" s="289"/>
      <c r="D46" s="419"/>
      <c r="E46" s="286"/>
      <c r="F46" s="286"/>
      <c r="G46" s="286"/>
      <c r="H46" s="286"/>
      <c r="I46" s="286"/>
      <c r="J46" s="286"/>
      <c r="K46" s="286"/>
      <c r="L46" s="286"/>
      <c r="M46" s="286"/>
      <c r="N46" s="286"/>
      <c r="O46" s="286"/>
      <c r="P46" s="286"/>
      <c r="Q46" s="286"/>
      <c r="R46" s="286"/>
      <c r="S46" s="275"/>
      <c r="T46" s="275"/>
      <c r="U46" s="275"/>
      <c r="V46" s="275"/>
      <c r="W46" s="275"/>
      <c r="X46" s="275"/>
      <c r="Y46" s="275"/>
      <c r="Z46" s="275"/>
      <c r="AA46" s="275"/>
      <c r="AB46" s="275"/>
      <c r="AC46" s="275"/>
      <c r="AD46" s="275"/>
      <c r="AE46" s="380" t="n">
        <v>0</v>
      </c>
      <c r="AF46" s="852" t="n">
        <v>-7.9610000000000003</v>
      </c>
      <c r="AG46" s="852" t="n">
        <v>0</v>
      </c>
      <c r="AH46" s="852" t="n">
        <v>0</v>
      </c>
      <c r="AI46" s="852" t="n">
        <v>0</v>
      </c>
      <c r="AJ46" s="852" t="n">
        <v>-8.1549999999999994</v>
      </c>
      <c r="AK46" s="852" t="n">
        <v>0</v>
      </c>
      <c r="AL46" s="852" t="n">
        <v>0</v>
      </c>
      <c r="AM46" s="852" t="n">
        <v>0</v>
      </c>
      <c r="AN46" s="852" t="n">
        <v>-21.645</v>
      </c>
    </row>
    <row r="47" ht="29.15" customHeight="1">
      <c r="B47" s="736" t="s">
        <v>390</v>
      </c>
      <c r="C47" s="506"/>
      <c r="D47" s="888"/>
      <c r="E47" s="734"/>
      <c r="F47" s="734"/>
      <c r="G47" s="734"/>
      <c r="H47" s="734"/>
      <c r="I47" s="734"/>
      <c r="J47" s="734" t="n">
        <f t="shared" ref="J47:AD47" si="17">J45-$H45</f>
        <v>7.9999999999999849E-2</v>
      </c>
      <c r="K47" s="734" t="n">
        <f t="shared" si="17"/>
        <v>0.252</v>
      </c>
      <c r="L47" s="734" t="n">
        <f t="shared" si="17"/>
        <v>0.21199999999999997</v>
      </c>
      <c r="M47" s="734" t="n">
        <f t="shared" si="17"/>
        <v>0.20399999999999996</v>
      </c>
      <c r="N47" s="734" t="n">
        <f>N45-$H45</f>
        <v>0.48799999999999999</v>
      </c>
      <c r="O47" s="734" t="n">
        <f>O45-$H45</f>
        <v>0.53600000000000003</v>
      </c>
      <c r="P47" s="734" t="n">
        <f t="shared" si="17"/>
        <v>0.53600000000000003</v>
      </c>
      <c r="Q47" s="734" t="n">
        <f t="shared" si="17"/>
        <v>0.52400000000000002</v>
      </c>
      <c r="R47" s="734" t="n">
        <f t="shared" si="17"/>
        <v>0.62800000000000011</v>
      </c>
      <c r="S47" s="294" t="n">
        <f t="shared" si="17"/>
        <v>0.66799999999999971</v>
      </c>
      <c r="T47" s="294" t="n">
        <f t="shared" si="17"/>
        <v>1.444</v>
      </c>
      <c r="U47" s="294" t="n">
        <f t="shared" si="17"/>
        <v>1.54</v>
      </c>
      <c r="V47" s="294" t="n">
        <f t="shared" si="17"/>
        <v>2</v>
      </c>
      <c r="W47" s="294" t="n">
        <f t="shared" si="17"/>
        <v>2.2679999999999998</v>
      </c>
      <c r="X47" s="294" t="n">
        <f t="shared" si="17"/>
        <v>2.7439999999999998</v>
      </c>
      <c r="Y47" s="294" t="n">
        <f t="shared" si="17"/>
        <v>2.8919999999999995</v>
      </c>
      <c r="Z47" s="294" t="n">
        <f t="shared" si="17"/>
        <v>3.2119999999999997</v>
      </c>
      <c r="AA47" s="294" t="n">
        <f t="shared" si="17"/>
        <v>3.0599999999999996</v>
      </c>
      <c r="AB47" s="294" t="n">
        <f t="shared" si="17"/>
        <v>3.1479999999999997</v>
      </c>
      <c r="AC47" s="294" t="n">
        <f t="shared" si="17"/>
        <v>3.056</v>
      </c>
      <c r="AD47" s="294" t="n">
        <f t="shared" si="17"/>
        <v>2.7960000000000003</v>
      </c>
      <c r="AE47" s="858"/>
      <c r="AF47" s="858"/>
      <c r="AG47" s="858"/>
      <c r="AH47" s="858"/>
      <c r="AI47" s="858"/>
      <c r="AJ47" s="858"/>
      <c r="AK47" s="858"/>
      <c r="AL47" s="858"/>
      <c r="AM47" s="858"/>
      <c r="AN47" s="858"/>
    </row>
    <row r="48" ht="29.15" customHeight="1">
      <c r="B48" s="289"/>
      <c r="C48" s="289"/>
      <c r="D48" s="286"/>
      <c r="E48" s="286"/>
      <c r="F48" s="286"/>
      <c r="G48" s="286"/>
      <c r="H48" s="286"/>
      <c r="I48" s="286"/>
      <c r="J48" s="286"/>
      <c r="K48" s="286"/>
      <c r="L48" s="286"/>
      <c r="M48" s="286"/>
      <c r="N48" s="286"/>
      <c r="O48" s="286"/>
      <c r="P48" s="286"/>
      <c r="Q48" s="286" t="s">
        <v>1895</v>
      </c>
      <c r="R48" s="286"/>
      <c r="S48" s="286"/>
      <c r="T48" s="286"/>
      <c r="U48" s="286" t="s">
        <v>1893</v>
      </c>
      <c r="V48" s="286"/>
      <c r="W48" s="286" t="s">
        <v>1894</v>
      </c>
      <c r="X48" s="286"/>
      <c r="Y48" s="286"/>
      <c r="Z48" s="286"/>
      <c r="AA48" s="286"/>
      <c r="AB48" s="286"/>
      <c r="AC48" s="286"/>
    </row>
    <row r="49" ht="29.15" customHeight="1">
      <c r="B49" s="289"/>
      <c r="C49" s="289"/>
      <c r="D49" s="286"/>
      <c r="E49" s="286"/>
      <c r="F49" s="286"/>
      <c r="G49" s="286"/>
      <c r="H49" s="286"/>
      <c r="I49" s="286"/>
      <c r="J49" s="286"/>
      <c r="K49" s="286"/>
      <c r="L49" s="286"/>
      <c r="M49" s="286"/>
      <c r="N49" s="286"/>
      <c r="O49" s="286"/>
      <c r="P49" s="286"/>
      <c r="Q49" s="286" t="n">
        <f>SUM(P45:S45)</f>
        <v>8.8360000000000003</v>
      </c>
      <c r="R49" s="286"/>
      <c r="S49" s="286"/>
      <c r="T49" s="286"/>
      <c r="U49" s="286" t="n">
        <f>SUM(T45:W45)</f>
        <v>13.732000000000001</v>
      </c>
      <c r="V49" s="286"/>
      <c r="W49" t="n">
        <v>112</v>
      </c>
      <c r="X49" s="286"/>
      <c r="Y49" s="286"/>
      <c r="Z49" s="286"/>
      <c r="AA49" s="286"/>
      <c r="AB49" s="286"/>
      <c r="AC49" s="286"/>
    </row>
    <row r="50" ht="29.15" customHeight="1">
      <c r="B50" s="289"/>
      <c r="C50" s="289"/>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row>
    <row r="51" ht="35.9" customHeight="1"/>
    <row r="52">
      <c r="B52" s="680" t="s">
        <v>276</v>
      </c>
    </row>
    <row r="53">
      <c r="B53" s="836" t="s">
        <v>714</v>
      </c>
      <c r="C53" s="837"/>
      <c r="D53" s="379" t="s">
        <v>191</v>
      </c>
      <c r="E53" s="379"/>
      <c r="F53" s="379"/>
      <c r="G53" s="379"/>
      <c r="H53" s="379"/>
      <c r="I53" s="379"/>
      <c r="J53" s="379"/>
      <c r="K53" s="379"/>
      <c r="L53" s="379"/>
      <c r="M53" s="379"/>
      <c r="N53" s="379"/>
      <c r="O53" s="379"/>
      <c r="P53" s="379"/>
      <c r="Q53" s="379"/>
      <c r="R53" s="379"/>
      <c r="S53" s="379"/>
      <c r="T53" s="379"/>
      <c r="U53" s="379"/>
      <c r="V53" s="379"/>
      <c r="W53" s="379"/>
      <c r="X53" s="379"/>
      <c r="Y53" s="379"/>
      <c r="Z53" s="379"/>
      <c r="AA53" s="379"/>
      <c r="AB53" s="379"/>
      <c r="AC53" s="251" t="s">
        <v>192</v>
      </c>
      <c r="AD53" s="252"/>
      <c r="AE53" s="252"/>
      <c r="AF53" s="252"/>
      <c r="AG53" s="252"/>
      <c r="AH53" s="252"/>
      <c r="AI53" s="252"/>
      <c r="AJ53" s="252"/>
      <c r="AK53" s="252"/>
      <c r="AL53" s="252"/>
      <c r="AM53" s="252"/>
      <c r="AN53" s="253"/>
    </row>
    <row r="54">
      <c r="B54" s="838"/>
      <c r="C54" s="839"/>
      <c r="D54" s="254" t="n">
        <v>2018</v>
      </c>
      <c r="E54" s="254" t="n">
        <v>2019</v>
      </c>
      <c r="F54" s="441"/>
      <c r="G54" s="441"/>
      <c r="H54" s="256"/>
      <c r="I54" s="254" t="n">
        <v>2020</v>
      </c>
      <c r="J54" s="441"/>
      <c r="K54" s="441"/>
      <c r="L54" s="441"/>
      <c r="M54" s="254" t="n">
        <v>2021</v>
      </c>
      <c r="N54" s="441"/>
      <c r="O54" s="441"/>
      <c r="P54" s="441"/>
      <c r="Q54" s="254" t="n">
        <v>2022</v>
      </c>
      <c r="R54" s="255"/>
      <c r="S54" s="255"/>
      <c r="T54" s="256"/>
      <c r="U54" s="298"/>
      <c r="V54" s="304" t="n">
        <v>2023</v>
      </c>
      <c r="W54" s="304"/>
      <c r="X54" s="300"/>
      <c r="Y54" s="305"/>
      <c r="Z54" s="304" t="n">
        <v>2024</v>
      </c>
      <c r="AA54" s="298"/>
      <c r="AB54" s="300"/>
      <c r="AC54" s="261" t="n">
        <v>2025</v>
      </c>
      <c r="AD54" s="262"/>
      <c r="AE54" s="262"/>
      <c r="AF54" s="263"/>
      <c r="AG54" s="261" t="n">
        <v>2026</v>
      </c>
      <c r="AH54" s="262"/>
      <c r="AI54" s="262"/>
      <c r="AJ54" s="263"/>
      <c r="AK54" s="261" t="n">
        <v>2027</v>
      </c>
      <c r="AL54" s="262"/>
      <c r="AM54" s="262"/>
      <c r="AN54" s="263"/>
    </row>
    <row r="55">
      <c r="B55" s="838"/>
      <c r="C55" s="839"/>
      <c r="D55" s="274" t="s">
        <v>193</v>
      </c>
      <c r="E55" s="274" t="s">
        <v>194</v>
      </c>
      <c r="F55" s="275" t="s">
        <v>195</v>
      </c>
      <c r="G55" s="275" t="s">
        <v>171</v>
      </c>
      <c r="H55" s="276" t="s">
        <v>193</v>
      </c>
      <c r="I55" s="275" t="s">
        <v>194</v>
      </c>
      <c r="J55" s="275" t="s">
        <v>195</v>
      </c>
      <c r="K55" s="275" t="s">
        <v>171</v>
      </c>
      <c r="L55" s="275" t="s">
        <v>193</v>
      </c>
      <c r="M55" s="274" t="s">
        <v>194</v>
      </c>
      <c r="N55" s="275" t="s">
        <v>195</v>
      </c>
      <c r="O55" s="275" t="s">
        <v>171</v>
      </c>
      <c r="P55" s="275" t="s">
        <v>193</v>
      </c>
      <c r="Q55" s="274" t="s">
        <v>194</v>
      </c>
      <c r="R55" s="275" t="s">
        <v>195</v>
      </c>
      <c r="S55" s="275" t="s">
        <v>171</v>
      </c>
      <c r="T55" s="276" t="s">
        <v>193</v>
      </c>
      <c r="U55" s="275" t="s">
        <v>194</v>
      </c>
      <c r="V55" s="294" t="s">
        <v>195</v>
      </c>
      <c r="W55" s="294" t="s">
        <v>171</v>
      </c>
      <c r="X55" s="292" t="s">
        <v>193</v>
      </c>
      <c r="Y55" s="293" t="s">
        <v>194</v>
      </c>
      <c r="Z55" s="295" t="s">
        <v>195</v>
      </c>
      <c r="AA55" s="294" t="s">
        <v>171</v>
      </c>
      <c r="AB55" s="294" t="s">
        <v>193</v>
      </c>
      <c r="AC55" s="293" t="s">
        <v>194</v>
      </c>
      <c r="AD55" s="295" t="s">
        <v>195</v>
      </c>
      <c r="AE55" s="291" t="s">
        <v>171</v>
      </c>
      <c r="AF55" s="291" t="s">
        <v>193</v>
      </c>
      <c r="AG55" s="296" t="s">
        <v>194</v>
      </c>
      <c r="AH55" s="290" t="s">
        <v>195</v>
      </c>
      <c r="AI55" s="291" t="s">
        <v>171</v>
      </c>
      <c r="AJ55" s="297" t="s">
        <v>193</v>
      </c>
      <c r="AK55" s="296" t="s">
        <v>194</v>
      </c>
      <c r="AL55" s="290" t="s">
        <v>195</v>
      </c>
      <c r="AM55" s="291" t="s">
        <v>171</v>
      </c>
      <c r="AN55" s="297" t="s">
        <v>193</v>
      </c>
    </row>
    <row r="56" ht="25.75" customHeight="1">
      <c r="B56" s="870" t="s">
        <v>377</v>
      </c>
      <c r="C56" s="853" t="s">
        <v>378</v>
      </c>
      <c r="D56" s="513" t="n">
        <f>'Haver Pivoted'!B31</f>
        <v>48.3</v>
      </c>
      <c r="E56" s="514" t="n">
        <f>'Haver Pivoted'!C31</f>
        <v>57.5</v>
      </c>
      <c r="F56" s="514" t="n">
        <f>'Haver Pivoted'!D31</f>
        <v>56.9</v>
      </c>
      <c r="G56" s="514" t="n">
        <f>'Haver Pivoted'!E31</f>
        <v>59.8</v>
      </c>
      <c r="H56" s="514" t="n">
        <f>'Haver Pivoted'!F31</f>
        <v>61</v>
      </c>
      <c r="I56" s="514" t="n">
        <f>'Haver Pivoted'!G31</f>
        <v>67.900000000000006</v>
      </c>
      <c r="J56" s="514" t="n">
        <f>'Haver Pivoted'!H31</f>
        <v>67.2</v>
      </c>
      <c r="K56" s="514" t="n">
        <f>'Haver Pivoted'!I31</f>
        <v>68.2</v>
      </c>
      <c r="L56" s="514" t="n">
        <f>'Haver Pivoted'!J31</f>
        <v>70.2</v>
      </c>
      <c r="M56" s="514" t="n">
        <f>'Haver Pivoted'!K31</f>
        <v>70.2</v>
      </c>
      <c r="N56" s="514" t="n">
        <f>'Haver Pivoted'!L31</f>
        <v>70.3</v>
      </c>
      <c r="O56" s="514" t="n">
        <f>'Haver Pivoted'!M31</f>
        <v>80.599999999999994</v>
      </c>
      <c r="P56" s="514" t="n">
        <f>'Haver Pivoted'!N31</f>
        <v>82.2</v>
      </c>
      <c r="Q56" s="514" t="n">
        <f>'Haver Pivoted'!O31</f>
        <v>83.6</v>
      </c>
      <c r="R56" s="514" t="n">
        <f>'Haver Pivoted'!P31</f>
        <v>85.1</v>
      </c>
      <c r="S56" s="515" t="n">
        <f>'Haver Pivoted'!Q31</f>
        <v>87.3</v>
      </c>
      <c r="T56" s="875" t="n">
        <f>'Haver Pivoted'!R31</f>
        <v>94.1</v>
      </c>
      <c r="U56" s="515" t="n">
        <f>'Haver Pivoted'!S31</f>
        <v>100.7</v>
      </c>
      <c r="V56" s="515" t="n">
        <f>'Haver Pivoted'!T31</f>
        <v>106.4</v>
      </c>
      <c r="W56" s="515" t="n">
        <f>'Haver Pivoted'!U31</f>
        <v>112</v>
      </c>
      <c r="X56" s="515" t="n">
        <f>'Haver Pivoted'!V31</f>
        <v>120.5</v>
      </c>
      <c r="Y56" s="515" t="n">
        <f>'Haver Pivoted'!W31</f>
        <v>134.19999999999999</v>
      </c>
      <c r="Z56" s="515" t="n">
        <f>'Haver Pivoted'!X31</f>
        <v>136.80000000000001</v>
      </c>
      <c r="AA56" s="515" t="n">
        <f>'Haver Pivoted'!Y31</f>
        <v>137.80000000000001</v>
      </c>
      <c r="AB56" s="515" t="n">
        <f>'Haver Pivoted'!Z31</f>
        <v>141.30000000000001</v>
      </c>
      <c r="AC56" s="515" t="n">
        <f>'Haver Pivoted'!AA31</f>
        <v>139.6</v>
      </c>
      <c r="AD56" s="515" t="n">
        <f>'Haver Pivoted'!AB31</f>
        <v>145.4</v>
      </c>
      <c r="AE56" s="892"/>
      <c r="AF56" s="892"/>
      <c r="AG56" s="380"/>
      <c r="AH56" s="380"/>
      <c r="AI56" s="380"/>
      <c r="AJ56" s="380"/>
      <c r="AK56" s="380"/>
      <c r="AL56" s="380"/>
      <c r="AM56" s="380"/>
      <c r="AN56" s="380"/>
    </row>
    <row r="57" ht="37" customHeight="1">
      <c r="B57" s="642" t="s">
        <v>1746</v>
      </c>
      <c r="C57" s="289"/>
      <c r="D57" s="887" t="n">
        <f t="shared" ref="D57:AD57" si="18">D58+D59</f>
        <v>66.988</v>
      </c>
      <c r="E57" s="610" t="n">
        <f t="shared" si="18"/>
        <v>75.248000000000005</v>
      </c>
      <c r="F57" s="610" t="n">
        <f t="shared" si="18"/>
        <v>73.852000000000004</v>
      </c>
      <c r="G57" s="610" t="n">
        <f t="shared" si="18"/>
        <v>75.231999999999999</v>
      </c>
      <c r="H57" s="610" t="n">
        <f t="shared" si="18"/>
        <v>76.319999999999993</v>
      </c>
      <c r="I57" s="610" t="n">
        <f t="shared" si="18"/>
        <v>83.238</v>
      </c>
      <c r="J57" s="610" t="n">
        <f t="shared" si="18"/>
        <v>81.954000000000008</v>
      </c>
      <c r="K57" s="610" t="n">
        <f t="shared" si="18"/>
        <v>83.042000000000002</v>
      </c>
      <c r="L57" s="610" t="n">
        <f t="shared" si="18"/>
        <v>83.954000000000008</v>
      </c>
      <c r="M57" s="610" t="n">
        <f t="shared" si="18"/>
        <v>54.81</v>
      </c>
      <c r="N57" s="610" t="n">
        <f t="shared" si="18"/>
        <v>88.651840000000036</v>
      </c>
      <c r="O57" s="610" t="n">
        <f t="shared" si="18"/>
        <v>110.54016000000007</v>
      </c>
      <c r="P57" s="610" t="n">
        <f t="shared" si="18"/>
        <v>136.46599999999998</v>
      </c>
      <c r="Q57" s="610" t="n">
        <f t="shared" si="18"/>
        <v>138.09</v>
      </c>
      <c r="R57" s="610" t="n">
        <f t="shared" si="18"/>
        <v>139.578</v>
      </c>
      <c r="S57" s="872" t="n">
        <f t="shared" si="18"/>
        <v>140.49599999999998</v>
      </c>
      <c r="T57" s="872" t="n">
        <f t="shared" si="18"/>
        <v>124.97200000000001</v>
      </c>
      <c r="U57" s="872" t="n">
        <f t="shared" si="18"/>
        <v>147.12</v>
      </c>
      <c r="V57" s="872" t="n">
        <f t="shared" si="18"/>
        <v>151.35942857142857</v>
      </c>
      <c r="W57" s="872" t="n">
        <f t="shared" si="18"/>
        <v>153.76742857142858</v>
      </c>
      <c r="X57" s="872" t="n">
        <f t="shared" si="18"/>
        <v>148.84199999999998</v>
      </c>
      <c r="Y57" s="872" t="n">
        <f t="shared" si="18"/>
        <v>155.77799999999999</v>
      </c>
      <c r="Z57" s="872" t="n">
        <f t="shared" si="18"/>
        <v>163.822</v>
      </c>
      <c r="AA57" s="872" t="n">
        <f t="shared" si="18"/>
        <v>163.738</v>
      </c>
      <c r="AB57" s="872" t="n">
        <f t="shared" si="18"/>
        <v>164.63499999999999</v>
      </c>
      <c r="AC57" s="872" t="n">
        <f t="shared" si="18"/>
        <v>164.399</v>
      </c>
      <c r="AD57" s="872" t="n">
        <f t="shared" si="18"/>
        <v>170.31899999999999</v>
      </c>
      <c r="AE57" s="860"/>
      <c r="AF57" s="860"/>
      <c r="AG57" s="380"/>
      <c r="AH57" s="380"/>
      <c r="AI57" s="380"/>
      <c r="AJ57" s="380"/>
      <c r="AK57" s="380"/>
      <c r="AL57" s="380"/>
      <c r="AM57" s="380"/>
      <c r="AN57" s="380"/>
    </row>
    <row r="58" ht="25.75" customHeight="1">
      <c r="B58" s="570" t="s">
        <v>1744</v>
      </c>
      <c r="C58" s="289"/>
      <c r="D58" s="887" t="n">
        <f t="shared" ref="D58:AD58" si="19">D13+D16+D25</f>
        <v>39.9</v>
      </c>
      <c r="E58" s="887" t="n">
        <f t="shared" si="19"/>
        <v>41.1</v>
      </c>
      <c r="F58" s="610" t="n">
        <f t="shared" si="19"/>
        <v>41.9</v>
      </c>
      <c r="G58" s="610" t="n">
        <f t="shared" si="19"/>
        <v>42.9</v>
      </c>
      <c r="H58" s="610" t="n">
        <f t="shared" si="19"/>
        <v>43.5</v>
      </c>
      <c r="I58" s="610" t="n">
        <f t="shared" si="19"/>
        <v>44.3</v>
      </c>
      <c r="J58" s="610" t="n">
        <f t="shared" si="19"/>
        <v>44.4</v>
      </c>
      <c r="K58" s="610" t="n">
        <f t="shared" si="19"/>
        <v>44.8</v>
      </c>
      <c r="L58" s="610" t="n">
        <f t="shared" si="19"/>
        <v>45.2</v>
      </c>
      <c r="M58" s="610" t="n">
        <f t="shared" si="19"/>
        <v>15.6</v>
      </c>
      <c r="N58" s="610" t="n">
        <f t="shared" si="19"/>
        <v>14.7</v>
      </c>
      <c r="O58" s="610" t="n">
        <f t="shared" si="19"/>
        <v>14.2</v>
      </c>
      <c r="P58" s="610" t="n">
        <f t="shared" si="19"/>
        <v>14.1</v>
      </c>
      <c r="Q58" s="610" t="n">
        <f t="shared" si="19"/>
        <v>14.5</v>
      </c>
      <c r="R58" s="610" t="n">
        <f t="shared" si="19"/>
        <v>15</v>
      </c>
      <c r="S58" s="872" t="n">
        <f t="shared" si="19"/>
        <v>15.7</v>
      </c>
      <c r="T58" s="872" t="n">
        <f t="shared" si="19"/>
        <v>17.5</v>
      </c>
      <c r="U58" s="872" t="n">
        <f t="shared" si="19"/>
        <v>53.1</v>
      </c>
      <c r="V58" s="872" t="n">
        <f t="shared" si="19"/>
        <v>53.991428571428571</v>
      </c>
      <c r="W58" s="872" t="n">
        <f t="shared" si="19"/>
        <v>54.691428571428574</v>
      </c>
      <c r="X58" s="872" t="n">
        <f t="shared" si="19"/>
        <v>62.7</v>
      </c>
      <c r="Y58" s="872" t="n">
        <f t="shared" si="19"/>
        <v>68.599999999999994</v>
      </c>
      <c r="Z58" s="872" t="n">
        <f t="shared" si="19"/>
        <v>70.2</v>
      </c>
      <c r="AA58" s="872" t="n">
        <f t="shared" si="19"/>
        <v>69.599999999999994</v>
      </c>
      <c r="AB58" s="872" t="n">
        <f t="shared" si="19"/>
        <v>69.3</v>
      </c>
      <c r="AC58" s="872" t="n">
        <f t="shared" si="19"/>
        <v>68.7</v>
      </c>
      <c r="AD58" s="872" t="n">
        <f t="shared" si="19"/>
        <v>69.3</v>
      </c>
      <c r="AE58" s="860"/>
      <c r="AF58" s="860"/>
      <c r="AG58" s="860"/>
      <c r="AH58" s="860"/>
      <c r="AI58" s="860"/>
      <c r="AJ58" s="860"/>
      <c r="AK58" s="860"/>
      <c r="AL58" s="860"/>
      <c r="AM58" s="860"/>
      <c r="AN58" s="860"/>
    </row>
    <row r="59" ht="49.5" customHeight="1">
      <c r="B59" s="570" t="s">
        <v>1907</v>
      </c>
      <c r="C59" s="289"/>
      <c r="D59" s="860" t="n">
        <f t="shared" ref="D59:AN59" si="20">D18+D21+D22+D23+D24+D26+D28+D61</f>
        <v>27.088000000000001</v>
      </c>
      <c r="E59" s="860" t="n">
        <f t="shared" si="20"/>
        <v>34.148000000000003</v>
      </c>
      <c r="F59" s="860" t="n">
        <f t="shared" si="20"/>
        <v>31.952000000000002</v>
      </c>
      <c r="G59" s="860" t="n">
        <f t="shared" si="20"/>
        <v>32.332000000000001</v>
      </c>
      <c r="H59" s="860" t="n">
        <f t="shared" si="20"/>
        <v>32.82</v>
      </c>
      <c r="I59" s="860" t="n">
        <f t="shared" si="20"/>
        <v>38.938000000000002</v>
      </c>
      <c r="J59" s="860" t="n">
        <f t="shared" si="20"/>
        <v>37.554000000000002</v>
      </c>
      <c r="K59" s="860" t="n">
        <f t="shared" si="20"/>
        <v>38.241999999999997</v>
      </c>
      <c r="L59" s="860" t="n">
        <f t="shared" si="20"/>
        <v>38.753999999999998</v>
      </c>
      <c r="M59" s="860" t="n">
        <f t="shared" si="20"/>
        <v>39.21</v>
      </c>
      <c r="N59" s="860" t="n">
        <f t="shared" si="20"/>
        <v>73.951840000000033</v>
      </c>
      <c r="O59" s="860" t="n">
        <f t="shared" si="20"/>
        <v>96.340160000000068</v>
      </c>
      <c r="P59" s="860" t="n">
        <f t="shared" si="20"/>
        <v>122.36599999999999</v>
      </c>
      <c r="Q59" s="860" t="n">
        <f t="shared" si="20"/>
        <v>123.59</v>
      </c>
      <c r="R59" s="860" t="n">
        <f t="shared" si="20"/>
        <v>124.578</v>
      </c>
      <c r="S59" s="860" t="n">
        <f t="shared" si="20"/>
        <v>124.79599999999999</v>
      </c>
      <c r="T59" s="860" t="n">
        <f t="shared" si="20"/>
        <v>107.47200000000001</v>
      </c>
      <c r="U59" s="860" t="n">
        <f t="shared" si="20"/>
        <v>94.02</v>
      </c>
      <c r="V59" s="860" t="n">
        <f t="shared" si="20"/>
        <v>97.367999999999995</v>
      </c>
      <c r="W59" s="860" t="n">
        <f t="shared" si="20"/>
        <v>99.075999999999993</v>
      </c>
      <c r="X59" s="860" t="n">
        <f t="shared" si="20"/>
        <v>86.141999999999996</v>
      </c>
      <c r="Y59" s="860" t="n">
        <f t="shared" si="20"/>
        <v>87.177999999999997</v>
      </c>
      <c r="Z59" s="860" t="n">
        <f t="shared" si="20"/>
        <v>93.622</v>
      </c>
      <c r="AA59" s="860" t="n">
        <f t="shared" si="20"/>
        <v>94.138000000000005</v>
      </c>
      <c r="AB59" s="860" t="n">
        <f t="shared" si="20"/>
        <v>95.334999999999994</v>
      </c>
      <c r="AC59" s="860" t="n">
        <f t="shared" si="20"/>
        <v>95.698999999999998</v>
      </c>
      <c r="AD59" s="860" t="n">
        <f t="shared" si="20"/>
        <v>101.01899999999999</v>
      </c>
      <c r="AE59" s="860" t="n">
        <f t="shared" si="20"/>
        <v>105.01899999999999</v>
      </c>
      <c r="AF59" s="860" t="n">
        <f t="shared" si="20"/>
        <v>91.977999999999994</v>
      </c>
      <c r="AG59" s="860" t="n">
        <f t="shared" si="20"/>
        <v>104.97890799999999</v>
      </c>
      <c r="AH59" s="860" t="n">
        <f t="shared" si="20"/>
        <v>117.250908</v>
      </c>
      <c r="AI59" s="860" t="n">
        <f t="shared" si="20"/>
        <v>130.25090799999998</v>
      </c>
      <c r="AJ59" s="860" t="n">
        <f t="shared" si="20"/>
        <v>135.09590799999998</v>
      </c>
      <c r="AK59" s="860" t="n">
        <f t="shared" si="20"/>
        <v>151.50353988399999</v>
      </c>
      <c r="AL59" s="860" t="n">
        <f t="shared" si="20"/>
        <v>164.50353988399999</v>
      </c>
      <c r="AM59" s="860" t="n">
        <f t="shared" si="20"/>
        <v>177.50353988399999</v>
      </c>
      <c r="AN59" s="860" t="n">
        <f t="shared" si="20"/>
        <v>168.85853988400001</v>
      </c>
    </row>
    <row r="60" ht="25.75" customHeight="1">
      <c r="B60" s="642" t="s">
        <v>711</v>
      </c>
      <c r="C60" s="289"/>
      <c r="D60" s="872" t="n">
        <f>D56-D57</f>
        <v>-18.688000000000002</v>
      </c>
      <c r="E60" s="872" t="n">
        <f t="shared" ref="E60:AC60" si="21">E56-E57</f>
        <v>-17.748000000000005</v>
      </c>
      <c r="F60" s="872" t="n">
        <f t="shared" si="21"/>
        <v>-16.952000000000005</v>
      </c>
      <c r="G60" s="872" t="n">
        <f t="shared" si="21"/>
        <v>-15.432000000000002</v>
      </c>
      <c r="H60" s="872" t="n">
        <f t="shared" si="21"/>
        <v>-15.319999999999993</v>
      </c>
      <c r="I60" s="872" t="n">
        <f t="shared" si="21"/>
        <v>-15.337999999999994</v>
      </c>
      <c r="J60" s="872" t="n">
        <f t="shared" si="21"/>
        <v>-14.754000000000005</v>
      </c>
      <c r="K60" s="872" t="n">
        <f t="shared" si="21"/>
        <v>-14.841999999999999</v>
      </c>
      <c r="L60" s="872" t="n">
        <f t="shared" si="21"/>
        <v>-13.754000000000005</v>
      </c>
      <c r="M60" s="872" t="n">
        <f t="shared" si="21"/>
        <v>15.39</v>
      </c>
      <c r="N60" s="872" t="n">
        <f t="shared" si="21"/>
        <v>-18.351840000000038</v>
      </c>
      <c r="O60" s="872" t="n">
        <f t="shared" si="21"/>
        <v>-29.940160000000077</v>
      </c>
      <c r="P60" s="872" t="n">
        <f t="shared" si="21"/>
        <v>-54.265999999999977</v>
      </c>
      <c r="Q60" s="872" t="n">
        <f t="shared" si="21"/>
        <v>-54.490000000000009</v>
      </c>
      <c r="R60" s="872" t="n">
        <f t="shared" si="21"/>
        <v>-54.478000000000009</v>
      </c>
      <c r="S60" s="872" t="n">
        <f t="shared" si="21"/>
        <v>-53.195999999999984</v>
      </c>
      <c r="T60" s="872" t="n">
        <f t="shared" si="21"/>
        <v>-30.872000000000014</v>
      </c>
      <c r="U60" s="872" t="n">
        <f t="shared" si="21"/>
        <v>-46.42</v>
      </c>
      <c r="V60" s="872" t="n">
        <f t="shared" si="21"/>
        <v>-44.95942857142856</v>
      </c>
      <c r="W60" s="872" t="n">
        <f t="shared" si="21"/>
        <v>-41.767428571428582</v>
      </c>
      <c r="X60" s="872" t="n">
        <f t="shared" si="21"/>
        <v>-28.341999999999985</v>
      </c>
      <c r="Y60" s="872" t="n">
        <f t="shared" si="21"/>
        <v>-21.578000000000003</v>
      </c>
      <c r="Z60" s="872" t="n">
        <f t="shared" si="21"/>
        <v>-27.021999999999991</v>
      </c>
      <c r="AA60" s="872" t="n">
        <f t="shared" si="21"/>
        <v>-25.937999999999988</v>
      </c>
      <c r="AB60" s="872" t="n">
        <f t="shared" si="21"/>
        <v>-23.33499999999998</v>
      </c>
      <c r="AC60" s="872" t="n">
        <f t="shared" si="21"/>
        <v>-24.799000000000007</v>
      </c>
      <c r="AD60" s="872" t="n">
        <f>AD56-AD57</f>
        <v>-24.918999999999983</v>
      </c>
      <c r="AE60" s="860" t="n">
        <f>AD60*1.005</f>
        <v>-25.043594999999979</v>
      </c>
      <c r="AF60" s="860" t="n">
        <f t="shared" ref="AF60:AN60" si="22">AE60*1.005</f>
        <v>-25.168812974999977</v>
      </c>
      <c r="AG60" s="860" t="n">
        <f t="shared" si="22"/>
        <v>-25.294657039874973</v>
      </c>
      <c r="AH60" s="860" t="n">
        <f t="shared" si="22"/>
        <v>-25.421130325074344</v>
      </c>
      <c r="AI60" s="860" t="n">
        <f t="shared" si="22"/>
        <v>-25.548235976699711</v>
      </c>
      <c r="AJ60" s="860" t="n">
        <f t="shared" si="22"/>
        <v>-25.675977156583208</v>
      </c>
      <c r="AK60" s="860" t="n">
        <f t="shared" si="22"/>
        <v>-25.804357042366121</v>
      </c>
      <c r="AL60" s="860" t="n">
        <f t="shared" si="22"/>
        <v>-25.93337882757795</v>
      </c>
      <c r="AM60" s="860" t="n">
        <f t="shared" si="22"/>
        <v>-26.063045721715838</v>
      </c>
      <c r="AN60" s="860" t="n">
        <f t="shared" si="22"/>
        <v>-26.193360950324415</v>
      </c>
    </row>
    <row r="61" ht="17.5" customHeight="1">
      <c r="B61" s="737" t="s">
        <v>385</v>
      </c>
      <c r="C61" s="289" t="s">
        <v>386</v>
      </c>
      <c r="D61" s="887" t="n">
        <f>'Haver Pivoted'!B88/1000</f>
        <v>27.088000000000001</v>
      </c>
      <c r="E61" s="610" t="n">
        <f>'Haver Pivoted'!C88/1000</f>
        <v>34.148000000000003</v>
      </c>
      <c r="F61" s="610" t="n">
        <f>'Haver Pivoted'!D88/1000</f>
        <v>31.952000000000002</v>
      </c>
      <c r="G61" s="610" t="n">
        <f>'Haver Pivoted'!E88/1000</f>
        <v>32.332000000000001</v>
      </c>
      <c r="H61" s="610" t="n">
        <f>'Haver Pivoted'!F88/1000</f>
        <v>32.82</v>
      </c>
      <c r="I61" s="610" t="n">
        <f>'Haver Pivoted'!G88/1000</f>
        <v>38.700000000000003</v>
      </c>
      <c r="J61" s="610" t="n">
        <f>'Haver Pivoted'!H88/1000</f>
        <v>37.216000000000001</v>
      </c>
      <c r="K61" s="610" t="n">
        <f>'Haver Pivoted'!I88/1000</f>
        <v>37.731999999999999</v>
      </c>
      <c r="L61" s="610" t="n">
        <f>'Haver Pivoted'!J88/1000</f>
        <v>38.283999999999999</v>
      </c>
      <c r="M61" s="610" t="n">
        <f>'Haver Pivoted'!K88/1000</f>
        <v>38.747999999999998</v>
      </c>
      <c r="N61" s="610" t="n">
        <f>'Haver Pivoted'!L88/1000</f>
        <v>39.283999999999999</v>
      </c>
      <c r="O61" s="610" t="n">
        <f>'Haver Pivoted'!M88/1000</f>
        <v>47.475999999999999</v>
      </c>
      <c r="P61" s="610" t="n">
        <f>'Haver Pivoted'!N88/1000</f>
        <v>49.095999999999997</v>
      </c>
      <c r="Q61" s="610" t="n">
        <f>'Haver Pivoted'!O88/1000</f>
        <v>50.332000000000001</v>
      </c>
      <c r="R61" s="610" t="n">
        <f>'Haver Pivoted'!P88/1000</f>
        <v>51.216000000000001</v>
      </c>
      <c r="S61" s="872" t="n">
        <f>'Haver Pivoted'!Q88/1000</f>
        <v>52.015999999999998</v>
      </c>
      <c r="T61" s="872" t="n">
        <f>'Haver Pivoted'!R88/1000</f>
        <v>52.463999999999999</v>
      </c>
      <c r="U61" s="872" t="n">
        <f>'Haver Pivoted'!S88/1000</f>
        <v>56.915999999999997</v>
      </c>
      <c r="V61" s="872" t="n">
        <f>'Haver Pivoted'!T88/1000</f>
        <v>59.804000000000002</v>
      </c>
      <c r="W61" s="872" t="n">
        <f>'Haver Pivoted'!U88/1000</f>
        <v>61.244</v>
      </c>
      <c r="X61" s="872" t="n">
        <f>'Haver Pivoted'!V88/1000</f>
        <v>62</v>
      </c>
      <c r="Y61" s="872" t="n">
        <f>'Haver Pivoted'!W88/1000</f>
        <v>62.887999999999998</v>
      </c>
      <c r="Z61" s="872" t="n">
        <f>'Haver Pivoted'!X88/1000</f>
        <v>69.012</v>
      </c>
      <c r="AA61" s="872" t="n">
        <f>'Haver Pivoted'!Y88/1000</f>
        <v>69.680000000000007</v>
      </c>
      <c r="AB61" s="872" t="n">
        <f>'Haver Pivoted'!Z88/1000</f>
        <v>70.959999999999994</v>
      </c>
      <c r="AC61" s="872" t="n">
        <f>'Haver Pivoted'!AA88/1000</f>
        <v>71.415999999999997</v>
      </c>
      <c r="AD61" s="872" t="n">
        <f>'Haver Pivoted'!AB88/1000</f>
        <v>76.995999999999995</v>
      </c>
      <c r="AE61" s="860" t="n">
        <f t="shared" ref="AE61:AN61" si="23">AD61+AE62</f>
        <v>80.995999999999995</v>
      </c>
      <c r="AF61" s="860" t="n">
        <f t="shared" si="23"/>
        <v>93.995999999999995</v>
      </c>
      <c r="AG61" s="860" t="n">
        <f t="shared" si="23"/>
        <v>109.15790799999999</v>
      </c>
      <c r="AH61" s="860" t="n">
        <f t="shared" si="23"/>
        <v>122.15790799999999</v>
      </c>
      <c r="AI61" s="860" t="n">
        <f t="shared" si="23"/>
        <v>135.15790799999999</v>
      </c>
      <c r="AJ61" s="860" t="n">
        <f t="shared" si="23"/>
        <v>148.15790799999999</v>
      </c>
      <c r="AK61" s="860" t="n">
        <f t="shared" si="23"/>
        <v>164.565539884</v>
      </c>
      <c r="AL61" s="860" t="n">
        <f t="shared" si="23"/>
        <v>177.565539884</v>
      </c>
      <c r="AM61" s="860" t="n">
        <f t="shared" si="23"/>
        <v>190.565539884</v>
      </c>
      <c r="AN61" s="860" t="n">
        <f t="shared" si="23"/>
        <v>203.565539884</v>
      </c>
    </row>
    <row r="62" ht="17.5" customHeight="1">
      <c r="B62" s="570" t="s">
        <v>1704</v>
      </c>
      <c r="C62" s="289"/>
      <c r="D62" s="887"/>
      <c r="E62" s="610"/>
      <c r="F62" s="610"/>
      <c r="G62" s="610"/>
      <c r="H62" s="610"/>
      <c r="I62" s="610"/>
      <c r="J62" s="610"/>
      <c r="K62" s="610"/>
      <c r="L62" s="610"/>
      <c r="M62" s="610"/>
      <c r="N62" s="610"/>
      <c r="O62" s="610"/>
      <c r="P62" s="610"/>
      <c r="Q62" s="610"/>
      <c r="R62" s="610"/>
      <c r="S62" s="872"/>
      <c r="T62" s="872"/>
      <c r="U62" s="872" t="n">
        <f t="shared" ref="U62:AN62" si="24">U64+U63</f>
        <v>12.564368</v>
      </c>
      <c r="V62" s="610" t="n">
        <f t="shared" si="24"/>
        <v>8</v>
      </c>
      <c r="W62" s="610" t="n">
        <f t="shared" si="24"/>
        <v>11</v>
      </c>
      <c r="X62" s="860" t="n">
        <f t="shared" si="24"/>
        <v>14</v>
      </c>
      <c r="Y62" s="860" t="n">
        <f t="shared" si="24"/>
        <v>10.984</v>
      </c>
      <c r="Z62" s="860" t="n">
        <f t="shared" si="24"/>
        <v>13</v>
      </c>
      <c r="AA62" s="860" t="n">
        <f t="shared" si="24"/>
        <v>11</v>
      </c>
      <c r="AB62" s="860" t="n">
        <f t="shared" si="24"/>
        <v>14</v>
      </c>
      <c r="AC62" s="860" t="n">
        <f t="shared" si="24"/>
        <v>8.7740000000000009</v>
      </c>
      <c r="AD62" s="860" t="n">
        <f t="shared" si="24"/>
        <v>68.28</v>
      </c>
      <c r="AE62" s="860" t="n">
        <f t="shared" si="24"/>
        <v>4</v>
      </c>
      <c r="AF62" s="860" t="n">
        <f t="shared" si="24"/>
        <v>13</v>
      </c>
      <c r="AG62" s="860" t="n">
        <f t="shared" si="24"/>
        <v>15.161908</v>
      </c>
      <c r="AH62" s="860" t="n">
        <f t="shared" si="24"/>
        <v>13</v>
      </c>
      <c r="AI62" s="860" t="n">
        <f t="shared" si="24"/>
        <v>13</v>
      </c>
      <c r="AJ62" s="860" t="n">
        <f t="shared" si="24"/>
        <v>13</v>
      </c>
      <c r="AK62" s="860" t="n">
        <f t="shared" si="24"/>
        <v>16.407631884000001</v>
      </c>
      <c r="AL62" s="860" t="n">
        <f t="shared" si="24"/>
        <v>13</v>
      </c>
      <c r="AM62" s="860" t="n">
        <f t="shared" si="24"/>
        <v>13</v>
      </c>
      <c r="AN62" s="860" t="n">
        <f t="shared" si="24"/>
        <v>13</v>
      </c>
    </row>
    <row r="63" ht="17.5" customHeight="1">
      <c r="B63" s="562" t="s">
        <v>1707</v>
      </c>
      <c r="C63" s="289"/>
      <c r="D63" s="887"/>
      <c r="E63" s="610"/>
      <c r="F63" s="872"/>
      <c r="G63" s="872"/>
      <c r="H63" s="872"/>
      <c r="I63" s="872"/>
      <c r="J63" s="872"/>
      <c r="K63" s="872"/>
      <c r="L63" s="872"/>
      <c r="M63" s="872"/>
      <c r="N63" s="872"/>
      <c r="O63" s="872"/>
      <c r="P63" s="872"/>
      <c r="Q63" s="872"/>
      <c r="R63" s="872"/>
      <c r="S63" s="872"/>
      <c r="T63" s="872"/>
      <c r="U63" s="872" t="n">
        <v>8</v>
      </c>
      <c r="V63" s="610" t="n">
        <v>8</v>
      </c>
      <c r="W63" s="610" t="n">
        <v>11</v>
      </c>
      <c r="X63" s="860" t="n">
        <v>14</v>
      </c>
      <c r="Y63" s="860" t="n">
        <v>9</v>
      </c>
      <c r="Z63" s="860" t="n">
        <v>13</v>
      </c>
      <c r="AA63" s="860" t="n">
        <v>11</v>
      </c>
      <c r="AB63" s="860" t="n">
        <v>14</v>
      </c>
      <c r="AC63" s="860" t="n">
        <v>7</v>
      </c>
      <c r="AD63" s="860" t="n">
        <f>158-89.72</f>
        <v>68.28</v>
      </c>
      <c r="AE63" s="860" t="n">
        <v>4</v>
      </c>
      <c r="AF63" s="860" t="n">
        <v>13</v>
      </c>
      <c r="AG63" s="860" t="n">
        <v>13</v>
      </c>
      <c r="AH63" s="860" t="n">
        <v>13</v>
      </c>
      <c r="AI63" s="860" t="n">
        <v>13</v>
      </c>
      <c r="AJ63" s="860" t="n">
        <v>13</v>
      </c>
      <c r="AK63" s="860" t="n">
        <v>13</v>
      </c>
      <c r="AL63" s="860" t="n">
        <v>13</v>
      </c>
      <c r="AM63" s="860" t="n">
        <v>13</v>
      </c>
      <c r="AN63" s="860" t="n">
        <v>13</v>
      </c>
    </row>
    <row r="64" ht="30.65" customHeight="1">
      <c r="B64" s="880" t="s">
        <v>1703</v>
      </c>
      <c r="C64" s="881"/>
      <c r="D64" s="882"/>
      <c r="E64" s="863"/>
      <c r="F64" s="863"/>
      <c r="G64" s="863"/>
      <c r="H64" s="863"/>
      <c r="I64" s="863"/>
      <c r="J64" s="883"/>
      <c r="K64" s="883"/>
      <c r="L64" s="883"/>
      <c r="M64" s="884"/>
      <c r="N64" s="883"/>
      <c r="O64" s="883"/>
      <c r="P64" s="883"/>
      <c r="Q64" s="884"/>
      <c r="R64" s="883"/>
      <c r="S64" s="883"/>
      <c r="T64" s="883"/>
      <c r="U64" s="883" t="n">
        <f t="shared" ref="U64:AN64" si="25">U65*T61</f>
        <v>4.564368</v>
      </c>
      <c r="V64" s="883" t="n">
        <f t="shared" si="25"/>
        <v>0</v>
      </c>
      <c r="W64" s="883" t="n">
        <f t="shared" si="25"/>
        <v>0</v>
      </c>
      <c r="X64" s="883" t="n">
        <f t="shared" si="25"/>
        <v>0</v>
      </c>
      <c r="Y64" s="883" t="n">
        <f t="shared" si="25"/>
        <v>1.984</v>
      </c>
      <c r="Z64" s="883" t="n">
        <f t="shared" si="25"/>
        <v>0</v>
      </c>
      <c r="AA64" s="883" t="n">
        <f t="shared" si="25"/>
        <v>0</v>
      </c>
      <c r="AB64" s="883" t="n">
        <f t="shared" si="25"/>
        <v>0</v>
      </c>
      <c r="AC64" s="883" t="n">
        <f t="shared" si="25"/>
        <v>1.774</v>
      </c>
      <c r="AD64" s="883" t="n">
        <f t="shared" si="25"/>
        <v>0</v>
      </c>
      <c r="AE64" s="883" t="n">
        <f t="shared" si="25"/>
        <v>0</v>
      </c>
      <c r="AF64" s="883" t="n">
        <f t="shared" si="25"/>
        <v>0</v>
      </c>
      <c r="AG64" s="883" t="n">
        <f t="shared" si="25"/>
        <v>2.1619079999999999</v>
      </c>
      <c r="AH64" s="883" t="n">
        <f t="shared" si="25"/>
        <v>0</v>
      </c>
      <c r="AI64" s="883" t="n">
        <f t="shared" si="25"/>
        <v>0</v>
      </c>
      <c r="AJ64" s="883" t="n">
        <f t="shared" si="25"/>
        <v>0</v>
      </c>
      <c r="AK64" s="883" t="n">
        <f t="shared" si="25"/>
        <v>3.4076318839999997</v>
      </c>
      <c r="AL64" s="883" t="n">
        <f t="shared" si="25"/>
        <v>0</v>
      </c>
      <c r="AM64" s="883" t="n">
        <f t="shared" si="25"/>
        <v>0</v>
      </c>
      <c r="AN64" s="883" t="n">
        <f t="shared" si="25"/>
        <v>0</v>
      </c>
    </row>
    <row r="65" ht="39" customHeight="1">
      <c r="B65" s="562" t="s">
        <v>1708</v>
      </c>
      <c r="C65" s="289"/>
      <c r="D65" s="887"/>
      <c r="E65" s="610"/>
      <c r="F65" s="610"/>
      <c r="G65" s="610"/>
      <c r="H65" s="610"/>
      <c r="I65" s="863"/>
      <c r="J65" s="863"/>
      <c r="K65" s="863"/>
      <c r="L65" s="863"/>
      <c r="M65" s="863"/>
      <c r="N65" s="863"/>
      <c r="O65" s="863"/>
      <c r="P65" s="863"/>
      <c r="Q65" s="863"/>
      <c r="R65" s="863"/>
      <c r="S65" s="885"/>
      <c r="T65" s="885"/>
      <c r="U65" s="873" t="n">
        <v>8.6999999999999994E-2</v>
      </c>
      <c r="V65" s="864" t="n">
        <v>0</v>
      </c>
      <c r="W65" s="864" t="n">
        <v>0</v>
      </c>
      <c r="X65" s="886" t="n">
        <v>0</v>
      </c>
      <c r="Y65" s="886" t="n">
        <v>3.2000000000000001E-2</v>
      </c>
      <c r="Z65" s="886" t="n">
        <v>0</v>
      </c>
      <c r="AA65" s="886" t="n">
        <v>0</v>
      </c>
      <c r="AB65" s="886" t="n">
        <v>0</v>
      </c>
      <c r="AC65" s="886" t="n">
        <v>2.5000000000000001E-2</v>
      </c>
      <c r="AD65" s="886" t="n">
        <v>0</v>
      </c>
      <c r="AE65" s="886" t="n">
        <v>0</v>
      </c>
      <c r="AF65" s="886" t="n">
        <v>0</v>
      </c>
      <c r="AG65" s="886" t="n">
        <v>2.3E-2</v>
      </c>
      <c r="AH65" s="886" t="n">
        <v>0</v>
      </c>
      <c r="AI65" s="886" t="n">
        <v>0</v>
      </c>
      <c r="AJ65" s="886" t="n">
        <v>0</v>
      </c>
      <c r="AK65" s="886" t="n">
        <v>2.3E-2</v>
      </c>
      <c r="AL65" s="886" t="n">
        <v>0</v>
      </c>
      <c r="AM65" s="886" t="n">
        <v>0</v>
      </c>
      <c r="AN65" s="886" t="n">
        <v>0</v>
      </c>
    </row>
    <row r="66" ht="29.5" customHeight="1">
      <c r="B66" s="427"/>
      <c r="C66" s="289"/>
      <c r="D66" s="387"/>
      <c r="E66" s="387"/>
      <c r="F66" s="387"/>
      <c r="G66" s="387"/>
      <c r="H66" s="387"/>
      <c r="I66" s="387"/>
      <c r="J66" s="387"/>
      <c r="K66" s="387"/>
      <c r="L66" s="387"/>
      <c r="M66" s="387"/>
      <c r="N66" s="387"/>
      <c r="O66" s="387"/>
      <c r="P66" s="387"/>
      <c r="Q66" s="387"/>
      <c r="R66" s="387"/>
      <c r="S66" s="387"/>
      <c r="T66" s="387"/>
      <c r="U66" s="387"/>
      <c r="V66" s="387"/>
      <c r="W66" s="387"/>
      <c r="X66" s="387"/>
      <c r="Y66" s="387"/>
      <c r="Z66" s="387"/>
      <c r="AA66" s="387"/>
      <c r="AB66" s="387"/>
      <c r="AC66" s="387"/>
    </row>
    <row r="67" ht="16.75" customHeight="1">
      <c r="B67" s="383"/>
      <c r="C67" s="289"/>
      <c r="S67" s="387"/>
      <c r="T67" s="387"/>
      <c r="U67" s="387"/>
      <c r="V67" s="387"/>
      <c r="W67" s="387"/>
      <c r="X67" s="387"/>
      <c r="Y67" s="387"/>
      <c r="Z67" s="387"/>
      <c r="AA67" s="387"/>
      <c r="AB67" s="387"/>
      <c r="AC67" s="387"/>
      <c r="AD67" s="683"/>
    </row>
    <row r="68" ht="16.75" customHeight="1">
      <c r="B68" s="383"/>
      <c r="C68" s="289"/>
      <c r="S68" s="387"/>
      <c r="T68" s="387"/>
      <c r="U68" s="387"/>
      <c r="V68" s="387"/>
      <c r="W68" s="387"/>
      <c r="X68" s="387"/>
      <c r="Y68" s="387"/>
      <c r="Z68" s="387"/>
      <c r="AA68" s="387"/>
      <c r="AB68" s="387"/>
      <c r="AC68" s="387"/>
      <c r="AD68" s="683"/>
    </row>
    <row r="69" ht="16.75" customHeight="1">
      <c r="B69" s="289"/>
      <c r="C69" s="289"/>
      <c r="S69" s="289"/>
      <c r="T69" s="289"/>
      <c r="U69" s="610"/>
      <c r="V69" s="610"/>
      <c r="W69" s="610"/>
      <c r="X69" s="610"/>
      <c r="Y69" s="610"/>
      <c r="Z69" s="610"/>
      <c r="AA69" s="610"/>
      <c r="AB69" s="610"/>
      <c r="AC69" s="610"/>
      <c r="AD69" s="683"/>
    </row>
    <row r="70" ht="16.75" customHeight="1">
      <c r="B70" s="383"/>
      <c r="C70" s="289"/>
      <c r="S70" s="289"/>
      <c r="T70" s="289"/>
      <c r="U70" s="610"/>
      <c r="V70" s="610"/>
      <c r="W70" s="610"/>
      <c r="X70" s="610"/>
      <c r="Y70" s="610"/>
      <c r="Z70" s="610"/>
      <c r="AA70" s="610"/>
      <c r="AB70" s="610"/>
      <c r="AC70" s="610"/>
      <c r="AD70" s="683"/>
    </row>
    <row r="71" ht="16.75" customHeight="1">
      <c r="B71" s="383"/>
      <c r="C71" s="289"/>
      <c r="S71" s="289"/>
      <c r="T71" s="289"/>
      <c r="U71" s="387"/>
      <c r="V71" s="387"/>
      <c r="W71" s="387"/>
      <c r="X71" s="387"/>
      <c r="Y71" s="387"/>
      <c r="Z71" s="387"/>
      <c r="AA71" s="387"/>
      <c r="AB71" s="387"/>
      <c r="AC71" s="387"/>
      <c r="AD71" s="683"/>
    </row>
    <row r="72" ht="16.75" customHeight="1">
      <c r="B72" s="383"/>
      <c r="C72" s="289"/>
      <c r="S72" s="289"/>
      <c r="T72" s="289"/>
      <c r="U72" s="874"/>
      <c r="V72" s="874"/>
      <c r="W72" s="874"/>
      <c r="X72" s="874"/>
      <c r="Y72" s="874"/>
      <c r="Z72" s="874"/>
      <c r="AA72" s="874"/>
      <c r="AB72" s="874"/>
      <c r="AC72" s="874"/>
      <c r="AD72" s="683"/>
    </row>
    <row r="73" ht="16.75" customHeight="1">
      <c r="B73" s="289"/>
      <c r="C73" s="289"/>
      <c r="S73" s="387"/>
      <c r="T73" s="387"/>
      <c r="U73" s="387"/>
      <c r="V73" s="387"/>
      <c r="W73" s="387"/>
      <c r="X73" s="387"/>
      <c r="Y73" s="387"/>
      <c r="Z73" s="387"/>
      <c r="AA73" s="387"/>
      <c r="AB73" s="387"/>
      <c r="AC73" s="387"/>
      <c r="AD73" s="683"/>
    </row>
    <row r="74" ht="22.5" customHeight="1">
      <c r="B74" s="427"/>
      <c r="C74" s="289"/>
      <c r="D74" s="387"/>
      <c r="E74" s="387"/>
      <c r="F74" s="387"/>
      <c r="G74" s="387"/>
      <c r="H74" s="387"/>
      <c r="I74" s="387"/>
      <c r="J74" s="387"/>
      <c r="K74" s="387"/>
      <c r="L74" s="387"/>
      <c r="M74" s="387"/>
      <c r="N74" s="387"/>
      <c r="O74" s="387"/>
      <c r="P74" s="387"/>
      <c r="Q74" s="387"/>
      <c r="R74" s="387"/>
      <c r="S74" s="387"/>
      <c r="T74" s="387"/>
      <c r="U74" s="387"/>
      <c r="V74" s="387"/>
      <c r="W74" s="387"/>
      <c r="X74" s="387"/>
      <c r="Y74" s="387"/>
      <c r="Z74" s="387"/>
      <c r="AA74" s="387"/>
      <c r="AB74" s="387"/>
      <c r="AC74" s="387"/>
    </row>
    <row r="75" ht="22.5" customHeight="1">
      <c r="B75" s="427"/>
      <c r="C75" s="289"/>
      <c r="D75" s="387"/>
      <c r="E75" s="387"/>
      <c r="F75" s="387"/>
      <c r="G75" s="387"/>
      <c r="H75" s="387"/>
      <c r="I75" s="387"/>
      <c r="J75" s="387"/>
      <c r="K75" s="387"/>
      <c r="L75" s="387"/>
      <c r="M75" s="387"/>
      <c r="N75" s="387"/>
      <c r="O75" s="387"/>
      <c r="P75" s="387"/>
      <c r="Q75" s="387"/>
      <c r="R75" s="387"/>
      <c r="S75" s="387"/>
      <c r="T75" s="387"/>
      <c r="U75" s="387"/>
      <c r="V75" s="387"/>
      <c r="W75" s="387"/>
      <c r="X75" s="387"/>
      <c r="Y75" s="387"/>
      <c r="Z75" s="387"/>
      <c r="AA75" s="387"/>
      <c r="AB75" s="387"/>
      <c r="AC75" s="387"/>
    </row>
    <row r="76" ht="38.5" customHeight="1">
      <c r="B76" s="855"/>
      <c r="C76" s="856" t="n">
        <v>2016</v>
      </c>
      <c r="D76" s="857" t="n">
        <f>C76+1</f>
        <v>2017</v>
      </c>
      <c r="E76" s="857" t="n">
        <f t="shared" ref="E76:R76" si="26">D76+1</f>
        <v>2018</v>
      </c>
      <c r="F76" s="857" t="n">
        <f t="shared" si="26"/>
        <v>2019</v>
      </c>
      <c r="G76" s="857" t="n">
        <f t="shared" si="26"/>
        <v>2020</v>
      </c>
      <c r="H76" s="857" t="n">
        <f t="shared" si="26"/>
        <v>2021</v>
      </c>
      <c r="I76" s="857" t="n">
        <f t="shared" si="26"/>
        <v>2022</v>
      </c>
      <c r="J76" s="857" t="n">
        <f t="shared" si="26"/>
        <v>2023</v>
      </c>
      <c r="K76" s="857" t="n">
        <f t="shared" si="26"/>
        <v>2024</v>
      </c>
      <c r="L76" s="857" t="n">
        <f t="shared" si="26"/>
        <v>2025</v>
      </c>
      <c r="M76" s="857" t="n">
        <f t="shared" si="26"/>
        <v>2026</v>
      </c>
      <c r="N76" s="857" t="n">
        <f t="shared" si="26"/>
        <v>2027</v>
      </c>
      <c r="O76" s="857" t="n">
        <f t="shared" si="26"/>
        <v>2028</v>
      </c>
      <c r="P76" s="857" t="n">
        <f t="shared" si="26"/>
        <v>2029</v>
      </c>
      <c r="Q76" s="857" t="n">
        <f t="shared" si="26"/>
        <v>2030</v>
      </c>
      <c r="R76" s="857" t="n">
        <f t="shared" si="26"/>
        <v>2031</v>
      </c>
      <c r="S76" s="387"/>
      <c r="T76" s="387"/>
      <c r="U76" s="387"/>
      <c r="V76" s="387"/>
      <c r="W76" s="387"/>
      <c r="X76" s="387"/>
      <c r="Y76" s="387"/>
      <c r="Z76" s="387"/>
      <c r="AA76" s="387"/>
      <c r="AB76" s="387"/>
      <c r="AC76" s="387"/>
    </row>
    <row r="77" ht="38.5" customHeight="1">
      <c r="B77" s="861" t="s">
        <v>1876</v>
      </c>
      <c r="C77" t="n">
        <v>910.3</v>
      </c>
      <c r="D77" t="n">
        <v>939.2</v>
      </c>
      <c r="E77" t="n">
        <v>982</v>
      </c>
      <c r="F77" t="n">
        <v>1038.5</v>
      </c>
      <c r="G77" t="n">
        <v>1089.9000000000001</v>
      </c>
      <c r="H77" t="n">
        <v>1128.8</v>
      </c>
      <c r="I77" t="n">
        <v>1212.5</v>
      </c>
      <c r="J77" t="n">
        <v>1348</v>
      </c>
      <c r="K77" t="n">
        <v>1454.424</v>
      </c>
      <c r="L77" t="n">
        <v>1572.1079999999999</v>
      </c>
      <c r="M77" t="n">
        <v>1664.223</v>
      </c>
      <c r="N77" t="n">
        <v>1760.8779999999999</v>
      </c>
      <c r="O77" t="n">
        <v>1865.222</v>
      </c>
      <c r="P77" t="n">
        <v>1967.5059999999999</v>
      </c>
      <c r="Q77" t="n">
        <v>2071.6129999999998</v>
      </c>
      <c r="R77" t="n">
        <v>2179.337</v>
      </c>
      <c r="S77" s="415" t="n">
        <v>2288.683</v>
      </c>
      <c r="T77" s="415" t="n">
        <v>2399.4650000000001</v>
      </c>
      <c r="U77" s="415" t="n">
        <v>2510.5969999999998</v>
      </c>
      <c r="V77" s="387" t="n">
        <v>2623.808</v>
      </c>
      <c r="W77" s="387"/>
      <c r="X77" s="387"/>
      <c r="Y77" s="387"/>
      <c r="Z77" s="387"/>
      <c r="AA77" s="387"/>
      <c r="AB77" s="387"/>
      <c r="AC77" s="387"/>
    </row>
    <row r="78" ht="38.5" customHeight="1">
      <c r="B78" s="547" t="s">
        <v>1877</v>
      </c>
      <c r="C78" t="n">
        <v>890.39374999999995</v>
      </c>
      <c r="D78" t="n">
        <v>918.71375</v>
      </c>
      <c r="E78" t="n">
        <v>960.61400000000003</v>
      </c>
      <c r="F78" t="n">
        <v>1016.043</v>
      </c>
      <c r="G78" t="n">
        <v>1066.5944999999999</v>
      </c>
      <c r="H78" t="n">
        <v>1105.0552499999999</v>
      </c>
      <c r="I78" t="n">
        <v>1186.6424999999999</v>
      </c>
      <c r="J78" t="n">
        <v>1319.8822500000001</v>
      </c>
      <c r="K78" t="n">
        <v>1423.3489999999999</v>
      </c>
      <c r="L78" s="415" t="n">
        <f>AVERAGE(AB61:AE61)</f>
        <v>75.091999999999985</v>
      </c>
      <c r="M78" s="415" t="n">
        <f>AVERAGE(AF61:AI61)</f>
        <v>115.11743100000001</v>
      </c>
      <c r="N78" s="415" t="n">
        <f>AVERAGE(AJ61:AM61)</f>
        <v>170.213631913</v>
      </c>
      <c r="S78" s="387"/>
      <c r="T78" s="387"/>
      <c r="U78" s="387"/>
      <c r="V78" s="387"/>
      <c r="W78" s="387"/>
      <c r="X78" s="387"/>
      <c r="Y78" s="387"/>
      <c r="Z78" s="387"/>
      <c r="AA78" s="387"/>
      <c r="AB78" s="387"/>
      <c r="AC78" s="387"/>
    </row>
    <row r="79" ht="69" customHeight="1">
      <c r="B79" s="427" t="s">
        <v>1878</v>
      </c>
      <c r="C79" s="289" t="n">
        <f>C78/C77</f>
        <v>0.97813220916181476</v>
      </c>
      <c r="D79" s="289" t="n">
        <f t="shared" ref="D79:M79" si="27">D78/D77</f>
        <v>0.97818755323679718</v>
      </c>
      <c r="E79" s="289" t="n">
        <f t="shared" si="27"/>
        <v>0.97822199592668024</v>
      </c>
      <c r="F79" s="289" t="n">
        <f t="shared" si="27"/>
        <v>0.97837554164660567</v>
      </c>
      <c r="G79" s="289" t="n">
        <f t="shared" si="27"/>
        <v>0.97861684558216333</v>
      </c>
      <c r="H79" s="289" t="n">
        <f t="shared" si="27"/>
        <v>0.9789646084337349</v>
      </c>
      <c r="I79" s="289" t="n">
        <f t="shared" si="27"/>
        <v>0.97867422680412364</v>
      </c>
      <c r="J79" s="289" t="n">
        <f t="shared" si="27"/>
        <v>0.97914113501483691</v>
      </c>
      <c r="K79" s="289" t="n">
        <f t="shared" si="27"/>
        <v>0.97863415345181315</v>
      </c>
      <c r="L79" s="289" t="n">
        <f t="shared" si="27"/>
        <v>4.7765166260842123E-2</v>
      </c>
      <c r="M79" s="289" t="n">
        <f t="shared" si="27"/>
        <v>6.9171878408122001E-2</v>
      </c>
      <c r="N79" s="289" t="n">
        <f>N78/N77</f>
        <v>9.6664068670856251E-2</v>
      </c>
      <c r="P79" s="387"/>
      <c r="Q79" s="387"/>
      <c r="R79" s="387"/>
      <c r="S79" s="387"/>
      <c r="T79" s="387"/>
      <c r="U79" s="387"/>
      <c r="V79" s="387"/>
      <c r="W79" s="387"/>
      <c r="X79" s="387"/>
      <c r="Y79" s="387"/>
      <c r="Z79" s="387"/>
      <c r="AA79" s="387"/>
      <c r="AB79" s="387"/>
      <c r="AC79" s="387"/>
    </row>
    <row r="80">
      <c r="I80" s="289"/>
      <c r="J80" s="289"/>
      <c r="K80" s="289"/>
      <c r="L80" s="289" t="n">
        <f>L77*$K$79</f>
        <v>1538.5185817148231</v>
      </c>
      <c r="M80" s="289" t="n">
        <f t="shared" ref="M80:N80" si="28">M77*$K$79</f>
        <v>1628.6654667600367</v>
      </c>
      <c r="N80" s="289" t="n">
        <f t="shared" si="28"/>
        <v>1723.2553508619217</v>
      </c>
      <c r="P80" s="289"/>
    </row>
    <row r="81">
      <c r="L81" s="88" t="n">
        <f>L80-L78</f>
        <v>1463.426581714823</v>
      </c>
      <c r="M81" s="88" t="n">
        <f t="shared" ref="M81:N81" si="29">M80-M78</f>
        <v>1513.5480357600368</v>
      </c>
      <c r="N81" s="88" t="n">
        <f t="shared" si="29"/>
        <v>1553.0417189489217</v>
      </c>
      <c r="R81" s="683"/>
    </row>
    <row r="83">
      <c r="C83" t="e">
        <f t="shared" ref="C83:M83" si="30">C77/B77-1</f>
        <v>#VALUE!</v>
      </c>
      <c r="D83" t="n">
        <f t="shared" si="30"/>
        <v>3.1747775458640159E-2</v>
      </c>
      <c r="E83" t="n">
        <f t="shared" si="30"/>
        <v>4.557069846678008E-2</v>
      </c>
      <c r="F83" t="n">
        <f t="shared" si="30"/>
        <v>5.7535641547861616E-2</v>
      </c>
      <c r="G83" t="n">
        <f t="shared" si="30"/>
        <v>4.9494463168030967E-2</v>
      </c>
      <c r="H83" t="n">
        <f t="shared" si="30"/>
        <v>3.5691347830075992E-2</v>
      </c>
      <c r="I83" t="n">
        <f t="shared" si="30"/>
        <v>7.4149539333805858E-2</v>
      </c>
      <c r="J83" t="n">
        <f t="shared" si="30"/>
        <v>0.11175257731958754</v>
      </c>
      <c r="K83" t="n">
        <f t="shared" si="30"/>
        <v>7.8949554896142526E-2</v>
      </c>
      <c r="L83" t="n">
        <f t="shared" si="30"/>
        <v>8.0914506361281058E-2</v>
      </c>
      <c r="M83" t="n">
        <f t="shared" si="30"/>
        <v>5.8593302750192811E-2</v>
      </c>
      <c r="N83" t="n">
        <f>N77/M77-1</f>
        <v>5.8078154189672881E-2</v>
      </c>
    </row>
    <row r="84" ht="13.4" customHeight="1"/>
    <row r="88" ht="27.65" customHeight="1"/>
  </sheetData>
  <mergeCells count="35">
    <mergeCell ref="B1:AC1"/>
    <mergeCell ref="B2:AC6"/>
    <mergeCell ref="D8:AB8"/>
    <mergeCell ref="AC8:AN8"/>
    <mergeCell ref="E9:H9"/>
    <mergeCell ref="I9:L9"/>
    <mergeCell ref="M9:P9"/>
    <mergeCell ref="Q9:T9"/>
    <mergeCell ref="U9:X9"/>
    <mergeCell ref="AC9:AF9"/>
    <mergeCell ref="AG9:AJ9"/>
    <mergeCell ref="AK9:AN9"/>
    <mergeCell ref="AC41:AN41"/>
    <mergeCell ref="E42:H42"/>
    <mergeCell ref="I42:L42"/>
    <mergeCell ref="B11:C11"/>
    <mergeCell ref="B31:C31"/>
    <mergeCell ref="B40:AC40"/>
    <mergeCell ref="M42:P42"/>
    <mergeCell ref="Q42:T42"/>
    <mergeCell ref="AC42:AF42"/>
    <mergeCell ref="AG42:AJ42"/>
    <mergeCell ref="AK42:AN42"/>
    <mergeCell ref="B41:C43"/>
    <mergeCell ref="D41:AB41"/>
    <mergeCell ref="B53:C55"/>
    <mergeCell ref="D53:AB53"/>
    <mergeCell ref="AC53:AN53"/>
    <mergeCell ref="E54:H54"/>
    <mergeCell ref="I54:L54"/>
    <mergeCell ref="M54:P54"/>
    <mergeCell ref="Q54:T54"/>
    <mergeCell ref="AC54:AF54"/>
    <mergeCell ref="AG54:AJ54"/>
    <mergeCell ref="AK54:AN54"/>
  </mergeCells>
  <pageMargins left="0.7" right="0.7" top="0.75" bottom="0.75" header="0.3" footer="0.3"/>
  <pageSetup paperSize="9" orientation="portrait" horizontalDpi="300" verticalDpi="300"/>
  <drawing r:id="rId1"/>
  <legacyDrawing r:id="rIdvml"/>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Normal="100" workbookViewId="0">
      <pane xSplit="3" ySplit="10" topLeftCell="G11" activePane="bottomRight" state="frozen"/>
      <selection pane="topRight" activeCell="D1" sqref="D1"/>
      <selection pane="bottomLeft" activeCell="A11" sqref="A11"/>
      <selection pane="bottomRight" activeCell="G26" sqref="G26"/>
    </sheetView>
  </sheetViews>
  <sheetFormatPr defaultRowHeight="15.0" baseColWidth="10" outlineLevelRow="1"/>
  <cols>
    <col min="2" max="2" width="71.1796875" hidden="0" customWidth="1"/>
    <col min="6" max="6" width="12.1796875" hidden="0" customWidth="1"/>
    <col min="7" max="7" width="10.453125" hidden="0" customWidth="1"/>
    <col min="9" max="9" width="12" hidden="0" customWidth="1"/>
  </cols>
  <sheetData>
    <row r="1" ht="18" customHeight="1">
      <c r="B1" s="842" t="s">
        <v>375</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row>
    <row r="2" ht="34.5" customHeight="1" outlineLevel="1" hidden="1">
      <c r="B2" s="377" t="s">
        <v>766</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ht="3" customHeight="1" outlineLevel="1" hidden="1">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ht="10.4" customHeight="1" outlineLevel="1" hidden="1">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row>
    <row r="5" ht="14.25" customHeight="1" outlineLevel="1" hidden="1">
      <c r="B5" s="267"/>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row>
    <row r="6" ht="14.25" customHeight="1" outlineLevel="1" hidden="1">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row>
    <row r="7">
      <c r="B7" s="891" t="s">
        <v>244</v>
      </c>
      <c r="C7" s="414"/>
      <c r="D7" s="414"/>
      <c r="E7" s="414"/>
      <c r="F7" s="414"/>
      <c r="G7" s="414"/>
      <c r="H7" s="415"/>
      <c r="I7" s="415"/>
      <c r="J7" s="415"/>
      <c r="K7" s="415"/>
      <c r="L7" s="415"/>
      <c r="M7" s="415"/>
      <c r="N7" s="415"/>
      <c r="O7" s="415"/>
      <c r="P7" s="415"/>
      <c r="Q7" s="415"/>
      <c r="R7" s="415"/>
      <c r="S7" s="415"/>
      <c r="T7" s="415"/>
      <c r="U7" s="415"/>
    </row>
    <row r="8" ht="14.9" customHeight="1">
      <c r="B8" s="876" t="s">
        <v>215</v>
      </c>
      <c r="C8" s="877"/>
      <c r="D8" s="248" t="s">
        <v>191</v>
      </c>
      <c r="E8" s="249"/>
      <c r="F8" s="249"/>
      <c r="G8" s="249"/>
      <c r="H8" s="249"/>
      <c r="I8" s="249"/>
      <c r="J8" s="249"/>
      <c r="K8" s="249"/>
      <c r="L8" s="249"/>
      <c r="M8" s="249"/>
      <c r="N8" s="249"/>
      <c r="O8" s="249"/>
      <c r="P8" s="249"/>
      <c r="Q8" s="249"/>
      <c r="R8" s="249"/>
      <c r="S8" s="249"/>
      <c r="T8" s="249"/>
      <c r="U8" s="249"/>
      <c r="V8" s="249"/>
      <c r="W8" s="249"/>
      <c r="X8" s="249"/>
      <c r="Y8" s="249"/>
      <c r="Z8" s="249"/>
      <c r="AA8" s="249"/>
      <c r="AB8" s="250"/>
      <c r="AC8" s="251" t="s">
        <v>192</v>
      </c>
      <c r="AD8" s="252"/>
      <c r="AE8" s="252"/>
      <c r="AF8" s="252"/>
      <c r="AG8" s="252"/>
      <c r="AH8" s="252"/>
      <c r="AI8" s="252"/>
      <c r="AJ8" s="252"/>
      <c r="AK8" s="252"/>
      <c r="AL8" s="252"/>
      <c r="AM8" s="252"/>
      <c r="AN8" s="253"/>
    </row>
    <row r="9" ht="14.9" customHeight="1">
      <c r="B9" s="878"/>
      <c r="C9" s="879"/>
      <c r="D9" s="254" t="n">
        <v>2018</v>
      </c>
      <c r="E9" s="254" t="n">
        <v>2019</v>
      </c>
      <c r="F9" s="255"/>
      <c r="G9" s="255"/>
      <c r="H9" s="256"/>
      <c r="I9" s="254" t="n">
        <v>2020</v>
      </c>
      <c r="J9" s="255"/>
      <c r="K9" s="255"/>
      <c r="L9" s="255"/>
      <c r="M9" s="254" t="n">
        <v>2021</v>
      </c>
      <c r="N9" s="255"/>
      <c r="O9" s="255"/>
      <c r="P9" s="255"/>
      <c r="Q9" s="254" t="n">
        <v>2022</v>
      </c>
      <c r="R9" s="255"/>
      <c r="S9" s="255"/>
      <c r="T9" s="256"/>
      <c r="U9" s="254" t="n">
        <v>2023</v>
      </c>
      <c r="V9" s="255"/>
      <c r="W9" s="255"/>
      <c r="X9" s="256"/>
      <c r="Y9" s="658"/>
      <c r="Z9" s="298" t="n">
        <v>2024</v>
      </c>
      <c r="AA9" s="298"/>
      <c r="AB9" s="300"/>
      <c r="AC9" s="261" t="n">
        <v>2025</v>
      </c>
      <c r="AD9" s="264"/>
      <c r="AE9" s="264"/>
      <c r="AF9" s="264"/>
      <c r="AG9" s="261" t="n">
        <v>2026</v>
      </c>
      <c r="AH9" s="264"/>
      <c r="AI9" s="264"/>
      <c r="AJ9" s="263"/>
      <c r="AK9" s="261" t="n">
        <v>2027</v>
      </c>
      <c r="AL9" s="264"/>
      <c r="AM9" s="264"/>
      <c r="AN9" s="263"/>
    </row>
    <row r="10">
      <c r="B10" s="878"/>
      <c r="C10" s="879"/>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6" t="s">
        <v>193</v>
      </c>
      <c r="U10" s="275" t="s">
        <v>194</v>
      </c>
      <c r="V10" s="294" t="s">
        <v>195</v>
      </c>
      <c r="W10" s="294" t="s">
        <v>171</v>
      </c>
      <c r="X10" s="292" t="s">
        <v>193</v>
      </c>
      <c r="Y10" s="293" t="s">
        <v>194</v>
      </c>
      <c r="Z10" s="295" t="s">
        <v>195</v>
      </c>
      <c r="AA10" s="294" t="s">
        <v>171</v>
      </c>
      <c r="AB10" s="294" t="s">
        <v>193</v>
      </c>
      <c r="AC10" s="274" t="s">
        <v>194</v>
      </c>
      <c r="AD10" s="290" t="s">
        <v>195</v>
      </c>
      <c r="AE10" s="291" t="s">
        <v>171</v>
      </c>
      <c r="AF10" s="291" t="s">
        <v>193</v>
      </c>
      <c r="AG10" s="296" t="s">
        <v>194</v>
      </c>
      <c r="AH10" s="290" t="s">
        <v>195</v>
      </c>
      <c r="AI10" s="291" t="s">
        <v>171</v>
      </c>
      <c r="AJ10" s="297" t="s">
        <v>193</v>
      </c>
      <c r="AK10" s="296" t="s">
        <v>194</v>
      </c>
      <c r="AL10" s="290" t="s">
        <v>195</v>
      </c>
      <c r="AM10" s="291" t="s">
        <v>171</v>
      </c>
      <c r="AN10" s="297" t="s">
        <v>193</v>
      </c>
    </row>
    <row r="11">
      <c r="B11" s="840" t="s">
        <v>376</v>
      </c>
      <c r="C11" s="889"/>
      <c r="D11" s="840"/>
      <c r="E11" s="889"/>
      <c r="F11" s="889"/>
      <c r="G11" s="889"/>
      <c r="H11" s="457"/>
      <c r="I11" s="457"/>
      <c r="J11" s="457"/>
      <c r="K11" s="457"/>
      <c r="L11" s="457"/>
      <c r="M11" s="747"/>
      <c r="N11" s="747"/>
      <c r="O11" s="747"/>
      <c r="P11" s="457"/>
      <c r="Q11" s="457"/>
      <c r="R11" s="457"/>
      <c r="S11" s="457"/>
      <c r="T11" s="457"/>
      <c r="U11" s="457"/>
      <c r="V11" s="457"/>
      <c r="W11" s="264"/>
      <c r="X11" s="264"/>
      <c r="Y11" s="264"/>
      <c r="Z11" s="264"/>
      <c r="AA11" s="264"/>
      <c r="AB11" s="264"/>
      <c r="AC11" s="264"/>
      <c r="AD11" s="264"/>
      <c r="AE11" s="264"/>
      <c r="AF11" s="264"/>
      <c r="AG11" s="264"/>
      <c r="AH11" s="264"/>
      <c r="AI11" s="264"/>
      <c r="AJ11" s="264"/>
      <c r="AK11" s="264"/>
      <c r="AL11" s="264"/>
      <c r="AM11" s="264"/>
      <c r="AN11" s="264"/>
    </row>
    <row r="12" ht="17.149999999999999" customHeight="1">
      <c r="B12" s="869" t="s">
        <v>377</v>
      </c>
      <c r="C12" s="289" t="s">
        <v>378</v>
      </c>
      <c r="D12" s="764" t="n">
        <f>'[1]Haver Pivoted'!GO31</f>
        <v>2223</v>
      </c>
      <c r="E12" s="657" t="n">
        <f>'[1]Haver Pivoted'!GP31</f>
        <v>2303.8000000000002</v>
      </c>
      <c r="F12" s="657" t="n">
        <f>'[1]Haver Pivoted'!GQ31</f>
        <v>2321.6999999999998</v>
      </c>
      <c r="G12" s="657" t="n">
        <f>'[1]Haver Pivoted'!GR31</f>
        <v>2337.1</v>
      </c>
      <c r="H12" s="657" t="n">
        <f>'[1]Haver Pivoted'!GS31</f>
        <v>2349.5</v>
      </c>
      <c r="I12" s="657" t="n">
        <f>'[1]Haver Pivoted'!GT31</f>
        <v>2414.4</v>
      </c>
      <c r="J12" s="657" t="n">
        <f>'[1]Haver Pivoted'!GU31</f>
        <v>4654.1000000000004</v>
      </c>
      <c r="K12" s="657" t="n">
        <f>'[1]Haver Pivoted'!GV31</f>
        <v>3504.7</v>
      </c>
      <c r="L12" s="657" t="n">
        <f>'[1]Haver Pivoted'!GW31</f>
        <v>2888.4</v>
      </c>
      <c r="M12" s="657" t="n">
        <f>'[1]Haver Pivoted'!GX31</f>
        <v>5138.1000000000004</v>
      </c>
      <c r="N12" s="657" t="n">
        <f>'[1]Haver Pivoted'!GY31</f>
        <v>3397.8</v>
      </c>
      <c r="O12" s="657" t="n">
        <f>'[1]Haver Pivoted'!GZ31</f>
        <v>3124.9</v>
      </c>
      <c r="P12" s="657" t="n">
        <f>'[1]Haver Pivoted'!HA31</f>
        <v>2952.6</v>
      </c>
      <c r="Q12" s="657" t="n">
        <f>'[1]Haver Pivoted'!HB31</f>
        <v>2970.9</v>
      </c>
      <c r="R12" s="657" t="n">
        <f>'[1]Haver Pivoted'!HC31</f>
        <v>2976.2</v>
      </c>
      <c r="S12" s="850" t="n">
        <f>'[1]Haver Pivoted'!HD31</f>
        <v>2970.4</v>
      </c>
      <c r="T12" s="850" t="n">
        <f>'[1]Haver Pivoted'!HE31</f>
        <v>3024.4</v>
      </c>
      <c r="U12" s="850" t="n">
        <f>'[1]Haver Pivoted'!HF31</f>
        <v>3038.4</v>
      </c>
      <c r="V12" s="850" t="n">
        <f>'[1]Haver Pivoted'!HG31</f>
        <v>3049.1</v>
      </c>
      <c r="W12" s="850" t="n">
        <f>'[1]Haver Pivoted'!HH31</f>
        <v>3078</v>
      </c>
      <c r="X12" s="850" t="n">
        <f>'[1]Haver Pivoted'!HI31</f>
        <v>3095.6</v>
      </c>
      <c r="Y12" s="850" t="n">
        <f>'[1]Haver Pivoted'!HJ31</f>
        <v>3201.1</v>
      </c>
      <c r="Z12" s="850" t="n">
        <f>'[1]Haver Pivoted'!HK31</f>
        <v>3243.1</v>
      </c>
      <c r="AA12" s="850" t="n">
        <f>'[1]Haver Pivoted'!HL31</f>
        <v>3283.8</v>
      </c>
      <c r="AB12" s="850" t="n">
        <f>'[1]Haver Pivoted'!HM31</f>
        <v>3328.6</v>
      </c>
      <c r="AC12" s="850" t="n">
        <f>'[1]Haver Pivoted'!HN31</f>
        <v>3452.4</v>
      </c>
      <c r="AD12" s="859" t="n">
        <f t="shared" ref="AD12:AJ12" si="0">SUM(AD14:AD31)-AD30</f>
        <v>3471.6821604763954</v>
      </c>
      <c r="AE12" s="859" t="n">
        <f t="shared" si="0"/>
        <v>3493.4089053306125</v>
      </c>
      <c r="AF12" s="859" t="n">
        <f t="shared" si="0"/>
        <v>3516.1507157717829</v>
      </c>
      <c r="AG12" s="859" t="n">
        <f t="shared" si="0"/>
        <v>3577.3973329126129</v>
      </c>
      <c r="AH12" s="859" t="n">
        <f t="shared" si="0"/>
        <v>3602.5193806266243</v>
      </c>
      <c r="AI12" s="859" t="n">
        <f t="shared" si="0"/>
        <v>3628.9171142232867</v>
      </c>
      <c r="AJ12" s="859" t="n">
        <f t="shared" si="0"/>
        <v>3655.7583604310757</v>
      </c>
      <c r="AK12" s="859" t="n">
        <f t="shared" ref="AK12:AN12" si="1">SUM(AK14:AK31)-AK30</f>
        <v>3724.7603951253282</v>
      </c>
      <c r="AL12" s="859" t="n">
        <f t="shared" si="1"/>
        <v>3753.1838415181583</v>
      </c>
      <c r="AM12" s="859" t="n">
        <f t="shared" si="1"/>
        <v>3781.9049952942123</v>
      </c>
      <c r="AN12" s="859" t="n">
        <f t="shared" si="1"/>
        <v>3790.6049952942121</v>
      </c>
    </row>
    <row r="13">
      <c r="B13" s="431"/>
      <c r="C13" s="289"/>
      <c r="D13" s="764"/>
      <c r="E13" s="657"/>
      <c r="F13" s="657"/>
      <c r="G13" s="657"/>
      <c r="H13" s="657"/>
      <c r="I13" s="657"/>
      <c r="J13" s="657"/>
      <c r="K13" s="657"/>
      <c r="L13" s="657"/>
      <c r="M13" s="657"/>
      <c r="N13" s="657"/>
      <c r="O13" s="657"/>
      <c r="P13" s="289"/>
      <c r="Q13" s="286"/>
      <c r="R13" s="286"/>
      <c r="S13" s="286"/>
      <c r="T13" s="286"/>
      <c r="U13" s="286"/>
      <c r="V13" s="286"/>
      <c r="W13" s="286"/>
      <c r="X13" s="257"/>
      <c r="Y13" s="257"/>
      <c r="Z13" s="257"/>
      <c r="AA13" s="257"/>
      <c r="AB13" s="257"/>
      <c r="AC13" s="257"/>
      <c r="AD13" s="257"/>
      <c r="AE13" s="257"/>
      <c r="AF13" s="257"/>
      <c r="AG13" s="257"/>
      <c r="AH13" s="257"/>
      <c r="AI13" s="257"/>
      <c r="AJ13" s="257"/>
      <c r="AK13" s="257"/>
      <c r="AL13" s="257"/>
      <c r="AM13" s="257"/>
      <c r="AN13" s="257"/>
    </row>
    <row r="14">
      <c r="B14" s="865" t="s">
        <v>1739</v>
      </c>
      <c r="C14" s="289"/>
      <c r="D14" s="764" t="n">
        <f>'[1]Unemployment Insurance'!D21+'[1]Unemployment Insurance'!D20</f>
        <v>27.1</v>
      </c>
      <c r="E14" s="657" t="n">
        <f>'[1]Unemployment Insurance'!E21+'[1]Unemployment Insurance'!E20</f>
        <v>29.6</v>
      </c>
      <c r="F14" s="657" t="n">
        <f>'[1]Unemployment Insurance'!F21+'[1]Unemployment Insurance'!F20</f>
        <v>27.3</v>
      </c>
      <c r="G14" s="657" t="n">
        <f>'[1]Unemployment Insurance'!G21+'[1]Unemployment Insurance'!G20</f>
        <v>26.4</v>
      </c>
      <c r="H14" s="657" t="n">
        <f>'[1]Unemployment Insurance'!H21+'[1]Unemployment Insurance'!H20</f>
        <v>26.7</v>
      </c>
      <c r="I14" s="657" t="n">
        <f>'[1]Unemployment Insurance'!I21+'[1]Unemployment Insurance'!I20</f>
        <v>40.1</v>
      </c>
      <c r="J14" s="657" t="n">
        <f>'[1]Unemployment Insurance'!J21+'[1]Unemployment Insurance'!J20</f>
        <v>951.5</v>
      </c>
      <c r="K14" s="657" t="n">
        <f>'[1]Unemployment Insurance'!K21+'[1]Unemployment Insurance'!K20</f>
        <v>800</v>
      </c>
      <c r="L14" s="657" t="n">
        <f>'[1]Unemployment Insurance'!L21+'[1]Unemployment Insurance'!L20</f>
        <v>322.7</v>
      </c>
      <c r="M14" s="657" t="n">
        <f>'[1]Unemployment Insurance'!M21+'[1]Unemployment Insurance'!M20</f>
        <v>583.79999999999995</v>
      </c>
      <c r="N14" s="657" t="n">
        <f>'[1]Unemployment Insurance'!N21+'[1]Unemployment Insurance'!N20</f>
        <v>440.8</v>
      </c>
      <c r="O14" s="657" t="n">
        <f>'[1]Unemployment Insurance'!O21+'[1]Unemployment Insurance'!O20</f>
        <v>212.8</v>
      </c>
      <c r="P14" s="657" t="n">
        <f>'[1]Unemployment Insurance'!P21+'[1]Unemployment Insurance'!P20</f>
        <v>31.8</v>
      </c>
      <c r="Q14" s="657" t="n">
        <f>'[1]Unemployment Insurance'!Q21+'[1]Unemployment Insurance'!Q20</f>
        <v>24.5</v>
      </c>
      <c r="R14" s="657" t="n">
        <f>'[1]Unemployment Insurance'!R21+'[1]Unemployment Insurance'!R20</f>
        <v>21.7</v>
      </c>
      <c r="S14" s="657" t="n">
        <f>'[1]Unemployment Insurance'!S21+'[1]Unemployment Insurance'!S20</f>
        <v>23.1</v>
      </c>
      <c r="T14" s="657" t="n">
        <f>'[1]Unemployment Insurance'!T21+'[1]Unemployment Insurance'!T20</f>
        <v>25.9</v>
      </c>
      <c r="U14" s="657" t="n">
        <f>'[1]Unemployment Insurance'!U21+'[1]Unemployment Insurance'!U20</f>
        <v>30.1</v>
      </c>
      <c r="V14" s="850" t="n">
        <f t="shared" ref="V14:AC14" si="2">V15+V16</f>
        <v>30.960000000000004</v>
      </c>
      <c r="W14" s="850" t="n">
        <f t="shared" si="2"/>
        <v>30.960000000000004</v>
      </c>
      <c r="X14" s="850" t="n">
        <f t="shared" si="2"/>
        <v>35.299999999999997</v>
      </c>
      <c r="Y14" s="850" t="n">
        <f t="shared" si="2"/>
        <v>34.9</v>
      </c>
      <c r="Z14" s="850" t="n">
        <f t="shared" si="2"/>
        <v>34.9</v>
      </c>
      <c r="AA14" s="850" t="n">
        <f t="shared" si="2"/>
        <v>35.700000000000003</v>
      </c>
      <c r="AB14" s="850" t="n">
        <f t="shared" si="2"/>
        <v>36.1</v>
      </c>
      <c r="AC14" s="850" t="n">
        <f t="shared" si="2"/>
        <v>35.799999999999997</v>
      </c>
      <c r="AD14" s="859" t="n">
        <f>'[1]Unemployment Insurance'!AD21+'[1]Unemployment Insurance'!AD20</f>
        <v>35.700000000000003</v>
      </c>
      <c r="AE14" s="859" t="n">
        <f>'[1]Unemployment Insurance'!AE21+'[1]Unemployment Insurance'!AE20</f>
        <v>35.700000000000003</v>
      </c>
      <c r="AF14" s="859" t="n">
        <f>'[1]Unemployment Insurance'!AF21+'[1]Unemployment Insurance'!AF20</f>
        <v>35.700000000000003</v>
      </c>
      <c r="AG14" s="859" t="n">
        <f>'[1]Unemployment Insurance'!AG21+'[1]Unemployment Insurance'!AG20</f>
        <v>35.700000000000003</v>
      </c>
      <c r="AH14" s="859" t="n">
        <f>'[1]Unemployment Insurance'!AH21+'[1]Unemployment Insurance'!AH20</f>
        <v>35.700000000000003</v>
      </c>
      <c r="AI14" s="859" t="n">
        <f>'[1]Unemployment Insurance'!AI21+'[1]Unemployment Insurance'!AI20</f>
        <v>35.700000000000003</v>
      </c>
      <c r="AJ14" s="859" t="n">
        <f>'[1]Unemployment Insurance'!AJ21+'[1]Unemployment Insurance'!AJ20</f>
        <v>35.700000000000003</v>
      </c>
      <c r="AK14" s="859" t="n">
        <f>'[1]Unemployment Insurance'!AK21+'[1]Unemployment Insurance'!AK20</f>
        <v>36.700000000000003</v>
      </c>
      <c r="AL14" s="859" t="n">
        <f>'[1]Unemployment Insurance'!AL21+'[1]Unemployment Insurance'!AL20</f>
        <v>37.700000000000003</v>
      </c>
      <c r="AM14" s="859" t="n">
        <f>'[1]Unemployment Insurance'!AM21+'[1]Unemployment Insurance'!AM20</f>
        <v>38.700000000000003</v>
      </c>
      <c r="AN14" s="859" t="n">
        <f>'[1]Unemployment Insurance'!AN21+'[1]Unemployment Insurance'!AN20</f>
        <v>39.700000000000003</v>
      </c>
    </row>
    <row r="15">
      <c r="B15" s="562" t="s">
        <v>136</v>
      </c>
      <c r="C15" s="289"/>
      <c r="D15" s="764"/>
      <c r="E15" s="657"/>
      <c r="F15" s="657"/>
      <c r="G15" s="657"/>
      <c r="H15" s="657"/>
      <c r="I15" s="657"/>
      <c r="J15" s="657"/>
      <c r="K15" s="657"/>
      <c r="L15" s="657"/>
      <c r="M15" s="657"/>
      <c r="N15" s="657"/>
      <c r="O15" s="657"/>
      <c r="P15" s="657"/>
      <c r="Q15" s="657"/>
      <c r="R15" s="657"/>
      <c r="S15" s="657"/>
      <c r="T15" s="657"/>
      <c r="U15" s="657"/>
      <c r="V15" s="850" t="n">
        <f>'[1]Unemployment Insurance'!V20</f>
        <v>0</v>
      </c>
      <c r="W15" s="850" t="n">
        <f>'[1]Unemployment Insurance'!W20</f>
        <v>0</v>
      </c>
      <c r="X15" s="850" t="n">
        <f>'[1]Unemployment Insurance'!X20</f>
        <v>4.632399999999997</v>
      </c>
      <c r="Y15" s="850" t="n">
        <f>'[1]Unemployment Insurance'!Y20</f>
        <v>3.0799999999999947</v>
      </c>
      <c r="Z15" s="850" t="n">
        <f>'[1]Unemployment Insurance'!Z20</f>
        <v>0</v>
      </c>
      <c r="AA15" s="850" t="n">
        <f>'[1]Unemployment Insurance'!AA20</f>
        <v>0</v>
      </c>
      <c r="AB15" s="850" t="n">
        <f>'[1]Unemployment Insurance'!AB20</f>
        <v>0.39999999999999858</v>
      </c>
      <c r="AC15" s="850" t="n">
        <f>'[1]Unemployment Insurance'!AC20</f>
        <v>9.9999999999994316E-2</v>
      </c>
      <c r="AD15" s="859"/>
      <c r="AE15" s="859"/>
      <c r="AF15" s="859"/>
      <c r="AG15" s="859"/>
      <c r="AH15" s="859"/>
      <c r="AI15" s="859"/>
      <c r="AJ15" s="859"/>
      <c r="AK15" s="859"/>
      <c r="AL15" s="859"/>
      <c r="AM15" s="859"/>
      <c r="AN15" s="859"/>
    </row>
    <row r="16">
      <c r="B16" s="562" t="s">
        <v>138</v>
      </c>
      <c r="C16" s="289"/>
      <c r="D16" s="764"/>
      <c r="E16" s="657"/>
      <c r="F16" s="657"/>
      <c r="G16" s="657"/>
      <c r="H16" s="657"/>
      <c r="I16" s="657"/>
      <c r="J16" s="657"/>
      <c r="K16" s="657"/>
      <c r="L16" s="657"/>
      <c r="M16" s="657"/>
      <c r="N16" s="657"/>
      <c r="O16" s="657"/>
      <c r="P16" s="657"/>
      <c r="Q16" s="657"/>
      <c r="R16" s="657"/>
      <c r="S16" s="657"/>
      <c r="T16" s="657"/>
      <c r="U16" s="657"/>
      <c r="V16" s="850" t="n">
        <f>'[1]Unemployment Insurance'!V21</f>
        <v>30.960000000000004</v>
      </c>
      <c r="W16" s="850" t="n">
        <f>'[1]Unemployment Insurance'!W21</f>
        <v>30.960000000000004</v>
      </c>
      <c r="X16" s="850" t="n">
        <f>'[1]Unemployment Insurance'!X21</f>
        <v>30.6676</v>
      </c>
      <c r="Y16" s="850" t="n">
        <f>'[1]Unemployment Insurance'!Y21</f>
        <v>31.820000000000004</v>
      </c>
      <c r="Z16" s="850" t="n">
        <f>'[1]Unemployment Insurance'!Z21</f>
        <v>34.9</v>
      </c>
      <c r="AA16" s="850" t="n">
        <f>'[1]Unemployment Insurance'!AA21</f>
        <v>35.700000000000003</v>
      </c>
      <c r="AB16" s="850" t="n">
        <f>'[1]Unemployment Insurance'!AB21</f>
        <v>35.700000000000003</v>
      </c>
      <c r="AC16" s="850" t="n">
        <f>'[1]Unemployment Insurance'!AC21</f>
        <v>35.700000000000003</v>
      </c>
      <c r="AD16" s="859"/>
      <c r="AE16" s="859"/>
      <c r="AF16" s="859"/>
      <c r="AG16" s="859"/>
      <c r="AH16" s="859"/>
      <c r="AI16" s="859"/>
      <c r="AJ16" s="859"/>
      <c r="AK16" s="859"/>
      <c r="AL16" s="859"/>
      <c r="AM16" s="859"/>
      <c r="AN16" s="859"/>
    </row>
    <row r="17" ht="17.899999999999999" customHeight="1">
      <c r="B17" s="865" t="s">
        <v>46</v>
      </c>
      <c r="C17" s="289"/>
      <c r="D17" s="764" t="n">
        <f>[1]Medicare!D10</f>
        <v>755</v>
      </c>
      <c r="E17" s="657" t="n">
        <f>[1]Medicare!E10</f>
        <v>773.5</v>
      </c>
      <c r="F17" s="657" t="n">
        <f>[1]Medicare!F10</f>
        <v>788.5</v>
      </c>
      <c r="G17" s="657" t="n">
        <f>[1]Medicare!G10</f>
        <v>798</v>
      </c>
      <c r="H17" s="657" t="n">
        <f>[1]Medicare!H10</f>
        <v>802</v>
      </c>
      <c r="I17" s="657" t="n">
        <f>[1]Medicare!I10</f>
        <v>801.9</v>
      </c>
      <c r="J17" s="657" t="n">
        <f>[1]Medicare!J10</f>
        <v>814.3</v>
      </c>
      <c r="K17" s="657" t="n">
        <f>[1]Medicare!K10</f>
        <v>826.6</v>
      </c>
      <c r="L17" s="657" t="n">
        <f>[1]Medicare!L10</f>
        <v>838.8</v>
      </c>
      <c r="M17" s="657" t="n">
        <f>[1]Medicare!M10</f>
        <v>854.9</v>
      </c>
      <c r="N17" s="657" t="n">
        <f>[1]Medicare!N10</f>
        <v>871.2</v>
      </c>
      <c r="O17" s="657" t="n">
        <f>[1]Medicare!O10</f>
        <v>887.1</v>
      </c>
      <c r="P17" s="657" t="n">
        <f>[1]Medicare!P10</f>
        <v>902.4</v>
      </c>
      <c r="Q17" s="657" t="n">
        <f>[1]Medicare!Q10</f>
        <v>917.6</v>
      </c>
      <c r="R17" s="657" t="n">
        <f>[1]Medicare!R10</f>
        <v>926.6</v>
      </c>
      <c r="S17" s="657" t="n">
        <f>[1]Medicare!S10</f>
        <v>937.4</v>
      </c>
      <c r="T17" s="657" t="n">
        <f>[1]Medicare!T10</f>
        <v>958.5</v>
      </c>
      <c r="U17" s="657" t="n">
        <f>[1]Medicare!U10</f>
        <v>981.1</v>
      </c>
      <c r="V17" s="657" t="n">
        <f>[1]Medicare!V10</f>
        <v>1001.8</v>
      </c>
      <c r="W17" s="657" t="n">
        <f>[1]Medicare!W10</f>
        <v>1019.9</v>
      </c>
      <c r="X17" s="859" t="n">
        <f>[1]Medicare!X10</f>
        <v>1035.3</v>
      </c>
      <c r="Y17" s="859" t="n">
        <f>[1]Medicare!Y10</f>
        <v>1049.2</v>
      </c>
      <c r="Z17" s="859" t="n">
        <f>[1]Medicare!Z10</f>
        <v>1067.0999999999999</v>
      </c>
      <c r="AA17" s="859" t="n">
        <f>[1]Medicare!AA10</f>
        <v>1090.2</v>
      </c>
      <c r="AB17" s="859" t="n">
        <f>[1]Medicare!AB10</f>
        <v>1118.5</v>
      </c>
      <c r="AC17" s="859" t="n">
        <f>[1]Medicare!AC10</f>
        <v>1150.3</v>
      </c>
      <c r="AD17" s="859" t="n">
        <f>[1]Medicare!AD10</f>
        <v>1179.9491604763948</v>
      </c>
      <c r="AE17" s="859" t="n">
        <f>[1]Medicare!AE10</f>
        <v>1194.9759053306122</v>
      </c>
      <c r="AF17" s="859" t="n">
        <f>[1]Medicare!AF10</f>
        <v>1212.8587157717825</v>
      </c>
      <c r="AG17" s="859" t="n">
        <f>[1]Medicare!AG10</f>
        <v>1231.0091424116126</v>
      </c>
      <c r="AH17" s="859" t="n">
        <f>[1]Medicare!AH10</f>
        <v>1249.431190125624</v>
      </c>
      <c r="AI17" s="859" t="n">
        <f>[1]Medicare!AI10</f>
        <v>1268.1289237222863</v>
      </c>
      <c r="AJ17" s="859" t="n">
        <f>[1]Medicare!AJ10</f>
        <v>1287.2701699300753</v>
      </c>
      <c r="AK17" s="859" t="n">
        <f>[1]Medicare!AK10</f>
        <v>1306.7003357418046</v>
      </c>
      <c r="AL17" s="859" t="n">
        <f>[1]Medicare!AL10</f>
        <v>1326.4237821346351</v>
      </c>
      <c r="AM17" s="859" t="n">
        <f>[1]Medicare!AM10</f>
        <v>1346.4449359106889</v>
      </c>
      <c r="AN17" s="859" t="n">
        <f>[1]Medicare!AN10</f>
        <v>1346.4449359106889</v>
      </c>
    </row>
    <row r="18" ht="18" customHeight="1">
      <c r="B18" s="866" t="s">
        <v>379</v>
      </c>
      <c r="C18" s="289"/>
      <c r="D18" s="419"/>
      <c r="E18" s="286"/>
      <c r="F18" s="286"/>
      <c r="G18" s="286"/>
      <c r="H18" s="657" t="n">
        <f>'[1]Rebate Checks (expired)'!H10 +'[1]Rebate Checks (expired)'!H11</f>
        <v>0</v>
      </c>
      <c r="I18" s="657" t="n">
        <f>'[1]Rebate Checks (expired)'!I10 +'[1]Rebate Checks (expired)'!I11</f>
        <v>0</v>
      </c>
      <c r="J18" s="657" t="n">
        <f>'[1]Rebate Checks (expired)'!J10 +'[1]Rebate Checks (expired)'!J11</f>
        <v>1078.0999999999999</v>
      </c>
      <c r="K18" s="657" t="n">
        <f>'[1]Rebate Checks (expired)'!K10 +'[1]Rebate Checks (expired)'!K11</f>
        <v>15.6</v>
      </c>
      <c r="L18" s="657" t="n">
        <f>'[1]Rebate Checks (expired)'!L10 +'[1]Rebate Checks (expired)'!L11</f>
        <v>5</v>
      </c>
      <c r="M18" s="657" t="n">
        <f>'[1]Rebate Checks (expired)'!M10 +'[1]Rebate Checks (expired)'!M11</f>
        <v>1933.6999999999998</v>
      </c>
      <c r="N18" s="657" t="n">
        <f>'[1]Rebate Checks (expired)'!N10 +'[1]Rebate Checks (expired)'!N11</f>
        <v>290.10000000000002</v>
      </c>
      <c r="O18" s="657" t="n">
        <f>'[1]Rebate Checks (expired)'!O10 +'[1]Rebate Checks (expired)'!O11</f>
        <v>38.9</v>
      </c>
      <c r="P18" s="657" t="n">
        <f>'[1]Rebate Checks (expired)'!P10 +'[1]Rebate Checks (expired)'!P11</f>
        <v>14.2</v>
      </c>
      <c r="Q18" s="657" t="n">
        <f>'[1]Rebate Checks (expired)'!Q10 +'[1]Rebate Checks (expired)'!Q11</f>
        <v>0</v>
      </c>
      <c r="R18" s="657" t="n">
        <f>'[1]Rebate Checks (expired)'!Q10 +'[1]Rebate Checks (expired)'!R11</f>
        <v>0</v>
      </c>
      <c r="S18" s="657" t="n">
        <f>'[1]Rebate Checks (expired)'!S10 +'[1]Rebate Checks (expired)'!S11</f>
        <v>0</v>
      </c>
      <c r="T18" s="657" t="n">
        <f>'[1]Rebate Checks (expired)'!T10 +'[1]Rebate Checks (expired)'!T11</f>
        <v>0</v>
      </c>
      <c r="U18" s="657" t="n">
        <f>'[1]Rebate Checks (expired)'!U10 +'[1]Rebate Checks (expired)'!U11</f>
        <v>0</v>
      </c>
      <c r="V18" s="850" t="n">
        <f t="shared" ref="V18:AA18" si="3">V19+V20</f>
        <v>0</v>
      </c>
      <c r="W18" s="850" t="n">
        <f t="shared" si="3"/>
        <v>0</v>
      </c>
      <c r="X18" s="850" t="n">
        <f t="shared" si="3"/>
        <v>0</v>
      </c>
      <c r="Y18" s="850" t="n">
        <f t="shared" si="3"/>
        <v>0</v>
      </c>
      <c r="Z18" s="850" t="n">
        <f t="shared" si="3"/>
        <v>0</v>
      </c>
      <c r="AA18" s="850" t="n">
        <f t="shared" si="3"/>
        <v>0</v>
      </c>
      <c r="AB18" s="850" t="n">
        <f>AB19+AB20</f>
        <v>0</v>
      </c>
      <c r="AC18" s="850" t="n">
        <f>AC19+AC20</f>
        <v>0</v>
      </c>
      <c r="AD18" s="859" t="n">
        <f>'[1]Rebate Checks (expired)'!AD10 +'[1]Rebate Checks (expired)'!AD11</f>
        <v>0</v>
      </c>
      <c r="AE18" s="859" t="n">
        <f>'[1]Rebate Checks (expired)'!AE10 +'[1]Rebate Checks (expired)'!AE11</f>
        <v>0</v>
      </c>
      <c r="AF18" s="859" t="n">
        <f>'[1]Rebate Checks (expired)'!AF10 +'[1]Rebate Checks (expired)'!AF11</f>
        <v>0</v>
      </c>
      <c r="AG18" s="859" t="n">
        <f>'[1]Rebate Checks (expired)'!AG10 +'[1]Rebate Checks (expired)'!AG11</f>
        <v>0</v>
      </c>
      <c r="AH18" s="859" t="n">
        <f>'[1]Rebate Checks (expired)'!AH10 +'[1]Rebate Checks (expired)'!AH11</f>
        <v>0</v>
      </c>
      <c r="AI18" s="859" t="n">
        <f>'[1]Rebate Checks (expired)'!AI10 +'[1]Rebate Checks (expired)'!AI11</f>
        <v>0</v>
      </c>
      <c r="AJ18" s="859" t="n">
        <f>'[1]Rebate Checks (expired)'!AJ10 +'[1]Rebate Checks (expired)'!AJ11</f>
        <v>0</v>
      </c>
      <c r="AK18" s="859" t="n">
        <f>'[1]Rebate Checks (expired)'!AK10 +'[1]Rebate Checks (expired)'!AK11</f>
        <v>0</v>
      </c>
      <c r="AL18" s="859" t="n">
        <f>'[1]Rebate Checks (expired)'!AL10 +'[1]Rebate Checks (expired)'!AL11</f>
        <v>0</v>
      </c>
      <c r="AM18" s="859" t="n">
        <f>'[1]Rebate Checks (expired)'!AM10 +'[1]Rebate Checks (expired)'!AM11</f>
        <v>0</v>
      </c>
      <c r="AN18" s="859" t="n">
        <f>'[1]Rebate Checks (expired)'!AN10 +'[1]Rebate Checks (expired)'!AN11</f>
        <v>0</v>
      </c>
    </row>
    <row r="19" ht="18" customHeight="1">
      <c r="B19" s="867" t="s">
        <v>1740</v>
      </c>
      <c r="C19" s="289"/>
      <c r="D19" s="419"/>
      <c r="E19" s="286"/>
      <c r="F19" s="286"/>
      <c r="G19" s="286"/>
      <c r="H19" s="657"/>
      <c r="I19" s="657"/>
      <c r="J19" s="657"/>
      <c r="K19" s="657"/>
      <c r="L19" s="657"/>
      <c r="M19" s="657"/>
      <c r="N19" s="657"/>
      <c r="O19" s="657"/>
      <c r="P19" s="657"/>
      <c r="Q19" s="657"/>
      <c r="R19" s="657"/>
      <c r="S19" s="657"/>
      <c r="T19" s="657"/>
      <c r="U19" s="657"/>
      <c r="V19" s="657" t="n">
        <v>0</v>
      </c>
      <c r="W19" s="657"/>
      <c r="X19" s="859"/>
      <c r="Y19" s="859"/>
      <c r="Z19" s="859"/>
      <c r="AA19" s="859"/>
      <c r="AB19" s="859"/>
      <c r="AC19" s="859"/>
      <c r="AD19" s="859"/>
      <c r="AE19" s="859"/>
      <c r="AF19" s="859"/>
      <c r="AG19" s="859"/>
      <c r="AH19" s="859"/>
      <c r="AI19" s="859"/>
      <c r="AJ19" s="859"/>
      <c r="AK19" s="859"/>
      <c r="AL19" s="859"/>
      <c r="AM19" s="859"/>
      <c r="AN19" s="859"/>
    </row>
    <row r="20" ht="18" customHeight="1">
      <c r="B20" s="867" t="s">
        <v>1741</v>
      </c>
      <c r="C20" s="289"/>
      <c r="D20" s="419"/>
      <c r="E20" s="286"/>
      <c r="F20" s="286"/>
      <c r="G20" s="286"/>
      <c r="H20" s="657"/>
      <c r="I20" s="657"/>
      <c r="J20" s="657"/>
      <c r="K20" s="657"/>
      <c r="L20" s="657"/>
      <c r="M20" s="657"/>
      <c r="N20" s="657"/>
      <c r="O20" s="657"/>
      <c r="P20" s="657"/>
      <c r="Q20" s="657"/>
      <c r="R20" s="657"/>
      <c r="S20" s="657"/>
      <c r="T20" s="657"/>
      <c r="U20" s="657"/>
      <c r="V20" s="657" t="n">
        <v>0</v>
      </c>
      <c r="W20" s="657"/>
      <c r="X20" s="859"/>
      <c r="Y20" s="859"/>
      <c r="Z20" s="859"/>
      <c r="AA20" s="859"/>
      <c r="AB20" s="859"/>
      <c r="AC20" s="859"/>
      <c r="AD20" s="859"/>
      <c r="AE20" s="859"/>
      <c r="AF20" s="859"/>
      <c r="AG20" s="859"/>
      <c r="AH20" s="859"/>
      <c r="AI20" s="859"/>
      <c r="AJ20" s="859"/>
      <c r="AK20" s="859"/>
      <c r="AL20" s="859"/>
      <c r="AM20" s="859"/>
      <c r="AN20" s="859"/>
    </row>
    <row r="21" ht="18" customHeight="1">
      <c r="B21" s="868" t="s">
        <v>40</v>
      </c>
      <c r="C21" s="289"/>
      <c r="D21" s="418" t="n">
        <f>'[1]Provider Relief (expired)'!D11</f>
        <v>0</v>
      </c>
      <c r="E21" s="392" t="n">
        <f>'[1]Provider Relief (expired)'!E11</f>
        <v>0</v>
      </c>
      <c r="F21" s="392" t="n">
        <f>'[1]Provider Relief (expired)'!F11</f>
        <v>0</v>
      </c>
      <c r="G21" s="392" t="n">
        <f>'[1]Provider Relief (expired)'!G11</f>
        <v>0</v>
      </c>
      <c r="H21" s="392" t="n">
        <f>'[1]Provider Relief (expired)'!H11</f>
        <v>0</v>
      </c>
      <c r="I21" s="392" t="n">
        <f>'[1]Provider Relief (expired)'!I11</f>
        <v>0</v>
      </c>
      <c r="J21" s="392" t="n">
        <f>'[1]Provider Relief (expired)'!J11</f>
        <v>160.9</v>
      </c>
      <c r="K21" s="392" t="n">
        <f>'[1]Provider Relief (expired)'!K11</f>
        <v>58.4</v>
      </c>
      <c r="L21" s="392" t="n">
        <f>'[1]Provider Relief (expired)'!L11</f>
        <v>34.5</v>
      </c>
      <c r="M21" s="392" t="n">
        <f>'[1]Provider Relief (expired)'!M11</f>
        <v>21.4</v>
      </c>
      <c r="N21" s="392" t="n">
        <f>'[1]Provider Relief (expired)'!N11</f>
        <v>13.3</v>
      </c>
      <c r="O21" s="392" t="n">
        <f>'[1]Provider Relief (expired)'!O11</f>
        <v>18.7</v>
      </c>
      <c r="P21" s="392" t="n">
        <f>'[1]Provider Relief (expired)'!P11</f>
        <v>32.200000000000003</v>
      </c>
      <c r="Q21" s="392" t="n">
        <f>'[1]Provider Relief (expired)'!Q11</f>
        <v>26.9</v>
      </c>
      <c r="R21" s="392" t="n">
        <f>'[1]Provider Relief (expired)'!R11</f>
        <v>20</v>
      </c>
      <c r="S21" s="392" t="n">
        <f>'[1]Provider Relief (expired)'!S11</f>
        <v>8.1</v>
      </c>
      <c r="T21" s="392" t="n">
        <f>'[1]Provider Relief (expired)'!T11</f>
        <v>4.9000000000000004</v>
      </c>
      <c r="U21" s="392" t="n">
        <v>0</v>
      </c>
      <c r="V21" s="657" t="n">
        <v>0</v>
      </c>
      <c r="W21" s="657" t="n">
        <v>0</v>
      </c>
      <c r="X21" s="859" t="n">
        <v>0</v>
      </c>
      <c r="Y21" s="859" t="n">
        <v>0</v>
      </c>
      <c r="Z21" s="859" t="n">
        <v>0</v>
      </c>
      <c r="AA21" s="859" t="n">
        <v>0</v>
      </c>
      <c r="AB21" s="859" t="n">
        <v>0</v>
      </c>
      <c r="AC21" s="859" t="n">
        <v>0</v>
      </c>
      <c r="AD21" s="859" t="n">
        <v>0</v>
      </c>
      <c r="AE21" s="859" t="n">
        <v>0</v>
      </c>
      <c r="AF21" s="859" t="n">
        <v>0</v>
      </c>
      <c r="AG21" s="859" t="n">
        <v>0</v>
      </c>
      <c r="AH21" s="859" t="n">
        <v>0</v>
      </c>
      <c r="AI21" s="859" t="n">
        <v>0</v>
      </c>
      <c r="AJ21" s="859" t="n">
        <v>0</v>
      </c>
      <c r="AK21" s="859" t="n">
        <v>0</v>
      </c>
      <c r="AL21" s="859" t="n">
        <v>0</v>
      </c>
      <c r="AM21" s="859" t="n">
        <v>0</v>
      </c>
      <c r="AN21" s="859" t="n">
        <v>0</v>
      </c>
    </row>
    <row r="22" ht="18" customHeight="1">
      <c r="B22" s="431" t="s">
        <v>1742</v>
      </c>
      <c r="C22" s="289"/>
      <c r="D22" s="418"/>
      <c r="E22" s="392"/>
      <c r="F22" s="392"/>
      <c r="G22" s="392"/>
      <c r="H22" s="392"/>
      <c r="I22" s="392"/>
      <c r="J22" s="392"/>
      <c r="K22" s="392"/>
      <c r="L22" s="392"/>
      <c r="M22" s="392"/>
      <c r="N22" s="392"/>
      <c r="O22" s="392"/>
      <c r="P22" s="392"/>
      <c r="Q22" s="392"/>
      <c r="R22" s="392"/>
      <c r="S22" s="392"/>
      <c r="T22" s="392"/>
      <c r="U22" s="392"/>
      <c r="V22" s="657"/>
      <c r="W22" s="657"/>
      <c r="X22" s="859"/>
      <c r="Y22" s="859"/>
      <c r="Z22" s="859"/>
      <c r="AA22" s="859"/>
      <c r="AB22" s="859"/>
      <c r="AC22" s="859"/>
      <c r="AD22" s="859"/>
      <c r="AE22" s="859"/>
      <c r="AF22" s="859"/>
      <c r="AG22" s="859"/>
      <c r="AH22" s="859"/>
      <c r="AI22" s="859"/>
      <c r="AJ22" s="859"/>
      <c r="AK22" s="859"/>
      <c r="AL22" s="859"/>
      <c r="AM22" s="859"/>
      <c r="AN22" s="859"/>
    </row>
    <row r="23" ht="18" customHeight="1">
      <c r="B23" s="431" t="s">
        <v>1743</v>
      </c>
      <c r="C23" s="289"/>
      <c r="D23" s="418"/>
      <c r="E23" s="392"/>
      <c r="F23" s="392"/>
      <c r="G23" s="392"/>
      <c r="H23" s="392"/>
      <c r="I23" s="392"/>
      <c r="J23" s="392"/>
      <c r="K23" s="392"/>
      <c r="L23" s="392"/>
      <c r="M23" s="392"/>
      <c r="N23" s="392"/>
      <c r="O23" s="392"/>
      <c r="P23" s="392"/>
      <c r="Q23" s="392"/>
      <c r="R23" s="392"/>
      <c r="S23" s="392"/>
      <c r="T23" s="392"/>
      <c r="U23" s="392"/>
      <c r="V23" s="657"/>
      <c r="W23" s="657"/>
      <c r="X23" s="859"/>
      <c r="Y23" s="859"/>
      <c r="Z23" s="859"/>
      <c r="AA23" s="859"/>
      <c r="AB23" s="859"/>
      <c r="AC23" s="859"/>
      <c r="AD23" s="859"/>
      <c r="AE23" s="859"/>
      <c r="AF23" s="859"/>
      <c r="AG23" s="859"/>
      <c r="AH23" s="859"/>
      <c r="AI23" s="859"/>
      <c r="AJ23" s="859"/>
      <c r="AK23" s="859"/>
      <c r="AL23" s="859"/>
      <c r="AM23" s="859"/>
      <c r="AN23" s="859"/>
    </row>
    <row r="24" ht="20.149999999999999" customHeight="1">
      <c r="B24" s="416" t="s">
        <v>382</v>
      </c>
      <c r="C24" s="412"/>
      <c r="D24" s="896"/>
      <c r="E24" s="811"/>
      <c r="F24" s="811"/>
      <c r="G24" s="811"/>
      <c r="H24" s="738"/>
      <c r="I24" s="738"/>
      <c r="J24" s="738"/>
      <c r="K24" s="738"/>
      <c r="L24" s="738"/>
      <c r="M24" s="738" t="n">
        <f>'[1]ARP Quarterly'!C5</f>
        <v>0</v>
      </c>
      <c r="N24" s="738" t="n">
        <f>'[1]ARP Quarterly'!D5</f>
        <v>33.921840000000024</v>
      </c>
      <c r="O24" s="738" t="n">
        <f>'[1]ARP Quarterly'!E5</f>
        <v>44.966160000000031</v>
      </c>
      <c r="P24" s="738" t="n">
        <f>'[1]ARP Quarterly'!F5</f>
        <v>52.756999999999998</v>
      </c>
      <c r="Q24" s="738" t="n">
        <f>'[1]ARP Quarterly'!G5</f>
        <v>52.756999999999998</v>
      </c>
      <c r="R24" s="738" t="n">
        <f>'[1]ARP Quarterly'!H5</f>
        <v>52.756999999999998</v>
      </c>
      <c r="S24" s="738" t="n">
        <f>'[1]ARP Quarterly'!I5</f>
        <v>52.756999999999998</v>
      </c>
      <c r="T24" s="738" t="n">
        <v>30</v>
      </c>
      <c r="U24" s="738" t="n">
        <f>'[1]ARP Quarterly'!K5</f>
        <v>12</v>
      </c>
      <c r="V24" s="738" t="n">
        <f>'[1]ARP Quarterly'!L5</f>
        <v>12</v>
      </c>
      <c r="W24" s="738" t="n">
        <f>'[1]ARP Quarterly'!M5</f>
        <v>12</v>
      </c>
      <c r="X24" s="740" t="n">
        <f>'[1]ARP Quarterly'!N5</f>
        <v>4.2219999999999995</v>
      </c>
      <c r="Y24" s="740" t="n">
        <f>'[1]ARP Quarterly'!O5</f>
        <v>4.2219999999999995</v>
      </c>
      <c r="Z24" s="740" t="n">
        <f>'[1]ARP Quarterly'!P5</f>
        <v>4.2219999999999995</v>
      </c>
      <c r="AA24" s="740" t="n">
        <f>'[1]ARP Quarterly'!Q5</f>
        <v>4.2219999999999995</v>
      </c>
      <c r="AB24" s="740" t="n">
        <f>'[1]ARP Quarterly'!R5</f>
        <v>2.3719999999999999</v>
      </c>
      <c r="AC24" s="740" t="n">
        <f>'[1]ARP Quarterly'!S5</f>
        <v>2.3719999999999999</v>
      </c>
      <c r="AD24" s="740" t="n">
        <f>'[1]ARP Quarterly'!T5</f>
        <v>2.3719999999999999</v>
      </c>
      <c r="AE24" s="740" t="n">
        <f>'[1]ARP Quarterly'!U5</f>
        <v>2.3719999999999999</v>
      </c>
      <c r="AF24" s="740" t="n">
        <f>'[1]ARP Quarterly'!V5</f>
        <v>0.49</v>
      </c>
      <c r="AG24" s="670" t="n">
        <v>0</v>
      </c>
      <c r="AH24" s="670" t="n">
        <v>0</v>
      </c>
      <c r="AI24" s="670" t="n">
        <v>0</v>
      </c>
      <c r="AJ24" s="670" t="n">
        <v>0</v>
      </c>
      <c r="AK24" s="670" t="n">
        <v>0</v>
      </c>
      <c r="AL24" s="670" t="n">
        <v>0</v>
      </c>
      <c r="AM24" s="670" t="n">
        <v>0</v>
      </c>
      <c r="AN24" s="670" t="n">
        <v>0</v>
      </c>
    </row>
    <row r="25" ht="22.4" customHeight="1">
      <c r="B25" s="401" t="s">
        <v>151</v>
      </c>
      <c r="C25" s="871"/>
      <c r="D25" s="418"/>
      <c r="E25" s="392"/>
      <c r="F25" s="392"/>
      <c r="G25" s="392"/>
      <c r="H25" s="392"/>
      <c r="I25" s="392"/>
      <c r="J25" s="392"/>
      <c r="K25" s="392"/>
      <c r="L25" s="392"/>
      <c r="M25" s="657" t="n">
        <f>'[1]ARP Quarterly'!C4</f>
        <v>0</v>
      </c>
      <c r="N25" s="657" t="n">
        <f>'[1]ARP Quarterly'!D4</f>
        <v>0</v>
      </c>
      <c r="O25" s="657" t="n">
        <f>'[1]ARP Quarterly'!E4</f>
        <v>3.1040000000000418</v>
      </c>
      <c r="P25" s="657" t="n">
        <f>'[1]ARP Quarterly'!F4</f>
        <v>19.719000000000005</v>
      </c>
      <c r="Q25" s="657" t="n">
        <f>'[1]ARP Quarterly'!G4</f>
        <v>19.719000000000005</v>
      </c>
      <c r="R25" s="657" t="n">
        <f>'[1]ARP Quarterly'!H4</f>
        <v>19.719000000000005</v>
      </c>
      <c r="S25" s="657" t="n">
        <f>'[1]ARP Quarterly'!I4</f>
        <v>19.719000000000005</v>
      </c>
      <c r="T25" s="657" t="n">
        <f>'[1]ARP Quarterly'!J4</f>
        <v>1.4159999999999999</v>
      </c>
      <c r="U25" s="657" t="n">
        <f>'[1]ARP Quarterly'!K4</f>
        <v>1.4159999999999999</v>
      </c>
      <c r="V25" s="657" t="n">
        <f>'[1]ARP Quarterly'!L4</f>
        <v>1.4159999999999999</v>
      </c>
      <c r="W25" s="657" t="n">
        <f>'[1]ARP Quarterly'!M4</f>
        <v>1.4159999999999999</v>
      </c>
      <c r="X25" s="859" t="n">
        <f>'[1]ARP Quarterly'!N4</f>
        <v>1.4790000000000001</v>
      </c>
      <c r="Y25" s="859" t="n">
        <f>'[1]ARP Quarterly'!O4</f>
        <v>1.4790000000000001</v>
      </c>
      <c r="Z25" s="859" t="n">
        <f>'[1]ARP Quarterly'!P4</f>
        <v>1.4790000000000001</v>
      </c>
      <c r="AA25" s="859" t="n">
        <f>'[1]ARP Quarterly'!Q4</f>
        <v>1.4790000000000001</v>
      </c>
      <c r="AB25" s="859" t="n">
        <f>'[1]ARP Quarterly'!R4</f>
        <v>1.63</v>
      </c>
      <c r="AC25" s="859" t="n">
        <f>'[1]ARP Quarterly'!S4</f>
        <v>1.63</v>
      </c>
      <c r="AD25" s="859" t="n">
        <f>'[1]ARP Quarterly'!T4</f>
        <v>1.63</v>
      </c>
      <c r="AE25" s="859" t="n">
        <f>'[1]ARP Quarterly'!U4</f>
        <v>1.63</v>
      </c>
      <c r="AF25" s="859" t="n">
        <f>'[1]ARP Quarterly'!V4</f>
        <v>1.671</v>
      </c>
      <c r="AG25" s="898" t="n">
        <v>0</v>
      </c>
      <c r="AH25" s="898" t="n">
        <v>0</v>
      </c>
      <c r="AI25" s="898" t="n">
        <v>0</v>
      </c>
      <c r="AJ25" s="898" t="n">
        <v>0</v>
      </c>
      <c r="AK25" s="898" t="n">
        <v>0</v>
      </c>
      <c r="AL25" s="898" t="n">
        <v>0</v>
      </c>
      <c r="AM25" s="898" t="n">
        <v>0</v>
      </c>
      <c r="AN25" s="898" t="n">
        <v>0</v>
      </c>
      <c r="AO25" s="871"/>
      <c r="AP25" s="871"/>
      <c r="AQ25" s="871"/>
      <c r="AR25" s="871"/>
      <c r="AS25" s="871"/>
      <c r="AT25" s="871"/>
      <c r="AU25" s="871"/>
      <c r="AV25" s="871"/>
      <c r="AW25" s="871"/>
      <c r="AX25" s="871"/>
      <c r="AY25" s="871"/>
      <c r="AZ25" s="871"/>
      <c r="BA25" s="871"/>
      <c r="BB25" s="871"/>
      <c r="BC25" s="871"/>
      <c r="BD25" s="871"/>
      <c r="BE25" s="871"/>
      <c r="BF25" s="871"/>
      <c r="BG25" s="871"/>
      <c r="BH25" s="871"/>
      <c r="BI25" s="871"/>
      <c r="BJ25" s="871"/>
      <c r="BK25" s="871"/>
      <c r="BL25" s="871"/>
      <c r="BM25" s="871"/>
      <c r="BN25" s="871"/>
      <c r="BO25" s="871"/>
      <c r="BP25" s="871"/>
      <c r="BQ25" s="871"/>
      <c r="BR25" s="871"/>
      <c r="BS25" s="871"/>
      <c r="BT25" s="871"/>
      <c r="BU25" s="871"/>
      <c r="BV25" s="871"/>
      <c r="BW25" s="871"/>
      <c r="BX25" s="871"/>
      <c r="BY25" s="871"/>
      <c r="BZ25" s="871"/>
      <c r="CA25" s="871"/>
      <c r="CB25" s="871"/>
      <c r="CC25" s="871"/>
      <c r="CD25" s="871"/>
      <c r="CE25" s="871"/>
      <c r="CF25" s="871"/>
      <c r="CG25" s="871"/>
      <c r="CH25" s="871"/>
      <c r="CI25" s="871"/>
      <c r="CJ25" s="871"/>
      <c r="CK25" s="871"/>
      <c r="CL25" s="871"/>
      <c r="CM25" s="871"/>
      <c r="CN25" s="871"/>
      <c r="CO25" s="871"/>
      <c r="CP25" s="871"/>
      <c r="CQ25" s="871"/>
      <c r="CR25" s="871"/>
      <c r="CS25" s="871"/>
      <c r="CT25" s="871"/>
      <c r="CU25" s="871"/>
      <c r="CV25" s="871"/>
      <c r="CW25" s="871"/>
      <c r="CX25" s="871"/>
    </row>
    <row r="26" ht="36.65" customHeight="1">
      <c r="B26" s="401" t="s">
        <v>1332</v>
      </c>
      <c r="C26" s="289"/>
      <c r="D26" s="419" t="n">
        <f>D50</f>
        <v>0</v>
      </c>
      <c r="E26" s="286" t="n">
        <f t="shared" ref="E26:AF26" si="4">E50</f>
        <v>0</v>
      </c>
      <c r="F26" s="286" t="n">
        <f t="shared" si="4"/>
        <v>0</v>
      </c>
      <c r="G26" s="286" t="n">
        <f t="shared" si="4"/>
        <v>0</v>
      </c>
      <c r="H26" s="286" t="n">
        <f t="shared" si="4"/>
        <v>0</v>
      </c>
      <c r="I26" s="657" t="n">
        <f t="shared" si="4"/>
        <v>6.9120000000000061</v>
      </c>
      <c r="J26" s="657" t="n">
        <f t="shared" si="4"/>
        <v>50.955000000000005</v>
      </c>
      <c r="K26" s="657" t="n">
        <f t="shared" si="4"/>
        <v>51.173999999999999</v>
      </c>
      <c r="L26" s="657" t="n">
        <f t="shared" si="4"/>
        <v>51.893999999999998</v>
      </c>
      <c r="M26" s="657" t="n">
        <f t="shared" si="4"/>
        <v>91.075000000000017</v>
      </c>
      <c r="N26" s="657" t="n">
        <f t="shared" si="4"/>
        <v>100.63400000000001</v>
      </c>
      <c r="O26" s="657" t="n">
        <f t="shared" si="4"/>
        <v>93.89100000000002</v>
      </c>
      <c r="P26" s="657" t="n">
        <f t="shared" si="4"/>
        <v>100.22800000000001</v>
      </c>
      <c r="Q26" s="657" t="n">
        <f t="shared" si="4"/>
        <v>76.838999999999999</v>
      </c>
      <c r="R26" s="657" t="n">
        <f t="shared" si="4"/>
        <v>73.637</v>
      </c>
      <c r="S26" s="657" t="n">
        <f t="shared" si="4"/>
        <v>70.649000000000001</v>
      </c>
      <c r="T26" s="657" t="n">
        <f t="shared" si="4"/>
        <v>91.718000000000018</v>
      </c>
      <c r="U26" s="657" t="n">
        <f t="shared" si="4"/>
        <v>83.695999999999998</v>
      </c>
      <c r="V26" s="657" t="n">
        <f>V50</f>
        <v>51.979000000000006</v>
      </c>
      <c r="W26" s="657" t="n">
        <f>W50</f>
        <v>51.58400000000001</v>
      </c>
      <c r="X26" s="859" t="n">
        <f t="shared" si="4"/>
        <v>38.777999999999999</v>
      </c>
      <c r="Y26" s="859" t="n">
        <f t="shared" si="4"/>
        <v>37.295999999999999</v>
      </c>
      <c r="Z26" s="859" t="n">
        <f t="shared" si="4"/>
        <v>41.408000000000008</v>
      </c>
      <c r="AA26" s="859" t="n">
        <f t="shared" si="4"/>
        <v>48.07800000000001</v>
      </c>
      <c r="AB26" s="859" t="n">
        <f t="shared" si="4"/>
        <v>43.804000000000009</v>
      </c>
      <c r="AC26" s="859" t="n">
        <f t="shared" si="4"/>
        <v>40.554000000000009</v>
      </c>
      <c r="AD26" s="859" t="n">
        <f t="shared" si="4"/>
        <v>40.554000000000009</v>
      </c>
      <c r="AE26" s="859" t="n">
        <f t="shared" si="4"/>
        <v>40.554000000000009</v>
      </c>
      <c r="AF26" s="859" t="n">
        <f t="shared" si="4"/>
        <v>40.554000000000009</v>
      </c>
      <c r="AG26" s="859" t="n">
        <f>AG50</f>
        <v>40.554000000000009</v>
      </c>
      <c r="AH26" s="859" t="n">
        <f>AH50</f>
        <v>40.554000000000009</v>
      </c>
      <c r="AI26" s="859" t="n">
        <f>AI50</f>
        <v>40.554000000000009</v>
      </c>
      <c r="AJ26" s="859" t="n">
        <f>AJ50</f>
        <v>40.554000000000009</v>
      </c>
      <c r="AK26" s="859" t="n">
        <f t="shared" ref="AK26:AN26" si="5">AK50</f>
        <v>40.554000000000009</v>
      </c>
      <c r="AL26" s="859" t="n">
        <f t="shared" si="5"/>
        <v>40.554000000000009</v>
      </c>
      <c r="AM26" s="859" t="n">
        <f t="shared" si="5"/>
        <v>40.554000000000009</v>
      </c>
      <c r="AN26" s="859" t="n">
        <f t="shared" si="5"/>
        <v>40.554000000000009</v>
      </c>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c r="BM26" s="289"/>
      <c r="BN26" s="289"/>
      <c r="BO26" s="289"/>
      <c r="BP26" s="289"/>
      <c r="BQ26" s="289"/>
      <c r="BR26" s="289"/>
      <c r="BS26" s="289"/>
      <c r="BT26" s="289"/>
      <c r="BU26" s="289"/>
      <c r="BV26" s="289"/>
      <c r="BW26" s="289"/>
      <c r="BX26" s="289"/>
      <c r="BY26" s="289"/>
      <c r="BZ26" s="289"/>
      <c r="CA26" s="289"/>
      <c r="CB26" s="289"/>
      <c r="CC26" s="289"/>
      <c r="CD26" s="289"/>
      <c r="CE26" s="289"/>
      <c r="CF26" s="289"/>
      <c r="CG26" s="289"/>
      <c r="CH26" s="289"/>
      <c r="CI26" s="289"/>
      <c r="CJ26" s="289"/>
      <c r="CK26" s="289"/>
      <c r="CL26" s="289"/>
      <c r="CM26" s="289"/>
      <c r="CN26" s="289"/>
      <c r="CO26" s="289"/>
      <c r="CP26" s="289"/>
      <c r="CQ26" s="289"/>
      <c r="CR26" s="289"/>
      <c r="CS26" s="289"/>
      <c r="CT26" s="289"/>
      <c r="CU26" s="289"/>
      <c r="CV26" s="289"/>
      <c r="CW26" s="289"/>
    </row>
    <row r="27" ht="15.65" customHeight="1">
      <c r="B27" s="401" t="s">
        <v>708</v>
      </c>
      <c r="C27" s="289" t="s">
        <v>735</v>
      </c>
      <c r="D27" s="418" t="n">
        <v>30</v>
      </c>
      <c r="E27" s="392" t="n">
        <v>30</v>
      </c>
      <c r="F27" s="392" t="n">
        <v>30</v>
      </c>
      <c r="G27" s="392" t="n">
        <v>30</v>
      </c>
      <c r="H27" s="392" t="n">
        <v>30</v>
      </c>
      <c r="I27" s="392" t="n">
        <v>30</v>
      </c>
      <c r="J27" s="392" t="n">
        <v>30</v>
      </c>
      <c r="K27" s="388" t="n">
        <v>30.2</v>
      </c>
      <c r="L27" s="388" t="n">
        <v>30.2</v>
      </c>
      <c r="M27" s="388" t="n">
        <f>'[1]Haver Pivoted'!GX89</f>
        <v>34.4</v>
      </c>
      <c r="N27" s="388" t="n">
        <f>'[1]Haver Pivoted'!GY89</f>
        <v>34.4</v>
      </c>
      <c r="O27" s="388" t="n">
        <f>'[1]Haver Pivoted'!GZ89</f>
        <v>218.933333333333</v>
      </c>
      <c r="P27" s="388" t="n">
        <f>'[1]Haver Pivoted'!HA89</f>
        <v>223.13333333333301</v>
      </c>
      <c r="Q27" s="388" t="n">
        <f>'[1]Haver Pivoted'!HB89</f>
        <v>94.3</v>
      </c>
      <c r="R27" s="388" t="n">
        <f>'[1]Haver Pivoted'!HC89</f>
        <v>94.3</v>
      </c>
      <c r="S27" s="615" t="n">
        <f>'[1]Haver Pivoted'!HD89</f>
        <v>94.3</v>
      </c>
      <c r="T27" s="615" t="n">
        <f>'[1]Haver Pivoted'!HE89</f>
        <v>94.3</v>
      </c>
      <c r="U27" s="859" t="n">
        <v>34</v>
      </c>
      <c r="V27" s="657" t="n">
        <v>34</v>
      </c>
      <c r="W27" s="657" t="n">
        <v>34</v>
      </c>
      <c r="X27" s="859" t="n">
        <v>34</v>
      </c>
      <c r="Y27" s="859" t="n">
        <v>34</v>
      </c>
      <c r="Z27" s="859" t="n">
        <v>34</v>
      </c>
      <c r="AA27" s="859" t="n">
        <v>34</v>
      </c>
      <c r="AB27" s="859" t="n">
        <v>34</v>
      </c>
      <c r="AC27" s="859" t="n">
        <v>34</v>
      </c>
      <c r="AD27" s="859" t="n">
        <v>34</v>
      </c>
      <c r="AE27" s="859" t="n">
        <v>34</v>
      </c>
      <c r="AF27" s="859" t="n">
        <v>34</v>
      </c>
      <c r="AG27" s="859" t="n">
        <v>34</v>
      </c>
      <c r="AH27" s="859" t="n">
        <v>34</v>
      </c>
      <c r="AI27" s="859" t="n">
        <v>35</v>
      </c>
      <c r="AJ27" s="859" t="n">
        <v>36</v>
      </c>
      <c r="AK27" s="859" t="n">
        <v>37</v>
      </c>
      <c r="AL27" s="859" t="n">
        <v>38</v>
      </c>
      <c r="AM27" s="859" t="n">
        <v>39</v>
      </c>
      <c r="AN27" s="859" t="n">
        <v>40</v>
      </c>
    </row>
    <row r="28" ht="21.65" customHeight="1">
      <c r="B28" s="401" t="s">
        <v>380</v>
      </c>
      <c r="C28" s="289"/>
      <c r="D28" s="419"/>
      <c r="E28" s="286"/>
      <c r="F28" s="286"/>
      <c r="G28" s="286"/>
      <c r="H28" s="657"/>
      <c r="I28" s="657"/>
      <c r="J28" s="657" t="n">
        <f>'[1]PPP (expired)'!J53</f>
        <v>57.2</v>
      </c>
      <c r="K28" s="657" t="n">
        <f>'[1]PPP (expired)'!K53</f>
        <v>81.2</v>
      </c>
      <c r="L28" s="657" t="n">
        <f>'[1]PPP (expired)'!L53</f>
        <v>24.4</v>
      </c>
      <c r="M28" s="657" t="n">
        <f>'[1]PPP (expired)'!M53</f>
        <v>11.7</v>
      </c>
      <c r="N28" s="657" t="n">
        <f>'[1]PPP (expired)'!N53</f>
        <v>28.5</v>
      </c>
      <c r="O28" s="657" t="n">
        <f>'[1]PPP (expired)'!O53</f>
        <v>18.8</v>
      </c>
      <c r="P28" s="657" t="n">
        <f>'[1]PPP (expired)'!P53</f>
        <v>1.6</v>
      </c>
      <c r="Q28" s="657" t="n">
        <f>'[1]PPP (expired)'!Q53</f>
        <v>0</v>
      </c>
      <c r="R28" s="657" t="n">
        <f>'[1]PPP (expired)'!Q61</f>
        <v>0</v>
      </c>
      <c r="S28" s="657" t="n">
        <f>'[1]PPP (expired)'!S53</f>
        <v>0</v>
      </c>
      <c r="T28" s="657" t="n">
        <f>'[1]PPP (expired)'!T53</f>
        <v>0</v>
      </c>
      <c r="U28" s="657" t="n">
        <f>'[1]PPP (expired)'!U53</f>
        <v>0</v>
      </c>
      <c r="V28" s="657" t="n">
        <f>'[1]PPP (expired)'!V53</f>
        <v>0</v>
      </c>
      <c r="W28" s="657" t="n">
        <f>'[1]PPP (expired)'!W53</f>
        <v>0</v>
      </c>
      <c r="X28" s="859" t="n">
        <f>'[1]PPP (expired)'!X53</f>
        <v>0</v>
      </c>
      <c r="Y28" s="859" t="n">
        <f>'[1]PPP (expired)'!Y53</f>
        <v>0</v>
      </c>
      <c r="Z28" s="859" t="n">
        <f>'[1]PPP (expired)'!Z53</f>
        <v>0</v>
      </c>
      <c r="AA28" s="859" t="n">
        <f>'[1]PPP (expired)'!AA53</f>
        <v>0</v>
      </c>
      <c r="AB28" s="859" t="n">
        <f>'[1]PPP (expired)'!AB53</f>
        <v>0</v>
      </c>
      <c r="AC28" s="859" t="n">
        <f>'[1]PPP (expired)'!AC53</f>
        <v>0</v>
      </c>
      <c r="AD28" s="859" t="n">
        <f>'[1]PPP (expired)'!AD53</f>
        <v>0</v>
      </c>
      <c r="AE28" s="859" t="n">
        <f>'[1]PPP (expired)'!AE53</f>
        <v>0</v>
      </c>
      <c r="AF28" s="859" t="n">
        <f>'[1]PPP (expired)'!AF53</f>
        <v>0</v>
      </c>
      <c r="AG28" s="859" t="n">
        <f>'[1]PPP (expired)'!AG53</f>
        <v>0</v>
      </c>
      <c r="AH28" s="859" t="n">
        <f>'[1]PPP (expired)'!AH53</f>
        <v>0</v>
      </c>
      <c r="AI28" s="859" t="n">
        <f>'[1]PPP (expired)'!AI53</f>
        <v>0</v>
      </c>
      <c r="AJ28" s="859" t="n">
        <f>'[1]PPP (expired)'!AJ53</f>
        <v>0</v>
      </c>
      <c r="AK28" s="859" t="n">
        <f>'[1]PPP (expired)'!AK53</f>
        <v>0</v>
      </c>
      <c r="AL28" s="859" t="n">
        <f>'[1]PPP (expired)'!AL53</f>
        <v>0</v>
      </c>
      <c r="AM28" s="859" t="n">
        <f>'[1]PPP (expired)'!AM53</f>
        <v>0</v>
      </c>
      <c r="AN28" s="859" t="n">
        <f>'[1]PPP (expired)'!AN53</f>
        <v>0</v>
      </c>
    </row>
    <row r="29" ht="21.65" customHeight="1">
      <c r="B29" s="431" t="s">
        <v>709</v>
      </c>
      <c r="C29" s="289"/>
      <c r="D29" s="764" t="n">
        <f t="shared" ref="D29:AE29" si="6">D74</f>
        <v>0</v>
      </c>
      <c r="E29" s="657" t="n">
        <f t="shared" si="6"/>
        <v>0</v>
      </c>
      <c r="F29" s="657" t="n">
        <f t="shared" si="6"/>
        <v>0</v>
      </c>
      <c r="G29" s="657" t="n">
        <f t="shared" si="6"/>
        <v>0</v>
      </c>
      <c r="H29" s="657" t="n">
        <f t="shared" si="6"/>
        <v>0</v>
      </c>
      <c r="I29" s="657" t="n">
        <f t="shared" si="6"/>
        <v>-6.9120000000000346</v>
      </c>
      <c r="J29" s="657" t="n">
        <f t="shared" si="6"/>
        <v>-37.9549999999997</v>
      </c>
      <c r="K29" s="657" t="n">
        <f t="shared" si="6"/>
        <v>85.725999999999658</v>
      </c>
      <c r="L29" s="657" t="n">
        <f t="shared" si="6"/>
        <v>18.405999999999722</v>
      </c>
      <c r="M29" s="657" t="n">
        <f t="shared" si="6"/>
        <v>20.282000000000153</v>
      </c>
      <c r="N29" s="657" t="n">
        <f t="shared" si="6"/>
        <v>-8.5988400000003367</v>
      </c>
      <c r="O29" s="657" t="n">
        <f t="shared" si="6"/>
        <v>-12.537493333333487</v>
      </c>
      <c r="P29" s="657" t="n">
        <f t="shared" si="6"/>
        <v>-32.38033333333351</v>
      </c>
      <c r="Q29" s="657" t="n">
        <f t="shared" si="6"/>
        <v>72.734879999999521</v>
      </c>
      <c r="R29" s="657" t="n">
        <f t="shared" si="6"/>
        <v>75.236879999999019</v>
      </c>
      <c r="S29" s="657" t="n">
        <f t="shared" si="6"/>
        <v>66.046879999999419</v>
      </c>
      <c r="T29" s="657" t="n">
        <f t="shared" si="6"/>
        <v>90.12587999999937</v>
      </c>
      <c r="U29" s="657" t="n">
        <f t="shared" si="6"/>
        <v>55.219026999999414</v>
      </c>
      <c r="V29" s="657" t="n">
        <f>V74</f>
        <v>69.376026999999112</v>
      </c>
      <c r="W29" s="657" t="n">
        <f t="shared" si="6"/>
        <v>73.871026999999231</v>
      </c>
      <c r="X29" s="859" t="n">
        <f t="shared" si="6"/>
        <v>92.003026999999292</v>
      </c>
      <c r="Y29" s="859" t="n">
        <f t="shared" si="6"/>
        <v>133.13552299999901</v>
      </c>
      <c r="Z29" s="859" t="n">
        <f t="shared" si="6"/>
        <v>146.42352299999902</v>
      </c>
      <c r="AA29" s="859" t="n">
        <f t="shared" si="6"/>
        <v>149.85352299999886</v>
      </c>
      <c r="AB29" s="859" t="n">
        <f t="shared" si="6"/>
        <v>163.69852299999889</v>
      </c>
      <c r="AC29" s="859" t="n">
        <f t="shared" si="6"/>
        <v>214.3287979999991</v>
      </c>
      <c r="AD29" s="859" t="n">
        <f t="shared" si="6"/>
        <v>214.3287979999991</v>
      </c>
      <c r="AE29" s="859" t="n">
        <f t="shared" si="6"/>
        <v>214.3287979999991</v>
      </c>
      <c r="AF29" s="859" t="n">
        <f>AF74</f>
        <v>214.3287979999991</v>
      </c>
      <c r="AG29" s="859" t="n">
        <f>AG74</f>
        <v>214.3287979999991</v>
      </c>
      <c r="AH29" s="859" t="n">
        <f>AH74</f>
        <v>214.3287979999991</v>
      </c>
      <c r="AI29" s="859" t="n">
        <f t="shared" ref="AI29:AN29" si="7">AI74</f>
        <v>214.3287979999991</v>
      </c>
      <c r="AJ29" s="859" t="n">
        <f t="shared" si="7"/>
        <v>214.3287979999991</v>
      </c>
      <c r="AK29" s="859" t="n">
        <f t="shared" si="7"/>
        <v>214.3287979999991</v>
      </c>
      <c r="AL29" s="859" t="n">
        <f t="shared" si="7"/>
        <v>214.3287979999991</v>
      </c>
      <c r="AM29" s="859" t="n">
        <f t="shared" si="7"/>
        <v>214.3287979999991</v>
      </c>
      <c r="AN29" s="859" t="n">
        <f t="shared" si="7"/>
        <v>214.3287979999991</v>
      </c>
    </row>
    <row r="30" ht="21" customHeight="1">
      <c r="B30" s="416" t="s">
        <v>706</v>
      </c>
      <c r="C30" s="412"/>
      <c r="D30" s="896" t="n">
        <f t="shared" ref="D30:AB30" si="8">D25+D21</f>
        <v>0</v>
      </c>
      <c r="E30" s="811" t="n">
        <f t="shared" si="8"/>
        <v>0</v>
      </c>
      <c r="F30" s="811" t="n">
        <f t="shared" si="8"/>
        <v>0</v>
      </c>
      <c r="G30" s="811" t="n">
        <f t="shared" si="8"/>
        <v>0</v>
      </c>
      <c r="H30" s="811" t="n">
        <f t="shared" si="8"/>
        <v>0</v>
      </c>
      <c r="I30" s="811" t="n">
        <f t="shared" si="8"/>
        <v>0</v>
      </c>
      <c r="J30" s="811" t="n">
        <f t="shared" si="8"/>
        <v>160.9</v>
      </c>
      <c r="K30" s="811" t="n">
        <f t="shared" si="8"/>
        <v>58.4</v>
      </c>
      <c r="L30" s="811" t="n">
        <f t="shared" si="8"/>
        <v>34.5</v>
      </c>
      <c r="M30" s="811" t="n">
        <f t="shared" si="8"/>
        <v>21.4</v>
      </c>
      <c r="N30" s="811" t="n">
        <f t="shared" si="8"/>
        <v>13.3</v>
      </c>
      <c r="O30" s="811" t="n">
        <f t="shared" si="8"/>
        <v>21.804000000000041</v>
      </c>
      <c r="P30" s="738" t="n">
        <f t="shared" si="8"/>
        <v>51.919000000000011</v>
      </c>
      <c r="Q30" s="811" t="n">
        <f t="shared" si="8"/>
        <v>46.619</v>
      </c>
      <c r="R30" s="811" t="n">
        <f t="shared" si="8"/>
        <v>39.719000000000008</v>
      </c>
      <c r="S30" s="811" t="n">
        <f t="shared" si="8"/>
        <v>27.819000000000003</v>
      </c>
      <c r="T30" s="738" t="n">
        <f t="shared" si="8"/>
        <v>6.3160000000000007</v>
      </c>
      <c r="U30" s="738" t="n">
        <f t="shared" si="8"/>
        <v>1.4159999999999999</v>
      </c>
      <c r="V30" s="738" t="n">
        <f t="shared" si="8"/>
        <v>1.4159999999999999</v>
      </c>
      <c r="W30" s="738" t="n">
        <f t="shared" si="8"/>
        <v>1.4159999999999999</v>
      </c>
      <c r="X30" s="740" t="n">
        <f t="shared" si="8"/>
        <v>1.4790000000000001</v>
      </c>
      <c r="Y30" s="740" t="n">
        <f t="shared" si="8"/>
        <v>1.4790000000000001</v>
      </c>
      <c r="Z30" s="740" t="n">
        <f t="shared" si="8"/>
        <v>1.4790000000000001</v>
      </c>
      <c r="AA30" s="740" t="n">
        <f t="shared" si="8"/>
        <v>1.4790000000000001</v>
      </c>
      <c r="AB30" s="740" t="n">
        <f t="shared" si="8"/>
        <v>1.63</v>
      </c>
      <c r="AC30" s="740" t="n">
        <f>AC25+AC21</f>
        <v>1.63</v>
      </c>
      <c r="AD30" s="740" t="n">
        <f t="shared" ref="AD30:AE30" si="9">AD25+AD21</f>
        <v>1.63</v>
      </c>
      <c r="AE30" s="740" t="n">
        <f t="shared" si="9"/>
        <v>1.63</v>
      </c>
      <c r="AF30" s="740" t="n">
        <f>AF25+AF21</f>
        <v>1.671</v>
      </c>
      <c r="AG30" s="740" t="n">
        <f>AG25+AG21</f>
        <v>0</v>
      </c>
      <c r="AH30" s="740" t="n">
        <f>AH25+AH21</f>
        <v>0</v>
      </c>
      <c r="AI30" s="740" t="n">
        <f t="shared" ref="AI30:AN30" si="10">AI25+AI21</f>
        <v>0</v>
      </c>
      <c r="AJ30" s="740" t="n">
        <f t="shared" si="10"/>
        <v>0</v>
      </c>
      <c r="AK30" s="740" t="n">
        <f t="shared" si="10"/>
        <v>0</v>
      </c>
      <c r="AL30" s="740" t="n">
        <f t="shared" si="10"/>
        <v>0</v>
      </c>
      <c r="AM30" s="740" t="n">
        <f t="shared" si="10"/>
        <v>0</v>
      </c>
      <c r="AN30" s="740" t="n">
        <f t="shared" si="10"/>
        <v>0</v>
      </c>
    </row>
    <row r="31" ht="44.9" customHeight="1">
      <c r="B31" s="401" t="s">
        <v>713</v>
      </c>
      <c r="C31" s="289"/>
      <c r="D31" s="764" t="n">
        <f t="shared" ref="D31:AE31" si="11">D66</f>
        <v>1410.9</v>
      </c>
      <c r="E31" s="657" t="n">
        <f t="shared" si="11"/>
        <v>1470.7000000000003</v>
      </c>
      <c r="F31" s="657" t="n">
        <f t="shared" si="11"/>
        <v>1475.8999999999996</v>
      </c>
      <c r="G31" s="657" t="n">
        <f t="shared" si="11"/>
        <v>1482.6999999999998</v>
      </c>
      <c r="H31" s="657" t="n">
        <f t="shared" si="11"/>
        <v>1490.8000000000002</v>
      </c>
      <c r="I31" s="657" t="n">
        <f t="shared" si="11"/>
        <v>1542.4</v>
      </c>
      <c r="J31" s="657" t="n">
        <f t="shared" si="11"/>
        <v>1549.1000000000001</v>
      </c>
      <c r="K31" s="657" t="n">
        <f t="shared" si="11"/>
        <v>1555.8000000000002</v>
      </c>
      <c r="L31" s="657" t="n">
        <f t="shared" si="11"/>
        <v>1562.5000000000002</v>
      </c>
      <c r="M31" s="657" t="n">
        <f t="shared" si="11"/>
        <v>1586.8430000000003</v>
      </c>
      <c r="N31" s="657" t="n">
        <f t="shared" si="11"/>
        <v>1593.5430000000003</v>
      </c>
      <c r="O31" s="657" t="n">
        <f t="shared" si="11"/>
        <v>1600.2430000000004</v>
      </c>
      <c r="P31" s="657" t="n">
        <f t="shared" si="11"/>
        <v>1606.9430000000004</v>
      </c>
      <c r="Q31" s="657" t="n">
        <f t="shared" si="11"/>
        <v>1685.5501200000006</v>
      </c>
      <c r="R31" s="657" t="n">
        <f t="shared" si="11"/>
        <v>1692.2501200000006</v>
      </c>
      <c r="S31" s="657" t="n">
        <f t="shared" si="11"/>
        <v>1698.9501200000007</v>
      </c>
      <c r="T31" s="657" t="n">
        <f t="shared" si="11"/>
        <v>1705.6501200000007</v>
      </c>
      <c r="U31" s="657" t="n">
        <f t="shared" si="11"/>
        <v>1818.9789730000007</v>
      </c>
      <c r="V31" s="657" t="n">
        <f t="shared" si="11"/>
        <v>1825.6789730000007</v>
      </c>
      <c r="W31" s="657" t="n">
        <f t="shared" si="11"/>
        <v>1832.3789730000008</v>
      </c>
      <c r="X31" s="859" t="n">
        <f t="shared" si="11"/>
        <v>1839.0789730000008</v>
      </c>
      <c r="Y31" s="859" t="n">
        <f t="shared" si="11"/>
        <v>1891.4284770000008</v>
      </c>
      <c r="Z31" s="859" t="n">
        <f t="shared" si="11"/>
        <v>1898.1284770000009</v>
      </c>
      <c r="AA31" s="859" t="n">
        <f t="shared" si="11"/>
        <v>1904.8284770000009</v>
      </c>
      <c r="AB31" s="859" t="n">
        <f>AB66</f>
        <v>1911.528477000001</v>
      </c>
      <c r="AC31" s="859" t="n">
        <f t="shared" si="11"/>
        <v>1956.4482020000009</v>
      </c>
      <c r="AD31" s="859" t="n">
        <f t="shared" si="11"/>
        <v>1963.148202000001</v>
      </c>
      <c r="AE31" s="859" t="n">
        <f t="shared" si="11"/>
        <v>1969.848202000001</v>
      </c>
      <c r="AF31" s="859" t="n">
        <f>AF66</f>
        <v>1976.5482020000011</v>
      </c>
      <c r="AG31" s="859" t="n">
        <f>AG66</f>
        <v>2021.8053925010011</v>
      </c>
      <c r="AH31" s="859" t="n">
        <f>AH66</f>
        <v>2028.5053925010011</v>
      </c>
      <c r="AI31" s="859" t="n">
        <f t="shared" ref="AI31:AN31" si="12">AI66</f>
        <v>2035.2053925010011</v>
      </c>
      <c r="AJ31" s="859" t="n">
        <f t="shared" si="12"/>
        <v>2041.9053925010012</v>
      </c>
      <c r="AK31" s="859" t="n">
        <f t="shared" si="12"/>
        <v>2089.4772613835244</v>
      </c>
      <c r="AL31" s="859" t="n">
        <f t="shared" si="12"/>
        <v>2096.1772613835242</v>
      </c>
      <c r="AM31" s="859" t="n">
        <f t="shared" si="12"/>
        <v>2102.877261383524</v>
      </c>
      <c r="AN31" s="859" t="n">
        <f t="shared" si="12"/>
        <v>2109.5772613835238</v>
      </c>
    </row>
    <row r="32" ht="44.9" customHeight="1">
      <c r="B32" s="571" t="s">
        <v>1085</v>
      </c>
      <c r="D32" s="764"/>
      <c r="E32" s="657"/>
      <c r="F32" s="657"/>
      <c r="G32" s="657"/>
      <c r="H32" s="657"/>
      <c r="I32" s="657"/>
      <c r="J32" s="657"/>
      <c r="K32" s="657"/>
      <c r="L32" s="657"/>
      <c r="M32" s="657"/>
      <c r="N32" s="657"/>
      <c r="O32" s="657"/>
      <c r="P32" s="657"/>
      <c r="Q32" s="657"/>
      <c r="R32" s="657"/>
      <c r="S32" s="893" t="n">
        <f>'[1]IRA and CHIPS'!E191</f>
        <v>-0.622</v>
      </c>
      <c r="T32" s="893" t="n">
        <f>'[1]IRA and CHIPS'!F191</f>
        <v>21.89</v>
      </c>
      <c r="U32" s="893" t="n">
        <f>'[1]IRA and CHIPS'!G191</f>
        <v>21.89</v>
      </c>
      <c r="V32" s="893" t="n">
        <f>'[1]IRA and CHIPS'!H191</f>
        <v>21.89</v>
      </c>
      <c r="W32" s="893" t="n">
        <f>'[1]IRA and CHIPS'!I191</f>
        <v>21.89</v>
      </c>
      <c r="X32" s="894" t="n">
        <f>'[1]IRA and CHIPS'!J191</f>
        <v>15.439</v>
      </c>
      <c r="Y32" s="894" t="n">
        <f>'[1]IRA and CHIPS'!K191</f>
        <v>15.439</v>
      </c>
      <c r="Z32" s="894" t="n">
        <f>'[1]IRA and CHIPS'!L191</f>
        <v>15.439</v>
      </c>
      <c r="AA32" s="894" t="n">
        <f>'[1]IRA and CHIPS'!M191</f>
        <v>15.439</v>
      </c>
      <c r="AB32" s="894" t="n">
        <f>'[1]IRA and CHIPS'!N191</f>
        <v>16.966999999999999</v>
      </c>
      <c r="AC32" s="894" t="n">
        <f>'[1]IRA and CHIPS'!O191</f>
        <v>16.966999999999999</v>
      </c>
      <c r="AD32" s="894" t="n">
        <f>'[1]IRA and CHIPS'!P191</f>
        <v>16.966999999999999</v>
      </c>
      <c r="AE32" s="894" t="n">
        <f>'[1]IRA and CHIPS'!Q191</f>
        <v>16.966999999999999</v>
      </c>
      <c r="AF32" s="894" t="n">
        <f>'[1]IRA and CHIPS'!R191</f>
        <v>0.72799999999999998</v>
      </c>
      <c r="AG32" s="894" t="n">
        <f>'[1]IRA and CHIPS'!S191</f>
        <v>0.72799999999999998</v>
      </c>
      <c r="AH32" s="894" t="n">
        <f>0</f>
        <v>0</v>
      </c>
      <c r="AI32" s="894" t="n">
        <f>0</f>
        <v>0</v>
      </c>
      <c r="AJ32" s="894" t="n">
        <f>0</f>
        <v>0</v>
      </c>
      <c r="AK32" s="894" t="n">
        <f>0</f>
        <v>0</v>
      </c>
      <c r="AL32" s="894" t="n">
        <f>0</f>
        <v>0</v>
      </c>
      <c r="AM32" s="894" t="n">
        <f>0</f>
        <v>0</v>
      </c>
      <c r="AN32" s="894" t="n">
        <f>0</f>
        <v>0</v>
      </c>
    </row>
    <row r="33" ht="31.4" customHeight="1">
      <c r="B33" s="753" t="s">
        <v>710</v>
      </c>
      <c r="C33" s="412"/>
      <c r="D33" s="738" t="n">
        <f t="shared" ref="D33:R33" si="13">D31+SUM(D26:D29)+D32</f>
        <v>1440.9</v>
      </c>
      <c r="E33" s="738" t="n">
        <f t="shared" si="13"/>
        <v>1500.7000000000003</v>
      </c>
      <c r="F33" s="738" t="n">
        <f t="shared" si="13"/>
        <v>1505.8999999999996</v>
      </c>
      <c r="G33" s="738" t="n">
        <f t="shared" si="13"/>
        <v>1512.6999999999998</v>
      </c>
      <c r="H33" s="738" t="n">
        <f t="shared" si="13"/>
        <v>1520.8000000000002</v>
      </c>
      <c r="I33" s="738" t="n">
        <f t="shared" si="13"/>
        <v>1572.4</v>
      </c>
      <c r="J33" s="738" t="n">
        <f t="shared" si="13"/>
        <v>1649.3000000000004</v>
      </c>
      <c r="K33" s="738" t="n">
        <f t="shared" si="13"/>
        <v>1804.1</v>
      </c>
      <c r="L33" s="738" t="n">
        <f t="shared" si="13"/>
        <v>1687.3999999999999</v>
      </c>
      <c r="M33" s="738" t="n">
        <f t="shared" si="13"/>
        <v>1744.3000000000004</v>
      </c>
      <c r="N33" s="738" t="n">
        <f t="shared" si="13"/>
        <v>1748.4781600000001</v>
      </c>
      <c r="O33" s="738" t="n">
        <f t="shared" si="13"/>
        <v>1919.3298399999999</v>
      </c>
      <c r="P33" s="738" t="n">
        <f t="shared" si="13"/>
        <v>1899.5239999999999</v>
      </c>
      <c r="Q33" s="738" t="n">
        <f t="shared" si="13"/>
        <v>1929.424</v>
      </c>
      <c r="R33" s="738" t="n">
        <f t="shared" si="13"/>
        <v>1935.4239999999995</v>
      </c>
      <c r="S33" s="738" t="n">
        <f>S31+SUM(S26:S29)+S32</f>
        <v>1929.3240000000001</v>
      </c>
      <c r="T33" s="900" t="n">
        <f>T31+SUM(T26:T29)+T32</f>
        <v>2003.6840000000002</v>
      </c>
      <c r="U33" s="900" t="n">
        <f>U31+SUM(U26:U29)+U32</f>
        <v>2013.7840000000001</v>
      </c>
      <c r="V33" s="738" t="n">
        <f>V31+SUM(V26:V29)+V32</f>
        <v>2002.924</v>
      </c>
      <c r="W33" s="738" t="n">
        <f>W31+SUM(W26:W29)+W32</f>
        <v>2013.7240000000002</v>
      </c>
      <c r="X33" s="740" t="n">
        <f t="shared" ref="X33" si="14">X31+SUM(X26:X29)+X32</f>
        <v>2019.2990000000002</v>
      </c>
      <c r="Y33" s="740" t="n">
        <f>Y31+SUM(Y26:Y29)+Y32</f>
        <v>2111.2989999999995</v>
      </c>
      <c r="Z33" s="740" t="n">
        <f t="shared" ref="Z33:AB33" si="15">Z31+SUM(Z26:Z29)+Z32</f>
        <v>2135.3989999999999</v>
      </c>
      <c r="AA33" s="740" t="n">
        <f t="shared" si="15"/>
        <v>2152.1989999999996</v>
      </c>
      <c r="AB33" s="740" t="n">
        <f t="shared" si="15"/>
        <v>2169.998</v>
      </c>
      <c r="AC33" s="740" t="n">
        <f>AC31+SUM(AC26:AC29)+AC32</f>
        <v>2262.2980000000002</v>
      </c>
      <c r="AD33" s="740" t="n">
        <f>AD31+SUM(AD26:AD29)+AD32</f>
        <v>2268.998</v>
      </c>
      <c r="AE33" s="740" t="n">
        <f t="shared" ref="AE33" si="16">AE31+SUM(AE26:AE29)+AE32</f>
        <v>2275.6980000000003</v>
      </c>
      <c r="AF33" s="740" t="n">
        <f>AF31+SUM(AF26:AF29)+AF32</f>
        <v>2266.1590000000001</v>
      </c>
      <c r="AG33" s="740" t="n">
        <f>AG31+SUM(AG26:AG29)+AG32</f>
        <v>2311.4161905010001</v>
      </c>
      <c r="AH33" s="740" t="n">
        <f>AH31+SUM(AH26:AH29)+AH32</f>
        <v>2317.3881905010003</v>
      </c>
      <c r="AI33" s="740" t="n">
        <f>AI31+SUM(AI26:AI29)+AI32</f>
        <v>2325.0881905010001</v>
      </c>
      <c r="AJ33" s="740" t="n">
        <f t="shared" ref="AJ33:AN33" si="17">AJ31+SUM(AJ26:AJ29)+AJ32</f>
        <v>2332.7881905010004</v>
      </c>
      <c r="AK33" s="740" t="n">
        <f t="shared" si="17"/>
        <v>2381.3600593835235</v>
      </c>
      <c r="AL33" s="740" t="n">
        <f t="shared" si="17"/>
        <v>2389.0600593835234</v>
      </c>
      <c r="AM33" s="740" t="n">
        <f t="shared" si="17"/>
        <v>2396.7600593835232</v>
      </c>
      <c r="AN33" s="740" t="n">
        <f t="shared" si="17"/>
        <v>2404.460059383523</v>
      </c>
    </row>
    <row r="34" ht="31.4" customHeight="1">
      <c r="B34" s="753"/>
      <c r="C34" s="412"/>
      <c r="D34" s="738"/>
      <c r="E34" s="738"/>
      <c r="F34" s="738"/>
      <c r="G34" s="738"/>
      <c r="H34" s="738"/>
      <c r="I34" s="738"/>
      <c r="J34" s="738"/>
      <c r="K34" s="738"/>
      <c r="L34" s="738"/>
      <c r="M34" s="738"/>
      <c r="N34" s="738"/>
      <c r="O34" s="738"/>
      <c r="P34" s="738"/>
      <c r="Q34" s="738"/>
      <c r="R34" s="738"/>
      <c r="S34" s="738"/>
      <c r="T34" s="738"/>
      <c r="U34" s="738"/>
      <c r="V34" s="738"/>
      <c r="W34" s="738"/>
      <c r="X34" s="740"/>
      <c r="Y34" s="740"/>
      <c r="Z34" s="740"/>
      <c r="AA34" s="740"/>
      <c r="AB34" s="740"/>
      <c r="AC34" s="740"/>
      <c r="AD34" s="740" t="n">
        <f>AD31+AD29-AD70</f>
        <v>580.4079999999999</v>
      </c>
      <c r="AE34" s="740" t="n">
        <f t="shared" ref="AE34:AN34" si="18">AE31+AE29-AE70</f>
        <v>577.10800000000017</v>
      </c>
      <c r="AF34" s="740" t="n">
        <f t="shared" si="18"/>
        <v>567.80800000000045</v>
      </c>
      <c r="AG34" s="740" t="n">
        <f t="shared" si="18"/>
        <v>559.73460350100049</v>
      </c>
      <c r="AH34" s="740" t="n">
        <f t="shared" si="18"/>
        <v>550.43460350100031</v>
      </c>
      <c r="AI34" s="740" t="n">
        <f t="shared" si="18"/>
        <v>541.13460350100013</v>
      </c>
      <c r="AJ34" s="740" t="n">
        <f t="shared" si="18"/>
        <v>532.8346035010004</v>
      </c>
      <c r="AK34" s="740" t="n">
        <f t="shared" si="18"/>
        <v>526.76828188252352</v>
      </c>
      <c r="AL34" s="740" t="n">
        <f t="shared" si="18"/>
        <v>520.46828188252334</v>
      </c>
      <c r="AM34" s="740" t="n">
        <f t="shared" si="18"/>
        <v>515.16828188252316</v>
      </c>
      <c r="AN34" s="740" t="n">
        <f t="shared" si="18"/>
        <v>510.86828188252298</v>
      </c>
    </row>
    <row r="35" ht="31.4" customHeight="1">
      <c r="B35" s="840" t="s">
        <v>383</v>
      </c>
      <c r="C35" s="889"/>
      <c r="D35" s="749"/>
      <c r="E35" s="750"/>
      <c r="F35" s="750"/>
      <c r="G35" s="750"/>
      <c r="H35" s="750"/>
      <c r="I35" s="750"/>
      <c r="J35" s="750"/>
      <c r="K35" s="750"/>
      <c r="L35" s="750"/>
      <c r="M35" s="750"/>
      <c r="N35" s="750"/>
      <c r="O35" s="750"/>
      <c r="P35" s="750"/>
      <c r="Q35" s="750"/>
      <c r="R35" s="750"/>
      <c r="S35" s="750"/>
      <c r="T35" s="738"/>
      <c r="U35" s="750"/>
      <c r="V35" s="738"/>
      <c r="W35" s="738"/>
      <c r="X35" s="740"/>
      <c r="Y35" s="740"/>
      <c r="Z35" s="740"/>
      <c r="AA35" s="740"/>
      <c r="AB35" s="740"/>
      <c r="AC35" s="740"/>
      <c r="AD35" s="740"/>
      <c r="AE35" s="740"/>
      <c r="AF35" s="740"/>
      <c r="AG35" s="740"/>
      <c r="AH35" s="740"/>
      <c r="AI35" s="740"/>
      <c r="AJ35" s="740"/>
      <c r="AK35" s="740"/>
      <c r="AL35" s="740"/>
      <c r="AM35" s="740"/>
      <c r="AN35" s="740"/>
    </row>
    <row r="36">
      <c r="B36" s="431" t="s">
        <v>715</v>
      </c>
      <c r="C36" s="289" t="s">
        <v>384</v>
      </c>
      <c r="D36" s="419" t="n">
        <f>'[1]Haver Pivoted'!GO37</f>
        <v>733.6</v>
      </c>
      <c r="E36" s="286" t="n">
        <f>'[1]Haver Pivoted'!GP37</f>
        <v>744.3</v>
      </c>
      <c r="F36" s="286" t="n">
        <f>'[1]Haver Pivoted'!GQ37</f>
        <v>762.3</v>
      </c>
      <c r="G36" s="286" t="n">
        <f>'[1]Haver Pivoted'!GR37</f>
        <v>772.2</v>
      </c>
      <c r="H36" s="286" t="n">
        <f>'[1]Haver Pivoted'!GS37</f>
        <v>772.1</v>
      </c>
      <c r="I36" s="286" t="n">
        <f>'[1]Haver Pivoted'!GT37</f>
        <v>760.8</v>
      </c>
      <c r="J36" s="286" t="n">
        <f>'[1]Haver Pivoted'!GU37</f>
        <v>811.3</v>
      </c>
      <c r="K36" s="286" t="n">
        <f>'[1]Haver Pivoted'!GV37</f>
        <v>850.3</v>
      </c>
      <c r="L36" s="286" t="n">
        <f>'[1]Haver Pivoted'!GW37</f>
        <v>840.3</v>
      </c>
      <c r="M36" s="286" t="n">
        <f>'[1]Haver Pivoted'!GX37</f>
        <v>869.7</v>
      </c>
      <c r="N36" s="286" t="n">
        <f>'[1]Haver Pivoted'!GY37</f>
        <v>913.8</v>
      </c>
      <c r="O36" s="286" t="n">
        <f>'[1]Haver Pivoted'!GZ37</f>
        <v>923.8</v>
      </c>
      <c r="P36" s="286" t="n">
        <f>'[1]Haver Pivoted'!HA37</f>
        <v>923.5</v>
      </c>
      <c r="Q36" s="286" t="n">
        <f>'[1]Haver Pivoted'!HB37</f>
        <v>973.6</v>
      </c>
      <c r="R36" s="286" t="n">
        <f>'[1]Haver Pivoted'!HC37</f>
        <v>1010.5</v>
      </c>
      <c r="S36" s="809" t="n">
        <f>'[1]Haver Pivoted'!HD37</f>
        <v>1032.5999999999999</v>
      </c>
      <c r="T36" s="809" t="n">
        <f>'[1]Haver Pivoted'!HE37</f>
        <v>1096.5999999999999</v>
      </c>
      <c r="U36" s="809" t="n">
        <f>'[1]Haver Pivoted'!HF37</f>
        <v>1083.2</v>
      </c>
      <c r="V36" s="862" t="n">
        <f>'[1]Haver Pivoted'!HG37</f>
        <v>1111.0999999999999</v>
      </c>
      <c r="W36" s="862" t="n">
        <f>'[1]Haver Pivoted'!HH37</f>
        <v>1069.4000000000001</v>
      </c>
      <c r="X36" s="862" t="n">
        <f>'[1]Haver Pivoted'!HI37</f>
        <v>1061</v>
      </c>
      <c r="Y36" s="862" t="n">
        <f>'[1]Haver Pivoted'!HJ37</f>
        <v>1113.5</v>
      </c>
      <c r="Z36" s="862" t="n">
        <f>'[1]Haver Pivoted'!HK37</f>
        <v>1136.9000000000001</v>
      </c>
      <c r="AA36" s="862" t="n">
        <f>'[1]Haver Pivoted'!HL37</f>
        <v>1154</v>
      </c>
      <c r="AB36" s="862" t="n">
        <f>'[1]Haver Pivoted'!HM37</f>
        <v>1162.5</v>
      </c>
      <c r="AC36" s="862" t="n">
        <f>'[1]Haver Pivoted'!HN37</f>
        <v>1176.2</v>
      </c>
      <c r="AD36" s="433"/>
      <c r="AE36" s="433"/>
      <c r="AF36" s="433"/>
      <c r="AG36" s="433"/>
      <c r="AH36" s="433"/>
      <c r="AI36" s="433"/>
      <c r="AJ36" s="433"/>
      <c r="AK36" s="433"/>
      <c r="AL36" s="433"/>
      <c r="AM36" s="433"/>
      <c r="AN36" s="433"/>
    </row>
    <row r="37">
      <c r="B37" s="737" t="s">
        <v>142</v>
      </c>
      <c r="C37" s="289"/>
      <c r="D37" s="764" t="n">
        <f>[1]Medicaid!D27</f>
        <v>589.5</v>
      </c>
      <c r="E37" s="657" t="n">
        <f>[1]Medicaid!E27</f>
        <v>598.70000000000005</v>
      </c>
      <c r="F37" s="657" t="n">
        <f>[1]Medicaid!F27</f>
        <v>614.4</v>
      </c>
      <c r="G37" s="657" t="n">
        <f>[1]Medicaid!G27</f>
        <v>622.4</v>
      </c>
      <c r="H37" s="657" t="n">
        <f>[1]Medicaid!H27</f>
        <v>620.6</v>
      </c>
      <c r="I37" s="657" t="n">
        <f>[1]Medicaid!I27</f>
        <v>606.5</v>
      </c>
      <c r="J37" s="657" t="n">
        <f>[1]Medicaid!J27</f>
        <v>654.6</v>
      </c>
      <c r="K37" s="657" t="n">
        <f>[1]Medicaid!K27</f>
        <v>690.8</v>
      </c>
      <c r="L37" s="657" t="n">
        <f>[1]Medicaid!L27</f>
        <v>678.6</v>
      </c>
      <c r="M37" s="657" t="n">
        <f>[1]Medicaid!M27</f>
        <v>704.9</v>
      </c>
      <c r="N37" s="657" t="n">
        <f>[1]Medicaid!N27</f>
        <v>745.6</v>
      </c>
      <c r="O37" s="657" t="n">
        <f>[1]Medicaid!O27</f>
        <v>749.2</v>
      </c>
      <c r="P37" s="657" t="n">
        <f>[1]Medicaid!P27</f>
        <v>746.3</v>
      </c>
      <c r="Q37" s="657" t="n">
        <f>[1]Medicaid!Q27</f>
        <v>791.9</v>
      </c>
      <c r="R37" s="657" t="n">
        <f>[1]Medicaid!R27</f>
        <v>819.2</v>
      </c>
      <c r="S37" s="809" t="n">
        <f>[1]Medicaid!S27</f>
        <v>819</v>
      </c>
      <c r="T37" s="657" t="n">
        <f>[1]Medicaid!T27</f>
        <v>827.5</v>
      </c>
      <c r="U37" s="657" t="n">
        <f>[1]Medicaid!U27</f>
        <v>877.6</v>
      </c>
      <c r="V37" s="657" t="n">
        <f>[1]Medicaid!V27</f>
        <v>911.6</v>
      </c>
      <c r="W37" s="657" t="n">
        <f>[1]Medicaid!W27</f>
        <v>867.2</v>
      </c>
      <c r="X37" s="859" t="n">
        <f>[1]Medicaid!X27</f>
        <v>856.2</v>
      </c>
      <c r="Y37" s="859" t="n">
        <f>[1]Medicaid!Y27</f>
        <v>904.8</v>
      </c>
      <c r="Z37" s="859" t="n">
        <f>[1]Medicaid!Z27</f>
        <v>924.7</v>
      </c>
      <c r="AA37" s="859" t="n">
        <f>[1]Medicaid!AA27</f>
        <v>932.4</v>
      </c>
      <c r="AB37" s="859" t="n">
        <f>[1]Medicaid!AB27</f>
        <v>944.8</v>
      </c>
      <c r="AC37" s="859" t="n">
        <f>[1]Medicaid!AC27</f>
        <v>957.6</v>
      </c>
      <c r="AD37" s="859" t="n">
        <f>[1]Medicaid!AD27</f>
        <v>969.02169234293717</v>
      </c>
      <c r="AE37" s="859" t="n">
        <f>[1]Medicaid!AE27</f>
        <v>985.63925302097391</v>
      </c>
      <c r="AF37" s="859" t="n">
        <f>[1]Medicaid!AF27</f>
        <v>1000.6374493152194</v>
      </c>
      <c r="AG37" s="859" t="n">
        <f>[1]Medicaid!AG27</f>
        <v>1015.8638689593278</v>
      </c>
      <c r="AH37" s="859" t="n">
        <f>[1]Medicaid!AH27</f>
        <v>1031.3219847640555</v>
      </c>
      <c r="AI37" s="859" t="n">
        <f>[1]Medicaid!AI27</f>
        <v>1047.0153223849477</v>
      </c>
      <c r="AJ37" s="859" t="n">
        <f>[1]Medicaid!AJ27</f>
        <v>1062.6373302089942</v>
      </c>
      <c r="AK37" s="859" t="n">
        <f>[1]Medicaid!AK27</f>
        <v>1078.4924264351268</v>
      </c>
      <c r="AL37" s="859" t="n">
        <f>[1]Medicaid!AL27</f>
        <v>1094.5840888623457</v>
      </c>
      <c r="AM37" s="859" t="n">
        <f>[1]Medicaid!AM27</f>
        <v>1110.9158471802029</v>
      </c>
      <c r="AN37" s="859" t="e">
        <f>[1]Medicaid!AN27</f>
        <v>#DIV/0!</v>
      </c>
    </row>
    <row r="38" ht="14.9" customHeight="1">
      <c r="B38" s="753" t="s">
        <v>716</v>
      </c>
      <c r="C38" s="412"/>
      <c r="D38" s="763" t="n">
        <f>D36-D37</f>
        <v>144.10000000000002</v>
      </c>
      <c r="E38" s="738" t="n">
        <f t="shared" ref="E38:O38" si="19">E36-E37</f>
        <v>145.59999999999991</v>
      </c>
      <c r="F38" s="738" t="n">
        <f t="shared" si="19"/>
        <v>147.89999999999998</v>
      </c>
      <c r="G38" s="738" t="n">
        <f t="shared" si="19"/>
        <v>149.80000000000007</v>
      </c>
      <c r="H38" s="738" t="n">
        <f t="shared" si="19"/>
        <v>151.5</v>
      </c>
      <c r="I38" s="738" t="n">
        <f t="shared" si="19"/>
        <v>154.29999999999995</v>
      </c>
      <c r="J38" s="738" t="n">
        <f t="shared" si="19"/>
        <v>156.69999999999993</v>
      </c>
      <c r="K38" s="738" t="n">
        <f t="shared" si="19"/>
        <v>159.5</v>
      </c>
      <c r="L38" s="738" t="n">
        <f t="shared" si="19"/>
        <v>161.69999999999993</v>
      </c>
      <c r="M38" s="738" t="n">
        <f t="shared" si="19"/>
        <v>164.80000000000007</v>
      </c>
      <c r="N38" s="738" t="n">
        <f t="shared" si="19"/>
        <v>168.19999999999993</v>
      </c>
      <c r="O38" s="738" t="n">
        <f t="shared" si="19"/>
        <v>174.59999999999991</v>
      </c>
      <c r="P38" s="738" t="n">
        <f>P36-P37</f>
        <v>177.20000000000005</v>
      </c>
      <c r="Q38" s="738" t="n">
        <f>Q36-Q37</f>
        <v>181.70000000000005</v>
      </c>
      <c r="R38" s="738" t="n">
        <f>R36-R37</f>
        <v>191.29999999999995</v>
      </c>
      <c r="S38" s="809" t="n">
        <f>S36-S37</f>
        <v>213.59999999999991</v>
      </c>
      <c r="T38" s="809" t="n">
        <f>T36-T37</f>
        <v>269.09999999999991</v>
      </c>
      <c r="U38" s="738" t="n">
        <f>T38*(1+AVERAGE($F$40:$I$40))+U39</f>
        <v>203.03380700109631</v>
      </c>
      <c r="V38" s="738" t="n">
        <f>U38*(1+AVERAGE($F$40:$I$40))+V39</f>
        <v>206.0018330562437</v>
      </c>
      <c r="W38" s="738" t="n">
        <f t="shared" ref="W38:AA38" si="20">V38*(1+AVERAGE($F$40:$I$40))</f>
        <v>209.01324685451698</v>
      </c>
      <c r="X38" s="740" t="n">
        <f>W38*(1+AVERAGE($F$40:$I$40))</f>
        <v>212.06868265458453</v>
      </c>
      <c r="Y38" s="740" t="n">
        <f t="shared" si="20"/>
        <v>215.16878398695127</v>
      </c>
      <c r="Z38" s="740" t="n">
        <f t="shared" si="20"/>
        <v>218.31420378949775</v>
      </c>
      <c r="AA38" s="740" t="n">
        <f t="shared" si="20"/>
        <v>221.50560454500092</v>
      </c>
      <c r="AB38" s="740" t="n">
        <f>AA38*(1+AVERAGE($F$40:$I$40))</f>
        <v>224.74365842066501</v>
      </c>
      <c r="AC38" s="740" t="n">
        <f>AB38*(1+AVERAGE($F$40:$I$40))</f>
        <v>228.02904740969223</v>
      </c>
      <c r="AD38" s="740" t="n">
        <f>AC38*(1+AVERAGE($F$40:$I$40))</f>
        <v>231.36246347492295</v>
      </c>
      <c r="AE38" s="740" t="n">
        <f>AD38*(1+AVERAGE($F$40:$I$40))</f>
        <v>234.7446086945757</v>
      </c>
      <c r="AF38" s="740" t="n">
        <f t="shared" ref="AF38:AI38" si="21">AE38*(1+AVERAGE($F$40:$I$40))</f>
        <v>238.17619541011769</v>
      </c>
      <c r="AG38" s="740" t="n">
        <f t="shared" si="21"/>
        <v>241.65794637629688</v>
      </c>
      <c r="AH38" s="740" t="n">
        <f t="shared" si="21"/>
        <v>245.19059491336728</v>
      </c>
      <c r="AI38" s="740" t="n">
        <f t="shared" si="21"/>
        <v>248.77488506153966</v>
      </c>
      <c r="AJ38" s="740" t="n">
        <f>AI38*(1+AVERAGE($F$40:$I$40))</f>
        <v>252.41157173768991</v>
      </c>
      <c r="AK38" s="740" t="n">
        <f t="shared" ref="AK38:AN38" si="22">AJ38*(1+AVERAGE($F$40:$I$40))</f>
        <v>256.10142089435828</v>
      </c>
      <c r="AL38" s="740" t="n">
        <f t="shared" si="22"/>
        <v>259.84520968107307</v>
      </c>
      <c r="AM38" s="740" t="n">
        <f t="shared" si="22"/>
        <v>263.64372660803241</v>
      </c>
      <c r="AN38" s="740" t="n">
        <f t="shared" si="22"/>
        <v>267.49777171217886</v>
      </c>
    </row>
    <row r="39" ht="14.9" customHeight="1">
      <c r="B39" s="753" t="s">
        <v>1593</v>
      </c>
      <c r="C39" s="412"/>
      <c r="D39" s="763"/>
      <c r="E39" s="738"/>
      <c r="F39" s="738"/>
      <c r="G39" s="738"/>
      <c r="H39" s="738"/>
      <c r="I39" s="738"/>
      <c r="J39" s="738"/>
      <c r="K39" s="738"/>
      <c r="L39" s="738"/>
      <c r="M39" s="738"/>
      <c r="N39" s="738"/>
      <c r="O39" s="738"/>
      <c r="P39" s="738"/>
      <c r="Q39" s="738"/>
      <c r="R39" s="738"/>
      <c r="S39" s="809"/>
      <c r="T39" s="738"/>
      <c r="U39" s="738" t="n">
        <v>-70</v>
      </c>
      <c r="V39" s="738"/>
      <c r="W39" s="738"/>
      <c r="X39" s="740"/>
      <c r="Y39" s="740"/>
      <c r="Z39" s="740"/>
      <c r="AA39" s="740"/>
      <c r="AB39" s="740"/>
      <c r="AC39" s="740"/>
      <c r="AD39" s="740"/>
      <c r="AE39" s="740"/>
      <c r="AF39" s="740"/>
      <c r="AG39" s="740"/>
      <c r="AH39" s="740"/>
      <c r="AI39" s="740"/>
      <c r="AJ39" s="740"/>
      <c r="AK39" s="740"/>
      <c r="AL39" s="740"/>
      <c r="AM39" s="740"/>
      <c r="AN39" s="740"/>
    </row>
    <row r="40">
      <c r="B40" s="895" t="s">
        <v>717</v>
      </c>
      <c r="C40" s="506"/>
      <c r="D40" s="765"/>
      <c r="E40" s="752" t="n">
        <f>E38/D38-1</f>
        <v>1.0409437890353201E-2</v>
      </c>
      <c r="F40" s="752" t="n">
        <f t="shared" ref="F40:N40" si="23">F38/E38-1</f>
        <v>1.5796703296703685E-2</v>
      </c>
      <c r="G40" s="752" t="n">
        <f t="shared" si="23"/>
        <v>1.2846517917512346E-2</v>
      </c>
      <c r="H40" s="752" t="n">
        <f t="shared" si="23"/>
        <v>1.1348464619492127E-2</v>
      </c>
      <c r="I40" s="752" t="n">
        <f t="shared" si="23"/>
        <v>1.8481848184818128E-2</v>
      </c>
      <c r="J40" s="752" t="n">
        <f t="shared" si="23"/>
        <v>1.5554115359688758E-2</v>
      </c>
      <c r="K40" s="752" t="n">
        <f t="shared" si="23"/>
        <v>1.7868538608807105E-2</v>
      </c>
      <c r="L40" s="752" t="n">
        <f t="shared" si="23"/>
        <v>1.3793103448275446E-2</v>
      </c>
      <c r="M40" s="752" t="n">
        <f t="shared" si="23"/>
        <v>1.9171304885591489E-2</v>
      </c>
      <c r="N40" s="752" t="n">
        <f t="shared" si="23"/>
        <v>2.0631067961164318E-2</v>
      </c>
      <c r="O40" s="752" t="n">
        <f>O38/N38-1</f>
        <v>3.8049940546967864E-2</v>
      </c>
      <c r="P40" s="752" t="n">
        <f t="shared" ref="P40:S40" si="24">P38/O38-1</f>
        <v>1.4891179839634283E-2</v>
      </c>
      <c r="Q40" s="752" t="n">
        <f t="shared" si="24"/>
        <v>2.5395033860045046E-2</v>
      </c>
      <c r="R40" s="752" t="n">
        <f t="shared" si="24"/>
        <v>5.2834342322509054E-2</v>
      </c>
      <c r="S40" s="830" t="n">
        <f t="shared" si="24"/>
        <v>0.11657083115525335</v>
      </c>
      <c r="T40" s="739"/>
      <c r="U40" s="739"/>
      <c r="V40" s="739"/>
      <c r="W40" s="739"/>
      <c r="X40" s="760"/>
      <c r="Y40" s="760"/>
      <c r="Z40" s="760"/>
      <c r="AA40" s="760"/>
      <c r="AB40" s="760"/>
      <c r="AC40" s="760"/>
      <c r="AD40" s="760"/>
      <c r="AE40" s="760"/>
      <c r="AF40" s="760"/>
      <c r="AG40" s="760"/>
      <c r="AH40" s="760"/>
      <c r="AI40" s="760"/>
      <c r="AJ40" s="760"/>
      <c r="AK40" s="760"/>
      <c r="AL40" s="760"/>
      <c r="AM40" s="760"/>
      <c r="AN40" s="760"/>
    </row>
    <row r="44">
      <c r="P44" s="647"/>
      <c r="Q44" s="647"/>
    </row>
    <row r="45">
      <c r="B45" s="680" t="s">
        <v>263</v>
      </c>
      <c r="D45" s="657"/>
      <c r="E45" s="657"/>
      <c r="F45" s="657"/>
      <c r="G45" s="657"/>
      <c r="H45" s="657"/>
      <c r="I45" s="657"/>
      <c r="J45" s="657"/>
      <c r="K45" s="657"/>
      <c r="L45" s="657"/>
      <c r="M45" s="657"/>
      <c r="N45" s="657"/>
      <c r="O45" s="657"/>
      <c r="P45" s="657"/>
      <c r="Q45" s="657"/>
      <c r="R45" s="657"/>
      <c r="S45" s="657"/>
      <c r="T45" s="657"/>
      <c r="U45" s="657"/>
      <c r="V45" s="657"/>
      <c r="W45" s="657"/>
      <c r="X45" s="657"/>
      <c r="Y45" s="657"/>
      <c r="Z45" s="657"/>
      <c r="AA45" s="657"/>
      <c r="AB45" s="657"/>
      <c r="AC45" s="657"/>
    </row>
    <row r="46" ht="45.75" customHeight="1">
      <c r="B46" s="265" t="s">
        <v>387</v>
      </c>
      <c r="C46" s="265"/>
      <c r="D46" s="267"/>
      <c r="E46" s="267"/>
      <c r="F46" s="267"/>
      <c r="G46" s="267"/>
      <c r="H46" s="267"/>
      <c r="I46" s="267"/>
      <c r="J46" s="267"/>
      <c r="K46" s="267"/>
      <c r="L46" s="267"/>
      <c r="M46" s="267"/>
      <c r="N46" s="267"/>
      <c r="O46" s="267"/>
      <c r="P46" s="267"/>
      <c r="Q46" s="267"/>
      <c r="R46" s="267"/>
      <c r="S46" s="267"/>
      <c r="T46" s="267"/>
      <c r="U46" s="267"/>
      <c r="V46" s="267"/>
      <c r="W46" s="267"/>
      <c r="X46" s="267"/>
      <c r="Y46" s="267"/>
      <c r="Z46" s="267"/>
      <c r="AA46" s="267"/>
      <c r="AB46" s="267"/>
      <c r="AC46" s="267"/>
    </row>
    <row r="47" ht="14.9" customHeight="1">
      <c r="B47" s="270" t="s">
        <v>388</v>
      </c>
      <c r="C47" s="271"/>
      <c r="D47" s="379" t="s">
        <v>191</v>
      </c>
      <c r="E47" s="379"/>
      <c r="F47" s="379"/>
      <c r="G47" s="379"/>
      <c r="H47" s="379"/>
      <c r="I47" s="379"/>
      <c r="J47" s="379"/>
      <c r="K47" s="379"/>
      <c r="L47" s="379"/>
      <c r="M47" s="379"/>
      <c r="N47" s="379"/>
      <c r="O47" s="379"/>
      <c r="P47" s="379"/>
      <c r="Q47" s="379"/>
      <c r="R47" s="379"/>
      <c r="S47" s="379"/>
      <c r="T47" s="379"/>
      <c r="U47" s="379"/>
      <c r="V47" s="379"/>
      <c r="W47" s="379"/>
      <c r="X47" s="379"/>
      <c r="Y47" s="379"/>
      <c r="Z47" s="379"/>
      <c r="AA47" s="379"/>
      <c r="AB47" s="379"/>
      <c r="AC47" s="251" t="s">
        <v>192</v>
      </c>
      <c r="AD47" s="252"/>
      <c r="AE47" s="252"/>
      <c r="AF47" s="252"/>
      <c r="AG47" s="252"/>
      <c r="AH47" s="252"/>
      <c r="AI47" s="252"/>
      <c r="AJ47" s="252"/>
      <c r="AK47" s="252"/>
      <c r="AL47" s="252"/>
      <c r="AM47" s="252"/>
      <c r="AN47" s="253"/>
    </row>
    <row r="48">
      <c r="B48" s="270"/>
      <c r="C48" s="271"/>
      <c r="D48" s="254" t="n">
        <v>2018</v>
      </c>
      <c r="E48" s="254" t="n">
        <v>2019</v>
      </c>
      <c r="F48" s="255"/>
      <c r="G48" s="255"/>
      <c r="H48" s="256"/>
      <c r="I48" s="254" t="n">
        <v>2020</v>
      </c>
      <c r="J48" s="255"/>
      <c r="K48" s="255"/>
      <c r="L48" s="255"/>
      <c r="M48" s="254" t="n">
        <v>2021</v>
      </c>
      <c r="N48" s="255"/>
      <c r="O48" s="255"/>
      <c r="P48" s="255"/>
      <c r="Q48" s="254" t="n">
        <v>2022</v>
      </c>
      <c r="R48" s="255"/>
      <c r="S48" s="255"/>
      <c r="T48" s="256"/>
      <c r="U48" s="298"/>
      <c r="V48" s="298" t="n">
        <v>2023</v>
      </c>
      <c r="W48" s="298"/>
      <c r="X48" s="300"/>
      <c r="Y48" s="305"/>
      <c r="Z48" s="298" t="n">
        <v>2024</v>
      </c>
      <c r="AA48" s="298"/>
      <c r="AB48" s="300"/>
      <c r="AC48" s="261" t="n">
        <v>2025</v>
      </c>
      <c r="AD48" s="264"/>
      <c r="AE48" s="264"/>
      <c r="AF48" s="263"/>
      <c r="AG48" s="261" t="n">
        <v>2026</v>
      </c>
      <c r="AH48" s="264"/>
      <c r="AI48" s="264"/>
      <c r="AJ48" s="263"/>
      <c r="AK48" s="261" t="n">
        <v>2027</v>
      </c>
      <c r="AL48" s="264"/>
      <c r="AM48" s="264"/>
      <c r="AN48" s="263"/>
    </row>
    <row r="49">
      <c r="B49" s="272"/>
      <c r="C49" s="273"/>
      <c r="D49" s="274" t="s">
        <v>193</v>
      </c>
      <c r="E49" s="274" t="s">
        <v>194</v>
      </c>
      <c r="F49" s="275" t="s">
        <v>195</v>
      </c>
      <c r="G49" s="275" t="s">
        <v>171</v>
      </c>
      <c r="H49" s="276" t="s">
        <v>193</v>
      </c>
      <c r="I49" s="275" t="s">
        <v>194</v>
      </c>
      <c r="J49" s="275" t="s">
        <v>195</v>
      </c>
      <c r="K49" s="275" t="s">
        <v>171</v>
      </c>
      <c r="L49" s="275" t="s">
        <v>193</v>
      </c>
      <c r="M49" s="274" t="s">
        <v>194</v>
      </c>
      <c r="N49" s="275" t="s">
        <v>195</v>
      </c>
      <c r="O49" s="275" t="s">
        <v>171</v>
      </c>
      <c r="P49" s="275" t="s">
        <v>193</v>
      </c>
      <c r="Q49" s="274" t="s">
        <v>194</v>
      </c>
      <c r="R49" s="275" t="s">
        <v>195</v>
      </c>
      <c r="S49" s="275" t="s">
        <v>171</v>
      </c>
      <c r="T49" s="276" t="s">
        <v>193</v>
      </c>
      <c r="U49" s="275" t="s">
        <v>194</v>
      </c>
      <c r="V49" s="294" t="s">
        <v>195</v>
      </c>
      <c r="W49" s="294" t="s">
        <v>171</v>
      </c>
      <c r="X49" s="292" t="s">
        <v>193</v>
      </c>
      <c r="Y49" s="293" t="s">
        <v>194</v>
      </c>
      <c r="Z49" s="295" t="s">
        <v>195</v>
      </c>
      <c r="AA49" s="294" t="s">
        <v>171</v>
      </c>
      <c r="AB49" s="294" t="s">
        <v>193</v>
      </c>
      <c r="AC49" s="293" t="s">
        <v>194</v>
      </c>
      <c r="AD49" s="290" t="s">
        <v>195</v>
      </c>
      <c r="AE49" s="291" t="s">
        <v>171</v>
      </c>
      <c r="AF49" s="291" t="s">
        <v>193</v>
      </c>
      <c r="AG49" s="296" t="s">
        <v>194</v>
      </c>
      <c r="AH49" s="290" t="s">
        <v>195</v>
      </c>
      <c r="AI49" s="291" t="s">
        <v>171</v>
      </c>
      <c r="AJ49" s="297" t="s">
        <v>193</v>
      </c>
      <c r="AK49" s="296" t="s">
        <v>194</v>
      </c>
      <c r="AL49" s="290" t="s">
        <v>195</v>
      </c>
      <c r="AM49" s="291" t="s">
        <v>171</v>
      </c>
      <c r="AN49" s="297" t="s">
        <v>193</v>
      </c>
    </row>
    <row r="50">
      <c r="B50" s="737" t="s">
        <v>1333</v>
      </c>
      <c r="D50" s="405"/>
      <c r="E50" s="457"/>
      <c r="F50" s="457"/>
      <c r="G50" s="457"/>
      <c r="H50" s="457"/>
      <c r="I50" s="747" t="n">
        <f>(I51-AVERAGE($E51:$H51))</f>
        <v>6.9120000000000061</v>
      </c>
      <c r="J50" s="747" t="n">
        <f t="shared" ref="J50:AC50" si="25">(J51-AVERAGE($E51:$H51))</f>
        <v>50.955000000000005</v>
      </c>
      <c r="K50" s="747" t="n">
        <f t="shared" si="25"/>
        <v>51.173999999999999</v>
      </c>
      <c r="L50" s="747" t="n">
        <f t="shared" si="25"/>
        <v>51.893999999999998</v>
      </c>
      <c r="M50" s="747" t="n">
        <f t="shared" si="25"/>
        <v>91.075000000000017</v>
      </c>
      <c r="N50" s="747" t="n">
        <f t="shared" si="25"/>
        <v>100.63400000000001</v>
      </c>
      <c r="O50" s="747" t="n">
        <f t="shared" si="25"/>
        <v>93.89100000000002</v>
      </c>
      <c r="P50" s="747" t="n">
        <f t="shared" si="25"/>
        <v>100.22800000000001</v>
      </c>
      <c r="Q50" s="747" t="n">
        <f t="shared" si="25"/>
        <v>76.838999999999999</v>
      </c>
      <c r="R50" s="747" t="n">
        <f t="shared" si="25"/>
        <v>73.637</v>
      </c>
      <c r="S50" s="748" t="n">
        <f t="shared" si="25"/>
        <v>70.649000000000001</v>
      </c>
      <c r="T50" s="748" t="n">
        <f t="shared" si="25"/>
        <v>91.718000000000018</v>
      </c>
      <c r="U50" s="748" t="n">
        <f t="shared" si="25"/>
        <v>83.695999999999998</v>
      </c>
      <c r="V50" s="748" t="n">
        <f t="shared" si="25"/>
        <v>51.979000000000006</v>
      </c>
      <c r="W50" s="748" t="n">
        <f t="shared" si="25"/>
        <v>51.58400000000001</v>
      </c>
      <c r="X50" s="748" t="n">
        <f t="shared" si="25"/>
        <v>38.777999999999999</v>
      </c>
      <c r="Y50" s="748" t="n">
        <f t="shared" si="25"/>
        <v>37.295999999999999</v>
      </c>
      <c r="Z50" s="748" t="n">
        <f t="shared" si="25"/>
        <v>41.408000000000008</v>
      </c>
      <c r="AA50" s="748" t="n">
        <f t="shared" si="25"/>
        <v>48.07800000000001</v>
      </c>
      <c r="AB50" s="748" t="n">
        <f t="shared" si="25"/>
        <v>43.804000000000009</v>
      </c>
      <c r="AC50" s="748" t="n">
        <f t="shared" si="25"/>
        <v>40.554000000000009</v>
      </c>
      <c r="AD50" s="911" t="n">
        <f t="shared" ref="AD50:AG50" si="26">AC50</f>
        <v>40.554000000000009</v>
      </c>
      <c r="AE50" s="911" t="n">
        <f t="shared" si="26"/>
        <v>40.554000000000009</v>
      </c>
      <c r="AF50" s="911" t="n">
        <f t="shared" si="26"/>
        <v>40.554000000000009</v>
      </c>
      <c r="AG50" s="859" t="n">
        <f t="shared" si="26"/>
        <v>40.554000000000009</v>
      </c>
      <c r="AH50" s="859" t="n">
        <f>AG50</f>
        <v>40.554000000000009</v>
      </c>
      <c r="AI50" s="859" t="n">
        <f t="shared" ref="AI50" si="27">AH50</f>
        <v>40.554000000000009</v>
      </c>
      <c r="AJ50" s="859" t="n">
        <f>AI50</f>
        <v>40.554000000000009</v>
      </c>
      <c r="AK50" s="859" t="n">
        <f t="shared" ref="AK50:AN50" si="28">AJ50</f>
        <v>40.554000000000009</v>
      </c>
      <c r="AL50" s="859" t="n">
        <f t="shared" si="28"/>
        <v>40.554000000000009</v>
      </c>
      <c r="AM50" s="859" t="n">
        <f t="shared" si="28"/>
        <v>40.554000000000009</v>
      </c>
      <c r="AN50" s="859" t="n">
        <f t="shared" si="28"/>
        <v>40.554000000000009</v>
      </c>
    </row>
    <row r="51">
      <c r="B51" s="737" t="s">
        <v>106</v>
      </c>
      <c r="C51" s="289" t="s">
        <v>389</v>
      </c>
      <c r="D51" s="419" t="n">
        <f>'[1]Haver Pivoted'!GO66</f>
        <v>57.017000000000003</v>
      </c>
      <c r="E51" s="286" t="n">
        <f>'[1]Haver Pivoted'!GP66</f>
        <v>55.875</v>
      </c>
      <c r="F51" s="286" t="n">
        <f>'[1]Haver Pivoted'!GQ66</f>
        <v>54.335999999999999</v>
      </c>
      <c r="G51" s="286" t="n">
        <f>'[1]Haver Pivoted'!GR66</f>
        <v>54.345999999999997</v>
      </c>
      <c r="H51" s="286" t="n">
        <f>'[1]Haver Pivoted'!GS66</f>
        <v>54.290999999999997</v>
      </c>
      <c r="I51" s="286" t="n">
        <f>'[1]Haver Pivoted'!GT66</f>
        <v>61.624000000000002</v>
      </c>
      <c r="J51" s="286" t="n">
        <f>'[1]Haver Pivoted'!GU66</f>
        <v>105.667</v>
      </c>
      <c r="K51" s="286" t="n">
        <f>'[1]Haver Pivoted'!GV66</f>
        <v>105.886</v>
      </c>
      <c r="L51" s="286" t="n">
        <f>'[1]Haver Pivoted'!GW66</f>
        <v>106.60599999999999</v>
      </c>
      <c r="M51" s="286" t="n">
        <f>'[1]Haver Pivoted'!GX66</f>
        <v>145.78700000000001</v>
      </c>
      <c r="N51" s="286" t="n">
        <f>'[1]Haver Pivoted'!GY66</f>
        <v>155.346</v>
      </c>
      <c r="O51" s="286" t="n">
        <f>'[1]Haver Pivoted'!GZ66</f>
        <v>148.60300000000001</v>
      </c>
      <c r="P51" s="286" t="n">
        <f>'[1]Haver Pivoted'!HA66</f>
        <v>154.94</v>
      </c>
      <c r="Q51" s="286" t="n">
        <f>'[1]Haver Pivoted'!HB66</f>
        <v>131.55099999999999</v>
      </c>
      <c r="R51" s="286" t="n">
        <f>'[1]Haver Pivoted'!HC66</f>
        <v>128.34899999999999</v>
      </c>
      <c r="S51" s="275" t="n">
        <f>'[1]Haver Pivoted'!HD66</f>
        <v>125.361</v>
      </c>
      <c r="T51" s="275" t="n">
        <f>'[1]Haver Pivoted'!HE66</f>
        <v>146.43</v>
      </c>
      <c r="U51" s="275" t="n">
        <f>'[1]Haver Pivoted'!HF66</f>
        <v>138.40799999999999</v>
      </c>
      <c r="V51" s="275" t="n">
        <f>'[1]Haver Pivoted'!HG66</f>
        <v>106.691</v>
      </c>
      <c r="W51" s="275" t="n">
        <f>'[1]Haver Pivoted'!HH66</f>
        <v>106.29600000000001</v>
      </c>
      <c r="X51" s="275" t="n">
        <f>'[1]Haver Pivoted'!HI66</f>
        <v>93.49</v>
      </c>
      <c r="Y51" s="275" t="n">
        <f>'[1]Haver Pivoted'!HJ66</f>
        <v>92.007999999999996</v>
      </c>
      <c r="Z51" s="275" t="n">
        <f>'[1]Haver Pivoted'!HK66</f>
        <v>96.12</v>
      </c>
      <c r="AA51" s="275" t="n">
        <f>'[1]Haver Pivoted'!HL66</f>
        <v>102.79</v>
      </c>
      <c r="AB51" s="275" t="n">
        <f>'[1]Haver Pivoted'!HM66</f>
        <v>98.516000000000005</v>
      </c>
      <c r="AC51" s="275" t="n">
        <f>'[1]Haver Pivoted'!HN66</f>
        <v>95.266000000000005</v>
      </c>
      <c r="AD51" s="380"/>
      <c r="AE51" s="380"/>
      <c r="AF51" s="380"/>
      <c r="AG51" s="380"/>
      <c r="AH51" s="380"/>
      <c r="AI51" s="380"/>
      <c r="AJ51" s="380"/>
      <c r="AK51" s="380"/>
      <c r="AL51" s="380"/>
      <c r="AM51" s="380"/>
      <c r="AN51" s="380"/>
    </row>
    <row r="52" ht="29.15" customHeight="1">
      <c r="B52" s="736" t="s">
        <v>390</v>
      </c>
      <c r="C52" s="506"/>
      <c r="D52" s="888"/>
      <c r="E52" s="734"/>
      <c r="F52" s="734"/>
      <c r="G52" s="734"/>
      <c r="H52" s="734"/>
      <c r="I52" s="734"/>
      <c r="J52" s="734" t="n">
        <f t="shared" ref="J52:AC52" si="29">J51-$H51</f>
        <v>51.376000000000005</v>
      </c>
      <c r="K52" s="734" t="n">
        <f t="shared" si="29"/>
        <v>51.594999999999999</v>
      </c>
      <c r="L52" s="734" t="n">
        <f t="shared" si="29"/>
        <v>52.314999999999998</v>
      </c>
      <c r="M52" s="734" t="n">
        <f t="shared" si="29"/>
        <v>91.496000000000009</v>
      </c>
      <c r="N52" s="734" t="n">
        <f>N51-$H51</f>
        <v>101.05500000000001</v>
      </c>
      <c r="O52" s="734" t="n">
        <f>O51-$H51</f>
        <v>94.312000000000012</v>
      </c>
      <c r="P52" s="734" t="n">
        <f t="shared" si="29"/>
        <v>100.649</v>
      </c>
      <c r="Q52" s="734" t="n">
        <f t="shared" si="29"/>
        <v>77.259999999999991</v>
      </c>
      <c r="R52" s="734" t="n">
        <f t="shared" si="29"/>
        <v>74.057999999999993</v>
      </c>
      <c r="S52" s="294" t="n">
        <f t="shared" si="29"/>
        <v>71.070000000000007</v>
      </c>
      <c r="T52" s="294" t="n">
        <f t="shared" si="29"/>
        <v>92.13900000000001</v>
      </c>
      <c r="U52" s="294" t="n">
        <f t="shared" si="29"/>
        <v>84.11699999999999</v>
      </c>
      <c r="V52" s="294" t="n">
        <f t="shared" si="29"/>
        <v>52.400000000000006</v>
      </c>
      <c r="W52" s="294" t="n">
        <f t="shared" si="29"/>
        <v>52.00500000000001</v>
      </c>
      <c r="X52" s="294" t="n">
        <f t="shared" si="29"/>
        <v>39.198999999999998</v>
      </c>
      <c r="Y52" s="294" t="n">
        <f t="shared" si="29"/>
        <v>37.716999999999999</v>
      </c>
      <c r="Z52" s="294" t="n">
        <f t="shared" si="29"/>
        <v>41.829000000000008</v>
      </c>
      <c r="AA52" s="294" t="n">
        <f t="shared" si="29"/>
        <v>48.499000000000009</v>
      </c>
      <c r="AB52" s="294" t="n">
        <f t="shared" si="29"/>
        <v>44.225000000000009</v>
      </c>
      <c r="AC52" s="294" t="n">
        <f t="shared" si="29"/>
        <v>40.975000000000009</v>
      </c>
      <c r="AD52" s="858"/>
      <c r="AE52" s="858"/>
      <c r="AF52" s="858"/>
      <c r="AG52" s="858"/>
      <c r="AH52" s="858"/>
      <c r="AI52" s="858"/>
      <c r="AJ52" s="858"/>
      <c r="AK52" s="858"/>
      <c r="AL52" s="858"/>
      <c r="AM52" s="858"/>
      <c r="AN52" s="858"/>
    </row>
    <row r="53" ht="29.15" customHeight="1">
      <c r="B53" s="289"/>
      <c r="C53" s="289"/>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row>
    <row r="54" ht="29.15" customHeight="1">
      <c r="B54" s="289"/>
      <c r="C54" s="289"/>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row>
    <row r="55" ht="29.15" customHeight="1">
      <c r="B55" s="289"/>
      <c r="C55" s="289"/>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row>
    <row r="56" ht="35.9" customHeight="1"/>
    <row r="57">
      <c r="B57" s="680" t="s">
        <v>276</v>
      </c>
    </row>
    <row r="58">
      <c r="B58" s="836" t="s">
        <v>714</v>
      </c>
      <c r="C58" s="837"/>
      <c r="D58" s="379" t="s">
        <v>191</v>
      </c>
      <c r="E58" s="379"/>
      <c r="F58" s="379"/>
      <c r="G58" s="379"/>
      <c r="H58" s="379"/>
      <c r="I58" s="379"/>
      <c r="J58" s="379"/>
      <c r="K58" s="379"/>
      <c r="L58" s="379"/>
      <c r="M58" s="379"/>
      <c r="N58" s="379"/>
      <c r="O58" s="379"/>
      <c r="P58" s="379"/>
      <c r="Q58" s="379"/>
      <c r="R58" s="379"/>
      <c r="S58" s="379"/>
      <c r="T58" s="379"/>
      <c r="U58" s="379"/>
      <c r="V58" s="379"/>
      <c r="W58" s="379"/>
      <c r="X58" s="379"/>
      <c r="Y58" s="379"/>
      <c r="Z58" s="379"/>
      <c r="AA58" s="379"/>
      <c r="AB58" s="379"/>
      <c r="AC58" s="251" t="s">
        <v>192</v>
      </c>
      <c r="AD58" s="252"/>
      <c r="AE58" s="252"/>
      <c r="AF58" s="252"/>
      <c r="AG58" s="252"/>
      <c r="AH58" s="252"/>
      <c r="AI58" s="252"/>
      <c r="AJ58" s="252"/>
      <c r="AK58" s="252"/>
      <c r="AL58" s="252"/>
      <c r="AM58" s="252"/>
      <c r="AN58" s="253"/>
    </row>
    <row r="59">
      <c r="B59" s="838"/>
      <c r="C59" s="839"/>
      <c r="D59" s="254" t="n">
        <v>2018</v>
      </c>
      <c r="E59" s="254" t="n">
        <v>2019</v>
      </c>
      <c r="F59" s="255"/>
      <c r="G59" s="255"/>
      <c r="H59" s="256"/>
      <c r="I59" s="254" t="n">
        <v>2020</v>
      </c>
      <c r="J59" s="255"/>
      <c r="K59" s="255"/>
      <c r="L59" s="255"/>
      <c r="M59" s="254" t="n">
        <v>2021</v>
      </c>
      <c r="N59" s="255"/>
      <c r="O59" s="255"/>
      <c r="P59" s="255"/>
      <c r="Q59" s="254" t="n">
        <v>2022</v>
      </c>
      <c r="R59" s="255"/>
      <c r="S59" s="255"/>
      <c r="T59" s="256"/>
      <c r="U59" s="298"/>
      <c r="V59" s="298" t="n">
        <v>2023</v>
      </c>
      <c r="W59" s="298"/>
      <c r="X59" s="300"/>
      <c r="Y59" s="305"/>
      <c r="Z59" s="298" t="n">
        <v>2024</v>
      </c>
      <c r="AA59" s="298"/>
      <c r="AB59" s="300"/>
      <c r="AC59" s="261" t="n">
        <v>2025</v>
      </c>
      <c r="AD59" s="264"/>
      <c r="AE59" s="264"/>
      <c r="AF59" s="263"/>
      <c r="AG59" s="261" t="n">
        <v>2026</v>
      </c>
      <c r="AH59" s="264"/>
      <c r="AI59" s="264"/>
      <c r="AJ59" s="263"/>
      <c r="AK59" s="261" t="n">
        <v>2027</v>
      </c>
      <c r="AL59" s="264"/>
      <c r="AM59" s="264"/>
      <c r="AN59" s="263"/>
    </row>
    <row r="60">
      <c r="B60" s="838"/>
      <c r="C60" s="839"/>
      <c r="D60" s="274" t="s">
        <v>193</v>
      </c>
      <c r="E60" s="274" t="s">
        <v>194</v>
      </c>
      <c r="F60" s="275" t="s">
        <v>195</v>
      </c>
      <c r="G60" s="275" t="s">
        <v>171</v>
      </c>
      <c r="H60" s="276" t="s">
        <v>193</v>
      </c>
      <c r="I60" s="275" t="s">
        <v>194</v>
      </c>
      <c r="J60" s="275" t="s">
        <v>195</v>
      </c>
      <c r="K60" s="275" t="s">
        <v>171</v>
      </c>
      <c r="L60" s="275" t="s">
        <v>193</v>
      </c>
      <c r="M60" s="274" t="s">
        <v>194</v>
      </c>
      <c r="N60" s="275" t="s">
        <v>195</v>
      </c>
      <c r="O60" s="275" t="s">
        <v>171</v>
      </c>
      <c r="P60" s="275" t="s">
        <v>193</v>
      </c>
      <c r="Q60" s="274" t="s">
        <v>194</v>
      </c>
      <c r="R60" s="275" t="s">
        <v>195</v>
      </c>
      <c r="S60" s="275" t="s">
        <v>171</v>
      </c>
      <c r="T60" s="276" t="s">
        <v>193</v>
      </c>
      <c r="U60" s="275" t="s">
        <v>194</v>
      </c>
      <c r="V60" s="294" t="s">
        <v>195</v>
      </c>
      <c r="W60" s="294" t="s">
        <v>171</v>
      </c>
      <c r="X60" s="292" t="s">
        <v>193</v>
      </c>
      <c r="Y60" s="293" t="s">
        <v>194</v>
      </c>
      <c r="Z60" s="295" t="s">
        <v>195</v>
      </c>
      <c r="AA60" s="294" t="s">
        <v>171</v>
      </c>
      <c r="AB60" s="294" t="s">
        <v>193</v>
      </c>
      <c r="AC60" s="293" t="s">
        <v>194</v>
      </c>
      <c r="AD60" s="290" t="s">
        <v>195</v>
      </c>
      <c r="AE60" s="291" t="s">
        <v>171</v>
      </c>
      <c r="AF60" s="291" t="s">
        <v>193</v>
      </c>
      <c r="AG60" s="296" t="s">
        <v>194</v>
      </c>
      <c r="AH60" s="290" t="s">
        <v>195</v>
      </c>
      <c r="AI60" s="291" t="s">
        <v>171</v>
      </c>
      <c r="AJ60" s="297" t="s">
        <v>193</v>
      </c>
      <c r="AK60" s="296" t="s">
        <v>194</v>
      </c>
      <c r="AL60" s="290" t="s">
        <v>195</v>
      </c>
      <c r="AM60" s="291" t="s">
        <v>171</v>
      </c>
      <c r="AN60" s="297" t="s">
        <v>193</v>
      </c>
    </row>
    <row r="61" ht="25.75" customHeight="1">
      <c r="B61" s="870" t="s">
        <v>377</v>
      </c>
      <c r="C61" s="769" t="s">
        <v>378</v>
      </c>
      <c r="D61" s="513" t="n">
        <f>'[1]Haver Pivoted'!GO31</f>
        <v>2223</v>
      </c>
      <c r="E61" s="514" t="n">
        <f>'[1]Haver Pivoted'!GP31</f>
        <v>2303.8000000000002</v>
      </c>
      <c r="F61" s="514" t="n">
        <f>'[1]Haver Pivoted'!GQ31</f>
        <v>2321.6999999999998</v>
      </c>
      <c r="G61" s="514" t="n">
        <f>'[1]Haver Pivoted'!GR31</f>
        <v>2337.1</v>
      </c>
      <c r="H61" s="514" t="n">
        <f>'[1]Haver Pivoted'!GS31</f>
        <v>2349.5</v>
      </c>
      <c r="I61" s="514" t="n">
        <f>'[1]Haver Pivoted'!GT31</f>
        <v>2414.4</v>
      </c>
      <c r="J61" s="514" t="n">
        <f>'[1]Haver Pivoted'!GU31</f>
        <v>4654.1000000000004</v>
      </c>
      <c r="K61" s="514" t="n">
        <f>'[1]Haver Pivoted'!GV31</f>
        <v>3504.7</v>
      </c>
      <c r="L61" s="514" t="n">
        <f>'[1]Haver Pivoted'!GW31</f>
        <v>2888.4</v>
      </c>
      <c r="M61" s="514" t="n">
        <f>'[1]Haver Pivoted'!GX31</f>
        <v>5138.1000000000004</v>
      </c>
      <c r="N61" s="514" t="n">
        <f>'[1]Haver Pivoted'!GY31</f>
        <v>3397.8</v>
      </c>
      <c r="O61" s="514" t="n">
        <f>'[1]Haver Pivoted'!GZ31</f>
        <v>3124.9</v>
      </c>
      <c r="P61" s="514" t="n">
        <f>'[1]Haver Pivoted'!HA31</f>
        <v>2952.6</v>
      </c>
      <c r="Q61" s="514" t="n">
        <f>'[1]Haver Pivoted'!HB31</f>
        <v>2970.9</v>
      </c>
      <c r="R61" s="514" t="n">
        <f>'[1]Haver Pivoted'!HC31</f>
        <v>2976.2</v>
      </c>
      <c r="S61" s="515" t="n">
        <f>'[1]Haver Pivoted'!HD31</f>
        <v>2970.4</v>
      </c>
      <c r="T61" s="515" t="n">
        <f>'[1]Haver Pivoted'!HE31</f>
        <v>3024.4</v>
      </c>
      <c r="U61" s="515" t="n">
        <f>'[1]Haver Pivoted'!HF31</f>
        <v>3038.4</v>
      </c>
      <c r="V61" s="515" t="n">
        <f>'[1]Haver Pivoted'!HG31</f>
        <v>3049.1</v>
      </c>
      <c r="W61" s="515" t="n">
        <f>'[1]Haver Pivoted'!HH31</f>
        <v>3078</v>
      </c>
      <c r="X61" s="515" t="n">
        <f>'[1]Haver Pivoted'!HI31</f>
        <v>3095.6</v>
      </c>
      <c r="Y61" s="515" t="n">
        <f>'[1]Haver Pivoted'!HJ31</f>
        <v>3201.1</v>
      </c>
      <c r="Z61" s="515" t="n">
        <f>'[1]Haver Pivoted'!HK31</f>
        <v>3243.1</v>
      </c>
      <c r="AA61" s="515" t="n">
        <f>'[1]Haver Pivoted'!HL31</f>
        <v>3283.8</v>
      </c>
      <c r="AB61" s="515" t="n">
        <f>'[1]Haver Pivoted'!HM31</f>
        <v>3328.6</v>
      </c>
      <c r="AC61" s="515" t="n">
        <f>'[1]Haver Pivoted'!HN31</f>
        <v>3452.4</v>
      </c>
      <c r="AD61" s="892"/>
      <c r="AE61" s="892"/>
      <c r="AF61" s="892"/>
      <c r="AG61" s="380"/>
      <c r="AH61" s="380"/>
      <c r="AI61" s="380"/>
      <c r="AJ61" s="380"/>
      <c r="AK61" s="380"/>
      <c r="AL61" s="380"/>
      <c r="AM61" s="380"/>
      <c r="AN61" s="380"/>
    </row>
    <row r="62" ht="25.75" customHeight="1">
      <c r="B62" s="642" t="s">
        <v>1746</v>
      </c>
      <c r="C62" s="289"/>
      <c r="D62" s="887" t="n">
        <f>D63+D64</f>
        <v>812.1</v>
      </c>
      <c r="E62" s="610" t="n">
        <f>E63+E64</f>
        <v>833.1</v>
      </c>
      <c r="F62" s="610" t="n">
        <f>F63+F64</f>
        <v>845.8</v>
      </c>
      <c r="G62" s="610" t="n">
        <f t="shared" ref="G62:N62" si="30">G63+G64</f>
        <v>854.4</v>
      </c>
      <c r="H62" s="610" t="n">
        <f t="shared" si="30"/>
        <v>858.7</v>
      </c>
      <c r="I62" s="610" t="n">
        <f t="shared" si="30"/>
        <v>878.91200000000003</v>
      </c>
      <c r="J62" s="610" t="n">
        <f t="shared" si="30"/>
        <v>3142.9549999999999</v>
      </c>
      <c r="K62" s="610" t="n">
        <f t="shared" si="30"/>
        <v>1863.174</v>
      </c>
      <c r="L62" s="610" t="n">
        <f t="shared" si="30"/>
        <v>1307.4940000000001</v>
      </c>
      <c r="M62" s="610" t="n">
        <f t="shared" si="30"/>
        <v>3530.9749999999999</v>
      </c>
      <c r="N62" s="610" t="n">
        <f t="shared" si="30"/>
        <v>1812.8558400000002</v>
      </c>
      <c r="O62" s="610" t="n">
        <f>O63+O64</f>
        <v>1537.1944933333332</v>
      </c>
      <c r="P62" s="610" t="n">
        <f t="shared" ref="P62:R62" si="31">P63+P64</f>
        <v>1378.037333333333</v>
      </c>
      <c r="Q62" s="610" t="n">
        <f t="shared" si="31"/>
        <v>1212.615</v>
      </c>
      <c r="R62" s="610" t="n">
        <f t="shared" si="31"/>
        <v>1208.7130000000002</v>
      </c>
      <c r="S62" s="872" t="n">
        <f>S63+S64</f>
        <v>1205.403</v>
      </c>
      <c r="T62" s="872" t="n">
        <f t="shared" ref="T62:AC62" si="32">T63+T64</f>
        <v>1228.624</v>
      </c>
      <c r="U62" s="872" t="n">
        <f t="shared" si="32"/>
        <v>1164.202</v>
      </c>
      <c r="V62" s="872" t="n">
        <f t="shared" si="32"/>
        <v>1154.0450000000001</v>
      </c>
      <c r="W62" s="872" t="n">
        <f t="shared" si="32"/>
        <v>1171.75</v>
      </c>
      <c r="X62" s="872" t="n">
        <f t="shared" si="32"/>
        <v>1164.5179999999998</v>
      </c>
      <c r="Y62" s="872" t="n">
        <f t="shared" si="32"/>
        <v>1176.5360000000001</v>
      </c>
      <c r="Z62" s="872" t="n">
        <f t="shared" si="32"/>
        <v>1198.548</v>
      </c>
      <c r="AA62" s="872" t="n">
        <f t="shared" si="32"/>
        <v>1229.1180000000002</v>
      </c>
      <c r="AB62" s="872" t="n">
        <f t="shared" si="32"/>
        <v>1253.3729999999998</v>
      </c>
      <c r="AC62" s="872" t="n">
        <f t="shared" si="32"/>
        <v>1281.6229999999998</v>
      </c>
      <c r="AD62" s="860"/>
      <c r="AE62" s="860"/>
      <c r="AF62" s="860"/>
      <c r="AG62" s="380"/>
      <c r="AH62" s="380"/>
      <c r="AI62" s="380"/>
      <c r="AJ62" s="380"/>
      <c r="AK62" s="380"/>
      <c r="AL62" s="380"/>
      <c r="AM62" s="380"/>
      <c r="AN62" s="380"/>
    </row>
    <row r="63" ht="25.75" customHeight="1">
      <c r="B63" s="570" t="s">
        <v>1744</v>
      </c>
      <c r="C63" s="289"/>
      <c r="D63" s="887" t="n">
        <f t="shared" ref="D63:AC63" si="33">D14+D17+D27</f>
        <v>812.1</v>
      </c>
      <c r="E63" s="887" t="n">
        <f t="shared" si="33"/>
        <v>833.1</v>
      </c>
      <c r="F63" s="610" t="n">
        <f t="shared" si="33"/>
        <v>845.8</v>
      </c>
      <c r="G63" s="610" t="n">
        <f t="shared" si="33"/>
        <v>854.4</v>
      </c>
      <c r="H63" s="610" t="n">
        <f t="shared" si="33"/>
        <v>858.7</v>
      </c>
      <c r="I63" s="610" t="n">
        <f t="shared" si="33"/>
        <v>872</v>
      </c>
      <c r="J63" s="610" t="n">
        <f t="shared" si="33"/>
        <v>1795.8</v>
      </c>
      <c r="K63" s="610" t="n">
        <f t="shared" si="33"/>
        <v>1656.8</v>
      </c>
      <c r="L63" s="610" t="n">
        <f t="shared" si="33"/>
        <v>1191.7</v>
      </c>
      <c r="M63" s="610" t="n">
        <f t="shared" si="33"/>
        <v>1473.1</v>
      </c>
      <c r="N63" s="610" t="n">
        <f t="shared" si="33"/>
        <v>1346.4</v>
      </c>
      <c r="O63" s="610" t="n">
        <f t="shared" si="33"/>
        <v>1318.833333333333</v>
      </c>
      <c r="P63" s="610" t="n">
        <f t="shared" si="33"/>
        <v>1157.333333333333</v>
      </c>
      <c r="Q63" s="610" t="n">
        <f t="shared" si="33"/>
        <v>1036.4000000000001</v>
      </c>
      <c r="R63" s="610" t="n">
        <f t="shared" si="33"/>
        <v>1042.6000000000001</v>
      </c>
      <c r="S63" s="872" t="n">
        <f t="shared" si="33"/>
        <v>1054.8</v>
      </c>
      <c r="T63" s="872" t="n">
        <f t="shared" si="33"/>
        <v>1078.7</v>
      </c>
      <c r="U63" s="872" t="n">
        <f t="shared" si="33"/>
        <v>1045.2</v>
      </c>
      <c r="V63" s="872" t="n">
        <f t="shared" si="33"/>
        <v>1066.76</v>
      </c>
      <c r="W63" s="872" t="n">
        <f t="shared" si="33"/>
        <v>1084.8599999999999</v>
      </c>
      <c r="X63" s="872" t="n">
        <f t="shared" si="33"/>
        <v>1104.5999999999999</v>
      </c>
      <c r="Y63" s="872" t="n">
        <f t="shared" si="33"/>
        <v>1118.1000000000001</v>
      </c>
      <c r="Z63" s="872" t="n">
        <f t="shared" si="33"/>
        <v>1136</v>
      </c>
      <c r="AA63" s="872" t="n">
        <f t="shared" si="33"/>
        <v>1159.9000000000001</v>
      </c>
      <c r="AB63" s="872" t="n">
        <f t="shared" si="33"/>
        <v>1188.5999999999999</v>
      </c>
      <c r="AC63" s="872" t="n">
        <f t="shared" si="33"/>
        <v>1220.0999999999999</v>
      </c>
      <c r="AD63" s="860"/>
      <c r="AE63" s="860"/>
      <c r="AF63" s="860"/>
      <c r="AG63" s="860"/>
      <c r="AH63" s="860"/>
      <c r="AI63" s="860"/>
      <c r="AJ63" s="860"/>
      <c r="AK63" s="860"/>
      <c r="AL63" s="860"/>
      <c r="AM63" s="860"/>
      <c r="AN63" s="860"/>
    </row>
    <row r="64" ht="36" customHeight="1">
      <c r="B64" s="570" t="s">
        <v>1745</v>
      </c>
      <c r="C64" s="289"/>
      <c r="D64" s="610" t="n">
        <f t="shared" ref="D64:AF64" si="34">D18+D21+D24+D25+D26+D28+D32</f>
        <v>0</v>
      </c>
      <c r="E64" s="610" t="n">
        <f t="shared" si="34"/>
        <v>0</v>
      </c>
      <c r="F64" s="610" t="n">
        <f t="shared" si="34"/>
        <v>0</v>
      </c>
      <c r="G64" s="610" t="n">
        <f t="shared" si="34"/>
        <v>0</v>
      </c>
      <c r="H64" s="610" t="n">
        <f t="shared" si="34"/>
        <v>0</v>
      </c>
      <c r="I64" s="610" t="n">
        <f t="shared" si="34"/>
        <v>6.9120000000000061</v>
      </c>
      <c r="J64" s="610" t="n">
        <f t="shared" si="34"/>
        <v>1347.155</v>
      </c>
      <c r="K64" s="610" t="n">
        <f t="shared" si="34"/>
        <v>206.37400000000002</v>
      </c>
      <c r="L64" s="610" t="n">
        <f t="shared" si="34"/>
        <v>115.79400000000001</v>
      </c>
      <c r="M64" s="610" t="n">
        <f t="shared" si="34"/>
        <v>2057.875</v>
      </c>
      <c r="N64" s="610" t="n">
        <f t="shared" si="34"/>
        <v>466.45584000000008</v>
      </c>
      <c r="O64" s="610" t="n">
        <f t="shared" si="34"/>
        <v>218.3611600000001</v>
      </c>
      <c r="P64" s="610" t="n">
        <f t="shared" si="34"/>
        <v>220.70400000000004</v>
      </c>
      <c r="Q64" s="610" t="n">
        <f t="shared" si="34"/>
        <v>176.215</v>
      </c>
      <c r="R64" s="610" t="n">
        <f t="shared" si="34"/>
        <v>166.113</v>
      </c>
      <c r="S64" s="610" t="n">
        <f t="shared" si="34"/>
        <v>150.60300000000001</v>
      </c>
      <c r="T64" s="610" t="n">
        <f t="shared" si="34"/>
        <v>149.92400000000004</v>
      </c>
      <c r="U64" s="610" t="n">
        <f t="shared" si="34"/>
        <v>119.002</v>
      </c>
      <c r="V64" s="610" t="n">
        <f t="shared" si="34"/>
        <v>87.285000000000011</v>
      </c>
      <c r="W64" s="610" t="n">
        <f t="shared" si="34"/>
        <v>86.890000000000015</v>
      </c>
      <c r="X64" s="860" t="n">
        <f t="shared" si="34"/>
        <v>59.917999999999999</v>
      </c>
      <c r="Y64" s="860" t="n">
        <f t="shared" si="34"/>
        <v>58.436</v>
      </c>
      <c r="Z64" s="860" t="n">
        <f t="shared" si="34"/>
        <v>62.548000000000009</v>
      </c>
      <c r="AA64" s="860" t="n">
        <f t="shared" si="34"/>
        <v>69.218000000000018</v>
      </c>
      <c r="AB64" s="860" t="n">
        <f>AB18+AB21+AB24+AB25+AB26+AB28+AB32</f>
        <v>64.77300000000001</v>
      </c>
      <c r="AC64" s="860" t="n">
        <f t="shared" si="34"/>
        <v>61.52300000000001</v>
      </c>
      <c r="AD64" s="860" t="n">
        <f t="shared" si="34"/>
        <v>61.52300000000001</v>
      </c>
      <c r="AE64" s="860" t="n">
        <f t="shared" si="34"/>
        <v>61.52300000000001</v>
      </c>
      <c r="AF64" s="860" t="n">
        <f t="shared" si="34"/>
        <v>43.443000000000012</v>
      </c>
      <c r="AG64" s="860" t="n">
        <f>AG18+AG21+AG24+AG25+AG26+AG28+AG32</f>
        <v>41.282000000000011</v>
      </c>
      <c r="AH64" s="860" t="n">
        <f t="shared" ref="AH64:AI64" si="35">AH18+AH21+AH24+AH25+AH26+AH28+AH32</f>
        <v>40.554000000000009</v>
      </c>
      <c r="AI64" s="860" t="n">
        <f t="shared" si="35"/>
        <v>40.554000000000009</v>
      </c>
      <c r="AJ64" s="860" t="n">
        <f>AJ18+AJ21+AJ24+AJ25+AJ26+AJ28+AJ32</f>
        <v>40.554000000000009</v>
      </c>
      <c r="AK64" s="860" t="n">
        <f t="shared" ref="AK64:AN64" si="36">AK18+AK21+AK24+AK25+AK26+AK28+AK32</f>
        <v>40.554000000000009</v>
      </c>
      <c r="AL64" s="860" t="n">
        <f t="shared" si="36"/>
        <v>40.554000000000009</v>
      </c>
      <c r="AM64" s="860" t="n">
        <f t="shared" si="36"/>
        <v>40.554000000000009</v>
      </c>
      <c r="AN64" s="860" t="n">
        <f t="shared" si="36"/>
        <v>40.554000000000009</v>
      </c>
    </row>
    <row r="65" ht="25.75" customHeight="1">
      <c r="B65" s="642" t="s">
        <v>711</v>
      </c>
      <c r="C65" s="289"/>
      <c r="D65" s="872" t="n">
        <f t="shared" ref="D65:AC65" si="37">D61-D62</f>
        <v>1410.9</v>
      </c>
      <c r="E65" s="872" t="n">
        <f t="shared" si="37"/>
        <v>1470.7000000000003</v>
      </c>
      <c r="F65" s="872" t="n">
        <f t="shared" si="37"/>
        <v>1475.8999999999999</v>
      </c>
      <c r="G65" s="872" t="n">
        <f t="shared" si="37"/>
        <v>1482.6999999999998</v>
      </c>
      <c r="H65" s="872" t="n">
        <f t="shared" si="37"/>
        <v>1490.8</v>
      </c>
      <c r="I65" s="872" t="n">
        <f t="shared" si="37"/>
        <v>1535.4880000000001</v>
      </c>
      <c r="J65" s="872" t="n">
        <f t="shared" si="37"/>
        <v>1511.1450000000004</v>
      </c>
      <c r="K65" s="872" t="n">
        <f t="shared" si="37"/>
        <v>1641.5259999999998</v>
      </c>
      <c r="L65" s="872" t="n">
        <f t="shared" si="37"/>
        <v>1580.9059999999999</v>
      </c>
      <c r="M65" s="872" t="n">
        <f t="shared" si="37"/>
        <v>1607.1250000000005</v>
      </c>
      <c r="N65" s="872" t="n">
        <f t="shared" si="37"/>
        <v>1584.94416</v>
      </c>
      <c r="O65" s="872" t="n">
        <f t="shared" si="37"/>
        <v>1587.7055066666669</v>
      </c>
      <c r="P65" s="872" t="n">
        <f t="shared" si="37"/>
        <v>1574.5626666666669</v>
      </c>
      <c r="Q65" s="872" t="n">
        <f t="shared" si="37"/>
        <v>1758.2850000000001</v>
      </c>
      <c r="R65" s="872" t="n">
        <f t="shared" si="37"/>
        <v>1767.4869999999996</v>
      </c>
      <c r="S65" s="872" t="n">
        <f t="shared" si="37"/>
        <v>1764.9970000000001</v>
      </c>
      <c r="T65" s="872" t="n">
        <f t="shared" si="37"/>
        <v>1795.7760000000001</v>
      </c>
      <c r="U65" s="872" t="n">
        <f t="shared" si="37"/>
        <v>1874.1980000000001</v>
      </c>
      <c r="V65" s="872" t="n">
        <f t="shared" si="37"/>
        <v>1895.0549999999998</v>
      </c>
      <c r="W65" s="872" t="n">
        <f t="shared" si="37"/>
        <v>1906.25</v>
      </c>
      <c r="X65" s="872" t="n">
        <f t="shared" si="37"/>
        <v>1931.0820000000001</v>
      </c>
      <c r="Y65" s="872" t="n">
        <f t="shared" si="37"/>
        <v>2024.5639999999999</v>
      </c>
      <c r="Z65" s="872" t="n">
        <f t="shared" si="37"/>
        <v>2044.5519999999999</v>
      </c>
      <c r="AA65" s="872" t="n">
        <f t="shared" si="37"/>
        <v>2054.6819999999998</v>
      </c>
      <c r="AB65" s="872" t="n">
        <f t="shared" si="37"/>
        <v>2075.2269999999999</v>
      </c>
      <c r="AC65" s="872" t="n">
        <f t="shared" si="37"/>
        <v>2170.777</v>
      </c>
      <c r="AD65" s="860"/>
      <c r="AE65" s="860"/>
      <c r="AF65" s="860"/>
      <c r="AG65" s="380"/>
      <c r="AH65" s="380"/>
      <c r="AI65" s="380"/>
      <c r="AJ65" s="380"/>
      <c r="AK65" s="380"/>
      <c r="AL65" s="380"/>
      <c r="AM65" s="380"/>
      <c r="AN65" s="380"/>
    </row>
    <row r="66" ht="20.5" customHeight="1">
      <c r="B66" s="901" t="s">
        <v>712</v>
      </c>
      <c r="C66" s="902"/>
      <c r="D66" s="906" t="n">
        <f t="shared" ref="D66:I66" si="38">D12-D14-D17-D27</f>
        <v>1410.9</v>
      </c>
      <c r="E66" s="897" t="n">
        <f t="shared" si="38"/>
        <v>1470.7000000000003</v>
      </c>
      <c r="F66" s="897" t="n">
        <f t="shared" si="38"/>
        <v>1475.8999999999996</v>
      </c>
      <c r="G66" s="897" t="n">
        <f t="shared" si="38"/>
        <v>1482.6999999999998</v>
      </c>
      <c r="H66" s="897" t="n">
        <f t="shared" si="38"/>
        <v>1490.8000000000002</v>
      </c>
      <c r="I66" s="897" t="n">
        <f t="shared" si="38"/>
        <v>1542.4</v>
      </c>
      <c r="J66" s="907" t="n">
        <f>I66+($H$66-$E$66)/3</f>
        <v>1549.1000000000001</v>
      </c>
      <c r="K66" s="907" t="n">
        <f>J66+($H$66-$E$66)/3</f>
        <v>1555.8000000000002</v>
      </c>
      <c r="L66" s="907" t="n">
        <f>K66+($H$66-$E$66)/3</f>
        <v>1562.5000000000002</v>
      </c>
      <c r="M66" s="908" t="n">
        <f>L66+($H$66-$E$66)/3 +(M70-L70)</f>
        <v>1586.8430000000003</v>
      </c>
      <c r="N66" s="907" t="n">
        <f>M66+($H$66-$E$66)/3</f>
        <v>1593.5430000000003</v>
      </c>
      <c r="O66" s="907" t="n">
        <f>N66+($H$66-$E$66)/3</f>
        <v>1600.2430000000004</v>
      </c>
      <c r="P66" s="907" t="n">
        <f>O66+($H$66-$E$66)/3</f>
        <v>1606.9430000000004</v>
      </c>
      <c r="Q66" s="908" t="n">
        <f>P66+($H$66-$E$66)/3 + 0.06*Q70</f>
        <v>1685.5501200000006</v>
      </c>
      <c r="R66" s="907" t="n">
        <f>Q66+($H$66-$E$66)/3</f>
        <v>1692.2501200000006</v>
      </c>
      <c r="S66" s="907" t="n">
        <f>R66+($H$66-$E$66)/3</f>
        <v>1698.9501200000007</v>
      </c>
      <c r="T66" s="907" t="n">
        <f>S66+($H$66-$E$66)/3</f>
        <v>1705.6501200000007</v>
      </c>
      <c r="U66" s="907" t="n">
        <f t="shared" ref="U66:AN66" si="39">T66+U67</f>
        <v>1818.9789730000007</v>
      </c>
      <c r="V66" s="907" t="n">
        <f t="shared" si="39"/>
        <v>1825.6789730000007</v>
      </c>
      <c r="W66" s="897" t="n">
        <f t="shared" si="39"/>
        <v>1832.3789730000008</v>
      </c>
      <c r="X66" s="903" t="n">
        <f t="shared" si="39"/>
        <v>1839.0789730000008</v>
      </c>
      <c r="Y66" s="903" t="n">
        <f t="shared" si="39"/>
        <v>1891.4284770000008</v>
      </c>
      <c r="Z66" s="903" t="n">
        <f t="shared" si="39"/>
        <v>1898.1284770000009</v>
      </c>
      <c r="AA66" s="903" t="n">
        <f t="shared" si="39"/>
        <v>1904.8284770000009</v>
      </c>
      <c r="AB66" s="903" t="n">
        <f t="shared" si="39"/>
        <v>1911.528477000001</v>
      </c>
      <c r="AC66" s="903" t="n">
        <f t="shared" si="39"/>
        <v>1956.4482020000009</v>
      </c>
      <c r="AD66" s="903" t="n">
        <f t="shared" si="39"/>
        <v>1963.148202000001</v>
      </c>
      <c r="AE66" s="903" t="n">
        <f t="shared" si="39"/>
        <v>1969.848202000001</v>
      </c>
      <c r="AF66" s="903" t="n">
        <f t="shared" si="39"/>
        <v>1976.5482020000011</v>
      </c>
      <c r="AG66" s="903" t="n">
        <f t="shared" si="39"/>
        <v>2021.8053925010011</v>
      </c>
      <c r="AH66" s="903" t="n">
        <f t="shared" si="39"/>
        <v>2028.5053925010011</v>
      </c>
      <c r="AI66" s="903" t="n">
        <f t="shared" si="39"/>
        <v>2035.2053925010011</v>
      </c>
      <c r="AJ66" s="903" t="n">
        <f t="shared" si="39"/>
        <v>2041.9053925010012</v>
      </c>
      <c r="AK66" s="903" t="n">
        <f t="shared" si="39"/>
        <v>2089.4772613835244</v>
      </c>
      <c r="AL66" s="903" t="n">
        <f t="shared" si="39"/>
        <v>2096.1772613835242</v>
      </c>
      <c r="AM66" s="903" t="n">
        <f t="shared" si="39"/>
        <v>2102.877261383524</v>
      </c>
      <c r="AN66" s="903" t="n">
        <f t="shared" si="39"/>
        <v>2109.5772613835238</v>
      </c>
    </row>
    <row r="67" ht="20.5" customHeight="1">
      <c r="B67" s="904" t="s">
        <v>1705</v>
      </c>
      <c r="C67" s="289"/>
      <c r="D67" s="887"/>
      <c r="E67" s="610"/>
      <c r="F67" s="610"/>
      <c r="G67" s="610"/>
      <c r="H67" s="610"/>
      <c r="I67" s="610"/>
      <c r="J67" s="899"/>
      <c r="K67" s="899"/>
      <c r="L67" s="899"/>
      <c r="M67" s="909"/>
      <c r="N67" s="899"/>
      <c r="O67" s="899"/>
      <c r="P67" s="899"/>
      <c r="Q67" s="909"/>
      <c r="R67" s="899"/>
      <c r="S67" s="899"/>
      <c r="T67" s="899"/>
      <c r="U67" s="899" t="n">
        <f>U68+U69</f>
        <v>113.32885299999995</v>
      </c>
      <c r="V67" s="899" t="n">
        <f>V68+V69</f>
        <v>6.69999999999997</v>
      </c>
      <c r="W67" s="899" t="n">
        <f>W68+W69</f>
        <v>6.69999999999997</v>
      </c>
      <c r="X67" s="860" t="n">
        <f t="shared" ref="X67:AN67" si="40">X68+X73*X70</f>
        <v>6.69999999999997</v>
      </c>
      <c r="Y67" s="860" t="n">
        <f t="shared" si="40"/>
        <v>52.349503999999968</v>
      </c>
      <c r="Z67" s="860" t="n">
        <f t="shared" si="40"/>
        <v>6.69999999999997</v>
      </c>
      <c r="AA67" s="860" t="n">
        <f t="shared" si="40"/>
        <v>6.69999999999997</v>
      </c>
      <c r="AB67" s="860" t="n">
        <f t="shared" si="40"/>
        <v>6.69999999999997</v>
      </c>
      <c r="AC67" s="860" t="n">
        <f t="shared" si="40"/>
        <v>44.919724999999971</v>
      </c>
      <c r="AD67" s="860" t="n">
        <f t="shared" si="40"/>
        <v>6.69999999999997</v>
      </c>
      <c r="AE67" s="860" t="n">
        <f t="shared" si="40"/>
        <v>6.69999999999997</v>
      </c>
      <c r="AF67" s="860" t="n">
        <f t="shared" si="40"/>
        <v>6.69999999999997</v>
      </c>
      <c r="AG67" s="860" t="n">
        <f t="shared" si="40"/>
        <v>45.257190500999961</v>
      </c>
      <c r="AH67" s="860" t="n">
        <f t="shared" si="40"/>
        <v>6.69999999999997</v>
      </c>
      <c r="AI67" s="860" t="n">
        <f t="shared" si="40"/>
        <v>6.69999999999997</v>
      </c>
      <c r="AJ67" s="860" t="n">
        <f t="shared" si="40"/>
        <v>6.69999999999997</v>
      </c>
      <c r="AK67" s="860" t="n">
        <f t="shared" si="40"/>
        <v>47.571868882522963</v>
      </c>
      <c r="AL67" s="860" t="n">
        <f t="shared" si="40"/>
        <v>6.69999999999997</v>
      </c>
      <c r="AM67" s="860" t="n">
        <f t="shared" si="40"/>
        <v>6.69999999999997</v>
      </c>
      <c r="AN67" s="860" t="n">
        <f t="shared" si="40"/>
        <v>6.69999999999997</v>
      </c>
    </row>
    <row r="68" ht="28.4" customHeight="1">
      <c r="B68" s="905" t="s">
        <v>1702</v>
      </c>
      <c r="C68" s="289"/>
      <c r="D68" s="887"/>
      <c r="E68" s="610"/>
      <c r="F68" s="610"/>
      <c r="G68" s="610"/>
      <c r="H68" s="610"/>
      <c r="I68" s="610"/>
      <c r="J68" s="899"/>
      <c r="K68" s="899"/>
      <c r="L68" s="899"/>
      <c r="M68" s="909"/>
      <c r="N68" s="899"/>
      <c r="O68" s="899"/>
      <c r="P68" s="899"/>
      <c r="Q68" s="909"/>
      <c r="R68" s="899"/>
      <c r="S68" s="899"/>
      <c r="T68" s="899"/>
      <c r="U68" s="899" t="n">
        <f>($H$66-$E$66)/3</f>
        <v>6.69999999999997</v>
      </c>
      <c r="V68" s="899" t="n">
        <f>($H$66-$E$66)/3</f>
        <v>6.69999999999997</v>
      </c>
      <c r="W68" s="899" t="n">
        <f>($H$66-$E$66)/3</f>
        <v>6.69999999999997</v>
      </c>
      <c r="X68" s="860" t="n">
        <f t="shared" ref="X68:AE68" si="41">W68</f>
        <v>6.69999999999997</v>
      </c>
      <c r="Y68" s="860" t="n">
        <f t="shared" si="41"/>
        <v>6.69999999999997</v>
      </c>
      <c r="Z68" s="860" t="n">
        <f t="shared" si="41"/>
        <v>6.69999999999997</v>
      </c>
      <c r="AA68" s="860" t="n">
        <f t="shared" si="41"/>
        <v>6.69999999999997</v>
      </c>
      <c r="AB68" s="860" t="n">
        <f t="shared" si="41"/>
        <v>6.69999999999997</v>
      </c>
      <c r="AC68" s="860" t="n">
        <f t="shared" si="41"/>
        <v>6.69999999999997</v>
      </c>
      <c r="AD68" s="860" t="n">
        <f t="shared" si="41"/>
        <v>6.69999999999997</v>
      </c>
      <c r="AE68" s="860" t="n">
        <f t="shared" si="41"/>
        <v>6.69999999999997</v>
      </c>
      <c r="AF68" s="860" t="n">
        <f>AE68</f>
        <v>6.69999999999997</v>
      </c>
      <c r="AG68" s="860" t="n">
        <f>AF68</f>
        <v>6.69999999999997</v>
      </c>
      <c r="AH68" s="860" t="n">
        <f>AG68</f>
        <v>6.69999999999997</v>
      </c>
      <c r="AI68" s="860" t="n">
        <f t="shared" ref="AI68:AN68" si="42">AH68</f>
        <v>6.69999999999997</v>
      </c>
      <c r="AJ68" s="860" t="n">
        <f t="shared" si="42"/>
        <v>6.69999999999997</v>
      </c>
      <c r="AK68" s="860" t="n">
        <f t="shared" si="42"/>
        <v>6.69999999999997</v>
      </c>
      <c r="AL68" s="860" t="n">
        <f t="shared" si="42"/>
        <v>6.69999999999997</v>
      </c>
      <c r="AM68" s="860" t="n">
        <f t="shared" si="42"/>
        <v>6.69999999999997</v>
      </c>
      <c r="AN68" s="860" t="n">
        <f t="shared" si="42"/>
        <v>6.69999999999997</v>
      </c>
    </row>
    <row r="69" ht="30.65" customHeight="1">
      <c r="B69" s="880" t="s">
        <v>1703</v>
      </c>
      <c r="C69" s="881"/>
      <c r="D69" s="882"/>
      <c r="E69" s="863"/>
      <c r="F69" s="863"/>
      <c r="G69" s="863"/>
      <c r="H69" s="863"/>
      <c r="I69" s="863"/>
      <c r="J69" s="883"/>
      <c r="K69" s="883"/>
      <c r="L69" s="883"/>
      <c r="M69" s="884"/>
      <c r="N69" s="883"/>
      <c r="O69" s="883"/>
      <c r="P69" s="883"/>
      <c r="Q69" s="884"/>
      <c r="R69" s="883"/>
      <c r="S69" s="883"/>
      <c r="T69" s="883"/>
      <c r="U69" s="883" t="n">
        <f t="shared" ref="U69:AN69" si="43">U73*T70</f>
        <v>106.62885299999998</v>
      </c>
      <c r="V69" s="883" t="n">
        <f t="shared" si="43"/>
        <v>0</v>
      </c>
      <c r="W69" s="863" t="n">
        <f t="shared" si="43"/>
        <v>0</v>
      </c>
      <c r="X69" s="910" t="n">
        <f t="shared" si="43"/>
        <v>0</v>
      </c>
      <c r="Y69" s="910" t="n">
        <f t="shared" si="43"/>
        <v>43.967424000000001</v>
      </c>
      <c r="Z69" s="910" t="n">
        <f t="shared" si="43"/>
        <v>0</v>
      </c>
      <c r="AA69" s="910" t="n">
        <f t="shared" si="43"/>
        <v>0</v>
      </c>
      <c r="AB69" s="910" t="n">
        <f t="shared" si="43"/>
        <v>0</v>
      </c>
      <c r="AC69" s="910" t="n">
        <f t="shared" si="43"/>
        <v>36.697899999999997</v>
      </c>
      <c r="AD69" s="910" t="n">
        <f t="shared" si="43"/>
        <v>0</v>
      </c>
      <c r="AE69" s="910" t="n">
        <f t="shared" si="43"/>
        <v>0</v>
      </c>
      <c r="AF69" s="910" t="n">
        <f t="shared" si="43"/>
        <v>0</v>
      </c>
      <c r="AG69" s="910" t="n">
        <f t="shared" si="43"/>
        <v>37.330587000000001</v>
      </c>
      <c r="AH69" s="910" t="n">
        <f t="shared" si="43"/>
        <v>0</v>
      </c>
      <c r="AI69" s="910" t="n">
        <f t="shared" si="43"/>
        <v>0</v>
      </c>
      <c r="AJ69" s="910" t="n">
        <f t="shared" si="43"/>
        <v>0</v>
      </c>
      <c r="AK69" s="910" t="n">
        <f t="shared" si="43"/>
        <v>39.638190500999997</v>
      </c>
      <c r="AL69" s="910" t="n">
        <f t="shared" si="43"/>
        <v>0</v>
      </c>
      <c r="AM69" s="910" t="n">
        <f t="shared" si="43"/>
        <v>0</v>
      </c>
      <c r="AN69" s="910" t="n">
        <f t="shared" si="43"/>
        <v>0</v>
      </c>
    </row>
    <row r="70" ht="17.5" customHeight="1">
      <c r="B70" s="737" t="s">
        <v>385</v>
      </c>
      <c r="C70" s="289" t="s">
        <v>386</v>
      </c>
      <c r="D70" s="887" t="n">
        <f>'[1]Haver Pivoted'!GO88/1000</f>
        <v>983.86099999999999</v>
      </c>
      <c r="E70" s="610" t="n">
        <f>'[1]Haver Pivoted'!GP88/1000</f>
        <v>1019.19</v>
      </c>
      <c r="F70" s="610" t="n">
        <f>'[1]Haver Pivoted'!GQ88/1000</f>
        <v>1026.704</v>
      </c>
      <c r="G70" s="610" t="n">
        <f>'[1]Haver Pivoted'!GR88/1000</f>
        <v>1034.4169999999999</v>
      </c>
      <c r="H70" s="610" t="n">
        <f>'[1]Haver Pivoted'!GS88/1000</f>
        <v>1042.6610000000001</v>
      </c>
      <c r="I70" s="610" t="n">
        <f>'[1]Haver Pivoted'!GT88/1000</f>
        <v>1068.201</v>
      </c>
      <c r="J70" s="610" t="n">
        <f>'[1]Haver Pivoted'!GU88/1000</f>
        <v>1075.075</v>
      </c>
      <c r="K70" s="610" t="n">
        <f>'[1]Haver Pivoted'!GV88/1000</f>
        <v>1080.441</v>
      </c>
      <c r="L70" s="610" t="n">
        <f>'[1]Haver Pivoted'!GW88/1000</f>
        <v>1087.9949999999999</v>
      </c>
      <c r="M70" s="610" t="n">
        <f>'[1]Haver Pivoted'!GX88/1000</f>
        <v>1105.6379999999999</v>
      </c>
      <c r="N70" s="610" t="n">
        <f>'[1]Haver Pivoted'!GY88/1000</f>
        <v>1109.6400000000001</v>
      </c>
      <c r="O70" s="610" t="n">
        <f>'[1]Haver Pivoted'!GZ88/1000</f>
        <v>1116.9480000000001</v>
      </c>
      <c r="P70" s="610" t="n">
        <f>'[1]Haver Pivoted'!HA88/1000</f>
        <v>1126.174</v>
      </c>
      <c r="Q70" s="610" t="n">
        <f>'[1]Haver Pivoted'!HB88/1000</f>
        <v>1198.452</v>
      </c>
      <c r="R70" s="610" t="n">
        <f>'[1]Haver Pivoted'!HC88/1000</f>
        <v>1207.163</v>
      </c>
      <c r="S70" s="872" t="n">
        <f>'[1]Haver Pivoted'!HD88/1000</f>
        <v>1214.7809999999999</v>
      </c>
      <c r="T70" s="872" t="n">
        <f>'[1]Haver Pivoted'!HE88/1000</f>
        <v>1225.6189999999999</v>
      </c>
      <c r="U70" s="872" t="n">
        <f>'[1]Haver Pivoted'!HF88/1000</f>
        <v>1339.904</v>
      </c>
      <c r="V70" s="872" t="n">
        <f>'[1]Haver Pivoted'!HG88/1000</f>
        <v>1353.2829999999999</v>
      </c>
      <c r="W70" s="872" t="n">
        <f>'[1]Haver Pivoted'!HH88/1000</f>
        <v>1360.723</v>
      </c>
      <c r="X70" s="872" t="n">
        <f>'[1]Haver Pivoted'!HI88/1000</f>
        <v>1373.982</v>
      </c>
      <c r="Y70" s="872" t="n">
        <f>'[1]Haver Pivoted'!HJ88/1000</f>
        <v>1426.547</v>
      </c>
      <c r="Z70" s="872" t="n">
        <f>'[1]Haver Pivoted'!HK88/1000</f>
        <v>1439.73</v>
      </c>
      <c r="AA70" s="872" t="n">
        <f>'[1]Haver Pivoted'!HL88/1000</f>
        <v>1453.1369999999999</v>
      </c>
      <c r="AB70" s="872" t="n">
        <f>'[1]Haver Pivoted'!HM88/1000</f>
        <v>1467.9159999999999</v>
      </c>
      <c r="AC70" s="872" t="n">
        <f>'[1]Haver Pivoted'!HN88/1000</f>
        <v>1528.789</v>
      </c>
      <c r="AD70" s="860" t="n">
        <f t="shared" ref="AD70:AN70" si="44">AC70+AD71</f>
        <v>1597.069</v>
      </c>
      <c r="AE70" s="860" t="n">
        <f t="shared" si="44"/>
        <v>1607.069</v>
      </c>
      <c r="AF70" s="860" t="n">
        <f t="shared" si="44"/>
        <v>1623.069</v>
      </c>
      <c r="AG70" s="860" t="n">
        <f t="shared" si="44"/>
        <v>1676.3995869999999</v>
      </c>
      <c r="AH70" s="860" t="n">
        <f t="shared" si="44"/>
        <v>1692.3995869999999</v>
      </c>
      <c r="AI70" s="860" t="n">
        <f t="shared" si="44"/>
        <v>1708.3995869999999</v>
      </c>
      <c r="AJ70" s="860" t="n">
        <f t="shared" si="44"/>
        <v>1723.3995869999999</v>
      </c>
      <c r="AK70" s="860" t="n">
        <f t="shared" si="44"/>
        <v>1777.0377775009999</v>
      </c>
      <c r="AL70" s="860" t="n">
        <f t="shared" si="44"/>
        <v>1790.0377775009999</v>
      </c>
      <c r="AM70" s="860" t="n">
        <f t="shared" si="44"/>
        <v>1802.0377775009999</v>
      </c>
      <c r="AN70" s="860" t="n">
        <f t="shared" si="44"/>
        <v>1813.0377775009999</v>
      </c>
    </row>
    <row r="71" ht="17.5" customHeight="1">
      <c r="B71" s="570" t="s">
        <v>1704</v>
      </c>
      <c r="C71" s="289"/>
      <c r="D71" s="887"/>
      <c r="E71" s="610"/>
      <c r="F71" s="610"/>
      <c r="G71" s="610"/>
      <c r="H71" s="610"/>
      <c r="I71" s="610"/>
      <c r="J71" s="610"/>
      <c r="K71" s="610"/>
      <c r="L71" s="610"/>
      <c r="M71" s="610"/>
      <c r="N71" s="610"/>
      <c r="O71" s="610"/>
      <c r="P71" s="610"/>
      <c r="Q71" s="610"/>
      <c r="R71" s="610"/>
      <c r="S71" s="872"/>
      <c r="T71" s="872"/>
      <c r="U71" s="872" t="n">
        <f t="shared" ref="U71:AN71" si="45">U69+U72</f>
        <v>114.62885299999998</v>
      </c>
      <c r="V71" s="610" t="n">
        <f t="shared" si="45"/>
        <v>8</v>
      </c>
      <c r="W71" s="610" t="n">
        <f t="shared" si="45"/>
        <v>11</v>
      </c>
      <c r="X71" s="860" t="n">
        <f t="shared" si="45"/>
        <v>14</v>
      </c>
      <c r="Y71" s="860" t="n">
        <f t="shared" si="45"/>
        <v>52.967424000000001</v>
      </c>
      <c r="Z71" s="860" t="n">
        <f t="shared" si="45"/>
        <v>13</v>
      </c>
      <c r="AA71" s="860" t="n">
        <f t="shared" si="45"/>
        <v>11</v>
      </c>
      <c r="AB71" s="860" t="n">
        <f t="shared" si="45"/>
        <v>14</v>
      </c>
      <c r="AC71" s="860" t="n">
        <f>AC69+AC72</f>
        <v>43.697899999999997</v>
      </c>
      <c r="AD71" s="860" t="n">
        <f t="shared" si="45"/>
        <v>68.28</v>
      </c>
      <c r="AE71" s="860" t="n">
        <f t="shared" si="45"/>
        <v>10</v>
      </c>
      <c r="AF71" s="860" t="n">
        <f t="shared" si="45"/>
        <v>16</v>
      </c>
      <c r="AG71" s="860" t="n">
        <f t="shared" si="45"/>
        <v>53.330587000000001</v>
      </c>
      <c r="AH71" s="860" t="n">
        <f t="shared" si="45"/>
        <v>16</v>
      </c>
      <c r="AI71" s="860" t="n">
        <f t="shared" si="45"/>
        <v>16</v>
      </c>
      <c r="AJ71" s="860" t="n">
        <f t="shared" si="45"/>
        <v>15</v>
      </c>
      <c r="AK71" s="860" t="n">
        <f t="shared" si="45"/>
        <v>53.638190500999997</v>
      </c>
      <c r="AL71" s="860" t="n">
        <f t="shared" si="45"/>
        <v>13</v>
      </c>
      <c r="AM71" s="860" t="n">
        <f t="shared" si="45"/>
        <v>12</v>
      </c>
      <c r="AN71" s="860" t="n">
        <f t="shared" si="45"/>
        <v>11</v>
      </c>
    </row>
    <row r="72" ht="17.5" customHeight="1">
      <c r="B72" s="562" t="s">
        <v>1707</v>
      </c>
      <c r="C72" s="289"/>
      <c r="D72" s="872" t="e">
        <f t="shared" ref="D72:S72" si="46">D70-C70</f>
        <v>#VALUE!</v>
      </c>
      <c r="E72" s="872" t="n">
        <f t="shared" si="46"/>
        <v>35.329000000000065</v>
      </c>
      <c r="F72" s="872" t="n">
        <f t="shared" si="46"/>
        <v>7.5139999999998963</v>
      </c>
      <c r="G72" s="872" t="n">
        <f t="shared" si="46"/>
        <v>7.7129999999999654</v>
      </c>
      <c r="H72" s="872" t="n">
        <f t="shared" si="46"/>
        <v>8.2440000000001419</v>
      </c>
      <c r="I72" s="872" t="n">
        <f t="shared" si="46"/>
        <v>25.539999999999964</v>
      </c>
      <c r="J72" s="872" t="n">
        <f t="shared" si="46"/>
        <v>6.8740000000000236</v>
      </c>
      <c r="K72" s="872" t="n">
        <f t="shared" si="46"/>
        <v>5.3659999999999854</v>
      </c>
      <c r="L72" s="872" t="n">
        <f t="shared" si="46"/>
        <v>7.5539999999998599</v>
      </c>
      <c r="M72" s="872" t="n">
        <f t="shared" si="46"/>
        <v>17.643000000000029</v>
      </c>
      <c r="N72" s="872" t="n">
        <f t="shared" si="46"/>
        <v>4.0020000000001801</v>
      </c>
      <c r="O72" s="872" t="n">
        <f t="shared" si="46"/>
        <v>7.3079999999999927</v>
      </c>
      <c r="P72" s="872" t="n">
        <f t="shared" si="46"/>
        <v>9.2259999999998854</v>
      </c>
      <c r="Q72" s="872" t="n">
        <f t="shared" si="46"/>
        <v>72.27800000000002</v>
      </c>
      <c r="R72" s="872" t="n">
        <f t="shared" si="46"/>
        <v>8.7110000000000127</v>
      </c>
      <c r="S72" s="872" t="n">
        <f t="shared" si="46"/>
        <v>7.6179999999999382</v>
      </c>
      <c r="T72" s="872" t="n">
        <f>T70-S70</f>
        <v>10.837999999999965</v>
      </c>
      <c r="U72" s="872" t="n">
        <v>8</v>
      </c>
      <c r="V72" s="610" t="n">
        <v>8</v>
      </c>
      <c r="W72" s="610" t="n">
        <v>11</v>
      </c>
      <c r="X72" s="860" t="n">
        <v>14</v>
      </c>
      <c r="Y72" s="860" t="n">
        <v>9</v>
      </c>
      <c r="Z72" s="860" t="n">
        <v>13</v>
      </c>
      <c r="AA72" s="860" t="n">
        <v>11</v>
      </c>
      <c r="AB72" s="860" t="n">
        <v>14</v>
      </c>
      <c r="AC72" s="860" t="n">
        <v>7</v>
      </c>
      <c r="AD72" s="860" t="n">
        <f>158-89.72</f>
        <v>68.28</v>
      </c>
      <c r="AE72" s="860" t="n">
        <v>10</v>
      </c>
      <c r="AF72" s="860" t="n">
        <v>16</v>
      </c>
      <c r="AG72" s="860" t="n">
        <v>16</v>
      </c>
      <c r="AH72" s="860" t="n">
        <v>16</v>
      </c>
      <c r="AI72" s="860" t="n">
        <v>16</v>
      </c>
      <c r="AJ72" s="860" t="n">
        <v>15</v>
      </c>
      <c r="AK72" s="860" t="n">
        <v>14</v>
      </c>
      <c r="AL72" s="860" t="n">
        <v>13</v>
      </c>
      <c r="AM72" s="860" t="n">
        <v>12</v>
      </c>
      <c r="AN72" s="860" t="n">
        <v>11</v>
      </c>
    </row>
    <row r="73" ht="39" customHeight="1">
      <c r="B73" s="562" t="s">
        <v>1708</v>
      </c>
      <c r="C73" s="289"/>
      <c r="D73" s="887"/>
      <c r="E73" s="610"/>
      <c r="F73" s="610"/>
      <c r="G73" s="610"/>
      <c r="H73" s="610"/>
      <c r="I73" s="863"/>
      <c r="J73" s="863"/>
      <c r="K73" s="863"/>
      <c r="L73" s="863"/>
      <c r="M73" s="863"/>
      <c r="N73" s="863"/>
      <c r="O73" s="863"/>
      <c r="P73" s="863"/>
      <c r="Q73" s="863"/>
      <c r="R73" s="863"/>
      <c r="S73" s="885"/>
      <c r="T73" s="885"/>
      <c r="U73" s="873" t="n">
        <v>8.6999999999999994E-2</v>
      </c>
      <c r="V73" s="864" t="n">
        <v>0</v>
      </c>
      <c r="W73" s="864" t="n">
        <v>0</v>
      </c>
      <c r="X73" s="886" t="n">
        <v>0</v>
      </c>
      <c r="Y73" s="886" t="n">
        <v>3.2000000000000001E-2</v>
      </c>
      <c r="Z73" s="886" t="n">
        <v>0</v>
      </c>
      <c r="AA73" s="886" t="n">
        <v>0</v>
      </c>
      <c r="AB73" s="886" t="n">
        <v>0</v>
      </c>
      <c r="AC73" s="886" t="n">
        <v>2.5000000000000001E-2</v>
      </c>
      <c r="AD73" s="886" t="n">
        <v>0</v>
      </c>
      <c r="AE73" s="886" t="n">
        <v>0</v>
      </c>
      <c r="AF73" s="886" t="n">
        <v>0</v>
      </c>
      <c r="AG73" s="886" t="n">
        <v>2.3E-2</v>
      </c>
      <c r="AH73" s="886" t="n">
        <v>0</v>
      </c>
      <c r="AI73" s="886" t="n">
        <v>0</v>
      </c>
      <c r="AJ73" s="886" t="n">
        <v>0</v>
      </c>
      <c r="AK73" s="886" t="n">
        <v>2.3E-2</v>
      </c>
      <c r="AL73" s="886" t="n">
        <v>0</v>
      </c>
      <c r="AM73" s="886" t="n">
        <v>0</v>
      </c>
      <c r="AN73" s="886" t="n">
        <v>0</v>
      </c>
    </row>
    <row r="74" ht="49.75" customHeight="1">
      <c r="B74" s="642" t="s">
        <v>1331</v>
      </c>
      <c r="C74" s="289"/>
      <c r="D74" s="887" t="n">
        <f t="shared" ref="D74:AC74" si="47">D65-D66</f>
        <v>0</v>
      </c>
      <c r="E74" s="610" t="n">
        <f t="shared" si="47"/>
        <v>0</v>
      </c>
      <c r="F74" s="610" t="n">
        <f t="shared" si="47"/>
        <v>0</v>
      </c>
      <c r="G74" s="610" t="n">
        <f t="shared" si="47"/>
        <v>0</v>
      </c>
      <c r="H74" s="610" t="n">
        <f t="shared" si="47"/>
        <v>0</v>
      </c>
      <c r="I74" s="610" t="n">
        <f t="shared" si="47"/>
        <v>-6.9120000000000346</v>
      </c>
      <c r="J74" s="610" t="n">
        <f t="shared" si="47"/>
        <v>-37.9549999999997</v>
      </c>
      <c r="K74" s="610" t="n">
        <f t="shared" si="47"/>
        <v>85.725999999999658</v>
      </c>
      <c r="L74" s="610" t="n">
        <f t="shared" si="47"/>
        <v>18.405999999999722</v>
      </c>
      <c r="M74" s="610" t="n">
        <f t="shared" si="47"/>
        <v>20.282000000000153</v>
      </c>
      <c r="N74" s="610" t="n">
        <f t="shared" si="47"/>
        <v>-8.5988400000003367</v>
      </c>
      <c r="O74" s="610" t="n">
        <f t="shared" si="47"/>
        <v>-12.537493333333487</v>
      </c>
      <c r="P74" s="610" t="n">
        <f t="shared" si="47"/>
        <v>-32.38033333333351</v>
      </c>
      <c r="Q74" s="610" t="n">
        <f t="shared" si="47"/>
        <v>72.734879999999521</v>
      </c>
      <c r="R74" s="610" t="n">
        <f t="shared" si="47"/>
        <v>75.236879999999019</v>
      </c>
      <c r="S74" s="872" t="n">
        <f t="shared" si="47"/>
        <v>66.046879999999419</v>
      </c>
      <c r="T74" s="872" t="n">
        <f t="shared" si="47"/>
        <v>90.12587999999937</v>
      </c>
      <c r="U74" s="872" t="n">
        <f t="shared" si="47"/>
        <v>55.219026999999414</v>
      </c>
      <c r="V74" s="872" t="n">
        <f t="shared" si="47"/>
        <v>69.376026999999112</v>
      </c>
      <c r="W74" s="872" t="n">
        <f t="shared" si="47"/>
        <v>73.871026999999231</v>
      </c>
      <c r="X74" s="872" t="n">
        <f t="shared" si="47"/>
        <v>92.003026999999292</v>
      </c>
      <c r="Y74" s="872" t="n">
        <f t="shared" si="47"/>
        <v>133.13552299999901</v>
      </c>
      <c r="Z74" s="872" t="n">
        <f t="shared" si="47"/>
        <v>146.42352299999902</v>
      </c>
      <c r="AA74" s="872" t="n">
        <f t="shared" si="47"/>
        <v>149.85352299999886</v>
      </c>
      <c r="AB74" s="872" t="n">
        <f t="shared" si="47"/>
        <v>163.69852299999889</v>
      </c>
      <c r="AC74" s="872" t="n">
        <f t="shared" si="47"/>
        <v>214.3287979999991</v>
      </c>
      <c r="AD74" s="860" t="n">
        <f t="shared" ref="AD74:AN74" si="48">AC74</f>
        <v>214.3287979999991</v>
      </c>
      <c r="AE74" s="860" t="n">
        <f t="shared" si="48"/>
        <v>214.3287979999991</v>
      </c>
      <c r="AF74" s="860" t="n">
        <f t="shared" si="48"/>
        <v>214.3287979999991</v>
      </c>
      <c r="AG74" s="860" t="n">
        <f t="shared" si="48"/>
        <v>214.3287979999991</v>
      </c>
      <c r="AH74" s="860" t="n">
        <f t="shared" si="48"/>
        <v>214.3287979999991</v>
      </c>
      <c r="AI74" s="860" t="n">
        <f t="shared" si="48"/>
        <v>214.3287979999991</v>
      </c>
      <c r="AJ74" s="860" t="n">
        <f t="shared" si="48"/>
        <v>214.3287979999991</v>
      </c>
      <c r="AK74" s="860" t="n">
        <f t="shared" si="48"/>
        <v>214.3287979999991</v>
      </c>
      <c r="AL74" s="860" t="n">
        <f t="shared" si="48"/>
        <v>214.3287979999991</v>
      </c>
      <c r="AM74" s="860" t="n">
        <f t="shared" si="48"/>
        <v>214.3287979999991</v>
      </c>
      <c r="AN74" s="860" t="n">
        <f t="shared" si="48"/>
        <v>214.3287979999991</v>
      </c>
    </row>
    <row r="75" ht="29.5" customHeight="1">
      <c r="B75" s="427"/>
      <c r="C75" s="289"/>
      <c r="D75" s="387"/>
      <c r="E75" s="387"/>
      <c r="F75" s="387"/>
      <c r="G75" s="387"/>
      <c r="H75" s="387"/>
      <c r="I75" s="387"/>
      <c r="J75" s="387"/>
      <c r="K75" s="387"/>
      <c r="L75" s="387"/>
      <c r="M75" s="387"/>
      <c r="N75" s="387"/>
      <c r="O75" s="387"/>
      <c r="P75" s="387"/>
      <c r="Q75" s="387"/>
      <c r="R75" s="387"/>
      <c r="S75" s="387"/>
      <c r="T75" s="387"/>
      <c r="U75" s="387"/>
      <c r="V75" s="387"/>
      <c r="W75" s="387"/>
      <c r="X75" s="387"/>
      <c r="Y75" s="387"/>
      <c r="Z75" s="387"/>
      <c r="AA75" s="387"/>
      <c r="AB75" s="387"/>
      <c r="AC75" s="387"/>
    </row>
    <row r="76" ht="16.75" customHeight="1">
      <c r="B76" s="737" t="s">
        <v>385</v>
      </c>
      <c r="C76" s="289" t="s">
        <v>386</v>
      </c>
      <c r="D76" s="887" t="n">
        <v>983.86099999999999</v>
      </c>
      <c r="E76" s="610" t="n">
        <v>1019.19</v>
      </c>
      <c r="F76" s="610" t="n">
        <v>1026.704</v>
      </c>
      <c r="G76" s="610" t="n">
        <v>1034.4169999999999</v>
      </c>
      <c r="H76" s="610" t="n">
        <v>1042.6610000000001</v>
      </c>
      <c r="I76" s="610" t="n">
        <v>1068.201</v>
      </c>
      <c r="J76" s="610" t="n">
        <v>1075.075</v>
      </c>
      <c r="K76" s="610" t="n">
        <v>1080.441</v>
      </c>
      <c r="L76" s="610" t="n">
        <v>1087.9949999999999</v>
      </c>
      <c r="M76" s="610" t="n">
        <v>1105.6379999999999</v>
      </c>
      <c r="N76" s="610" t="n">
        <v>1109.6400000000001</v>
      </c>
      <c r="O76" s="610" t="n">
        <v>1116.9480000000001</v>
      </c>
      <c r="P76" s="610" t="n">
        <v>1126.174</v>
      </c>
      <c r="Q76" s="610" t="n">
        <v>1198.452</v>
      </c>
      <c r="R76" s="610" t="n">
        <v>1207.163</v>
      </c>
      <c r="S76" s="872" t="n">
        <v>1214.7809999999999</v>
      </c>
      <c r="T76" s="872" t="n">
        <v>1225.6189999999999</v>
      </c>
      <c r="U76" s="872" t="n">
        <v>1339.904</v>
      </c>
      <c r="V76" s="872" t="n">
        <v>1353.2829999999999</v>
      </c>
      <c r="W76" s="872" t="n">
        <v>1360.723</v>
      </c>
      <c r="X76" s="872" t="n">
        <v>1373.982</v>
      </c>
      <c r="Y76" s="872" t="n">
        <v>1426.547</v>
      </c>
      <c r="Z76" s="872" t="n">
        <v>1439.73</v>
      </c>
      <c r="AA76" s="872" t="n">
        <v>1453.1369999999999</v>
      </c>
      <c r="AB76" s="872" t="n">
        <v>1467.9159999999999</v>
      </c>
      <c r="AC76" s="860" t="n">
        <v>1511.6139000000001</v>
      </c>
      <c r="AD76" s="860" t="n">
        <v>1525.6138999999998</v>
      </c>
      <c r="AE76" s="860" t="n">
        <v>1540.6138999999998</v>
      </c>
      <c r="AF76" s="860" t="n">
        <v>1556.6138999999998</v>
      </c>
      <c r="AG76" s="860" t="n">
        <v>1608.4160196999999</v>
      </c>
      <c r="AH76" s="860" t="n">
        <v>1624.4160196999999</v>
      </c>
      <c r="AI76" s="860" t="n">
        <v>1640.4160196999999</v>
      </c>
      <c r="AJ76" s="860" t="n">
        <v>1655.4160196999999</v>
      </c>
      <c r="AK76" s="860" t="n">
        <v>1707.4905881530999</v>
      </c>
      <c r="AL76" s="860" t="n">
        <v>1720.4905881530999</v>
      </c>
      <c r="AM76" s="860" t="n">
        <v>1732.4905881530999</v>
      </c>
      <c r="AN76" s="860" t="n">
        <v>1743.4905881530999</v>
      </c>
    </row>
    <row r="77" ht="16.75" customHeight="1">
      <c r="B77" s="570" t="s">
        <v>1704</v>
      </c>
      <c r="C77" s="289"/>
      <c r="D77" s="887"/>
      <c r="E77" s="610"/>
      <c r="F77" s="610"/>
      <c r="G77" s="610"/>
      <c r="H77" s="610"/>
      <c r="I77" s="610"/>
      <c r="J77" s="610"/>
      <c r="K77" s="610"/>
      <c r="L77" s="610"/>
      <c r="M77" s="610"/>
      <c r="N77" s="610"/>
      <c r="O77" s="610"/>
      <c r="P77" s="610"/>
      <c r="Q77" s="610"/>
      <c r="R77" s="610"/>
      <c r="S77" s="872"/>
      <c r="T77" s="872"/>
      <c r="U77" s="872" t="n">
        <v>114.62885299999998</v>
      </c>
      <c r="V77" s="610" t="n">
        <v>8</v>
      </c>
      <c r="W77" s="610" t="n">
        <v>11</v>
      </c>
      <c r="X77" s="860" t="n">
        <v>14</v>
      </c>
      <c r="Y77" s="860" t="n">
        <v>52.967424000000001</v>
      </c>
      <c r="Z77" s="860" t="n">
        <v>13</v>
      </c>
      <c r="AA77" s="860" t="n">
        <v>11</v>
      </c>
      <c r="AB77" s="860" t="n">
        <v>14</v>
      </c>
      <c r="AC77" s="860" t="n">
        <v>43.697899999999997</v>
      </c>
      <c r="AD77" s="860" t="n">
        <v>14</v>
      </c>
      <c r="AE77" s="860" t="n">
        <v>15</v>
      </c>
      <c r="AF77" s="860" t="n">
        <v>16</v>
      </c>
      <c r="AG77" s="860" t="n">
        <v>51.802119699999999</v>
      </c>
      <c r="AH77" s="860" t="n">
        <v>16</v>
      </c>
      <c r="AI77" s="860" t="n">
        <v>16</v>
      </c>
      <c r="AJ77" s="860" t="n">
        <v>15</v>
      </c>
      <c r="AK77" s="860" t="n">
        <v>52.074568453099999</v>
      </c>
      <c r="AL77" s="860" t="n">
        <v>13</v>
      </c>
      <c r="AM77" s="860" t="n">
        <v>12</v>
      </c>
      <c r="AN77" s="860" t="n">
        <v>11</v>
      </c>
    </row>
    <row r="78" ht="16.75" customHeight="1">
      <c r="B78" s="562" t="s">
        <v>1882</v>
      </c>
      <c r="C78" s="289"/>
      <c r="D78" s="887"/>
      <c r="E78" s="610"/>
      <c r="F78" s="872"/>
      <c r="G78" s="872"/>
      <c r="H78" s="872"/>
      <c r="I78" s="872"/>
      <c r="J78" s="872"/>
      <c r="K78" s="872"/>
      <c r="L78" s="872"/>
      <c r="M78" s="872"/>
      <c r="N78" s="872"/>
      <c r="O78" s="872"/>
      <c r="P78" s="872"/>
      <c r="Q78" s="872"/>
      <c r="R78" s="872"/>
      <c r="S78" s="872"/>
      <c r="T78" s="872"/>
      <c r="U78" s="872" t="n">
        <v>8</v>
      </c>
      <c r="V78" s="610" t="n">
        <v>8</v>
      </c>
      <c r="W78" s="610" t="n">
        <v>11</v>
      </c>
      <c r="X78" s="860" t="n">
        <v>14</v>
      </c>
      <c r="Y78" s="860" t="n">
        <v>9</v>
      </c>
      <c r="Z78" s="860" t="n">
        <v>13</v>
      </c>
      <c r="AA78" s="860" t="n">
        <v>11</v>
      </c>
      <c r="AB78" s="860" t="n">
        <v>14</v>
      </c>
      <c r="AC78" s="860" t="n">
        <v>7</v>
      </c>
      <c r="AD78" s="860" t="n">
        <v>14</v>
      </c>
      <c r="AE78" s="860" t="n">
        <v>15</v>
      </c>
      <c r="AF78" s="860" t="n">
        <v>16</v>
      </c>
      <c r="AG78" s="860" t="n">
        <v>16</v>
      </c>
      <c r="AH78" s="860" t="n">
        <v>16</v>
      </c>
      <c r="AI78" s="860" t="n">
        <v>16</v>
      </c>
      <c r="AJ78" s="860" t="n">
        <v>15</v>
      </c>
      <c r="AK78" s="860" t="n">
        <v>14</v>
      </c>
      <c r="AL78" s="860" t="n">
        <v>13</v>
      </c>
      <c r="AM78" s="860" t="n">
        <v>12</v>
      </c>
      <c r="AN78" s="860" t="n">
        <v>11</v>
      </c>
    </row>
    <row r="79" ht="16.75" customHeight="1">
      <c r="B79" s="562" t="s">
        <v>1883</v>
      </c>
      <c r="C79" s="289"/>
      <c r="D79" s="887"/>
      <c r="E79" s="610"/>
      <c r="F79" s="610"/>
      <c r="G79" s="610"/>
      <c r="H79" s="610"/>
      <c r="I79" s="863"/>
      <c r="J79" s="863"/>
      <c r="K79" s="863"/>
      <c r="L79" s="863"/>
      <c r="M79" s="863"/>
      <c r="N79" s="863"/>
      <c r="O79" s="863"/>
      <c r="P79" s="863"/>
      <c r="Q79" s="863"/>
      <c r="R79" s="863"/>
      <c r="S79" s="885"/>
      <c r="T79" s="885"/>
      <c r="U79" s="873" t="n">
        <v>8.6999999999999994E-2</v>
      </c>
      <c r="V79" s="864" t="n">
        <v>0</v>
      </c>
      <c r="W79" s="864" t="n">
        <v>0</v>
      </c>
      <c r="X79" s="886" t="n">
        <v>0</v>
      </c>
      <c r="Y79" s="886" t="n">
        <v>3.2000000000000001E-2</v>
      </c>
      <c r="Z79" s="886" t="n">
        <v>0</v>
      </c>
      <c r="AA79" s="886" t="n">
        <v>0</v>
      </c>
      <c r="AB79" s="886" t="n">
        <v>0</v>
      </c>
      <c r="AC79" s="886" t="n">
        <v>2.5000000000000001E-2</v>
      </c>
      <c r="AD79" s="886" t="n">
        <v>0</v>
      </c>
      <c r="AE79" s="886" t="n">
        <v>0</v>
      </c>
      <c r="AF79" s="886" t="n">
        <v>0</v>
      </c>
      <c r="AG79" s="886" t="n">
        <v>2.3E-2</v>
      </c>
      <c r="AH79" s="886" t="n">
        <v>0</v>
      </c>
      <c r="AI79" s="886" t="n">
        <v>0</v>
      </c>
      <c r="AJ79" s="886" t="n">
        <v>0</v>
      </c>
      <c r="AK79" s="886" t="n">
        <v>2.3E-2</v>
      </c>
      <c r="AL79" s="886" t="n">
        <v>0</v>
      </c>
      <c r="AM79" s="886" t="n">
        <v>0</v>
      </c>
      <c r="AN79" s="886" t="n">
        <v>0</v>
      </c>
    </row>
    <row r="80" ht="16.75" customHeight="1">
      <c r="B80" s="642" t="s">
        <v>1331</v>
      </c>
      <c r="C80" s="289"/>
      <c r="D80" s="887" t="n">
        <v>0</v>
      </c>
      <c r="E80" s="610" t="n">
        <v>0</v>
      </c>
      <c r="F80" s="610" t="n">
        <v>0</v>
      </c>
      <c r="G80" s="610" t="n">
        <v>0</v>
      </c>
      <c r="H80" s="610" t="n">
        <v>0</v>
      </c>
      <c r="I80" s="610" t="n">
        <v>-6.9120000000000346</v>
      </c>
      <c r="J80" s="610" t="n">
        <v>-37.9549999999997</v>
      </c>
      <c r="K80" s="610" t="n">
        <v>85.725999999999658</v>
      </c>
      <c r="L80" s="610" t="n">
        <v>18.405999999999722</v>
      </c>
      <c r="M80" s="610" t="n">
        <v>20.282000000000153</v>
      </c>
      <c r="N80" s="610" t="n">
        <v>-8.5988400000003367</v>
      </c>
      <c r="O80" s="610" t="n">
        <v>-12.537493333333487</v>
      </c>
      <c r="P80" s="610" t="n">
        <v>-32.38033333333351</v>
      </c>
      <c r="Q80" s="610" t="n">
        <v>72.734879999999521</v>
      </c>
      <c r="R80" s="610" t="n">
        <v>75.236879999999019</v>
      </c>
      <c r="S80" s="872" t="n">
        <v>66.046879999999419</v>
      </c>
      <c r="T80" s="872" t="n">
        <v>90.12587999999937</v>
      </c>
      <c r="U80" s="872" t="n">
        <v>55.219026999999414</v>
      </c>
      <c r="V80" s="872" t="n">
        <v>69.376026999999112</v>
      </c>
      <c r="W80" s="872" t="n">
        <v>73.871026999999231</v>
      </c>
      <c r="X80" s="872" t="n">
        <v>92.003026999999292</v>
      </c>
      <c r="Y80" s="872" t="n">
        <v>133.13552299999901</v>
      </c>
      <c r="Z80" s="872" t="n">
        <v>146.42352299999902</v>
      </c>
      <c r="AA80" s="872" t="n">
        <v>149.85352299999886</v>
      </c>
      <c r="AB80" s="872" t="n">
        <v>163.69852299999889</v>
      </c>
      <c r="AC80" s="860" t="n">
        <v>163.69852299999889</v>
      </c>
      <c r="AD80" s="860" t="n">
        <v>163.69852299999889</v>
      </c>
      <c r="AE80" s="860" t="n">
        <v>163.69852299999889</v>
      </c>
      <c r="AF80" s="860" t="n">
        <v>163.69852299999889</v>
      </c>
      <c r="AG80" s="860" t="n">
        <v>163.69852299999889</v>
      </c>
      <c r="AH80" s="860" t="n">
        <v>163.69852299999889</v>
      </c>
      <c r="AI80" s="860" t="n">
        <v>163.69852299999889</v>
      </c>
      <c r="AJ80" s="860" t="n">
        <v>163.69852299999889</v>
      </c>
      <c r="AK80" s="860" t="n">
        <v>163.69852299999889</v>
      </c>
      <c r="AL80" s="860" t="n">
        <v>163.69852299999889</v>
      </c>
      <c r="AM80" s="860" t="n">
        <v>163.69852299999889</v>
      </c>
      <c r="AN80" s="860" t="n">
        <v>163.69852299999889</v>
      </c>
    </row>
    <row r="81" ht="16.75" customHeight="1">
      <c r="B81" s="383"/>
      <c r="C81" s="289"/>
      <c r="S81" s="387"/>
      <c r="T81" s="387"/>
      <c r="U81" s="387"/>
      <c r="V81" s="387"/>
      <c r="W81" s="387"/>
      <c r="X81" s="387"/>
      <c r="Y81" s="387"/>
      <c r="Z81" s="387"/>
      <c r="AA81" s="387"/>
      <c r="AB81" s="387"/>
      <c r="AC81" s="387"/>
      <c r="AD81" s="683"/>
    </row>
    <row r="82" ht="16.75" customHeight="1">
      <c r="B82" s="383"/>
      <c r="C82" s="289"/>
      <c r="S82" s="387"/>
      <c r="T82" s="387"/>
      <c r="U82" s="387"/>
      <c r="V82" s="387"/>
      <c r="W82" s="387"/>
      <c r="X82" s="387"/>
      <c r="Y82" s="387"/>
      <c r="Z82" s="387"/>
      <c r="AA82" s="387"/>
      <c r="AB82" s="387"/>
      <c r="AC82" s="387"/>
      <c r="AD82" s="683"/>
    </row>
    <row r="83" ht="16.75" customHeight="1">
      <c r="B83" s="289"/>
      <c r="C83" s="289"/>
      <c r="S83" s="289"/>
      <c r="T83" s="289"/>
      <c r="U83" s="610"/>
      <c r="V83" s="610"/>
      <c r="W83" s="610"/>
      <c r="X83" s="610"/>
      <c r="Y83" s="610"/>
      <c r="Z83" s="610"/>
      <c r="AA83" s="610"/>
      <c r="AB83" s="610"/>
      <c r="AC83" s="610"/>
      <c r="AD83" s="683"/>
    </row>
    <row r="84" ht="16.75" customHeight="1">
      <c r="B84" s="383"/>
      <c r="C84" s="289"/>
      <c r="S84" s="289"/>
      <c r="T84" s="289"/>
      <c r="U84" s="610"/>
      <c r="V84" s="610"/>
      <c r="W84" s="610"/>
      <c r="X84" s="610"/>
      <c r="Y84" s="610"/>
      <c r="Z84" s="610"/>
      <c r="AA84" s="610"/>
      <c r="AB84" s="610"/>
      <c r="AC84" s="610"/>
      <c r="AD84" s="683"/>
    </row>
    <row r="85" ht="16.75" customHeight="1">
      <c r="B85" s="383"/>
      <c r="C85" s="289"/>
      <c r="S85" s="289"/>
      <c r="T85" s="289"/>
      <c r="U85" s="387"/>
      <c r="V85" s="387"/>
      <c r="W85" s="387"/>
      <c r="X85" s="387"/>
      <c r="Y85" s="387"/>
      <c r="Z85" s="387"/>
      <c r="AA85" s="387"/>
      <c r="AB85" s="387"/>
      <c r="AC85" s="387"/>
      <c r="AD85" s="683"/>
    </row>
    <row r="86" ht="16.75" customHeight="1">
      <c r="B86" s="383"/>
      <c r="C86" s="289"/>
      <c r="S86" s="289"/>
      <c r="T86" s="289"/>
      <c r="U86" s="874"/>
      <c r="V86" s="874"/>
      <c r="W86" s="874"/>
      <c r="X86" s="874"/>
      <c r="Y86" s="874"/>
      <c r="Z86" s="874"/>
      <c r="AA86" s="874"/>
      <c r="AB86" s="874"/>
      <c r="AC86" s="874"/>
      <c r="AD86" s="683"/>
    </row>
    <row r="87" ht="16.75" customHeight="1">
      <c r="B87" s="289"/>
      <c r="C87" s="289"/>
      <c r="S87" s="387"/>
      <c r="T87" s="387"/>
      <c r="U87" s="387"/>
      <c r="V87" s="387"/>
      <c r="W87" s="387"/>
      <c r="X87" s="387"/>
      <c r="Y87" s="387"/>
      <c r="Z87" s="387"/>
      <c r="AA87" s="387"/>
      <c r="AB87" s="387"/>
      <c r="AC87" s="387"/>
      <c r="AD87" s="683"/>
    </row>
    <row r="88" ht="22.5" customHeight="1">
      <c r="B88" s="427"/>
      <c r="C88" s="289"/>
      <c r="D88" s="387"/>
      <c r="E88" s="387"/>
      <c r="F88" s="387"/>
      <c r="G88" s="387"/>
      <c r="H88" s="387"/>
      <c r="I88" s="387"/>
      <c r="J88" s="387"/>
      <c r="K88" s="387"/>
      <c r="L88" s="387"/>
      <c r="M88" s="387"/>
      <c r="N88" s="387"/>
      <c r="O88" s="387"/>
      <c r="P88" s="387"/>
      <c r="Q88" s="387"/>
      <c r="R88" s="387"/>
      <c r="S88" s="387"/>
      <c r="T88" s="387"/>
      <c r="U88" s="387"/>
      <c r="V88" s="387"/>
      <c r="W88" s="387"/>
      <c r="X88" s="387"/>
      <c r="Y88" s="387"/>
      <c r="Z88" s="387"/>
      <c r="AA88" s="387"/>
      <c r="AB88" s="387"/>
      <c r="AC88" s="387"/>
    </row>
    <row r="89" ht="22.5" customHeight="1">
      <c r="B89" s="427"/>
      <c r="C89" s="289"/>
      <c r="D89" s="387"/>
      <c r="E89" s="387"/>
      <c r="F89" s="387"/>
      <c r="G89" s="387"/>
      <c r="H89" s="387"/>
      <c r="I89" s="387"/>
      <c r="J89" s="387"/>
      <c r="K89" s="387"/>
      <c r="L89" s="387"/>
      <c r="M89" s="387"/>
      <c r="N89" s="387"/>
      <c r="O89" s="387"/>
      <c r="P89" s="387"/>
      <c r="Q89" s="387"/>
      <c r="R89" s="387"/>
      <c r="S89" s="387"/>
      <c r="T89" s="387"/>
      <c r="U89" s="387"/>
      <c r="V89" s="387"/>
      <c r="W89" s="387"/>
      <c r="X89" s="387"/>
      <c r="Y89" s="387"/>
      <c r="Z89" s="387"/>
      <c r="AA89" s="387"/>
      <c r="AB89" s="387"/>
      <c r="AC89" s="387"/>
    </row>
    <row r="90" ht="38.5" customHeight="1">
      <c r="B90" s="855"/>
      <c r="C90" s="856" t="n">
        <v>2016</v>
      </c>
      <c r="D90" s="857" t="n">
        <f>C90+1</f>
        <v>2017</v>
      </c>
      <c r="E90" s="857" t="n">
        <f t="shared" ref="E90:R90" si="49">D90+1</f>
        <v>2018</v>
      </c>
      <c r="F90" s="857" t="n">
        <f t="shared" si="49"/>
        <v>2019</v>
      </c>
      <c r="G90" s="857" t="n">
        <f t="shared" si="49"/>
        <v>2020</v>
      </c>
      <c r="H90" s="857" t="n">
        <f t="shared" si="49"/>
        <v>2021</v>
      </c>
      <c r="I90" s="857" t="n">
        <f t="shared" si="49"/>
        <v>2022</v>
      </c>
      <c r="J90" s="857" t="n">
        <f t="shared" si="49"/>
        <v>2023</v>
      </c>
      <c r="K90" s="857" t="n">
        <f t="shared" si="49"/>
        <v>2024</v>
      </c>
      <c r="L90" s="857" t="n">
        <f t="shared" si="49"/>
        <v>2025</v>
      </c>
      <c r="M90" s="857" t="n">
        <f t="shared" si="49"/>
        <v>2026</v>
      </c>
      <c r="N90" s="857" t="n">
        <f t="shared" si="49"/>
        <v>2027</v>
      </c>
      <c r="O90" s="857" t="n">
        <f t="shared" si="49"/>
        <v>2028</v>
      </c>
      <c r="P90" s="857" t="n">
        <f t="shared" si="49"/>
        <v>2029</v>
      </c>
      <c r="Q90" s="857" t="n">
        <f t="shared" si="49"/>
        <v>2030</v>
      </c>
      <c r="R90" s="857" t="n">
        <f t="shared" si="49"/>
        <v>2031</v>
      </c>
      <c r="S90" s="387"/>
      <c r="T90" s="387"/>
      <c r="U90" s="387"/>
      <c r="V90" s="387"/>
      <c r="W90" s="387"/>
      <c r="X90" s="387"/>
      <c r="Y90" s="387"/>
      <c r="Z90" s="387"/>
      <c r="AA90" s="387"/>
      <c r="AB90" s="387"/>
      <c r="AC90" s="387"/>
    </row>
    <row r="91" ht="38.5" customHeight="1">
      <c r="B91" s="861" t="s">
        <v>1876</v>
      </c>
      <c r="C91" t="n">
        <v>910.3</v>
      </c>
      <c r="D91" t="n">
        <v>939.2</v>
      </c>
      <c r="E91" t="n">
        <v>982</v>
      </c>
      <c r="F91" t="n">
        <v>1038.5</v>
      </c>
      <c r="G91" t="n">
        <v>1089.9000000000001</v>
      </c>
      <c r="H91" t="n">
        <v>1128.8</v>
      </c>
      <c r="I91" t="n">
        <v>1212.5</v>
      </c>
      <c r="J91" t="n">
        <v>1348</v>
      </c>
      <c r="K91" t="n">
        <v>1454.424</v>
      </c>
      <c r="L91" t="n">
        <v>1572.1079999999999</v>
      </c>
      <c r="M91" t="n">
        <v>1664.223</v>
      </c>
      <c r="N91" t="n">
        <v>1760.8779999999999</v>
      </c>
      <c r="O91" t="n">
        <v>1865.222</v>
      </c>
      <c r="P91" t="n">
        <v>1967.5059999999999</v>
      </c>
      <c r="Q91" t="n">
        <v>2071.6129999999998</v>
      </c>
      <c r="R91" t="n">
        <v>2179.337</v>
      </c>
      <c r="S91" s="415" t="n">
        <v>2288.683</v>
      </c>
      <c r="T91" s="415" t="n">
        <v>2399.4650000000001</v>
      </c>
      <c r="U91" s="415" t="n">
        <v>2510.5969999999998</v>
      </c>
      <c r="V91" s="387" t="n">
        <v>2623.808</v>
      </c>
      <c r="W91" s="387"/>
      <c r="X91" s="387"/>
      <c r="Y91" s="387"/>
      <c r="Z91" s="387"/>
      <c r="AA91" s="387"/>
      <c r="AB91" s="387"/>
      <c r="AC91" s="387"/>
    </row>
    <row r="92" ht="38.5" customHeight="1">
      <c r="B92" s="547" t="s">
        <v>1877</v>
      </c>
      <c r="C92" t="n">
        <v>890.39374999999995</v>
      </c>
      <c r="D92" t="n">
        <v>918.71375</v>
      </c>
      <c r="E92" t="n">
        <v>960.61400000000003</v>
      </c>
      <c r="F92" t="n">
        <v>1016.043</v>
      </c>
      <c r="G92" t="n">
        <v>1066.5944999999999</v>
      </c>
      <c r="H92" t="n">
        <v>1105.0552499999999</v>
      </c>
      <c r="I92" t="n">
        <v>1186.6424999999999</v>
      </c>
      <c r="J92" t="n">
        <v>1319.8822500000001</v>
      </c>
      <c r="K92" t="n">
        <v>1423.3489999999999</v>
      </c>
      <c r="L92" s="415" t="n">
        <f>AVERAGE(AB70:AE70)</f>
        <v>1550.2107499999997</v>
      </c>
      <c r="M92" s="415" t="n">
        <f>AVERAGE(AF70:AI70)</f>
        <v>1675.0669402499998</v>
      </c>
      <c r="N92" s="415" t="n">
        <f>AVERAGE(AJ70:AM70)</f>
        <v>1773.1282298757501</v>
      </c>
      <c r="S92" s="387"/>
      <c r="T92" s="387"/>
      <c r="U92" s="387"/>
      <c r="V92" s="387"/>
      <c r="W92" s="387"/>
      <c r="X92" s="387"/>
      <c r="Y92" s="387"/>
      <c r="Z92" s="387"/>
      <c r="AA92" s="387"/>
      <c r="AB92" s="387"/>
      <c r="AC92" s="387"/>
    </row>
    <row r="93" ht="69" customHeight="1">
      <c r="B93" s="427" t="s">
        <v>1878</v>
      </c>
      <c r="C93" s="289" t="n">
        <f>C92/C91</f>
        <v>0.97813220916181476</v>
      </c>
      <c r="D93" s="289" t="n">
        <f t="shared" ref="D93:N93" si="50">D92/D91</f>
        <v>0.97818755323679718</v>
      </c>
      <c r="E93" s="289" t="n">
        <f t="shared" si="50"/>
        <v>0.97822199592668024</v>
      </c>
      <c r="F93" s="289" t="n">
        <f t="shared" si="50"/>
        <v>0.97837554164660567</v>
      </c>
      <c r="G93" s="289" t="n">
        <f t="shared" si="50"/>
        <v>0.97861684558216333</v>
      </c>
      <c r="H93" s="289" t="n">
        <f t="shared" si="50"/>
        <v>0.9789646084337349</v>
      </c>
      <c r="I93" s="289" t="n">
        <f t="shared" si="50"/>
        <v>0.97867422680412364</v>
      </c>
      <c r="J93" s="289" t="n">
        <f t="shared" si="50"/>
        <v>0.97914113501483691</v>
      </c>
      <c r="K93" s="289" t="n">
        <f t="shared" si="50"/>
        <v>0.97863415345181315</v>
      </c>
      <c r="L93" s="289" t="n">
        <f t="shared" si="50"/>
        <v>0.98607140858007192</v>
      </c>
      <c r="M93" s="289" t="n">
        <f t="shared" si="50"/>
        <v>1.0065159177886616</v>
      </c>
      <c r="N93" s="289" t="n">
        <f t="shared" si="50"/>
        <v>1.0069568873458299</v>
      </c>
      <c r="P93" s="387"/>
      <c r="Q93" s="387"/>
      <c r="R93" s="387"/>
      <c r="S93" s="387"/>
      <c r="T93" s="387"/>
      <c r="U93" s="387"/>
      <c r="V93" s="387"/>
      <c r="W93" s="387"/>
      <c r="X93" s="387"/>
      <c r="Y93" s="387"/>
      <c r="Z93" s="387"/>
      <c r="AA93" s="387"/>
      <c r="AB93" s="387"/>
      <c r="AC93" s="387"/>
    </row>
    <row r="94">
      <c r="I94" s="289"/>
      <c r="J94" s="289"/>
      <c r="K94" s="289"/>
      <c r="L94" s="289" t="n">
        <f>L91*$K$93</f>
        <v>1538.5185817148231</v>
      </c>
      <c r="M94" s="289" t="n">
        <f t="shared" ref="M94:N94" si="51">M91*$K$93</f>
        <v>1628.6654667600367</v>
      </c>
      <c r="N94" s="289" t="n">
        <f t="shared" si="51"/>
        <v>1723.2553508619217</v>
      </c>
      <c r="P94" s="289"/>
    </row>
    <row r="95">
      <c r="L95" s="88" t="n">
        <f>L94-L92</f>
        <v>-11.692168285176649</v>
      </c>
      <c r="M95" s="88" t="n">
        <f t="shared" ref="M95:N95" si="52">M94-M92</f>
        <v>-46.401473489963109</v>
      </c>
      <c r="N95" s="88" t="n">
        <f t="shared" si="52"/>
        <v>-49.872879013828424</v>
      </c>
      <c r="R95" s="683"/>
    </row>
    <row r="97">
      <c r="C97" t="e">
        <f t="shared" ref="C97:M97" si="53">C91/B91-1</f>
        <v>#VALUE!</v>
      </c>
      <c r="D97" t="n">
        <f t="shared" si="53"/>
        <v>3.1747775458640159E-2</v>
      </c>
      <c r="E97" t="n">
        <f t="shared" si="53"/>
        <v>4.557069846678008E-2</v>
      </c>
      <c r="F97" t="n">
        <f t="shared" si="53"/>
        <v>5.7535641547861616E-2</v>
      </c>
      <c r="G97" t="n">
        <f t="shared" si="53"/>
        <v>4.9494463168030967E-2</v>
      </c>
      <c r="H97" t="n">
        <f t="shared" si="53"/>
        <v>3.5691347830075992E-2</v>
      </c>
      <c r="I97" t="n">
        <f t="shared" si="53"/>
        <v>7.4149539333805858E-2</v>
      </c>
      <c r="J97" t="n">
        <f t="shared" si="53"/>
        <v>0.11175257731958754</v>
      </c>
      <c r="K97" t="n">
        <f t="shared" si="53"/>
        <v>7.8949554896142526E-2</v>
      </c>
      <c r="L97" t="n">
        <f t="shared" si="53"/>
        <v>8.0914506361281058E-2</v>
      </c>
      <c r="M97" t="n">
        <f t="shared" si="53"/>
        <v>5.8593302750192811E-2</v>
      </c>
      <c r="N97" t="n">
        <f>N91/M91-1</f>
        <v>5.8078154189672881E-2</v>
      </c>
    </row>
    <row r="98" ht="13.4" customHeight="1"/>
    <row r="102" ht="27.65" customHeight="1"/>
  </sheetData>
  <mergeCells count="35">
    <mergeCell ref="B1:AC1"/>
    <mergeCell ref="B2:AC6"/>
    <mergeCell ref="D8:AB8"/>
    <mergeCell ref="AC8:AN8"/>
    <mergeCell ref="E9:H9"/>
    <mergeCell ref="I9:L9"/>
    <mergeCell ref="M9:P9"/>
    <mergeCell ref="Q9:T9"/>
    <mergeCell ref="U9:X9"/>
    <mergeCell ref="AC9:AF9"/>
    <mergeCell ref="AG9:AJ9"/>
    <mergeCell ref="AK9:AN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58:C60"/>
    <mergeCell ref="D58:AB58"/>
    <mergeCell ref="AC58:AN58"/>
    <mergeCell ref="E59:H59"/>
    <mergeCell ref="I59:L59"/>
    <mergeCell ref="M59:P59"/>
    <mergeCell ref="Q59:T59"/>
    <mergeCell ref="AC59:AF59"/>
    <mergeCell ref="AG59:AJ59"/>
    <mergeCell ref="AK59:AN59"/>
  </mergeCells>
  <pageMargins left="0.7" right="0.7" top="0.75" bottom="0.75" header="0.3" footer="0.3"/>
  <pageSetup paperSize="9" orientation="portrait" horizontalDpi="300" verticalDpi="300"/>
  <drawing r:id="rId1"/>
  <legacyDrawing r:id="rIdvml"/>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5" zoomScaleNormal="85" workbookViewId="0">
      <pane xSplit="3" ySplit="10" topLeftCell="Y19" activePane="bottomRight" state="frozen"/>
      <selection pane="topRight" activeCell="D1" sqref="D1"/>
      <selection pane="bottomLeft" activeCell="A11" sqref="A11"/>
      <selection pane="bottomRight" activeCell="AE39" sqref="AE39"/>
    </sheetView>
  </sheetViews>
  <sheetFormatPr defaultRowHeight="15.0" baseColWidth="10" outlineLevelRow="1"/>
  <cols>
    <col min="2" max="2" width="71.1796875" hidden="0" customWidth="1"/>
    <col min="6" max="6" width="12.1796875" hidden="0" customWidth="1"/>
    <col min="7" max="7" width="10.453125" hidden="0" customWidth="1"/>
    <col min="9" max="9" width="12" hidden="0" customWidth="1"/>
  </cols>
  <sheetData>
    <row r="1" ht="18" customHeight="1">
      <c r="B1" s="842" t="s">
        <v>375</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row>
    <row r="2" ht="34.5" customHeight="1" outlineLevel="1" hidden="1">
      <c r="B2" s="377" t="s">
        <v>766</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ht="3" customHeight="1" outlineLevel="1" hidden="1">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ht="10.4" customHeight="1" outlineLevel="1" hidden="1">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row>
    <row r="5" ht="14.25" customHeight="1" outlineLevel="1" hidden="1">
      <c r="B5" s="267"/>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row>
    <row r="6" ht="14.25" customHeight="1" outlineLevel="1" hidden="1">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row>
    <row r="7">
      <c r="B7" s="891" t="s">
        <v>244</v>
      </c>
      <c r="C7" s="414"/>
      <c r="D7" s="414"/>
      <c r="E7" s="414"/>
      <c r="F7" s="414"/>
      <c r="G7" s="414"/>
      <c r="H7" s="415"/>
      <c r="I7" s="415"/>
      <c r="J7" s="415"/>
      <c r="K7" s="415"/>
      <c r="L7" s="415"/>
      <c r="M7" s="415"/>
      <c r="N7" s="415"/>
      <c r="O7" s="415"/>
      <c r="P7" s="415"/>
      <c r="Q7" s="415"/>
      <c r="R7" s="415"/>
      <c r="S7" s="415"/>
      <c r="T7" s="415"/>
      <c r="U7" s="415"/>
    </row>
    <row r="8" ht="14.9" customHeight="1">
      <c r="B8" s="876" t="s">
        <v>215</v>
      </c>
      <c r="C8" s="877"/>
      <c r="D8" s="248" t="s">
        <v>191</v>
      </c>
      <c r="E8" s="249"/>
      <c r="F8" s="249"/>
      <c r="G8" s="249"/>
      <c r="H8" s="249"/>
      <c r="I8" s="249"/>
      <c r="J8" s="249"/>
      <c r="K8" s="249"/>
      <c r="L8" s="249"/>
      <c r="M8" s="249"/>
      <c r="N8" s="249"/>
      <c r="O8" s="249"/>
      <c r="P8" s="249"/>
      <c r="Q8" s="249"/>
      <c r="R8" s="249"/>
      <c r="S8" s="249"/>
      <c r="T8" s="249"/>
      <c r="U8" s="249"/>
      <c r="V8" s="249"/>
      <c r="W8" s="249"/>
      <c r="X8" s="249"/>
      <c r="Y8" s="249"/>
      <c r="Z8" s="249"/>
      <c r="AA8" s="249"/>
      <c r="AB8" s="250"/>
      <c r="AC8" s="251" t="s">
        <v>192</v>
      </c>
      <c r="AD8" s="252"/>
      <c r="AE8" s="252"/>
      <c r="AF8" s="252"/>
      <c r="AG8" s="252"/>
      <c r="AH8" s="252"/>
      <c r="AI8" s="252"/>
      <c r="AJ8" s="252"/>
      <c r="AK8" s="252"/>
      <c r="AL8" s="252"/>
      <c r="AM8" s="252"/>
      <c r="AN8" s="253"/>
    </row>
    <row r="9" ht="14.9" customHeight="1">
      <c r="B9" s="878"/>
      <c r="C9" s="879"/>
      <c r="D9" s="254" t="n">
        <v>2018</v>
      </c>
      <c r="E9" s="254" t="n">
        <v>2019</v>
      </c>
      <c r="F9" s="441"/>
      <c r="G9" s="441"/>
      <c r="H9" s="256"/>
      <c r="I9" s="254" t="n">
        <v>2020</v>
      </c>
      <c r="J9" s="441"/>
      <c r="K9" s="441"/>
      <c r="L9" s="441"/>
      <c r="M9" s="254" t="n">
        <v>2021</v>
      </c>
      <c r="N9" s="441"/>
      <c r="O9" s="441"/>
      <c r="P9" s="441"/>
      <c r="Q9" s="254" t="n">
        <v>2022</v>
      </c>
      <c r="R9" s="255"/>
      <c r="S9" s="255"/>
      <c r="T9" s="256"/>
      <c r="U9" s="254" t="n">
        <v>2023</v>
      </c>
      <c r="V9" s="255"/>
      <c r="W9" s="255"/>
      <c r="X9" s="256"/>
      <c r="Y9" s="658"/>
      <c r="Z9" s="298" t="n">
        <v>2024</v>
      </c>
      <c r="AA9" s="304"/>
      <c r="AB9" s="300"/>
      <c r="AC9" s="261" t="n">
        <v>2025</v>
      </c>
      <c r="AD9" s="262"/>
      <c r="AE9" s="262"/>
      <c r="AF9" s="264"/>
      <c r="AG9" s="261" t="n">
        <v>2026</v>
      </c>
      <c r="AH9" s="262"/>
      <c r="AI9" s="262"/>
      <c r="AJ9" s="263"/>
      <c r="AK9" s="261" t="n">
        <v>2027</v>
      </c>
      <c r="AL9" s="262"/>
      <c r="AM9" s="262"/>
      <c r="AN9" s="263"/>
    </row>
    <row r="10">
      <c r="B10" s="878"/>
      <c r="C10" s="879"/>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6" t="s">
        <v>193</v>
      </c>
      <c r="U10" s="275" t="s">
        <v>194</v>
      </c>
      <c r="V10" s="294" t="s">
        <v>195</v>
      </c>
      <c r="W10" s="294" t="s">
        <v>171</v>
      </c>
      <c r="X10" s="292" t="s">
        <v>193</v>
      </c>
      <c r="Y10" s="293" t="s">
        <v>194</v>
      </c>
      <c r="Z10" s="295" t="s">
        <v>195</v>
      </c>
      <c r="AA10" s="294" t="s">
        <v>171</v>
      </c>
      <c r="AB10" s="294" t="s">
        <v>193</v>
      </c>
      <c r="AC10" s="274" t="s">
        <v>194</v>
      </c>
      <c r="AD10" s="295" t="s">
        <v>195</v>
      </c>
      <c r="AE10" s="291" t="s">
        <v>171</v>
      </c>
      <c r="AF10" s="291" t="s">
        <v>193</v>
      </c>
      <c r="AG10" s="296" t="s">
        <v>194</v>
      </c>
      <c r="AH10" s="290" t="s">
        <v>195</v>
      </c>
      <c r="AI10" s="291" t="s">
        <v>171</v>
      </c>
      <c r="AJ10" s="297" t="s">
        <v>193</v>
      </c>
      <c r="AK10" s="296" t="s">
        <v>194</v>
      </c>
      <c r="AL10" s="290" t="s">
        <v>195</v>
      </c>
      <c r="AM10" s="291" t="s">
        <v>171</v>
      </c>
      <c r="AN10" s="297" t="s">
        <v>193</v>
      </c>
    </row>
    <row r="11">
      <c r="B11" s="840" t="s">
        <v>376</v>
      </c>
      <c r="C11" s="841"/>
      <c r="D11" s="840"/>
      <c r="E11" s="889"/>
      <c r="F11" s="889"/>
      <c r="G11" s="889"/>
      <c r="H11" s="457"/>
      <c r="I11" s="457"/>
      <c r="J11" s="457"/>
      <c r="K11" s="457"/>
      <c r="L11" s="457"/>
      <c r="M11" s="747"/>
      <c r="N11" s="747"/>
      <c r="O11" s="747"/>
      <c r="P11" s="457"/>
      <c r="Q11" s="457"/>
      <c r="R11" s="457"/>
      <c r="S11" s="457"/>
      <c r="T11" s="428"/>
      <c r="U11" s="457"/>
      <c r="V11" s="457"/>
      <c r="W11" s="264"/>
      <c r="X11" s="264"/>
      <c r="Y11" s="264"/>
      <c r="Z11" s="264"/>
      <c r="AA11" s="264"/>
      <c r="AB11" s="264"/>
      <c r="AC11" s="264"/>
      <c r="AD11" s="264"/>
      <c r="AE11" s="264"/>
      <c r="AF11" s="264"/>
      <c r="AG11" s="264"/>
      <c r="AH11" s="264"/>
      <c r="AI11" s="264"/>
      <c r="AJ11" s="264"/>
      <c r="AK11" s="264"/>
      <c r="AL11" s="264"/>
      <c r="AM11" s="264"/>
      <c r="AN11" s="264"/>
    </row>
    <row r="12" ht="17.149999999999999" customHeight="1">
      <c r="B12" s="869" t="s">
        <v>377</v>
      </c>
      <c r="C12" s="289" t="s">
        <v>378</v>
      </c>
      <c r="D12" s="764" t="n">
        <f>'Haver Pivoted'!B31</f>
        <v>48.3</v>
      </c>
      <c r="E12" s="657" t="n">
        <f>'Haver Pivoted'!C31</f>
        <v>57.5</v>
      </c>
      <c r="F12" s="657" t="n">
        <f>'Haver Pivoted'!D31</f>
        <v>56.9</v>
      </c>
      <c r="G12" s="657" t="n">
        <f>'Haver Pivoted'!E31</f>
        <v>59.8</v>
      </c>
      <c r="H12" s="657" t="n">
        <f>'Haver Pivoted'!F31</f>
        <v>61</v>
      </c>
      <c r="I12" s="657" t="n">
        <f>'Haver Pivoted'!G31</f>
        <v>67.900000000000006</v>
      </c>
      <c r="J12" s="657" t="n">
        <f>'Haver Pivoted'!H31</f>
        <v>67.2</v>
      </c>
      <c r="K12" s="657" t="n">
        <f>'Haver Pivoted'!I31</f>
        <v>68.2</v>
      </c>
      <c r="L12" s="657" t="n">
        <f>'Haver Pivoted'!J31</f>
        <v>70.2</v>
      </c>
      <c r="M12" s="657" t="n">
        <f>'Haver Pivoted'!K31</f>
        <v>70.2</v>
      </c>
      <c r="N12" s="657" t="n">
        <f>'Haver Pivoted'!L31</f>
        <v>70.3</v>
      </c>
      <c r="O12" s="657" t="n">
        <f>'Haver Pivoted'!M31</f>
        <v>80.599999999999994</v>
      </c>
      <c r="P12" s="657" t="n">
        <f>'Haver Pivoted'!N31</f>
        <v>82.2</v>
      </c>
      <c r="Q12" s="657" t="n">
        <f>'Haver Pivoted'!O31</f>
        <v>83.6</v>
      </c>
      <c r="R12" s="657" t="n">
        <f>'Haver Pivoted'!P31</f>
        <v>85.1</v>
      </c>
      <c r="S12" s="850" t="n">
        <f>'Haver Pivoted'!Q31</f>
        <v>87.3</v>
      </c>
      <c r="T12" s="850" t="n">
        <f>'Haver Pivoted'!R31</f>
        <v>94.1</v>
      </c>
      <c r="U12" s="850" t="n">
        <f>'Haver Pivoted'!S31</f>
        <v>100.7</v>
      </c>
      <c r="V12" s="850" t="n">
        <f>'Haver Pivoted'!T31</f>
        <v>106.4</v>
      </c>
      <c r="W12" s="850" t="n">
        <f>'Haver Pivoted'!U31</f>
        <v>112</v>
      </c>
      <c r="X12" s="850" t="n">
        <f>'Haver Pivoted'!V31</f>
        <v>120.5</v>
      </c>
      <c r="Y12" s="850" t="n">
        <f>'Haver Pivoted'!W31</f>
        <v>134.19999999999999</v>
      </c>
      <c r="Z12" s="850" t="n">
        <f>'Haver Pivoted'!X31</f>
        <v>136.80000000000001</v>
      </c>
      <c r="AA12" s="850" t="n">
        <f>'Haver Pivoted'!Y31</f>
        <v>137.80000000000001</v>
      </c>
      <c r="AB12" s="850" t="n">
        <f>'Haver Pivoted'!Z31</f>
        <v>141.30000000000001</v>
      </c>
      <c r="AC12" s="850" t="n">
        <f>'Haver Pivoted'!AA31</f>
        <v>139.6</v>
      </c>
      <c r="AD12" s="850" t="n">
        <f>'Haver Pivoted'!AB31</f>
        <v>145.4</v>
      </c>
      <c r="AE12" s="859" t="n">
        <f t="shared" ref="AE12:AN12" si="0">SUM(AE14:AE32)-AE30</f>
        <v>165.61118016848951</v>
      </c>
      <c r="AF12" s="859" t="n">
        <f t="shared" si="0"/>
        <v>140.22783391491464</v>
      </c>
      <c r="AG12" s="859" t="n">
        <f t="shared" si="0"/>
        <v>141.52023516601867</v>
      </c>
      <c r="AH12" s="859" t="n">
        <f t="shared" si="0"/>
        <v>141.45866332068553</v>
      </c>
      <c r="AI12" s="859" t="n">
        <f t="shared" si="0"/>
        <v>143.12957740502145</v>
      </c>
      <c r="AJ12" s="859" t="n">
        <f t="shared" si="0"/>
        <v>136.65270827667229</v>
      </c>
      <c r="AK12" s="859" t="n">
        <f t="shared" si="0"/>
        <v>143.61899833594825</v>
      </c>
      <c r="AL12" s="859" t="n">
        <f t="shared" si="0"/>
        <v>146.30660270351507</v>
      </c>
      <c r="AM12" s="859" t="n">
        <f t="shared" si="0"/>
        <v>148.99905133213088</v>
      </c>
      <c r="AN12" s="859" t="n">
        <f t="shared" si="0"/>
        <v>129.72071799879751</v>
      </c>
    </row>
    <row r="13">
      <c r="B13" s="431"/>
      <c r="C13" s="289"/>
      <c r="D13" s="764"/>
      <c r="E13" s="657"/>
      <c r="F13" s="657"/>
      <c r="G13" s="657"/>
      <c r="H13" s="657"/>
      <c r="I13" s="657"/>
      <c r="J13" s="657"/>
      <c r="K13" s="657"/>
      <c r="L13" s="657"/>
      <c r="M13" s="657"/>
      <c r="N13" s="657"/>
      <c r="O13" s="657"/>
      <c r="P13" s="289"/>
      <c r="Q13" s="286"/>
      <c r="R13" s="286"/>
      <c r="S13" s="286"/>
      <c r="T13" s="859" t="n">
        <f t="shared" ref="T13:AC13" si="1">T12-S12</f>
        <v>6.7999999999999972</v>
      </c>
      <c r="U13" s="859" t="n">
        <f t="shared" si="1"/>
        <v>6.6000000000000085</v>
      </c>
      <c r="V13" s="859" t="n">
        <f t="shared" si="1"/>
        <v>5.7000000000000028</v>
      </c>
      <c r="W13" s="859" t="n">
        <f t="shared" si="1"/>
        <v>5.5999999999999943</v>
      </c>
      <c r="X13" s="859" t="n">
        <f t="shared" si="1"/>
        <v>8.5</v>
      </c>
      <c r="Y13" s="859" t="n">
        <f t="shared" si="1"/>
        <v>13.699999999999989</v>
      </c>
      <c r="Z13" s="859" t="n">
        <f t="shared" si="1"/>
        <v>2.6000000000000227</v>
      </c>
      <c r="AA13" s="859" t="n">
        <f t="shared" si="1"/>
        <v>1</v>
      </c>
      <c r="AB13" s="859" t="n">
        <f t="shared" si="1"/>
        <v>3.5</v>
      </c>
      <c r="AC13" s="859" t="n">
        <f t="shared" si="1"/>
        <v>-1.7000000000000171</v>
      </c>
      <c r="AD13" s="859" t="n">
        <f>AD12-AC12</f>
        <v>5.8000000000000114</v>
      </c>
      <c r="AE13" s="257"/>
      <c r="AF13" s="257"/>
      <c r="AG13" s="257"/>
      <c r="AH13" s="257"/>
      <c r="AI13" s="257"/>
      <c r="AJ13" s="257"/>
      <c r="AK13" s="257"/>
      <c r="AL13" s="257"/>
      <c r="AM13" s="257"/>
      <c r="AN13" s="257"/>
    </row>
    <row r="14">
      <c r="B14" s="865" t="s">
        <v>1739</v>
      </c>
      <c r="C14" s="289"/>
      <c r="D14" s="764" t="n">
        <f>'Unemployment Insurance'!D21+'Unemployment Insurance'!D20</f>
        <v>2.9</v>
      </c>
      <c r="E14" s="657" t="n">
        <f>'Unemployment Insurance'!E21+'Unemployment Insurance'!E20</f>
        <v>3.9</v>
      </c>
      <c r="F14" s="657" t="n">
        <f>'Unemployment Insurance'!F21+'Unemployment Insurance'!F20</f>
        <v>4.5999999999999996</v>
      </c>
      <c r="G14" s="657" t="n">
        <f>'Unemployment Insurance'!G21+'Unemployment Insurance'!G20</f>
        <v>5.4</v>
      </c>
      <c r="H14" s="657" t="n">
        <f>'Unemployment Insurance'!H21+'Unemployment Insurance'!H20</f>
        <v>5.7</v>
      </c>
      <c r="I14" s="657" t="n">
        <f>'Unemployment Insurance'!I21+'Unemployment Insurance'!I20</f>
        <v>6.3</v>
      </c>
      <c r="J14" s="657" t="n">
        <f>'Unemployment Insurance'!J21+'Unemployment Insurance'!J20</f>
        <v>6.3</v>
      </c>
      <c r="K14" s="657" t="n">
        <f>'Unemployment Insurance'!K21+'Unemployment Insurance'!K20</f>
        <v>6.3</v>
      </c>
      <c r="L14" s="657" t="n">
        <f>'Unemployment Insurance'!L21+'Unemployment Insurance'!L20</f>
        <v>6.5</v>
      </c>
      <c r="M14" s="657" t="n">
        <f>'Unemployment Insurance'!M21+'Unemployment Insurance'!M20</f>
        <v>6.9</v>
      </c>
      <c r="N14" s="657" t="n">
        <f>'Unemployment Insurance'!N21+'Unemployment Insurance'!N20</f>
        <v>5.8</v>
      </c>
      <c r="O14" s="657" t="n">
        <f>'Unemployment Insurance'!O21+'Unemployment Insurance'!O20</f>
        <v>5</v>
      </c>
      <c r="P14" s="657" t="n">
        <f>'Unemployment Insurance'!P21+'Unemployment Insurance'!P20</f>
        <v>4.5999999999999996</v>
      </c>
      <c r="Q14" s="657" t="n">
        <f>'Unemployment Insurance'!Q21+'Unemployment Insurance'!Q20</f>
        <v>4.5</v>
      </c>
      <c r="R14" s="657" t="n">
        <f>'Unemployment Insurance'!R21+'Unemployment Insurance'!R20</f>
        <v>4.5</v>
      </c>
      <c r="S14" s="657" t="n">
        <f>'Unemployment Insurance'!S21+'Unemployment Insurance'!S20</f>
        <v>4.7</v>
      </c>
      <c r="T14" s="657" t="n">
        <f>'Unemployment Insurance'!T21+'Unemployment Insurance'!T20</f>
        <v>5.8</v>
      </c>
      <c r="U14" s="657" t="n">
        <f>'Unemployment Insurance'!U21+'Unemployment Insurance'!U20</f>
        <v>6.7</v>
      </c>
      <c r="V14" s="850" t="n">
        <f t="shared" ref="V14:AA14" si="2">V15+V16</f>
        <v>6.8914285714285715</v>
      </c>
      <c r="W14" s="850" t="n">
        <f t="shared" si="2"/>
        <v>6.8914285714285715</v>
      </c>
      <c r="X14" s="850" t="n">
        <f t="shared" si="2"/>
        <v>14.2</v>
      </c>
      <c r="Y14" s="850" t="n">
        <f t="shared" si="2"/>
        <v>19.399999999999999</v>
      </c>
      <c r="Z14" s="850" t="n">
        <f t="shared" si="2"/>
        <v>20.2</v>
      </c>
      <c r="AA14" s="850" t="n">
        <f t="shared" si="2"/>
        <v>18.8</v>
      </c>
      <c r="AB14" s="850" t="n">
        <f t="shared" ref="AB14:AC14" si="3">AB15+AB16</f>
        <v>17.7</v>
      </c>
      <c r="AC14" s="850" t="n">
        <f t="shared" si="3"/>
        <v>16.3</v>
      </c>
      <c r="AD14" s="850" t="n">
        <f>AD15+AD16</f>
        <v>16.100000000000001</v>
      </c>
      <c r="AE14" s="859" t="n">
        <f>'Unemployment Insurance'!AE21+'Unemployment Insurance'!AE20</f>
        <v>35.700000000000003</v>
      </c>
      <c r="AF14" s="859" t="n">
        <f>'Unemployment Insurance'!AF21+'Unemployment Insurance'!AF20</f>
        <v>35.700000000000003</v>
      </c>
      <c r="AG14" s="859" t="n">
        <f>'Unemployment Insurance'!AG21+'Unemployment Insurance'!AG20</f>
        <v>35.700000000000003</v>
      </c>
      <c r="AH14" s="859" t="n">
        <f>'Unemployment Insurance'!AH21+'Unemployment Insurance'!AH20</f>
        <v>35.700000000000003</v>
      </c>
      <c r="AI14" s="859" t="n">
        <f>'Unemployment Insurance'!AI21+'Unemployment Insurance'!AI20</f>
        <v>35.700000000000003</v>
      </c>
      <c r="AJ14" s="859" t="n">
        <f>'Unemployment Insurance'!AJ21+'Unemployment Insurance'!AJ20</f>
        <v>35.700000000000003</v>
      </c>
      <c r="AK14" s="859" t="n">
        <f>'Unemployment Insurance'!AK21+'Unemployment Insurance'!AK20</f>
        <v>36.700000000000003</v>
      </c>
      <c r="AL14" s="859" t="n">
        <f>'Unemployment Insurance'!AL21+'Unemployment Insurance'!AL20</f>
        <v>37.700000000000003</v>
      </c>
      <c r="AM14" s="859" t="n">
        <f>'Unemployment Insurance'!AM21+'Unemployment Insurance'!AM20</f>
        <v>38.700000000000003</v>
      </c>
      <c r="AN14" s="859" t="n">
        <f>'Unemployment Insurance'!AN21+'Unemployment Insurance'!AN20</f>
        <v>39.700000000000003</v>
      </c>
    </row>
    <row r="15">
      <c r="B15" s="562" t="s">
        <v>136</v>
      </c>
      <c r="C15" s="289"/>
      <c r="D15" s="764"/>
      <c r="E15" s="657"/>
      <c r="F15" s="657"/>
      <c r="G15" s="657"/>
      <c r="H15" s="657"/>
      <c r="I15" s="657"/>
      <c r="J15" s="657"/>
      <c r="K15" s="657"/>
      <c r="L15" s="657"/>
      <c r="M15" s="657"/>
      <c r="N15" s="657"/>
      <c r="O15" s="657"/>
      <c r="P15" s="657"/>
      <c r="Q15" s="657"/>
      <c r="R15" s="657"/>
      <c r="S15" s="657"/>
      <c r="T15" s="657"/>
      <c r="U15" s="657"/>
      <c r="V15" s="850" t="n">
        <f>'Unemployment Insurance'!V20</f>
        <v>0</v>
      </c>
      <c r="W15" s="850" t="n">
        <f>'Unemployment Insurance'!W20</f>
        <v>0</v>
      </c>
      <c r="X15" s="850" t="n">
        <f>'Unemployment Insurance'!X20</f>
        <v>7.3736571428571427</v>
      </c>
      <c r="Y15" s="850" t="n">
        <f>'Unemployment Insurance'!Y20</f>
        <v>12.317142857142855</v>
      </c>
      <c r="Z15" s="850" t="n">
        <f>'Unemployment Insurance'!Z20</f>
        <v>-14.7</v>
      </c>
      <c r="AA15" s="850" t="n">
        <f>'Unemployment Insurance'!AA20</f>
        <v>-16.900000000000002</v>
      </c>
      <c r="AB15" s="850" t="n">
        <f>'Unemployment Insurance'!AB20</f>
        <v>-18.000000000000004</v>
      </c>
      <c r="AC15" s="850" t="n">
        <f>'Unemployment Insurance'!AC20</f>
        <v>-19.400000000000002</v>
      </c>
      <c r="AD15" s="850" t="n">
        <f>'Unemployment Insurance'!AD20</f>
        <v>-19.600000000000001</v>
      </c>
      <c r="AE15" s="859"/>
      <c r="AF15" s="859"/>
      <c r="AG15" s="859"/>
      <c r="AH15" s="859"/>
      <c r="AI15" s="859"/>
      <c r="AJ15" s="859"/>
      <c r="AK15" s="859"/>
      <c r="AL15" s="859"/>
      <c r="AM15" s="859"/>
      <c r="AN15" s="859"/>
    </row>
    <row r="16">
      <c r="B16" s="562" t="s">
        <v>138</v>
      </c>
      <c r="C16" s="289"/>
      <c r="D16" s="764"/>
      <c r="E16" s="657"/>
      <c r="F16" s="657"/>
      <c r="G16" s="657"/>
      <c r="H16" s="657"/>
      <c r="I16" s="657"/>
      <c r="J16" s="657"/>
      <c r="K16" s="657"/>
      <c r="L16" s="657"/>
      <c r="M16" s="657"/>
      <c r="N16" s="657"/>
      <c r="O16" s="657"/>
      <c r="P16" s="657"/>
      <c r="Q16" s="657"/>
      <c r="R16" s="657"/>
      <c r="S16" s="657"/>
      <c r="T16" s="657"/>
      <c r="U16" s="657"/>
      <c r="V16" s="850" t="n">
        <f>'Unemployment Insurance'!V21</f>
        <v>6.8914285714285715</v>
      </c>
      <c r="W16" s="850" t="n">
        <f>'Unemployment Insurance'!W21</f>
        <v>6.8914285714285715</v>
      </c>
      <c r="X16" s="850" t="n">
        <f>'Unemployment Insurance'!X21</f>
        <v>6.8263428571428566</v>
      </c>
      <c r="Y16" s="850" t="n">
        <f>'Unemployment Insurance'!Y21</f>
        <v>7.0828571428571427</v>
      </c>
      <c r="Z16" s="850" t="n">
        <f>'Unemployment Insurance'!Z21</f>
        <v>34.9</v>
      </c>
      <c r="AA16" s="850" t="n">
        <f>'Unemployment Insurance'!AA21</f>
        <v>35.700000000000003</v>
      </c>
      <c r="AB16" s="850" t="n">
        <f>'Unemployment Insurance'!AB21</f>
        <v>35.700000000000003</v>
      </c>
      <c r="AC16" s="850" t="n">
        <f>'Unemployment Insurance'!AC21</f>
        <v>35.700000000000003</v>
      </c>
      <c r="AD16" s="850" t="n">
        <f>'Unemployment Insurance'!AD21</f>
        <v>35.700000000000003</v>
      </c>
      <c r="AE16" s="859"/>
      <c r="AF16" s="859"/>
      <c r="AG16" s="859"/>
      <c r="AH16" s="859"/>
      <c r="AI16" s="859"/>
      <c r="AJ16" s="859"/>
      <c r="AK16" s="859"/>
      <c r="AL16" s="859"/>
      <c r="AM16" s="859"/>
      <c r="AN16" s="859"/>
    </row>
    <row r="17" ht="17.899999999999999" customHeight="1">
      <c r="B17" s="865" t="s">
        <v>46</v>
      </c>
      <c r="C17" s="289"/>
      <c r="D17" s="764" t="n">
        <f>Medicare!D10</f>
        <v>7</v>
      </c>
      <c r="E17" s="657" t="n">
        <f>Medicare!E10</f>
        <v>7.2</v>
      </c>
      <c r="F17" s="657" t="n">
        <f>Medicare!F10</f>
        <v>7.3</v>
      </c>
      <c r="G17" s="657" t="n">
        <f>Medicare!G10</f>
        <v>7.5</v>
      </c>
      <c r="H17" s="657" t="n">
        <f>Medicare!H10</f>
        <v>7.8</v>
      </c>
      <c r="I17" s="657" t="n">
        <f>Medicare!I10</f>
        <v>8</v>
      </c>
      <c r="J17" s="657" t="n">
        <f>Medicare!J10</f>
        <v>8.1</v>
      </c>
      <c r="K17" s="657" t="n">
        <f>Medicare!K10</f>
        <v>8.3000000000000007</v>
      </c>
      <c r="L17" s="657" t="n">
        <f>Medicare!L10</f>
        <v>8.5</v>
      </c>
      <c r="M17" s="657" t="n">
        <f>Medicare!M10</f>
        <v>8.6999999999999993</v>
      </c>
      <c r="N17" s="657" t="n">
        <f>Medicare!N10</f>
        <v>8.9</v>
      </c>
      <c r="O17" s="657" t="n">
        <f>Medicare!O10</f>
        <v>9.1999999999999993</v>
      </c>
      <c r="P17" s="657" t="n">
        <f>Medicare!P10</f>
        <v>9.5</v>
      </c>
      <c r="Q17" s="657" t="n">
        <f>Medicare!Q10</f>
        <v>10</v>
      </c>
      <c r="R17" s="657" t="n">
        <f>Medicare!R10</f>
        <v>10.5</v>
      </c>
      <c r="S17" s="657" t="n">
        <f>Medicare!S10</f>
        <v>11</v>
      </c>
      <c r="T17" s="657" t="n">
        <f>Medicare!T10</f>
        <v>11.7</v>
      </c>
      <c r="U17" s="657" t="n">
        <f>Medicare!U10</f>
        <v>12.4</v>
      </c>
      <c r="V17" s="657" t="n">
        <f>Medicare!V10</f>
        <v>13.1</v>
      </c>
      <c r="W17" s="657" t="n">
        <f>Medicare!W10</f>
        <v>13.8</v>
      </c>
      <c r="X17" s="859" t="n">
        <f>Medicare!X10</f>
        <v>14.5</v>
      </c>
      <c r="Y17" s="859" t="n">
        <f>Medicare!Y10</f>
        <v>15.2</v>
      </c>
      <c r="Z17" s="859" t="n">
        <f>Medicare!Z10</f>
        <v>16</v>
      </c>
      <c r="AA17" s="859" t="n">
        <f>Medicare!AA10</f>
        <v>16.8</v>
      </c>
      <c r="AB17" s="859" t="n">
        <f>Medicare!AB10</f>
        <v>17.600000000000001</v>
      </c>
      <c r="AC17" s="859" t="n">
        <f>Medicare!AC10</f>
        <v>18.399999999999999</v>
      </c>
      <c r="AD17" s="859" t="n">
        <f>Medicare!AD10</f>
        <v>19.2</v>
      </c>
      <c r="AE17" s="859" t="n">
        <f>Medicare!AE10</f>
        <v>19.444513501822815</v>
      </c>
      <c r="AF17" s="859" t="n">
        <f>Medicare!AF10</f>
        <v>19.73550058158127</v>
      </c>
      <c r="AG17" s="859" t="n">
        <f>Medicare!AG10</f>
        <v>20.030842282018636</v>
      </c>
      <c r="AH17" s="859" t="n">
        <f>Medicare!AH10</f>
        <v>20.330603770018858</v>
      </c>
      <c r="AI17" s="859" t="n">
        <f>Medicare!AI10</f>
        <v>20.634851187688085</v>
      </c>
      <c r="AJ17" s="859" t="n">
        <f>Medicare!AJ10</f>
        <v>20.946315392672279</v>
      </c>
      <c r="AK17" s="859" t="n">
        <f>Medicare!AK10</f>
        <v>21.262480864949563</v>
      </c>
      <c r="AL17" s="859" t="n">
        <f>Medicare!AL10</f>
        <v>21.583418565849705</v>
      </c>
      <c r="AM17" s="859" t="n">
        <f>Medicare!AM10</f>
        <v>21.909200527798841</v>
      </c>
      <c r="AN17" s="859" t="n">
        <f>Medicare!AN10</f>
        <v>21.909200527798841</v>
      </c>
    </row>
    <row r="18" ht="18" customHeight="1">
      <c r="B18" s="866" t="s">
        <v>379</v>
      </c>
      <c r="C18" s="289"/>
      <c r="D18" s="419"/>
      <c r="E18" s="286"/>
      <c r="F18" s="286"/>
      <c r="G18" s="286"/>
      <c r="H18" s="657" t="n">
        <f>'Rebate Checks (expired)'!H10 +'Rebate Checks (expired)'!H11</f>
        <v>0</v>
      </c>
      <c r="I18" s="657" t="n">
        <f>'Rebate Checks (expired)'!I10 +'Rebate Checks (expired)'!I11</f>
        <v>0</v>
      </c>
      <c r="J18" s="657" t="n">
        <f>'Rebate Checks (expired)'!J10 +'Rebate Checks (expired)'!J11</f>
        <v>0</v>
      </c>
      <c r="K18" s="657" t="n">
        <f>'Rebate Checks (expired)'!K10 +'Rebate Checks (expired)'!K11</f>
        <v>0</v>
      </c>
      <c r="L18" s="657" t="n">
        <f>'Rebate Checks (expired)'!L10 +'Rebate Checks (expired)'!L11</f>
        <v>0</v>
      </c>
      <c r="M18" s="657" t="n">
        <f>'Rebate Checks (expired)'!M10 +'Rebate Checks (expired)'!M11</f>
        <v>0</v>
      </c>
      <c r="N18" s="657" t="n">
        <f>'Rebate Checks (expired)'!N10 +'Rebate Checks (expired)'!N11</f>
        <v>0</v>
      </c>
      <c r="O18" s="657" t="n">
        <f>'Rebate Checks (expired)'!O10 +'Rebate Checks (expired)'!O11</f>
        <v>0</v>
      </c>
      <c r="P18" s="657" t="n">
        <f>'Rebate Checks (expired)'!P10 +'Rebate Checks (expired)'!P11</f>
        <v>0</v>
      </c>
      <c r="Q18" s="657" t="n">
        <f>'Rebate Checks (expired)'!Q10 +'Rebate Checks (expired)'!Q11</f>
        <v>0</v>
      </c>
      <c r="R18" s="657" t="n">
        <f>'Rebate Checks (expired)'!Q10 +'Rebate Checks (expired)'!R11</f>
        <v>0</v>
      </c>
      <c r="S18" s="657" t="n">
        <f>'Rebate Checks (expired)'!S10 +'Rebate Checks (expired)'!S11</f>
        <v>0</v>
      </c>
      <c r="T18" s="657" t="n">
        <f>'Rebate Checks (expired)'!T10 +'Rebate Checks (expired)'!T11</f>
        <v>0</v>
      </c>
      <c r="U18" s="657" t="n">
        <f>'Rebate Checks (expired)'!U10 +'Rebate Checks (expired)'!U11</f>
        <v>0</v>
      </c>
      <c r="V18" s="850" t="n">
        <f t="shared" ref="V18:AA18" si="4">V19+V20</f>
        <v>0</v>
      </c>
      <c r="W18" s="850" t="n">
        <f t="shared" si="4"/>
        <v>0</v>
      </c>
      <c r="X18" s="850" t="n">
        <f t="shared" si="4"/>
        <v>0</v>
      </c>
      <c r="Y18" s="850" t="n">
        <f t="shared" si="4"/>
        <v>0</v>
      </c>
      <c r="Z18" s="850" t="n">
        <f t="shared" si="4"/>
        <v>0</v>
      </c>
      <c r="AA18" s="850" t="n">
        <f t="shared" si="4"/>
        <v>0</v>
      </c>
      <c r="AB18" s="850" t="n">
        <f>AB19+AB20</f>
        <v>0</v>
      </c>
      <c r="AC18" s="850" t="n">
        <f>AC19+AC20</f>
        <v>0</v>
      </c>
      <c r="AD18" s="850" t="n">
        <f>AD19+AD20</f>
        <v>0</v>
      </c>
      <c r="AE18" s="859" t="n">
        <f>'Rebate Checks (expired)'!AE10 +'Rebate Checks (expired)'!AE11</f>
        <v>0</v>
      </c>
      <c r="AF18" s="859" t="n">
        <f>'Rebate Checks (expired)'!AF10 +'Rebate Checks (expired)'!AF11</f>
        <v>0</v>
      </c>
      <c r="AG18" s="859" t="n">
        <f>'Rebate Checks (expired)'!AG10 +'Rebate Checks (expired)'!AG11</f>
        <v>0</v>
      </c>
      <c r="AH18" s="859" t="n">
        <f>'Rebate Checks (expired)'!AH10 +'Rebate Checks (expired)'!AH11</f>
        <v>0</v>
      </c>
      <c r="AI18" s="859" t="n">
        <f>'Rebate Checks (expired)'!AI10 +'Rebate Checks (expired)'!AI11</f>
        <v>0</v>
      </c>
      <c r="AJ18" s="859" t="n">
        <f>'Rebate Checks (expired)'!AJ10 +'Rebate Checks (expired)'!AJ11</f>
        <v>0</v>
      </c>
      <c r="AK18" s="859" t="n">
        <f>'Rebate Checks (expired)'!AK10 +'Rebate Checks (expired)'!AK11</f>
        <v>0</v>
      </c>
      <c r="AL18" s="859" t="n">
        <f>'Rebate Checks (expired)'!AL10 +'Rebate Checks (expired)'!AL11</f>
        <v>0</v>
      </c>
      <c r="AM18" s="859" t="n">
        <f>'Rebate Checks (expired)'!AM10 +'Rebate Checks (expired)'!AM11</f>
        <v>0</v>
      </c>
      <c r="AN18" s="859" t="n">
        <f>'Rebate Checks (expired)'!AN10 +'Rebate Checks (expired)'!AN11</f>
        <v>0</v>
      </c>
    </row>
    <row r="19" ht="18" customHeight="1">
      <c r="B19" s="867" t="s">
        <v>1740</v>
      </c>
      <c r="C19" s="289"/>
      <c r="D19" s="419"/>
      <c r="E19" s="286"/>
      <c r="F19" s="286"/>
      <c r="G19" s="286"/>
      <c r="H19" s="657"/>
      <c r="I19" s="657"/>
      <c r="J19" s="657"/>
      <c r="K19" s="657"/>
      <c r="L19" s="657"/>
      <c r="M19" s="657"/>
      <c r="N19" s="657"/>
      <c r="O19" s="657"/>
      <c r="P19" s="657"/>
      <c r="Q19" s="657"/>
      <c r="R19" s="657"/>
      <c r="S19" s="657"/>
      <c r="T19" s="657"/>
      <c r="U19" s="657"/>
      <c r="V19" s="657" t="n">
        <v>0</v>
      </c>
      <c r="W19" s="657"/>
      <c r="X19" s="859"/>
      <c r="Y19" s="859"/>
      <c r="Z19" s="859"/>
      <c r="AA19" s="859"/>
      <c r="AB19" s="859"/>
      <c r="AC19" s="859"/>
      <c r="AD19" s="859"/>
      <c r="AE19" s="859"/>
      <c r="AF19" s="859"/>
      <c r="AG19" s="859"/>
      <c r="AH19" s="859"/>
      <c r="AI19" s="859"/>
      <c r="AJ19" s="859"/>
      <c r="AK19" s="859"/>
      <c r="AL19" s="859"/>
      <c r="AM19" s="859"/>
      <c r="AN19" s="859"/>
    </row>
    <row r="20" ht="18" customHeight="1">
      <c r="B20" s="867" t="s">
        <v>1741</v>
      </c>
      <c r="C20" s="289"/>
      <c r="D20" s="419"/>
      <c r="E20" s="286"/>
      <c r="F20" s="286"/>
      <c r="G20" s="286"/>
      <c r="H20" s="657"/>
      <c r="I20" s="657"/>
      <c r="J20" s="657"/>
      <c r="K20" s="657"/>
      <c r="L20" s="657"/>
      <c r="M20" s="657"/>
      <c r="N20" s="657"/>
      <c r="O20" s="657"/>
      <c r="P20" s="657"/>
      <c r="Q20" s="657"/>
      <c r="R20" s="657"/>
      <c r="S20" s="657"/>
      <c r="T20" s="657"/>
      <c r="U20" s="657"/>
      <c r="V20" s="657" t="n">
        <v>0</v>
      </c>
      <c r="W20" s="657"/>
      <c r="X20" s="859"/>
      <c r="Y20" s="859"/>
      <c r="Z20" s="859"/>
      <c r="AA20" s="859"/>
      <c r="AB20" s="859"/>
      <c r="AC20" s="859"/>
      <c r="AD20" s="859"/>
      <c r="AE20" s="859"/>
      <c r="AF20" s="859"/>
      <c r="AG20" s="859"/>
      <c r="AH20" s="859"/>
      <c r="AI20" s="859"/>
      <c r="AJ20" s="859"/>
      <c r="AK20" s="859"/>
      <c r="AL20" s="859"/>
      <c r="AM20" s="859"/>
      <c r="AN20" s="859"/>
    </row>
    <row r="21" ht="18" customHeight="1">
      <c r="B21" s="868" t="s">
        <v>40</v>
      </c>
      <c r="C21" s="289"/>
      <c r="D21" s="418" t="n">
        <f>'Provider Relief (expired)'!D11</f>
        <v>0</v>
      </c>
      <c r="E21" s="392" t="n">
        <f>'Provider Relief (expired)'!E11</f>
        <v>0</v>
      </c>
      <c r="F21" s="392" t="n">
        <f>'Provider Relief (expired)'!F11</f>
        <v>0</v>
      </c>
      <c r="G21" s="392" t="n">
        <f>'Provider Relief (expired)'!G11</f>
        <v>0</v>
      </c>
      <c r="H21" s="392" t="n">
        <f>'Provider Relief (expired)'!H11</f>
        <v>0</v>
      </c>
      <c r="I21" s="392" t="n">
        <f>'Provider Relief (expired)'!I11</f>
        <v>0</v>
      </c>
      <c r="J21" s="392" t="n">
        <f>'Provider Relief (expired)'!J11</f>
        <v>0</v>
      </c>
      <c r="K21" s="392" t="n">
        <f>'Provider Relief (expired)'!K11</f>
        <v>0</v>
      </c>
      <c r="L21" s="392" t="n">
        <f>'Provider Relief (expired)'!L11</f>
        <v>0</v>
      </c>
      <c r="M21" s="392" t="n">
        <f>'Provider Relief (expired)'!M11</f>
        <v>0</v>
      </c>
      <c r="N21" s="392" t="n">
        <f>'Provider Relief (expired)'!N11</f>
        <v>0</v>
      </c>
      <c r="O21" s="392" t="n">
        <f>'Provider Relief (expired)'!O11</f>
        <v>0</v>
      </c>
      <c r="P21" s="392" t="n">
        <f>'Provider Relief (expired)'!P11</f>
        <v>0</v>
      </c>
      <c r="Q21" s="392" t="n">
        <f>'Provider Relief (expired)'!Q11</f>
        <v>0</v>
      </c>
      <c r="R21" s="392" t="n">
        <f>'Provider Relief (expired)'!R11</f>
        <v>0</v>
      </c>
      <c r="S21" s="392" t="n">
        <f>'Provider Relief (expired)'!S11</f>
        <v>0</v>
      </c>
      <c r="T21" s="392" t="n">
        <f>'Provider Relief (expired)'!T11</f>
        <v>0</v>
      </c>
      <c r="U21" s="392" t="n">
        <v>0</v>
      </c>
      <c r="V21" s="657" t="n">
        <v>0</v>
      </c>
      <c r="W21" s="657" t="n">
        <v>0</v>
      </c>
      <c r="X21" s="859" t="n">
        <v>0</v>
      </c>
      <c r="Y21" s="859" t="n">
        <v>0</v>
      </c>
      <c r="Z21" s="859" t="n">
        <v>0</v>
      </c>
      <c r="AA21" s="859" t="n">
        <v>0</v>
      </c>
      <c r="AB21" s="859" t="n">
        <v>0</v>
      </c>
      <c r="AC21" s="859" t="n">
        <v>0</v>
      </c>
      <c r="AD21" s="859" t="n">
        <v>0</v>
      </c>
      <c r="AE21" s="859" t="n">
        <v>0</v>
      </c>
      <c r="AF21" s="859" t="n">
        <v>0</v>
      </c>
      <c r="AG21" s="859" t="n">
        <v>0</v>
      </c>
      <c r="AH21" s="859" t="n">
        <v>0</v>
      </c>
      <c r="AI21" s="859" t="n">
        <v>0</v>
      </c>
      <c r="AJ21" s="859" t="n">
        <v>0</v>
      </c>
      <c r="AK21" s="859" t="n">
        <v>0</v>
      </c>
      <c r="AL21" s="859" t="n">
        <v>0</v>
      </c>
      <c r="AM21" s="859" t="n">
        <v>0</v>
      </c>
      <c r="AN21" s="859" t="n">
        <v>0</v>
      </c>
    </row>
    <row r="22" ht="18" customHeight="1">
      <c r="B22" s="431" t="s">
        <v>1742</v>
      </c>
      <c r="C22" s="289"/>
      <c r="D22" s="418"/>
      <c r="E22" s="392"/>
      <c r="F22" s="392"/>
      <c r="G22" s="392"/>
      <c r="H22" s="392"/>
      <c r="I22" s="392"/>
      <c r="J22" s="392"/>
      <c r="K22" s="392"/>
      <c r="L22" s="392"/>
      <c r="M22" s="392"/>
      <c r="N22" s="392"/>
      <c r="O22" s="392"/>
      <c r="P22" s="392"/>
      <c r="Q22" s="392"/>
      <c r="R22" s="392"/>
      <c r="S22" s="392"/>
      <c r="T22" s="392"/>
      <c r="U22" s="392"/>
      <c r="V22" s="657"/>
      <c r="W22" s="657"/>
      <c r="X22" s="859"/>
      <c r="Y22" s="859"/>
      <c r="Z22" s="859"/>
      <c r="AA22" s="859"/>
      <c r="AB22" s="859"/>
      <c r="AC22" s="859"/>
      <c r="AD22" s="859"/>
      <c r="AE22" s="859"/>
      <c r="AF22" s="859"/>
      <c r="AG22" s="859"/>
      <c r="AH22" s="859"/>
      <c r="AI22" s="859"/>
      <c r="AJ22" s="859"/>
      <c r="AK22" s="859"/>
      <c r="AL22" s="859"/>
      <c r="AM22" s="859"/>
      <c r="AN22" s="859"/>
    </row>
    <row r="23" ht="18" customHeight="1">
      <c r="B23" s="431" t="s">
        <v>1743</v>
      </c>
      <c r="C23" s="289"/>
      <c r="D23" s="418"/>
      <c r="E23" s="392"/>
      <c r="F23" s="392"/>
      <c r="G23" s="392"/>
      <c r="H23" s="392"/>
      <c r="I23" s="392"/>
      <c r="J23" s="392"/>
      <c r="K23" s="392"/>
      <c r="L23" s="392"/>
      <c r="M23" s="392"/>
      <c r="N23" s="392"/>
      <c r="O23" s="392"/>
      <c r="P23" s="392"/>
      <c r="Q23" s="392"/>
      <c r="R23" s="392"/>
      <c r="S23" s="392"/>
      <c r="T23" s="392"/>
      <c r="U23" s="392"/>
      <c r="V23" s="657"/>
      <c r="W23" s="657"/>
      <c r="X23" s="859"/>
      <c r="Y23" s="859"/>
      <c r="Z23" s="859"/>
      <c r="AA23" s="859"/>
      <c r="AB23" s="859"/>
      <c r="AC23" s="859"/>
      <c r="AD23" s="859"/>
      <c r="AE23" s="859"/>
      <c r="AF23" s="859"/>
      <c r="AG23" s="859"/>
      <c r="AH23" s="859"/>
      <c r="AI23" s="859"/>
      <c r="AJ23" s="859"/>
      <c r="AK23" s="859"/>
      <c r="AL23" s="859"/>
      <c r="AM23" s="859"/>
      <c r="AN23" s="859"/>
    </row>
    <row r="24" ht="20.149999999999999" customHeight="1">
      <c r="B24" s="416" t="s">
        <v>382</v>
      </c>
      <c r="C24" s="412"/>
      <c r="D24" s="896"/>
      <c r="E24" s="811"/>
      <c r="F24" s="811"/>
      <c r="G24" s="811"/>
      <c r="H24" s="738"/>
      <c r="I24" s="738"/>
      <c r="J24" s="738"/>
      <c r="K24" s="738"/>
      <c r="L24" s="738"/>
      <c r="M24" s="738" t="n">
        <f>'ARP Quarterly'!C5</f>
        <v>0</v>
      </c>
      <c r="N24" s="738" t="n">
        <f>'ARP Quarterly'!D5</f>
        <v>33.921840000000024</v>
      </c>
      <c r="O24" s="738" t="n">
        <f>'ARP Quarterly'!E5</f>
        <v>44.966160000000031</v>
      </c>
      <c r="P24" s="738" t="n">
        <f>'ARP Quarterly'!F5</f>
        <v>52.756999999999998</v>
      </c>
      <c r="Q24" s="738" t="n">
        <f>'ARP Quarterly'!G5</f>
        <v>52.756999999999998</v>
      </c>
      <c r="R24" s="738" t="n">
        <f>'ARP Quarterly'!H5</f>
        <v>52.756999999999998</v>
      </c>
      <c r="S24" s="738" t="n">
        <f>'ARP Quarterly'!I5</f>
        <v>52.756999999999998</v>
      </c>
      <c r="T24" s="738" t="n">
        <v>30</v>
      </c>
      <c r="U24" s="738" t="n">
        <f>'ARP Quarterly'!K5</f>
        <v>12</v>
      </c>
      <c r="V24" s="738" t="n">
        <f>'ARP Quarterly'!L5</f>
        <v>12</v>
      </c>
      <c r="W24" s="738" t="n">
        <f>'ARP Quarterly'!M5</f>
        <v>12</v>
      </c>
      <c r="X24" s="740" t="n">
        <f>'ARP Quarterly'!N5</f>
        <v>4.2219999999999995</v>
      </c>
      <c r="Y24" s="740" t="n">
        <f>'ARP Quarterly'!O5</f>
        <v>4.2219999999999995</v>
      </c>
      <c r="Z24" s="740" t="n">
        <f>'ARP Quarterly'!P5</f>
        <v>4.2219999999999995</v>
      </c>
      <c r="AA24" s="740" t="n">
        <f>'ARP Quarterly'!Q5</f>
        <v>4.2219999999999995</v>
      </c>
      <c r="AB24" s="740" t="n">
        <f>'ARP Quarterly'!R5</f>
        <v>2.3719999999999999</v>
      </c>
      <c r="AC24" s="740" t="n">
        <f>'ARP Quarterly'!S5</f>
        <v>2.3719999999999999</v>
      </c>
      <c r="AD24" s="740" t="n">
        <f>'ARP Quarterly'!T5</f>
        <v>2.3719999999999999</v>
      </c>
      <c r="AE24" s="740" t="n">
        <f>'ARP Quarterly'!U5</f>
        <v>2.3719999999999999</v>
      </c>
      <c r="AF24" s="740" t="n">
        <f>'ARP Quarterly'!V5</f>
        <v>0.49</v>
      </c>
      <c r="AG24" s="670" t="n">
        <v>0</v>
      </c>
      <c r="AH24" s="670" t="n">
        <v>0</v>
      </c>
      <c r="AI24" s="670" t="n">
        <v>0</v>
      </c>
      <c r="AJ24" s="670" t="n">
        <v>0</v>
      </c>
      <c r="AK24" s="670" t="n">
        <v>0</v>
      </c>
      <c r="AL24" s="670" t="n">
        <v>0</v>
      </c>
      <c r="AM24" s="670" t="n">
        <v>0</v>
      </c>
      <c r="AN24" s="670" t="n">
        <v>0</v>
      </c>
    </row>
    <row r="25" ht="22.4" customHeight="1">
      <c r="B25" s="401" t="s">
        <v>151</v>
      </c>
      <c r="C25" s="871"/>
      <c r="D25" s="418"/>
      <c r="E25" s="392"/>
      <c r="F25" s="392"/>
      <c r="G25" s="392"/>
      <c r="H25" s="392"/>
      <c r="I25" s="392"/>
      <c r="J25" s="392"/>
      <c r="K25" s="392"/>
      <c r="L25" s="392"/>
      <c r="M25" s="657" t="n">
        <f>'ARP Quarterly'!C4</f>
        <v>0</v>
      </c>
      <c r="N25" s="657" t="n">
        <f>'ARP Quarterly'!D4</f>
        <v>0</v>
      </c>
      <c r="O25" s="657" t="n">
        <f>'ARP Quarterly'!E4</f>
        <v>3.1040000000000418</v>
      </c>
      <c r="P25" s="657" t="n">
        <f>'ARP Quarterly'!F4</f>
        <v>19.719000000000005</v>
      </c>
      <c r="Q25" s="657" t="n">
        <f>'ARP Quarterly'!G4</f>
        <v>19.719000000000005</v>
      </c>
      <c r="R25" s="657" t="n">
        <f>'ARP Quarterly'!H4</f>
        <v>19.719000000000005</v>
      </c>
      <c r="S25" s="657" t="n">
        <f>'ARP Quarterly'!I4</f>
        <v>19.719000000000005</v>
      </c>
      <c r="T25" s="657" t="n">
        <f>'ARP Quarterly'!J4</f>
        <v>1.4159999999999999</v>
      </c>
      <c r="U25" s="657" t="n">
        <f>'ARP Quarterly'!K4</f>
        <v>1.4159999999999999</v>
      </c>
      <c r="V25" s="657" t="n">
        <f>'ARP Quarterly'!L4</f>
        <v>1.4159999999999999</v>
      </c>
      <c r="W25" s="657" t="n">
        <f>'ARP Quarterly'!M4</f>
        <v>1.4159999999999999</v>
      </c>
      <c r="X25" s="859" t="n">
        <f>'ARP Quarterly'!N4</f>
        <v>1.4790000000000001</v>
      </c>
      <c r="Y25" s="859" t="n">
        <f>'ARP Quarterly'!O4</f>
        <v>1.4790000000000001</v>
      </c>
      <c r="Z25" s="859" t="n">
        <f>'ARP Quarterly'!P4</f>
        <v>1.4790000000000001</v>
      </c>
      <c r="AA25" s="859" t="n">
        <f>'ARP Quarterly'!Q4</f>
        <v>1.4790000000000001</v>
      </c>
      <c r="AB25" s="859" t="n">
        <f>'ARP Quarterly'!R4</f>
        <v>1.63</v>
      </c>
      <c r="AC25" s="859" t="n">
        <f>'ARP Quarterly'!S4</f>
        <v>1.63</v>
      </c>
      <c r="AD25" s="859" t="n">
        <f>'ARP Quarterly'!T4</f>
        <v>1.63</v>
      </c>
      <c r="AE25" s="859" t="n">
        <f>'ARP Quarterly'!U4</f>
        <v>1.63</v>
      </c>
      <c r="AF25" s="859" t="n">
        <f>'ARP Quarterly'!V4</f>
        <v>1.671</v>
      </c>
      <c r="AG25" s="898" t="n">
        <v>0</v>
      </c>
      <c r="AH25" s="898" t="n">
        <v>0</v>
      </c>
      <c r="AI25" s="898" t="n">
        <v>0</v>
      </c>
      <c r="AJ25" s="898" t="n">
        <v>0</v>
      </c>
      <c r="AK25" s="898" t="n">
        <v>0</v>
      </c>
      <c r="AL25" s="898" t="n">
        <v>0</v>
      </c>
      <c r="AM25" s="898" t="n">
        <v>0</v>
      </c>
      <c r="AN25" s="898" t="n">
        <v>0</v>
      </c>
      <c r="AO25" s="871"/>
      <c r="AP25" s="871"/>
      <c r="AQ25" s="871"/>
      <c r="AR25" s="871"/>
      <c r="AS25" s="871"/>
      <c r="AT25" s="871"/>
      <c r="AU25" s="871"/>
      <c r="AV25" s="871"/>
      <c r="AW25" s="871"/>
      <c r="AX25" s="871"/>
      <c r="AY25" s="871"/>
      <c r="AZ25" s="871"/>
      <c r="BA25" s="871"/>
      <c r="BB25" s="871"/>
      <c r="BC25" s="871"/>
      <c r="BD25" s="871"/>
      <c r="BE25" s="871"/>
      <c r="BF25" s="871"/>
      <c r="BG25" s="871"/>
      <c r="BH25" s="871"/>
      <c r="BI25" s="871"/>
      <c r="BJ25" s="871"/>
      <c r="BK25" s="871"/>
      <c r="BL25" s="871"/>
      <c r="BM25" s="871"/>
      <c r="BN25" s="871"/>
      <c r="BO25" s="871"/>
      <c r="BP25" s="871"/>
      <c r="BQ25" s="871"/>
      <c r="BR25" s="871"/>
      <c r="BS25" s="871"/>
      <c r="BT25" s="871"/>
      <c r="BU25" s="871"/>
      <c r="BV25" s="871"/>
      <c r="BW25" s="871"/>
      <c r="BX25" s="871"/>
      <c r="BY25" s="871"/>
      <c r="BZ25" s="871"/>
      <c r="CA25" s="871"/>
      <c r="CB25" s="871"/>
      <c r="CC25" s="871"/>
      <c r="CD25" s="871"/>
      <c r="CE25" s="871"/>
      <c r="CF25" s="871"/>
      <c r="CG25" s="871"/>
      <c r="CH25" s="871"/>
      <c r="CI25" s="871"/>
      <c r="CJ25" s="871"/>
      <c r="CK25" s="871"/>
      <c r="CL25" s="871"/>
      <c r="CM25" s="871"/>
      <c r="CN25" s="871"/>
      <c r="CO25" s="871"/>
      <c r="CP25" s="871"/>
      <c r="CQ25" s="871"/>
      <c r="CR25" s="871"/>
      <c r="CS25" s="871"/>
      <c r="CT25" s="871"/>
      <c r="CU25" s="871"/>
      <c r="CV25" s="871"/>
      <c r="CW25" s="871"/>
      <c r="CX25" s="871"/>
    </row>
    <row r="26" ht="36.65" customHeight="1">
      <c r="B26" s="401" t="s">
        <v>1332</v>
      </c>
      <c r="C26" s="289"/>
      <c r="D26" s="419" t="n">
        <f>D51</f>
        <v>0</v>
      </c>
      <c r="E26" s="286" t="n">
        <f t="shared" ref="E26:AE26" si="5">E51</f>
        <v>0</v>
      </c>
      <c r="F26" s="286" t="n">
        <f t="shared" si="5"/>
        <v>0</v>
      </c>
      <c r="G26" s="286" t="n">
        <f t="shared" si="5"/>
        <v>0</v>
      </c>
      <c r="H26" s="286" t="n">
        <f t="shared" si="5"/>
        <v>0</v>
      </c>
      <c r="I26" s="657" t="n">
        <f t="shared" si="5"/>
        <v>0.23799999999999999</v>
      </c>
      <c r="J26" s="657" t="n">
        <f t="shared" si="5"/>
        <v>0.33799999999999986</v>
      </c>
      <c r="K26" s="657" t="n">
        <f t="shared" si="5"/>
        <v>0.51</v>
      </c>
      <c r="L26" s="657" t="n">
        <f t="shared" si="5"/>
        <v>0.47</v>
      </c>
      <c r="M26" s="657" t="n">
        <f t="shared" si="5"/>
        <v>0.46199999999999997</v>
      </c>
      <c r="N26" s="657" t="n">
        <f t="shared" si="5"/>
        <v>0.746</v>
      </c>
      <c r="O26" s="657" t="n">
        <f t="shared" si="5"/>
        <v>0.79400000000000004</v>
      </c>
      <c r="P26" s="657" t="n">
        <f t="shared" si="5"/>
        <v>0.79400000000000004</v>
      </c>
      <c r="Q26" s="657" t="n">
        <f t="shared" si="5"/>
        <v>0.78200000000000003</v>
      </c>
      <c r="R26" s="657" t="n">
        <f t="shared" si="5"/>
        <v>0.88600000000000012</v>
      </c>
      <c r="S26" s="657" t="n">
        <f t="shared" si="5"/>
        <v>0.92599999999999971</v>
      </c>
      <c r="T26" s="657" t="n">
        <f t="shared" si="5"/>
        <v>1.702</v>
      </c>
      <c r="U26" s="657" t="n">
        <f t="shared" si="5"/>
        <v>1.798</v>
      </c>
      <c r="V26" s="657" t="n">
        <f>V51</f>
        <v>2.258</v>
      </c>
      <c r="W26" s="657" t="n">
        <f>W51</f>
        <v>2.5259999999999998</v>
      </c>
      <c r="X26" s="859" t="n">
        <f t="shared" si="5"/>
        <v>3.0019999999999998</v>
      </c>
      <c r="Y26" s="859" t="n">
        <f t="shared" si="5"/>
        <v>3.1499999999999995</v>
      </c>
      <c r="Z26" s="859" t="n">
        <f t="shared" si="5"/>
        <v>3.4699999999999998</v>
      </c>
      <c r="AA26" s="859" t="n">
        <f t="shared" si="5"/>
        <v>3.3179999999999996</v>
      </c>
      <c r="AB26" s="859" t="n">
        <f t="shared" si="5"/>
        <v>3.4059999999999997</v>
      </c>
      <c r="AC26" s="859" t="n">
        <f t="shared" si="5"/>
        <v>3.3140000000000001</v>
      </c>
      <c r="AD26" s="859" t="n">
        <f t="shared" si="5"/>
        <v>3.0540000000000003</v>
      </c>
      <c r="AE26" s="859" t="n">
        <f t="shared" si="5"/>
        <v>3.0540000000000003</v>
      </c>
      <c r="AF26" s="859" t="n">
        <f>AF51</f>
        <v>-4.907</v>
      </c>
      <c r="AG26" s="859" t="n">
        <f>AG51</f>
        <v>-4.907</v>
      </c>
      <c r="AH26" s="859" t="n">
        <f>AH51</f>
        <v>-4.907</v>
      </c>
      <c r="AI26" s="859" t="n">
        <f>AI51</f>
        <v>-4.907</v>
      </c>
      <c r="AJ26" s="859" t="n">
        <f>AJ51</f>
        <v>-13.061999999999999</v>
      </c>
      <c r="AK26" s="859" t="n">
        <f t="shared" ref="AK26:AN26" si="6">AK51</f>
        <v>-13.061999999999999</v>
      </c>
      <c r="AL26" s="859" t="n">
        <f t="shared" si="6"/>
        <v>-13.061999999999999</v>
      </c>
      <c r="AM26" s="859" t="n">
        <f t="shared" si="6"/>
        <v>-13.061999999999999</v>
      </c>
      <c r="AN26" s="859" t="n">
        <f t="shared" si="6"/>
        <v>-34.707000000000001</v>
      </c>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c r="BM26" s="289"/>
      <c r="BN26" s="289"/>
      <c r="BO26" s="289"/>
      <c r="BP26" s="289"/>
      <c r="BQ26" s="289"/>
      <c r="BR26" s="289"/>
      <c r="BS26" s="289"/>
      <c r="BT26" s="289"/>
      <c r="BU26" s="289"/>
      <c r="BV26" s="289"/>
      <c r="BW26" s="289"/>
      <c r="BX26" s="289"/>
      <c r="BY26" s="289"/>
      <c r="BZ26" s="289"/>
      <c r="CA26" s="289"/>
      <c r="CB26" s="289"/>
      <c r="CC26" s="289"/>
      <c r="CD26" s="289"/>
      <c r="CE26" s="289"/>
      <c r="CF26" s="289"/>
      <c r="CG26" s="289"/>
      <c r="CH26" s="289"/>
      <c r="CI26" s="289"/>
      <c r="CJ26" s="289"/>
      <c r="CK26" s="289"/>
      <c r="CL26" s="289"/>
      <c r="CM26" s="289"/>
      <c r="CN26" s="289"/>
      <c r="CO26" s="289"/>
      <c r="CP26" s="289"/>
      <c r="CQ26" s="289"/>
      <c r="CR26" s="289"/>
      <c r="CS26" s="289"/>
      <c r="CT26" s="289"/>
      <c r="CU26" s="289"/>
      <c r="CV26" s="289"/>
      <c r="CW26" s="289"/>
    </row>
    <row r="27" ht="15.65" customHeight="1">
      <c r="B27" s="401" t="s">
        <v>708</v>
      </c>
      <c r="C27" s="289" t="s">
        <v>735</v>
      </c>
      <c r="D27" s="418" t="n">
        <v>30</v>
      </c>
      <c r="E27" s="392" t="n">
        <v>30</v>
      </c>
      <c r="F27" s="392" t="n">
        <v>30</v>
      </c>
      <c r="G27" s="392" t="n">
        <v>30</v>
      </c>
      <c r="H27" s="392" t="n">
        <v>30</v>
      </c>
      <c r="I27" s="392" t="n">
        <v>30</v>
      </c>
      <c r="J27" s="392" t="n">
        <v>30</v>
      </c>
      <c r="K27" s="388" t="n">
        <v>30.2</v>
      </c>
      <c r="L27" s="388" t="n">
        <v>30.2</v>
      </c>
      <c r="M27" s="388" t="n">
        <f>'Haver Pivoted'!K89</f>
        <v>0</v>
      </c>
      <c r="N27" s="388" t="n">
        <f>'Haver Pivoted'!L89</f>
        <v>0</v>
      </c>
      <c r="O27" s="388" t="n">
        <f>'Haver Pivoted'!M89</f>
        <v>0</v>
      </c>
      <c r="P27" s="388" t="n">
        <f>'Haver Pivoted'!N89</f>
        <v>0</v>
      </c>
      <c r="Q27" s="388" t="n">
        <f>'Haver Pivoted'!O89</f>
        <v>0</v>
      </c>
      <c r="R27" s="388" t="n">
        <f>'Haver Pivoted'!P89</f>
        <v>0</v>
      </c>
      <c r="S27" s="615" t="n">
        <f>'Haver Pivoted'!Q89</f>
        <v>0</v>
      </c>
      <c r="T27" s="615" t="n">
        <f>'Haver Pivoted'!R89</f>
        <v>0</v>
      </c>
      <c r="U27" s="859" t="n">
        <v>34</v>
      </c>
      <c r="V27" s="657" t="n">
        <v>34</v>
      </c>
      <c r="W27" s="657" t="n">
        <v>34</v>
      </c>
      <c r="X27" s="859" t="n">
        <v>34</v>
      </c>
      <c r="Y27" s="859" t="n">
        <v>34</v>
      </c>
      <c r="Z27" s="859" t="n">
        <v>34</v>
      </c>
      <c r="AA27" s="859" t="n">
        <v>34</v>
      </c>
      <c r="AB27" s="859" t="n">
        <v>34</v>
      </c>
      <c r="AC27" s="859" t="n">
        <v>34</v>
      </c>
      <c r="AD27" s="859" t="n">
        <v>34</v>
      </c>
      <c r="AE27" s="859" t="n">
        <v>34</v>
      </c>
      <c r="AF27" s="859" t="n">
        <v>34</v>
      </c>
      <c r="AG27" s="859" t="n">
        <v>34</v>
      </c>
      <c r="AH27" s="859" t="n">
        <v>34</v>
      </c>
      <c r="AI27" s="859" t="n">
        <v>35</v>
      </c>
      <c r="AJ27" s="859" t="n">
        <v>36</v>
      </c>
      <c r="AK27" s="859" t="n">
        <v>37</v>
      </c>
      <c r="AL27" s="859" t="n">
        <v>38</v>
      </c>
      <c r="AM27" s="859" t="n">
        <v>39</v>
      </c>
      <c r="AN27" s="859" t="n">
        <v>40</v>
      </c>
    </row>
    <row r="28" ht="21.65" customHeight="1">
      <c r="B28" s="401" t="s">
        <v>380</v>
      </c>
      <c r="C28" s="289"/>
      <c r="D28" s="419"/>
      <c r="E28" s="286"/>
      <c r="F28" s="286"/>
      <c r="G28" s="286"/>
      <c r="H28" s="657"/>
      <c r="I28" s="657"/>
      <c r="J28" s="657" t="n">
        <f>'PPP (expired)'!J53</f>
        <v>0</v>
      </c>
      <c r="K28" s="657" t="n">
        <f>'PPP (expired)'!K53</f>
        <v>0</v>
      </c>
      <c r="L28" s="657" t="n">
        <f>'PPP (expired)'!L53</f>
        <v>0</v>
      </c>
      <c r="M28" s="657" t="n">
        <f>'PPP (expired)'!M53</f>
        <v>0</v>
      </c>
      <c r="N28" s="657" t="n">
        <f>'PPP (expired)'!N53</f>
        <v>0</v>
      </c>
      <c r="O28" s="657" t="n">
        <f>'PPP (expired)'!O53</f>
        <v>0</v>
      </c>
      <c r="P28" s="657" t="n">
        <f>'PPP (expired)'!P53</f>
        <v>0</v>
      </c>
      <c r="Q28" s="657" t="n">
        <f>'PPP (expired)'!Q53</f>
        <v>0</v>
      </c>
      <c r="R28" s="657" t="n">
        <f>'PPP (expired)'!Q61</f>
        <v>0</v>
      </c>
      <c r="S28" s="657" t="n">
        <f>'PPP (expired)'!S53</f>
        <v>0</v>
      </c>
      <c r="T28" s="657" t="n">
        <f>'PPP (expired)'!T53</f>
        <v>0</v>
      </c>
      <c r="U28" s="657" t="n">
        <f>'PPP (expired)'!U53</f>
        <v>0</v>
      </c>
      <c r="V28" s="657" t="n">
        <f>'PPP (expired)'!V53</f>
        <v>0</v>
      </c>
      <c r="W28" s="657" t="n">
        <f>'PPP (expired)'!W53</f>
        <v>0</v>
      </c>
      <c r="X28" s="859" t="n">
        <f>'PPP (expired)'!X53</f>
        <v>0</v>
      </c>
      <c r="Y28" s="859" t="n">
        <f>'PPP (expired)'!Y53</f>
        <v>0</v>
      </c>
      <c r="Z28" s="859" t="n">
        <f>'PPP (expired)'!Z53</f>
        <v>0</v>
      </c>
      <c r="AA28" s="859" t="n">
        <f>'PPP (expired)'!AA53</f>
        <v>0</v>
      </c>
      <c r="AB28" s="859" t="n">
        <f>'PPP (expired)'!AB53</f>
        <v>0</v>
      </c>
      <c r="AC28" s="859" t="n">
        <f>'PPP (expired)'!AC53</f>
        <v>0</v>
      </c>
      <c r="AD28" s="859" t="n">
        <f>'PPP (expired)'!AD53</f>
        <v>0</v>
      </c>
      <c r="AE28" s="859" t="n">
        <f>'PPP (expired)'!AE53</f>
        <v>0</v>
      </c>
      <c r="AF28" s="859" t="n">
        <f>'PPP (expired)'!AF53</f>
        <v>0</v>
      </c>
      <c r="AG28" s="859" t="n">
        <f>'PPP (expired)'!AG53</f>
        <v>0</v>
      </c>
      <c r="AH28" s="859" t="n">
        <f>'PPP (expired)'!AH53</f>
        <v>0</v>
      </c>
      <c r="AI28" s="859" t="n">
        <f>'PPP (expired)'!AI53</f>
        <v>0</v>
      </c>
      <c r="AJ28" s="859" t="n">
        <f>'PPP (expired)'!AJ53</f>
        <v>0</v>
      </c>
      <c r="AK28" s="859" t="n">
        <f>'PPP (expired)'!AK53</f>
        <v>0</v>
      </c>
      <c r="AL28" s="859" t="n">
        <f>'PPP (expired)'!AL53</f>
        <v>0</v>
      </c>
      <c r="AM28" s="859" t="n">
        <f>'PPP (expired)'!AM53</f>
        <v>0</v>
      </c>
      <c r="AN28" s="859" t="n">
        <f>'PPP (expired)'!AN53</f>
        <v>0</v>
      </c>
    </row>
    <row r="29" ht="21.65" customHeight="1">
      <c r="B29" s="431" t="s">
        <v>709</v>
      </c>
      <c r="C29" s="289"/>
      <c r="D29" s="764" t="n">
        <f t="shared" ref="D29:AH29" si="7">D76</f>
        <v>0</v>
      </c>
      <c r="E29" s="657" t="n">
        <f t="shared" si="7"/>
        <v>0</v>
      </c>
      <c r="F29" s="657" t="n">
        <f t="shared" si="7"/>
        <v>0</v>
      </c>
      <c r="G29" s="657" t="n">
        <f t="shared" si="7"/>
        <v>0</v>
      </c>
      <c r="H29" s="657" t="n">
        <f t="shared" si="7"/>
        <v>0</v>
      </c>
      <c r="I29" s="657" t="n">
        <f t="shared" si="7"/>
        <v>-0.23799999999999955</v>
      </c>
      <c r="J29" s="657" t="n">
        <f t="shared" si="7"/>
        <v>-1.5046666666666724</v>
      </c>
      <c r="K29" s="657" t="n">
        <f t="shared" si="7"/>
        <v>-1.4433333333333351</v>
      </c>
      <c r="L29" s="657" t="n">
        <f t="shared" si="7"/>
        <v>-0.17000000000000881</v>
      </c>
      <c r="M29" s="657" t="n">
        <f t="shared" si="7"/>
        <v>28.60733333333333</v>
      </c>
      <c r="N29" s="657" t="n">
        <f t="shared" si="7"/>
        <v>-4.9651733333333752</v>
      </c>
      <c r="O29" s="657" t="n">
        <f t="shared" si="7"/>
        <v>-8.7281600000000878</v>
      </c>
      <c r="P29" s="657" t="n">
        <f t="shared" si="7"/>
        <v>-31.800666666666665</v>
      </c>
      <c r="Q29" s="657" t="n">
        <f t="shared" si="7"/>
        <v>-34.175253333333345</v>
      </c>
      <c r="R29" s="657" t="n">
        <f t="shared" si="7"/>
        <v>-33.645920000000011</v>
      </c>
      <c r="S29" s="657" t="n">
        <f t="shared" si="7"/>
        <v>-31.930586666666684</v>
      </c>
      <c r="T29" s="657" t="n">
        <f t="shared" si="7"/>
        <v>-9.5252533333333602</v>
      </c>
      <c r="U29" s="657" t="n">
        <f t="shared" si="7"/>
        <v>-25.552288000000019</v>
      </c>
      <c r="V29" s="657" t="n">
        <f t="shared" si="7"/>
        <v>-21.570383238095239</v>
      </c>
      <c r="W29" s="657" t="n">
        <f t="shared" si="7"/>
        <v>-17.30504990476193</v>
      </c>
      <c r="X29" s="859" t="n">
        <f t="shared" si="7"/>
        <v>-3.4902880000000138</v>
      </c>
      <c r="Y29" s="859" t="n">
        <f t="shared" si="7"/>
        <v>1.7826293333333183</v>
      </c>
      <c r="Z29" s="859" t="n">
        <f t="shared" si="7"/>
        <v>2.095962666666658</v>
      </c>
      <c r="AA29" s="859" t="n">
        <f t="shared" si="7"/>
        <v>3.4812960000000004</v>
      </c>
      <c r="AB29" s="859" t="n">
        <f t="shared" si="7"/>
        <v>6.9976293333333288</v>
      </c>
      <c r="AC29" s="859" t="n">
        <f t="shared" si="7"/>
        <v>3.8375626666666349</v>
      </c>
      <c r="AD29" s="859" t="n">
        <f t="shared" si="7"/>
        <v>8.93089599999999</v>
      </c>
      <c r="AE29" s="859" t="n">
        <f t="shared" si="7"/>
        <v>8.93089599999999</v>
      </c>
      <c r="AF29" s="859" t="n">
        <f t="shared" si="7"/>
        <v>8.93089599999999</v>
      </c>
      <c r="AG29" s="859" t="n">
        <f t="shared" si="7"/>
        <v>8.93089599999999</v>
      </c>
      <c r="AH29" s="859" t="n">
        <f t="shared" si="7"/>
        <v>8.93089599999999</v>
      </c>
      <c r="AI29" s="859" t="n">
        <f t="shared" ref="AI29:AJ29" si="8">AI76</f>
        <v>8.93089599999999</v>
      </c>
      <c r="AJ29" s="859" t="n">
        <f t="shared" si="8"/>
        <v>8.93089599999999</v>
      </c>
      <c r="AK29" s="859" t="n">
        <f t="shared" ref="AK29:AN29" si="9">AK76</f>
        <v>8.93089599999999</v>
      </c>
      <c r="AL29" s="859" t="n">
        <f t="shared" si="9"/>
        <v>8.93089599999999</v>
      </c>
      <c r="AM29" s="859" t="n">
        <f t="shared" si="9"/>
        <v>8.93089599999999</v>
      </c>
      <c r="AN29" s="859" t="n">
        <f t="shared" si="9"/>
        <v>8.93089599999999</v>
      </c>
    </row>
    <row r="30" ht="21" customHeight="1">
      <c r="B30" s="416" t="s">
        <v>706</v>
      </c>
      <c r="C30" s="412"/>
      <c r="D30" s="896" t="n">
        <f t="shared" ref="D30:W30" si="10">D25+D21</f>
        <v>0</v>
      </c>
      <c r="E30" s="811" t="n">
        <f t="shared" si="10"/>
        <v>0</v>
      </c>
      <c r="F30" s="811" t="n">
        <f t="shared" si="10"/>
        <v>0</v>
      </c>
      <c r="G30" s="811" t="n">
        <f t="shared" si="10"/>
        <v>0</v>
      </c>
      <c r="H30" s="811" t="n">
        <f t="shared" si="10"/>
        <v>0</v>
      </c>
      <c r="I30" s="811" t="n">
        <f t="shared" si="10"/>
        <v>0</v>
      </c>
      <c r="J30" s="811" t="n">
        <f t="shared" si="10"/>
        <v>0</v>
      </c>
      <c r="K30" s="811" t="n">
        <f t="shared" si="10"/>
        <v>0</v>
      </c>
      <c r="L30" s="811" t="n">
        <f t="shared" si="10"/>
        <v>0</v>
      </c>
      <c r="M30" s="811" t="n">
        <f t="shared" si="10"/>
        <v>0</v>
      </c>
      <c r="N30" s="811" t="n">
        <f t="shared" si="10"/>
        <v>0</v>
      </c>
      <c r="O30" s="811" t="n">
        <f t="shared" si="10"/>
        <v>3.1040000000000418</v>
      </c>
      <c r="P30" s="738" t="n">
        <f t="shared" si="10"/>
        <v>19.719000000000005</v>
      </c>
      <c r="Q30" s="811" t="n">
        <f t="shared" si="10"/>
        <v>19.719000000000005</v>
      </c>
      <c r="R30" s="811" t="n">
        <f t="shared" si="10"/>
        <v>19.719000000000005</v>
      </c>
      <c r="S30" s="811" t="n">
        <f t="shared" si="10"/>
        <v>19.719000000000005</v>
      </c>
      <c r="T30" s="738" t="n">
        <f t="shared" si="10"/>
        <v>1.4159999999999999</v>
      </c>
      <c r="U30" s="738" t="n">
        <f t="shared" si="10"/>
        <v>1.4159999999999999</v>
      </c>
      <c r="V30" s="738" t="n">
        <f t="shared" si="10"/>
        <v>1.4159999999999999</v>
      </c>
      <c r="W30" s="738" t="n">
        <f t="shared" si="10"/>
        <v>1.4159999999999999</v>
      </c>
      <c r="X30" s="740" t="n">
        <f t="shared" ref="X30:AB30" si="11">X25+X21</f>
        <v>1.4790000000000001</v>
      </c>
      <c r="Y30" s="740" t="n">
        <f t="shared" si="11"/>
        <v>1.4790000000000001</v>
      </c>
      <c r="Z30" s="740" t="n">
        <f t="shared" si="11"/>
        <v>1.4790000000000001</v>
      </c>
      <c r="AA30" s="740" t="n">
        <f t="shared" si="11"/>
        <v>1.4790000000000001</v>
      </c>
      <c r="AB30" s="740" t="n">
        <f t="shared" si="11"/>
        <v>1.63</v>
      </c>
      <c r="AC30" s="740" t="n">
        <f>AC25+AC21</f>
        <v>1.63</v>
      </c>
      <c r="AD30" s="740" t="n">
        <f t="shared" ref="AD30:AE30" si="12">AD25+AD21</f>
        <v>1.63</v>
      </c>
      <c r="AE30" s="740" t="n">
        <f t="shared" si="12"/>
        <v>1.63</v>
      </c>
      <c r="AF30" s="740" t="n">
        <f>AF25+AF21</f>
        <v>1.671</v>
      </c>
      <c r="AG30" s="740" t="n">
        <f>AG25+AG21</f>
        <v>0</v>
      </c>
      <c r="AH30" s="740" t="n">
        <f>AH25+AH21</f>
        <v>0</v>
      </c>
      <c r="AI30" s="740" t="n">
        <f t="shared" ref="AI30:AJ30" si="13">AI25+AI21</f>
        <v>0</v>
      </c>
      <c r="AJ30" s="740" t="n">
        <f t="shared" si="13"/>
        <v>0</v>
      </c>
      <c r="AK30" s="740" t="n">
        <f t="shared" ref="AK30:AN30" si="14">AK25+AK21</f>
        <v>0</v>
      </c>
      <c r="AL30" s="740" t="n">
        <f t="shared" si="14"/>
        <v>0</v>
      </c>
      <c r="AM30" s="740" t="n">
        <f t="shared" si="14"/>
        <v>0</v>
      </c>
      <c r="AN30" s="740" t="n">
        <f t="shared" si="14"/>
        <v>0</v>
      </c>
    </row>
    <row r="31" ht="44.9" customHeight="1">
      <c r="B31" s="571" t="s">
        <v>1085</v>
      </c>
      <c r="D31" s="764"/>
      <c r="E31" s="657"/>
      <c r="F31" s="657"/>
      <c r="G31" s="657"/>
      <c r="H31" s="657"/>
      <c r="I31" s="657"/>
      <c r="J31" s="657"/>
      <c r="K31" s="657"/>
      <c r="L31" s="657"/>
      <c r="M31" s="657"/>
      <c r="N31" s="657"/>
      <c r="O31" s="657"/>
      <c r="P31" s="657"/>
      <c r="Q31" s="657"/>
      <c r="R31" s="657"/>
      <c r="S31" s="893" t="n">
        <f>'IRA and CHIPS'!E191</f>
        <v>-0.622</v>
      </c>
      <c r="T31" s="893" t="n">
        <f>'IRA and CHIPS'!F191</f>
        <v>21.89</v>
      </c>
      <c r="U31" s="893" t="n">
        <f>'IRA and CHIPS'!G191</f>
        <v>21.89</v>
      </c>
      <c r="V31" s="893" t="n">
        <f>'IRA and CHIPS'!H191</f>
        <v>21.89</v>
      </c>
      <c r="W31" s="893" t="n">
        <f>'IRA and CHIPS'!I191</f>
        <v>21.89</v>
      </c>
      <c r="X31" s="894" t="n">
        <f>'IRA and CHIPS'!J191</f>
        <v>15.439</v>
      </c>
      <c r="Y31" s="894" t="n">
        <f>'IRA and CHIPS'!K191</f>
        <v>15.439</v>
      </c>
      <c r="Z31" s="894" t="n">
        <f>'IRA and CHIPS'!L191</f>
        <v>15.439</v>
      </c>
      <c r="AA31" s="894" t="n">
        <f>'IRA and CHIPS'!M191</f>
        <v>15.439</v>
      </c>
      <c r="AB31" s="894" t="n">
        <f>'IRA and CHIPS'!N191</f>
        <v>16.966999999999999</v>
      </c>
      <c r="AC31" s="894" t="n">
        <f>'IRA and CHIPS'!O191</f>
        <v>16.966999999999999</v>
      </c>
      <c r="AD31" s="894" t="n">
        <f>'IRA and CHIPS'!P191</f>
        <v>16.966999999999999</v>
      </c>
      <c r="AE31" s="894" t="n">
        <f>'IRA and CHIPS'!Q191</f>
        <v>16.966999999999999</v>
      </c>
      <c r="AF31" s="894" t="n">
        <f>'IRA and CHIPS'!R191</f>
        <v>0.72799999999999998</v>
      </c>
      <c r="AG31" s="894" t="n">
        <f>'IRA and CHIPS'!S191</f>
        <v>0.72799999999999998</v>
      </c>
      <c r="AH31" s="894" t="n">
        <f>0</f>
        <v>0</v>
      </c>
      <c r="AI31" s="894" t="n">
        <f>0</f>
        <v>0</v>
      </c>
      <c r="AJ31" s="894" t="n">
        <f>0</f>
        <v>0</v>
      </c>
      <c r="AK31" s="894" t="n">
        <f>0</f>
        <v>0</v>
      </c>
      <c r="AL31" s="894" t="n">
        <f>0</f>
        <v>0</v>
      </c>
      <c r="AM31" s="894" t="n">
        <f>0</f>
        <v>0</v>
      </c>
      <c r="AN31" s="894" t="n">
        <f>0</f>
        <v>0</v>
      </c>
    </row>
    <row r="32" ht="44.9" customHeight="1">
      <c r="B32" s="401" t="s">
        <v>713</v>
      </c>
      <c r="C32" s="289"/>
      <c r="D32" s="764" t="n">
        <f t="shared" ref="D32:AD32" si="15">D68</f>
        <v>-18.688000000000002</v>
      </c>
      <c r="E32" s="657" t="n">
        <f t="shared" si="15"/>
        <v>16.399999999999999</v>
      </c>
      <c r="F32" s="657" t="n">
        <f t="shared" si="15"/>
        <v>15</v>
      </c>
      <c r="G32" s="657" t="n">
        <f t="shared" si="15"/>
        <v>16.899999999999999</v>
      </c>
      <c r="H32" s="657" t="n">
        <f t="shared" si="15"/>
        <v>17.5</v>
      </c>
      <c r="I32" s="657" t="n">
        <f t="shared" si="15"/>
        <v>23.600000000000009</v>
      </c>
      <c r="J32" s="657" t="n">
        <f t="shared" si="15"/>
        <v>23.966666666666676</v>
      </c>
      <c r="K32" s="657" t="n">
        <f t="shared" si="15"/>
        <v>24.333333333333343</v>
      </c>
      <c r="L32" s="657" t="n">
        <f t="shared" si="15"/>
        <v>24.70000000000001</v>
      </c>
      <c r="M32" s="657" t="n">
        <f t="shared" si="15"/>
        <v>25.530666666666676</v>
      </c>
      <c r="N32" s="657" t="n">
        <f t="shared" si="15"/>
        <v>25.897333333333343</v>
      </c>
      <c r="O32" s="657" t="n">
        <f t="shared" si="15"/>
        <v>26.26400000000001</v>
      </c>
      <c r="P32" s="657" t="n">
        <f t="shared" si="15"/>
        <v>26.630666666666677</v>
      </c>
      <c r="Q32" s="657" t="n">
        <f t="shared" si="15"/>
        <v>30.017253333333343</v>
      </c>
      <c r="R32" s="657" t="n">
        <f t="shared" si="15"/>
        <v>30.38392000000001</v>
      </c>
      <c r="S32" s="657" t="n">
        <f t="shared" si="15"/>
        <v>30.750586666666678</v>
      </c>
      <c r="T32" s="657" t="n">
        <f t="shared" si="15"/>
        <v>31.117253333333345</v>
      </c>
      <c r="U32" s="657" t="n">
        <f t="shared" si="15"/>
        <v>36.048288000000014</v>
      </c>
      <c r="V32" s="657" t="n">
        <f t="shared" si="15"/>
        <v>36.414954666666681</v>
      </c>
      <c r="W32" s="657" t="n">
        <f t="shared" si="15"/>
        <v>36.781621333333348</v>
      </c>
      <c r="X32" s="859" t="n">
        <f t="shared" si="15"/>
        <v>37.148288000000015</v>
      </c>
      <c r="Y32" s="859" t="n">
        <f t="shared" si="15"/>
        <v>39.527370666666684</v>
      </c>
      <c r="Z32" s="859" t="n">
        <f t="shared" si="15"/>
        <v>39.894037333333351</v>
      </c>
      <c r="AA32" s="859" t="n">
        <f t="shared" si="15"/>
        <v>40.260704000000018</v>
      </c>
      <c r="AB32" s="859" t="n">
        <f>AB68</f>
        <v>40.627370666666685</v>
      </c>
      <c r="AC32" s="859" t="n">
        <f>AC68</f>
        <v>42.779437333333355</v>
      </c>
      <c r="AD32" s="859" t="n">
        <f t="shared" si="15"/>
        <v>43.146104000000022</v>
      </c>
      <c r="AE32" s="859" t="n">
        <f>AE68</f>
        <v>43.51277066666669</v>
      </c>
      <c r="AF32" s="859" t="n">
        <f>AF68</f>
        <v>43.879437333333357</v>
      </c>
      <c r="AG32" s="859" t="n">
        <f>AG68</f>
        <v>47.037496884000021</v>
      </c>
      <c r="AH32" s="859" t="n">
        <f>AH68</f>
        <v>47.404163550666688</v>
      </c>
      <c r="AI32" s="859" t="n">
        <f t="shared" ref="AI32:AJ32" si="16">AI68</f>
        <v>47.770830217333355</v>
      </c>
      <c r="AJ32" s="859" t="n">
        <f t="shared" si="16"/>
        <v>48.137496884000022</v>
      </c>
      <c r="AK32" s="859" t="n">
        <f t="shared" ref="AK32:AN32" si="17">AK68</f>
        <v>52.787621470998687</v>
      </c>
      <c r="AL32" s="859" t="n">
        <f t="shared" si="17"/>
        <v>53.154288137665354</v>
      </c>
      <c r="AM32" s="859" t="n">
        <f t="shared" si="17"/>
        <v>53.520954804332021</v>
      </c>
      <c r="AN32" s="859" t="n">
        <f t="shared" si="17"/>
        <v>53.887621470998688</v>
      </c>
    </row>
    <row r="33" ht="31.4" customHeight="1">
      <c r="B33" s="753" t="s">
        <v>710</v>
      </c>
      <c r="C33" s="412"/>
      <c r="D33" s="738" t="n">
        <f t="shared" ref="D33:AN33" si="18">D32+SUM(D26:D29)+D31</f>
        <v>11.311999999999998</v>
      </c>
      <c r="E33" s="738" t="n">
        <f t="shared" si="18"/>
        <v>46.4</v>
      </c>
      <c r="F33" s="738" t="n">
        <f t="shared" si="18"/>
        <v>45</v>
      </c>
      <c r="G33" s="738" t="n">
        <f t="shared" si="18"/>
        <v>46.9</v>
      </c>
      <c r="H33" s="738" t="n">
        <f t="shared" si="18"/>
        <v>47.5</v>
      </c>
      <c r="I33" s="738" t="n">
        <f t="shared" si="18"/>
        <v>53.600000000000009</v>
      </c>
      <c r="J33" s="738" t="n">
        <f t="shared" si="18"/>
        <v>52.800000000000004</v>
      </c>
      <c r="K33" s="738" t="n">
        <f t="shared" si="18"/>
        <v>53.600000000000009</v>
      </c>
      <c r="L33" s="738" t="n">
        <f t="shared" si="18"/>
        <v>55.2</v>
      </c>
      <c r="M33" s="738" t="n">
        <f t="shared" si="18"/>
        <v>54.600000000000009</v>
      </c>
      <c r="N33" s="738" t="n">
        <f t="shared" si="18"/>
        <v>21.67815999999997</v>
      </c>
      <c r="O33" s="738" t="n">
        <f t="shared" si="18"/>
        <v>18.329839999999923</v>
      </c>
      <c r="P33" s="738" t="n">
        <f t="shared" si="18"/>
        <v>-4.375999999999987</v>
      </c>
      <c r="Q33" s="738" t="n">
        <f t="shared" si="18"/>
        <v>-3.3760000000000048</v>
      </c>
      <c r="R33" s="738" t="n">
        <f t="shared" si="18"/>
        <v>-2.3759999999999977</v>
      </c>
      <c r="S33" s="738" t="n">
        <f t="shared" si="18"/>
        <v>-0.87600000000000844</v>
      </c>
      <c r="T33" s="900" t="n">
        <f t="shared" si="18"/>
        <v>45.183999999999983</v>
      </c>
      <c r="U33" s="900" t="n">
        <f t="shared" si="18"/>
        <v>68.183999999999997</v>
      </c>
      <c r="V33" s="738" t="n">
        <f t="shared" si="18"/>
        <v>72.992571428571438</v>
      </c>
      <c r="W33" s="738" t="n">
        <f t="shared" si="18"/>
        <v>77.892571428571415</v>
      </c>
      <c r="X33" s="740" t="n">
        <f t="shared" si="18"/>
        <v>86.09899999999999</v>
      </c>
      <c r="Y33" s="740" t="n">
        <f t="shared" si="18"/>
        <v>93.899000000000001</v>
      </c>
      <c r="Z33" s="740" t="n">
        <f t="shared" si="18"/>
        <v>94.899000000000001</v>
      </c>
      <c r="AA33" s="740" t="n">
        <f t="shared" si="18"/>
        <v>96.499000000000024</v>
      </c>
      <c r="AB33" s="740" t="n">
        <f t="shared" si="18"/>
        <v>101.998</v>
      </c>
      <c r="AC33" s="740" t="n">
        <f t="shared" si="18"/>
        <v>100.89799999999998</v>
      </c>
      <c r="AD33" s="740" t="n">
        <f t="shared" si="18"/>
        <v>106.09800000000001</v>
      </c>
      <c r="AE33" s="740" t="n">
        <f t="shared" si="18"/>
        <v>106.46466666666667</v>
      </c>
      <c r="AF33" s="740" t="n">
        <f t="shared" si="18"/>
        <v>82.631333333333345</v>
      </c>
      <c r="AG33" s="740" t="n">
        <f t="shared" si="18"/>
        <v>85.789392884000009</v>
      </c>
      <c r="AH33" s="740" t="n">
        <f t="shared" si="18"/>
        <v>85.428059550666688</v>
      </c>
      <c r="AI33" s="740" t="n">
        <f t="shared" si="18"/>
        <v>86.794726217333348</v>
      </c>
      <c r="AJ33" s="740" t="n">
        <f t="shared" si="18"/>
        <v>80.006392884000007</v>
      </c>
      <c r="AK33" s="740" t="n">
        <f t="shared" si="18"/>
        <v>85.656517470998679</v>
      </c>
      <c r="AL33" s="740" t="n">
        <f t="shared" si="18"/>
        <v>87.023184137665339</v>
      </c>
      <c r="AM33" s="740" t="n">
        <f t="shared" si="18"/>
        <v>88.389850804332013</v>
      </c>
      <c r="AN33" s="740" t="n">
        <f t="shared" si="18"/>
        <v>68.111517470998677</v>
      </c>
    </row>
    <row r="34" ht="31.4" customHeight="1">
      <c r="B34" s="753"/>
      <c r="C34" s="412"/>
      <c r="D34" s="738" t="n">
        <f t="shared" ref="D34:P34" si="19">D29+D32</f>
        <v>-18.688000000000002</v>
      </c>
      <c r="E34" s="738" t="n">
        <f t="shared" si="19"/>
        <v>16.399999999999999</v>
      </c>
      <c r="F34" s="738" t="n">
        <f t="shared" si="19"/>
        <v>15</v>
      </c>
      <c r="G34" s="738" t="n">
        <f t="shared" si="19"/>
        <v>16.899999999999999</v>
      </c>
      <c r="H34" s="738" t="n">
        <f t="shared" si="19"/>
        <v>17.5</v>
      </c>
      <c r="I34" s="738" t="n">
        <f t="shared" si="19"/>
        <v>23.362000000000009</v>
      </c>
      <c r="J34" s="738" t="n">
        <f t="shared" si="19"/>
        <v>22.462000000000003</v>
      </c>
      <c r="K34" s="738" t="n">
        <f t="shared" si="19"/>
        <v>22.890000000000008</v>
      </c>
      <c r="L34" s="738" t="n">
        <f t="shared" si="19"/>
        <v>24.53</v>
      </c>
      <c r="M34" s="738" t="n">
        <f t="shared" si="19"/>
        <v>54.138000000000005</v>
      </c>
      <c r="N34" s="738" t="n">
        <f t="shared" si="19"/>
        <v>20.932159999999968</v>
      </c>
      <c r="O34" s="738" t="n">
        <f t="shared" si="19"/>
        <v>17.535839999999922</v>
      </c>
      <c r="P34" s="738" t="n">
        <f t="shared" si="19"/>
        <v>-5.1699999999999875</v>
      </c>
      <c r="Q34" s="738" t="n">
        <f>Q29+Q32</f>
        <v>-4.1580000000000013</v>
      </c>
      <c r="R34" s="738" t="n">
        <f t="shared" ref="R34:AN34" si="20">R29+R32</f>
        <v>-3.2620000000000005</v>
      </c>
      <c r="S34" s="738" t="n">
        <f t="shared" si="20"/>
        <v>-1.1800000000000068</v>
      </c>
      <c r="T34" s="738" t="n">
        <f t="shared" si="20"/>
        <v>21.591999999999985</v>
      </c>
      <c r="U34" s="738" t="n">
        <f t="shared" si="20"/>
        <v>10.495999999999995</v>
      </c>
      <c r="V34" s="738" t="n">
        <f t="shared" si="20"/>
        <v>14.844571428571442</v>
      </c>
      <c r="W34" s="738" t="n">
        <f t="shared" si="20"/>
        <v>19.476571428571418</v>
      </c>
      <c r="X34" s="738" t="n">
        <f t="shared" si="20"/>
        <v>33.658000000000001</v>
      </c>
      <c r="Y34" s="738" t="n">
        <f t="shared" si="20"/>
        <v>41.31</v>
      </c>
      <c r="Z34" s="738" t="n">
        <f t="shared" si="20"/>
        <v>41.990000000000009</v>
      </c>
      <c r="AA34" s="738" t="n">
        <f t="shared" si="20"/>
        <v>43.742000000000019</v>
      </c>
      <c r="AB34" s="738" t="n">
        <f t="shared" si="20"/>
        <v>47.625000000000014</v>
      </c>
      <c r="AC34" s="738" t="n">
        <f t="shared" si="20"/>
        <v>46.61699999999999</v>
      </c>
      <c r="AD34" s="738" t="n">
        <f t="shared" si="20"/>
        <v>52.077000000000012</v>
      </c>
      <c r="AE34" s="738" t="n">
        <f t="shared" si="20"/>
        <v>52.44366666666668</v>
      </c>
      <c r="AF34" s="738" t="n">
        <f t="shared" si="20"/>
        <v>52.810333333333347</v>
      </c>
      <c r="AG34" s="738" t="n">
        <f t="shared" si="20"/>
        <v>55.968392884000011</v>
      </c>
      <c r="AH34" s="738" t="n">
        <f t="shared" si="20"/>
        <v>56.335059550666678</v>
      </c>
      <c r="AI34" s="738" t="n">
        <f t="shared" si="20"/>
        <v>56.701726217333345</v>
      </c>
      <c r="AJ34" s="738" t="n">
        <f t="shared" si="20"/>
        <v>57.068392884000012</v>
      </c>
      <c r="AK34" s="738" t="n">
        <f t="shared" si="20"/>
        <v>61.718517470998677</v>
      </c>
      <c r="AL34" s="738" t="n">
        <f t="shared" si="20"/>
        <v>62.085184137665344</v>
      </c>
      <c r="AM34" s="738" t="n">
        <f t="shared" si="20"/>
        <v>62.451850804332011</v>
      </c>
      <c r="AN34" s="738" t="n">
        <f t="shared" si="20"/>
        <v>62.818517470998678</v>
      </c>
    </row>
    <row r="35" ht="31.4" customHeight="1">
      <c r="B35" s="753"/>
      <c r="C35" s="412"/>
      <c r="D35" s="738"/>
      <c r="E35" s="738"/>
      <c r="F35" s="738"/>
      <c r="G35" s="738"/>
      <c r="H35" s="738"/>
      <c r="I35" s="738"/>
      <c r="J35" s="738"/>
      <c r="K35" s="738"/>
      <c r="L35" s="738"/>
      <c r="M35" s="738"/>
      <c r="N35" s="738"/>
      <c r="O35" s="738"/>
      <c r="P35" s="738"/>
      <c r="Q35" s="738"/>
      <c r="R35" s="738"/>
      <c r="S35" s="738"/>
      <c r="T35" s="738"/>
      <c r="U35" s="738"/>
      <c r="V35" s="738"/>
      <c r="W35" s="738"/>
      <c r="X35" s="740"/>
      <c r="Y35" s="740"/>
      <c r="Z35" s="740"/>
      <c r="AA35" s="740"/>
      <c r="AB35" s="740"/>
      <c r="AC35" s="740"/>
      <c r="AD35" s="740"/>
      <c r="AE35" s="740"/>
      <c r="AF35" s="740"/>
      <c r="AG35" s="740"/>
      <c r="AH35" s="740"/>
      <c r="AI35" s="740"/>
      <c r="AJ35" s="740"/>
      <c r="AK35" s="740"/>
      <c r="AL35" s="740"/>
      <c r="AM35" s="740"/>
      <c r="AN35" s="740"/>
    </row>
    <row r="36" ht="31.4" customHeight="1">
      <c r="B36" s="840" t="s">
        <v>383</v>
      </c>
      <c r="C36" s="841"/>
      <c r="D36" s="749"/>
      <c r="E36" s="750"/>
      <c r="F36" s="750"/>
      <c r="G36" s="750"/>
      <c r="H36" s="750"/>
      <c r="I36" s="750"/>
      <c r="J36" s="750"/>
      <c r="K36" s="750"/>
      <c r="L36" s="750"/>
      <c r="M36" s="750"/>
      <c r="N36" s="750"/>
      <c r="O36" s="750"/>
      <c r="P36" s="750"/>
      <c r="Q36" s="750"/>
      <c r="R36" s="750"/>
      <c r="S36" s="750"/>
      <c r="T36" s="738"/>
      <c r="U36" s="750"/>
      <c r="V36" s="738"/>
      <c r="W36" s="738"/>
      <c r="X36" s="740"/>
      <c r="Y36" s="740"/>
      <c r="Z36" s="740"/>
      <c r="AA36" s="740"/>
      <c r="AB36" s="740"/>
      <c r="AC36" s="740"/>
      <c r="AD36" s="740"/>
      <c r="AE36" s="740"/>
      <c r="AF36" s="740"/>
      <c r="AG36" s="740"/>
      <c r="AH36" s="740"/>
      <c r="AI36" s="740"/>
      <c r="AJ36" s="740"/>
      <c r="AK36" s="740"/>
      <c r="AL36" s="740"/>
      <c r="AM36" s="740"/>
      <c r="AN36" s="740"/>
    </row>
    <row r="37">
      <c r="B37" s="431" t="s">
        <v>715</v>
      </c>
      <c r="C37" s="289" t="s">
        <v>384</v>
      </c>
      <c r="D37" s="419" t="n">
        <f>'Haver Pivoted'!B37</f>
        <v>14.7</v>
      </c>
      <c r="E37" s="286" t="n">
        <f>'Haver Pivoted'!C37</f>
        <v>15.6</v>
      </c>
      <c r="F37" s="286" t="n">
        <f>'Haver Pivoted'!D37</f>
        <v>16.600000000000001</v>
      </c>
      <c r="G37" s="286" t="n">
        <f>'Haver Pivoted'!E37</f>
        <v>17.5</v>
      </c>
      <c r="H37" s="286" t="n">
        <f>'Haver Pivoted'!F37</f>
        <v>18.3</v>
      </c>
      <c r="I37" s="286" t="n">
        <f>'Haver Pivoted'!G37</f>
        <v>19.100000000000001</v>
      </c>
      <c r="J37" s="286" t="n">
        <f>'Haver Pivoted'!H37</f>
        <v>19.600000000000001</v>
      </c>
      <c r="K37" s="286" t="n">
        <f>'Haver Pivoted'!I37</f>
        <v>20.3</v>
      </c>
      <c r="L37" s="286" t="n">
        <f>'Haver Pivoted'!J37</f>
        <v>21.2</v>
      </c>
      <c r="M37" s="286" t="n">
        <f>'Haver Pivoted'!K37</f>
        <v>21.6</v>
      </c>
      <c r="N37" s="286" t="n">
        <f>'Haver Pivoted'!L37</f>
        <v>22.5</v>
      </c>
      <c r="O37" s="286" t="n">
        <f>'Haver Pivoted'!M37</f>
        <v>22.5</v>
      </c>
      <c r="P37" s="286" t="n">
        <f>'Haver Pivoted'!N37</f>
        <v>23.2</v>
      </c>
      <c r="Q37" s="286" t="n">
        <f>'Haver Pivoted'!O37</f>
        <v>24</v>
      </c>
      <c r="R37" s="286" t="n">
        <f>'Haver Pivoted'!P37</f>
        <v>24.2</v>
      </c>
      <c r="S37" s="809" t="n">
        <f>'Haver Pivoted'!Q37</f>
        <v>25</v>
      </c>
      <c r="T37" s="809" t="n">
        <f>'Haver Pivoted'!R37</f>
        <v>23.4</v>
      </c>
      <c r="U37" s="809" t="n">
        <f>'Haver Pivoted'!S37</f>
        <v>24.7</v>
      </c>
      <c r="V37" s="862" t="n">
        <f>'Haver Pivoted'!T37</f>
        <v>25.9</v>
      </c>
      <c r="W37" s="862" t="n">
        <f>'Haver Pivoted'!U37</f>
        <v>27.1</v>
      </c>
      <c r="X37" s="862" t="n">
        <f>'Haver Pivoted'!V37</f>
        <v>29.2</v>
      </c>
      <c r="Y37" s="862" t="n">
        <f>'Haver Pivoted'!W37</f>
        <v>30.5</v>
      </c>
      <c r="Z37" s="862" t="n">
        <f>'Haver Pivoted'!X37</f>
        <v>31</v>
      </c>
      <c r="AA37" s="862" t="n">
        <f>'Haver Pivoted'!Y37</f>
        <v>32.6</v>
      </c>
      <c r="AB37" s="862" t="n">
        <f>'Haver Pivoted'!Z37</f>
        <v>33.4</v>
      </c>
      <c r="AC37" s="862" t="n">
        <f>'Haver Pivoted'!AA37</f>
        <v>33.4</v>
      </c>
      <c r="AD37" s="862" t="n">
        <f>'Haver Pivoted'!AB37</f>
        <v>34.700000000000003</v>
      </c>
      <c r="AE37" s="433"/>
      <c r="AF37" s="433"/>
      <c r="AG37" s="433"/>
      <c r="AH37" s="433"/>
      <c r="AI37" s="433"/>
      <c r="AJ37" s="433"/>
      <c r="AK37" s="433"/>
      <c r="AL37" s="433"/>
      <c r="AM37" s="433"/>
      <c r="AN37" s="433"/>
    </row>
    <row r="38">
      <c r="B38" s="737" t="s">
        <v>142</v>
      </c>
      <c r="C38" s="289"/>
      <c r="D38" s="764" t="n">
        <f>Medicaid!D26</f>
        <v>5</v>
      </c>
      <c r="E38" s="657" t="n">
        <f>Medicaid!E26</f>
        <v>5.3</v>
      </c>
      <c r="F38" s="657" t="n">
        <f>Medicaid!F26</f>
        <v>5.6</v>
      </c>
      <c r="G38" s="657" t="n">
        <f>Medicaid!G26</f>
        <v>5.9</v>
      </c>
      <c r="H38" s="657" t="n">
        <f>Medicaid!H26</f>
        <v>6.2</v>
      </c>
      <c r="I38" s="657" t="n">
        <f>Medicaid!I26</f>
        <v>6.6</v>
      </c>
      <c r="J38" s="657" t="n">
        <f>Medicaid!J26</f>
        <v>6.9</v>
      </c>
      <c r="K38" s="657" t="n">
        <f>Medicaid!K26</f>
        <v>7.3</v>
      </c>
      <c r="L38" s="657" t="n">
        <f>Medicaid!L26</f>
        <v>7.8</v>
      </c>
      <c r="M38" s="657" t="n">
        <f>Medicaid!M26</f>
        <v>8</v>
      </c>
      <c r="N38" s="657" t="n">
        <f>Medicaid!N26</f>
        <v>8.6</v>
      </c>
      <c r="O38" s="657" t="n">
        <f>Medicaid!O26</f>
        <v>8.5</v>
      </c>
      <c r="P38" s="657" t="n">
        <f>Medicaid!P26</f>
        <v>9</v>
      </c>
      <c r="Q38" s="657" t="n">
        <f>Medicaid!Q26</f>
        <v>9.6</v>
      </c>
      <c r="R38" s="657" t="n">
        <f>Medicaid!R26</f>
        <v>9.6999999999999993</v>
      </c>
      <c r="S38" s="809" t="n">
        <f>Medicaid!S26</f>
        <v>10.1</v>
      </c>
      <c r="T38" s="657" t="n">
        <f>Medicaid!T26</f>
        <v>10.199999999999999</v>
      </c>
      <c r="U38" s="657" t="n">
        <f>Medicaid!U26</f>
        <v>11.1</v>
      </c>
      <c r="V38" s="657" t="n">
        <f>Medicaid!V26</f>
        <v>11.4</v>
      </c>
      <c r="W38" s="657" t="n">
        <f>Medicaid!W26</f>
        <v>12</v>
      </c>
      <c r="X38" s="859" t="n">
        <f>Medicaid!X26</f>
        <v>13.3</v>
      </c>
      <c r="Y38" s="859" t="n">
        <f>Medicaid!Y26</f>
        <v>13.8</v>
      </c>
      <c r="Z38" s="859" t="n">
        <f>Medicaid!Z26</f>
        <v>13.8</v>
      </c>
      <c r="AA38" s="859" t="n">
        <f>Medicaid!AA26</f>
        <v>14.6</v>
      </c>
      <c r="AB38" s="859" t="n">
        <f>Medicaid!AB26</f>
        <v>15.2</v>
      </c>
      <c r="AC38" s="859" t="n">
        <f>Medicaid!AC26</f>
        <v>14.9</v>
      </c>
      <c r="AD38" s="859" t="n">
        <f>Medicaid!AD26</f>
        <v>15.9</v>
      </c>
      <c r="AE38" s="859" t="e">
        <f>Medicaid!AE26</f>
        <v>#DIV/0!</v>
      </c>
      <c r="AF38" s="859" t="e">
        <f>Medicaid!AF26</f>
        <v>#DIV/0!</v>
      </c>
      <c r="AG38" s="859" t="e">
        <f>Medicaid!AG26</f>
        <v>#DIV/0!</v>
      </c>
      <c r="AH38" s="859" t="e">
        <f>Medicaid!AH26</f>
        <v>#DIV/0!</v>
      </c>
      <c r="AI38" s="859" t="e">
        <f>Medicaid!AI26</f>
        <v>#DIV/0!</v>
      </c>
      <c r="AJ38" s="859" t="e">
        <f>Medicaid!AJ26</f>
        <v>#DIV/0!</v>
      </c>
      <c r="AK38" s="859" t="e">
        <f>Medicaid!AK26</f>
        <v>#DIV/0!</v>
      </c>
      <c r="AL38" s="859" t="e">
        <f>Medicaid!AL26</f>
        <v>#DIV/0!</v>
      </c>
      <c r="AM38" s="859" t="e">
        <f>Medicaid!AM26</f>
        <v>#DIV/0!</v>
      </c>
      <c r="AN38" s="859" t="e">
        <f>Medicaid!AN26</f>
        <v>#DIV/0!</v>
      </c>
    </row>
    <row r="39" ht="14.9" customHeight="1">
      <c r="B39" s="753" t="s">
        <v>716</v>
      </c>
      <c r="C39" s="412"/>
      <c r="D39" s="763" t="n">
        <f>D37-D38</f>
        <v>9.6999999999999993</v>
      </c>
      <c r="E39" s="738" t="n">
        <f t="shared" ref="E39:O39" si="21">E37-E38</f>
        <v>10.3</v>
      </c>
      <c r="F39" s="738" t="n">
        <f t="shared" si="21"/>
        <v>11.000000000000002</v>
      </c>
      <c r="G39" s="738" t="n">
        <f>G37-G38</f>
        <v>11.6</v>
      </c>
      <c r="H39" s="738" t="n">
        <f t="shared" si="21"/>
        <v>12.100000000000001</v>
      </c>
      <c r="I39" s="738" t="n">
        <f t="shared" si="21"/>
        <v>12.500000000000002</v>
      </c>
      <c r="J39" s="738" t="n">
        <f t="shared" si="21"/>
        <v>12.700000000000001</v>
      </c>
      <c r="K39" s="738" t="n">
        <f t="shared" si="21"/>
        <v>13</v>
      </c>
      <c r="L39" s="738" t="n">
        <f t="shared" si="21"/>
        <v>13.399999999999999</v>
      </c>
      <c r="M39" s="738" t="n">
        <f t="shared" si="21"/>
        <v>13.600000000000001</v>
      </c>
      <c r="N39" s="738" t="n">
        <f t="shared" si="21"/>
        <v>13.9</v>
      </c>
      <c r="O39" s="738" t="n">
        <f t="shared" si="21"/>
        <v>14</v>
      </c>
      <c r="P39" s="738" t="n">
        <f>P37-P38</f>
        <v>14.2</v>
      </c>
      <c r="Q39" s="738" t="n">
        <f>Q37-Q38</f>
        <v>14.4</v>
      </c>
      <c r="R39" s="738" t="n">
        <f>R37-R38</f>
        <v>14.5</v>
      </c>
      <c r="S39" s="809" t="n">
        <f>S37-S38</f>
        <v>14.9</v>
      </c>
      <c r="T39" s="809" t="n">
        <f>T37-T38</f>
        <v>13.2</v>
      </c>
      <c r="U39" s="738" t="n">
        <f>T39*(1+AVERAGE($F$41:$I$41))+U40</f>
        <v>-56.144395866938552</v>
      </c>
      <c r="V39" s="738" t="n">
        <f>U39*(1+AVERAGE($F$41:$I$41))+V40</f>
        <v>-58.932918441075152</v>
      </c>
      <c r="W39" s="738" t="n">
        <f t="shared" ref="W39:AA39" si="22">V39*(1+AVERAGE($F$41:$I$41))</f>
        <v>-61.859938509510165</v>
      </c>
      <c r="X39" s="740" t="n">
        <f>W39*(1+AVERAGE($F$41:$I$41))</f>
        <v>-64.932334824492131</v>
      </c>
      <c r="Y39" s="740" t="n">
        <f t="shared" si="22"/>
        <v>-68.157327785118412</v>
      </c>
      <c r="Z39" s="740" t="n">
        <f t="shared" si="22"/>
        <v>-71.542496405902327</v>
      </c>
      <c r="AA39" s="740" t="n">
        <f t="shared" si="22"/>
        <v>-75.09579612811774</v>
      </c>
      <c r="AB39" s="740" t="n">
        <f>AA39*(1+AVERAGE($F$41:$I$41))</f>
        <v>-78.825577515779401</v>
      </c>
      <c r="AC39" s="740" t="n">
        <f>AB39*(1+AVERAGE($F$41:$I$41))</f>
        <v>-82.740605880196114</v>
      </c>
      <c r="AD39" s="740" t="n">
        <f>AC39*(1+AVERAGE($F$41:$I$41))</f>
        <v>-86.850081879216191</v>
      </c>
      <c r="AE39" s="740" t="n">
        <f>AD39*(1+AVERAGE($F$41:$I$41))</f>
        <v>-91.163663139575235</v>
      </c>
      <c r="AF39" s="740" t="n">
        <f t="shared" ref="AF39:AH39" si="23">AE39*(1+AVERAGE($F$41:$I$41))</f>
        <v>-95.691486953160634</v>
      </c>
      <c r="AG39" s="740" t="n">
        <f>AF39*(1+AVERAGE($F$41:$I$41))</f>
        <v>-100.44419410053094</v>
      </c>
      <c r="AH39" s="740" t="n">
        <f t="shared" si="23"/>
        <v>-105.43295385767749</v>
      </c>
      <c r="AI39" s="740" t="n">
        <f t="shared" ref="AI39" si="24">AH39*(1+AVERAGE($F$41:$I$41))</f>
        <v>-110.66949024479646</v>
      </c>
      <c r="AJ39" s="740" t="n">
        <f>AI39*(1+AVERAGE($F$41:$I$41))</f>
        <v>-116.16610957875801</v>
      </c>
      <c r="AK39" s="740" t="n">
        <f t="shared" ref="AK39:AN39" si="25">AJ39*(1+AVERAGE($F$41:$I$41))</f>
        <v>-121.93572939402338</v>
      </c>
      <c r="AL39" s="740" t="n">
        <f t="shared" si="25"/>
        <v>-127.99190879997673</v>
      </c>
      <c r="AM39" s="740" t="n">
        <f t="shared" si="25"/>
        <v>-134.34888034601377</v>
      </c>
      <c r="AN39" s="740" t="n">
        <f t="shared" si="25"/>
        <v>-141.02158346927322</v>
      </c>
    </row>
    <row r="40" ht="14.9" customHeight="1">
      <c r="B40" s="753" t="s">
        <v>1593</v>
      </c>
      <c r="C40" s="412"/>
      <c r="D40" s="763"/>
      <c r="E40" s="738"/>
      <c r="F40" s="738"/>
      <c r="G40" s="738"/>
      <c r="H40" s="738"/>
      <c r="I40" s="738"/>
      <c r="J40" s="738"/>
      <c r="K40" s="738"/>
      <c r="L40" s="738"/>
      <c r="M40" s="738"/>
      <c r="N40" s="738"/>
      <c r="O40" s="738"/>
      <c r="P40" s="738"/>
      <c r="Q40" s="738"/>
      <c r="R40" s="738"/>
      <c r="S40" s="809"/>
      <c r="T40" s="738"/>
      <c r="U40" s="738" t="n">
        <v>-70</v>
      </c>
      <c r="V40" s="738"/>
      <c r="W40" s="738"/>
      <c r="X40" s="740"/>
      <c r="Y40" s="740"/>
      <c r="Z40" s="740"/>
      <c r="AA40" s="740"/>
      <c r="AB40" s="740"/>
      <c r="AC40" s="740"/>
      <c r="AD40" s="740"/>
      <c r="AE40" s="740"/>
      <c r="AF40" s="740"/>
      <c r="AG40" s="740"/>
      <c r="AH40" s="740"/>
      <c r="AI40" s="740"/>
      <c r="AJ40" s="740"/>
      <c r="AK40" s="740"/>
      <c r="AL40" s="740"/>
      <c r="AM40" s="740"/>
      <c r="AN40" s="740"/>
    </row>
    <row r="41">
      <c r="B41" s="895" t="s">
        <v>717</v>
      </c>
      <c r="C41" s="506"/>
      <c r="D41" s="765"/>
      <c r="E41" s="752" t="n">
        <f>E39/D39-1</f>
        <v>6.1855670103093008E-2</v>
      </c>
      <c r="F41" s="752" t="n">
        <f t="shared" ref="F41:N41" si="26">F39/E39-1</f>
        <v>6.7961165048543881E-2</v>
      </c>
      <c r="G41" s="752" t="n">
        <f>G39/F39-1</f>
        <v>5.4545454545454453E-2</v>
      </c>
      <c r="H41" s="752" t="n">
        <f t="shared" si="26"/>
        <v>4.3103448275862322E-2</v>
      </c>
      <c r="I41" s="752" t="n">
        <f t="shared" si="26"/>
        <v>3.3057851239669533E-2</v>
      </c>
      <c r="J41" s="752" t="n">
        <f t="shared" si="26"/>
        <v>1.6000000000000014E-2</v>
      </c>
      <c r="K41" s="752" t="n">
        <f t="shared" si="26"/>
        <v>2.3622047244094446E-2</v>
      </c>
      <c r="L41" s="752" t="n">
        <f t="shared" si="26"/>
        <v>3.076923076923066E-2</v>
      </c>
      <c r="M41" s="752" t="n">
        <f t="shared" si="26"/>
        <v>1.4925373134328623E-2</v>
      </c>
      <c r="N41" s="752" t="n">
        <f t="shared" si="26"/>
        <v>2.2058823529411686E-2</v>
      </c>
      <c r="O41" s="752" t="n">
        <f>O39/N39-1</f>
        <v>7.194244604316502E-3</v>
      </c>
      <c r="P41" s="752" t="n">
        <f t="shared" ref="P41:S41" si="27">P39/O39-1</f>
        <v>1.4285714285714235E-2</v>
      </c>
      <c r="Q41" s="752" t="n">
        <f t="shared" si="27"/>
        <v>1.4084507042253502E-2</v>
      </c>
      <c r="R41" s="752" t="n">
        <f t="shared" si="27"/>
        <v>6.9444444444444198E-3</v>
      </c>
      <c r="S41" s="830" t="n">
        <f t="shared" si="27"/>
        <v>2.7586206896551779E-2</v>
      </c>
      <c r="T41" s="739"/>
      <c r="U41" s="739"/>
      <c r="V41" s="739"/>
      <c r="W41" s="739"/>
      <c r="X41" s="760"/>
      <c r="Y41" s="760"/>
      <c r="Z41" s="760"/>
      <c r="AA41" s="760"/>
      <c r="AB41" s="760"/>
      <c r="AC41" s="760"/>
      <c r="AD41" s="760"/>
      <c r="AE41" s="760"/>
      <c r="AF41" s="760"/>
      <c r="AG41" s="760"/>
      <c r="AH41" s="760"/>
      <c r="AI41" s="760"/>
      <c r="AJ41" s="760"/>
      <c r="AK41" s="760"/>
      <c r="AL41" s="760"/>
      <c r="AM41" s="760"/>
      <c r="AN41" s="760"/>
    </row>
    <row r="45">
      <c r="P45" s="647"/>
      <c r="Q45" s="647"/>
    </row>
    <row r="46">
      <c r="B46" s="680" t="s">
        <v>263</v>
      </c>
      <c r="D46" s="657"/>
      <c r="E46" s="657"/>
      <c r="F46" s="657"/>
      <c r="G46" s="657"/>
      <c r="H46" s="657"/>
      <c r="I46" s="657"/>
      <c r="J46" s="657"/>
      <c r="K46" s="657"/>
      <c r="L46" s="657"/>
      <c r="M46" s="657"/>
      <c r="N46" s="657"/>
      <c r="O46" s="657"/>
      <c r="P46" s="657"/>
      <c r="Q46" s="657"/>
      <c r="R46" s="657"/>
      <c r="S46" s="657"/>
      <c r="T46" s="657"/>
      <c r="U46" s="657"/>
      <c r="V46" s="657"/>
      <c r="W46" s="657"/>
      <c r="X46" s="657"/>
      <c r="Y46" s="657"/>
      <c r="Z46" s="657"/>
      <c r="AA46" s="657"/>
      <c r="AB46" s="657"/>
      <c r="AC46" s="657"/>
    </row>
    <row r="47" ht="45.75" customHeight="1">
      <c r="B47" s="265" t="s">
        <v>387</v>
      </c>
      <c r="C47" s="265"/>
      <c r="D47" s="267"/>
      <c r="E47" s="267"/>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row>
    <row r="48" ht="14.9" customHeight="1">
      <c r="B48" s="270" t="s">
        <v>388</v>
      </c>
      <c r="C48" s="271"/>
      <c r="D48" s="379" t="s">
        <v>191</v>
      </c>
      <c r="E48" s="379"/>
      <c r="F48" s="379"/>
      <c r="G48" s="379"/>
      <c r="H48" s="379"/>
      <c r="I48" s="379"/>
      <c r="J48" s="379"/>
      <c r="K48" s="379"/>
      <c r="L48" s="379"/>
      <c r="M48" s="379"/>
      <c r="N48" s="379"/>
      <c r="O48" s="379"/>
      <c r="P48" s="379"/>
      <c r="Q48" s="379"/>
      <c r="R48" s="379"/>
      <c r="S48" s="379"/>
      <c r="T48" s="379"/>
      <c r="U48" s="379"/>
      <c r="V48" s="379"/>
      <c r="W48" s="379"/>
      <c r="X48" s="379"/>
      <c r="Y48" s="379"/>
      <c r="Z48" s="379"/>
      <c r="AA48" s="379"/>
      <c r="AB48" s="379"/>
      <c r="AC48" s="251" t="s">
        <v>192</v>
      </c>
      <c r="AD48" s="252"/>
      <c r="AE48" s="252"/>
      <c r="AF48" s="252"/>
      <c r="AG48" s="252"/>
      <c r="AH48" s="252"/>
      <c r="AI48" s="252"/>
      <c r="AJ48" s="252"/>
      <c r="AK48" s="252"/>
      <c r="AL48" s="252"/>
      <c r="AM48" s="252"/>
      <c r="AN48" s="253"/>
    </row>
    <row r="49">
      <c r="B49" s="270"/>
      <c r="C49" s="271"/>
      <c r="D49" s="254" t="n">
        <v>2018</v>
      </c>
      <c r="E49" s="254" t="n">
        <v>2019</v>
      </c>
      <c r="F49" s="441"/>
      <c r="G49" s="441"/>
      <c r="H49" s="256"/>
      <c r="I49" s="254" t="n">
        <v>2020</v>
      </c>
      <c r="J49" s="441"/>
      <c r="K49" s="441"/>
      <c r="L49" s="441"/>
      <c r="M49" s="254" t="n">
        <v>2021</v>
      </c>
      <c r="N49" s="441"/>
      <c r="O49" s="441"/>
      <c r="P49" s="441"/>
      <c r="Q49" s="254" t="n">
        <v>2022</v>
      </c>
      <c r="R49" s="255"/>
      <c r="S49" s="255"/>
      <c r="T49" s="256"/>
      <c r="U49" s="298"/>
      <c r="V49" s="304" t="n">
        <v>2023</v>
      </c>
      <c r="W49" s="304"/>
      <c r="X49" s="300"/>
      <c r="Y49" s="305"/>
      <c r="Z49" s="304" t="n">
        <v>2024</v>
      </c>
      <c r="AA49" s="304"/>
      <c r="AB49" s="300"/>
      <c r="AC49" s="261" t="n">
        <v>2025</v>
      </c>
      <c r="AD49" s="262"/>
      <c r="AE49" s="262"/>
      <c r="AF49" s="263"/>
      <c r="AG49" s="261" t="n">
        <v>2026</v>
      </c>
      <c r="AH49" s="262"/>
      <c r="AI49" s="262"/>
      <c r="AJ49" s="263"/>
      <c r="AK49" s="261" t="n">
        <v>2027</v>
      </c>
      <c r="AL49" s="262"/>
      <c r="AM49" s="262"/>
      <c r="AN49" s="263"/>
    </row>
    <row r="50">
      <c r="B50" s="272"/>
      <c r="C50" s="273"/>
      <c r="D50" s="274" t="s">
        <v>193</v>
      </c>
      <c r="E50" s="274" t="s">
        <v>194</v>
      </c>
      <c r="F50" s="275" t="s">
        <v>195</v>
      </c>
      <c r="G50" s="275" t="s">
        <v>171</v>
      </c>
      <c r="H50" s="276" t="s">
        <v>193</v>
      </c>
      <c r="I50" s="275" t="s">
        <v>194</v>
      </c>
      <c r="J50" s="275" t="s">
        <v>195</v>
      </c>
      <c r="K50" s="275" t="s">
        <v>171</v>
      </c>
      <c r="L50" s="275" t="s">
        <v>193</v>
      </c>
      <c r="M50" s="274" t="s">
        <v>194</v>
      </c>
      <c r="N50" s="275" t="s">
        <v>195</v>
      </c>
      <c r="O50" s="275" t="s">
        <v>171</v>
      </c>
      <c r="P50" s="275" t="s">
        <v>193</v>
      </c>
      <c r="Q50" s="274" t="s">
        <v>194</v>
      </c>
      <c r="R50" s="275" t="s">
        <v>195</v>
      </c>
      <c r="S50" s="275" t="s">
        <v>171</v>
      </c>
      <c r="T50" s="276" t="s">
        <v>193</v>
      </c>
      <c r="U50" s="275" t="s">
        <v>194</v>
      </c>
      <c r="V50" s="294" t="s">
        <v>195</v>
      </c>
      <c r="W50" s="294" t="s">
        <v>171</v>
      </c>
      <c r="X50" s="292" t="s">
        <v>193</v>
      </c>
      <c r="Y50" s="293" t="s">
        <v>194</v>
      </c>
      <c r="Z50" s="295" t="s">
        <v>195</v>
      </c>
      <c r="AA50" s="294" t="s">
        <v>171</v>
      </c>
      <c r="AB50" s="294" t="s">
        <v>193</v>
      </c>
      <c r="AC50" s="293" t="s">
        <v>194</v>
      </c>
      <c r="AD50" s="295" t="s">
        <v>195</v>
      </c>
      <c r="AE50" s="291" t="s">
        <v>171</v>
      </c>
      <c r="AF50" s="291" t="s">
        <v>193</v>
      </c>
      <c r="AG50" s="296" t="s">
        <v>194</v>
      </c>
      <c r="AH50" s="290" t="s">
        <v>195</v>
      </c>
      <c r="AI50" s="291" t="s">
        <v>171</v>
      </c>
      <c r="AJ50" s="297" t="s">
        <v>193</v>
      </c>
      <c r="AK50" s="296" t="s">
        <v>194</v>
      </c>
      <c r="AL50" s="290" t="s">
        <v>195</v>
      </c>
      <c r="AM50" s="291" t="s">
        <v>171</v>
      </c>
      <c r="AN50" s="297" t="s">
        <v>193</v>
      </c>
    </row>
    <row r="51">
      <c r="B51" s="737" t="s">
        <v>1897</v>
      </c>
      <c r="D51" s="405"/>
      <c r="E51" s="457"/>
      <c r="F51" s="457"/>
      <c r="G51" s="457"/>
      <c r="H51" s="457"/>
      <c r="I51" s="747" t="n">
        <f>(I52-AVERAGE($E52:$H52))</f>
        <v>0.23799999999999999</v>
      </c>
      <c r="J51" s="747" t="n">
        <f t="shared" ref="J51:N51" si="28">(J52-AVERAGE($E52:$H52))</f>
        <v>0.33799999999999986</v>
      </c>
      <c r="K51" s="747" t="n">
        <f t="shared" si="28"/>
        <v>0.51</v>
      </c>
      <c r="L51" s="747" t="n">
        <f t="shared" si="28"/>
        <v>0.47</v>
      </c>
      <c r="M51" s="747" t="n">
        <f t="shared" si="28"/>
        <v>0.46199999999999997</v>
      </c>
      <c r="N51" s="747" t="n">
        <f t="shared" si="28"/>
        <v>0.746</v>
      </c>
      <c r="O51" s="747" t="n">
        <f t="shared" ref="O51:U51" si="29">(O52-AVERAGE($E52:$H52))</f>
        <v>0.79400000000000004</v>
      </c>
      <c r="P51" s="747" t="n">
        <f t="shared" si="29"/>
        <v>0.79400000000000004</v>
      </c>
      <c r="Q51" s="747" t="n">
        <f t="shared" si="29"/>
        <v>0.78200000000000003</v>
      </c>
      <c r="R51" s="747" t="n">
        <f t="shared" si="29"/>
        <v>0.88600000000000012</v>
      </c>
      <c r="S51" s="748" t="n">
        <f t="shared" si="29"/>
        <v>0.92599999999999971</v>
      </c>
      <c r="T51" s="854" t="n">
        <f t="shared" si="29"/>
        <v>1.702</v>
      </c>
      <c r="U51" s="748" t="n">
        <f t="shared" si="29"/>
        <v>1.798</v>
      </c>
      <c r="V51" s="748" t="n">
        <f t="shared" ref="V51:AD51" si="30">(V52-AVERAGE($E52:$H52))</f>
        <v>2.258</v>
      </c>
      <c r="W51" s="748" t="n">
        <f t="shared" si="30"/>
        <v>2.5259999999999998</v>
      </c>
      <c r="X51" s="748" t="n">
        <f t="shared" si="30"/>
        <v>3.0019999999999998</v>
      </c>
      <c r="Y51" s="748" t="n">
        <f t="shared" si="30"/>
        <v>3.1499999999999995</v>
      </c>
      <c r="Z51" s="748" t="n">
        <f t="shared" si="30"/>
        <v>3.4699999999999998</v>
      </c>
      <c r="AA51" s="748" t="n">
        <f t="shared" si="30"/>
        <v>3.3179999999999996</v>
      </c>
      <c r="AB51" s="748" t="n">
        <f t="shared" si="30"/>
        <v>3.4059999999999997</v>
      </c>
      <c r="AC51" s="748" t="n">
        <f t="shared" si="30"/>
        <v>3.3140000000000001</v>
      </c>
      <c r="AD51" s="748" t="n">
        <f t="shared" si="30"/>
        <v>3.0540000000000003</v>
      </c>
      <c r="AE51" s="890" t="n">
        <f t="shared" ref="AE51:AF51" si="31">AD51+AE53</f>
        <v>3.0540000000000003</v>
      </c>
      <c r="AF51" s="890" t="n">
        <f t="shared" si="31"/>
        <v>-4.907</v>
      </c>
      <c r="AG51" s="890" t="n">
        <f t="shared" ref="AG51:AM51" si="32">AF51+AG53</f>
        <v>-4.907</v>
      </c>
      <c r="AH51" s="890" t="n">
        <f t="shared" si="32"/>
        <v>-4.907</v>
      </c>
      <c r="AI51" s="890" t="n">
        <f t="shared" si="32"/>
        <v>-4.907</v>
      </c>
      <c r="AJ51" s="890" t="n">
        <f t="shared" si="32"/>
        <v>-13.061999999999999</v>
      </c>
      <c r="AK51" s="890" t="n">
        <f t="shared" si="32"/>
        <v>-13.061999999999999</v>
      </c>
      <c r="AL51" s="890" t="n">
        <f t="shared" si="32"/>
        <v>-13.061999999999999</v>
      </c>
      <c r="AM51" s="890" t="n">
        <f t="shared" si="32"/>
        <v>-13.061999999999999</v>
      </c>
      <c r="AN51" s="890" t="n">
        <f>AM51+AN53</f>
        <v>-34.707000000000001</v>
      </c>
    </row>
    <row r="52">
      <c r="B52" s="737" t="s">
        <v>1892</v>
      </c>
      <c r="C52" s="289" t="s">
        <v>389</v>
      </c>
      <c r="D52" s="419" t="n">
        <f>'Haver Pivoted'!B66</f>
        <v>0.58399999999999996</v>
      </c>
      <c r="E52" s="286" t="n">
        <f>'Haver Pivoted'!C66</f>
        <v>0.98</v>
      </c>
      <c r="F52" s="286" t="n">
        <f>'Haver Pivoted'!D66</f>
        <v>1.256</v>
      </c>
      <c r="G52" s="286" t="n">
        <f>'Haver Pivoted'!E66</f>
        <v>1.5920000000000001</v>
      </c>
      <c r="H52" s="286" t="n">
        <f>'Haver Pivoted'!F66</f>
        <v>1.62</v>
      </c>
      <c r="I52" s="286" t="n">
        <f>'Haver Pivoted'!G66</f>
        <v>1.6</v>
      </c>
      <c r="J52" s="286" t="n">
        <f>'Haver Pivoted'!H66</f>
        <v>1.7</v>
      </c>
      <c r="K52" s="286" t="n">
        <f>'Haver Pivoted'!I66</f>
        <v>1.8720000000000001</v>
      </c>
      <c r="L52" s="286" t="n">
        <f>'Haver Pivoted'!J66</f>
        <v>1.8320000000000001</v>
      </c>
      <c r="M52" s="286" t="n">
        <f>'Haver Pivoted'!K66</f>
        <v>1.8240000000000001</v>
      </c>
      <c r="N52" s="286" t="n">
        <f>'Haver Pivoted'!L66</f>
        <v>2.1080000000000001</v>
      </c>
      <c r="O52" s="286" t="n">
        <f>'Haver Pivoted'!M66</f>
        <v>2.1560000000000001</v>
      </c>
      <c r="P52" s="286" t="n">
        <f>'Haver Pivoted'!N66</f>
        <v>2.1560000000000001</v>
      </c>
      <c r="Q52" s="286" t="n">
        <f>'Haver Pivoted'!O66</f>
        <v>2.1440000000000001</v>
      </c>
      <c r="R52" s="286" t="n">
        <f>'Haver Pivoted'!P66</f>
        <v>2.2480000000000002</v>
      </c>
      <c r="S52" s="275" t="n">
        <f>'Haver Pivoted'!Q66</f>
        <v>2.2879999999999998</v>
      </c>
      <c r="T52" s="275" t="n">
        <f>'Haver Pivoted'!R66</f>
        <v>3.0640000000000001</v>
      </c>
      <c r="U52" s="275" t="n">
        <f>'Haver Pivoted'!S66</f>
        <v>3.16</v>
      </c>
      <c r="V52" s="275" t="n">
        <f>'Haver Pivoted'!T66</f>
        <v>3.62</v>
      </c>
      <c r="W52" s="275" t="n">
        <f>'Haver Pivoted'!U66</f>
        <v>3.8879999999999999</v>
      </c>
      <c r="X52" s="275" t="n">
        <f>'Haver Pivoted'!V66</f>
        <v>4.3639999999999999</v>
      </c>
      <c r="Y52" s="275" t="n">
        <f>'Haver Pivoted'!W66</f>
        <v>4.5119999999999996</v>
      </c>
      <c r="Z52" s="275" t="n">
        <f>'Haver Pivoted'!X66</f>
        <v>4.8319999999999999</v>
      </c>
      <c r="AA52" s="275" t="n">
        <f>'Haver Pivoted'!Y66</f>
        <v>4.68</v>
      </c>
      <c r="AB52" s="275" t="n">
        <f>'Haver Pivoted'!Z66</f>
        <v>4.7679999999999998</v>
      </c>
      <c r="AC52" s="275" t="n">
        <f>'Haver Pivoted'!AA66</f>
        <v>4.6760000000000002</v>
      </c>
      <c r="AD52" s="275" t="n">
        <f>'Haver Pivoted'!AB66</f>
        <v>4.4160000000000004</v>
      </c>
      <c r="AE52" s="380"/>
      <c r="AF52" s="380"/>
      <c r="AG52" s="380"/>
      <c r="AH52" s="380"/>
      <c r="AI52" s="380"/>
      <c r="AJ52" s="380"/>
      <c r="AK52" s="380"/>
      <c r="AL52" s="380"/>
      <c r="AM52" s="380"/>
      <c r="AN52" s="380"/>
    </row>
    <row r="53">
      <c r="B53" s="851" t="s">
        <v>1896</v>
      </c>
      <c r="C53" s="289"/>
      <c r="D53" s="419"/>
      <c r="E53" s="286"/>
      <c r="F53" s="286"/>
      <c r="G53" s="286"/>
      <c r="H53" s="286"/>
      <c r="I53" s="286"/>
      <c r="J53" s="286"/>
      <c r="K53" s="286"/>
      <c r="L53" s="286"/>
      <c r="M53" s="286"/>
      <c r="N53" s="286"/>
      <c r="O53" s="286"/>
      <c r="P53" s="286"/>
      <c r="Q53" s="286"/>
      <c r="R53" s="286"/>
      <c r="S53" s="275"/>
      <c r="T53" s="275"/>
      <c r="U53" s="275"/>
      <c r="V53" s="275"/>
      <c r="W53" s="275"/>
      <c r="X53" s="275"/>
      <c r="Y53" s="275"/>
      <c r="Z53" s="275"/>
      <c r="AA53" s="275"/>
      <c r="AB53" s="275"/>
      <c r="AC53" s="275"/>
      <c r="AD53" s="275"/>
      <c r="AE53" s="380" t="n">
        <v>0</v>
      </c>
      <c r="AF53" s="852" t="n">
        <v>-7.9610000000000003</v>
      </c>
      <c r="AG53" s="852" t="n">
        <v>0</v>
      </c>
      <c r="AH53" s="852" t="n">
        <v>0</v>
      </c>
      <c r="AI53" s="852" t="n">
        <v>0</v>
      </c>
      <c r="AJ53" s="852" t="n">
        <v>-8.1549999999999994</v>
      </c>
      <c r="AK53" s="852" t="n">
        <v>0</v>
      </c>
      <c r="AL53" s="852" t="n">
        <v>0</v>
      </c>
      <c r="AM53" s="852" t="n">
        <v>0</v>
      </c>
      <c r="AN53" s="852" t="n">
        <v>-21.645</v>
      </c>
    </row>
    <row r="54" ht="29.15" customHeight="1">
      <c r="B54" s="736" t="s">
        <v>390</v>
      </c>
      <c r="C54" s="506"/>
      <c r="D54" s="888"/>
      <c r="E54" s="734"/>
      <c r="F54" s="734"/>
      <c r="G54" s="734"/>
      <c r="H54" s="734"/>
      <c r="I54" s="734"/>
      <c r="J54" s="734" t="n">
        <f t="shared" ref="J54:W54" si="33">J52-$H52</f>
        <v>7.9999999999999849E-2</v>
      </c>
      <c r="K54" s="734" t="n">
        <f t="shared" si="33"/>
        <v>0.252</v>
      </c>
      <c r="L54" s="734" t="n">
        <f t="shared" si="33"/>
        <v>0.21199999999999997</v>
      </c>
      <c r="M54" s="734" t="n">
        <f t="shared" si="33"/>
        <v>0.20399999999999996</v>
      </c>
      <c r="N54" s="734" t="n">
        <f>N52-$H52</f>
        <v>0.48799999999999999</v>
      </c>
      <c r="O54" s="734" t="n">
        <f>O52-$H52</f>
        <v>0.53600000000000003</v>
      </c>
      <c r="P54" s="734" t="n">
        <f t="shared" si="33"/>
        <v>0.53600000000000003</v>
      </c>
      <c r="Q54" s="734" t="n">
        <f t="shared" si="33"/>
        <v>0.52400000000000002</v>
      </c>
      <c r="R54" s="734" t="n">
        <f t="shared" si="33"/>
        <v>0.62800000000000011</v>
      </c>
      <c r="S54" s="294" t="n">
        <f t="shared" si="33"/>
        <v>0.66799999999999971</v>
      </c>
      <c r="T54" s="294" t="n">
        <f t="shared" si="33"/>
        <v>1.444</v>
      </c>
      <c r="U54" s="294" t="n">
        <f t="shared" si="33"/>
        <v>1.54</v>
      </c>
      <c r="V54" s="294" t="n">
        <f t="shared" si="33"/>
        <v>2</v>
      </c>
      <c r="W54" s="294" t="n">
        <f t="shared" si="33"/>
        <v>2.2679999999999998</v>
      </c>
      <c r="X54" s="294" t="n">
        <f t="shared" ref="X54:Y54" si="34">X52-$H52</f>
        <v>2.7439999999999998</v>
      </c>
      <c r="Y54" s="294" t="n">
        <f t="shared" si="34"/>
        <v>2.8919999999999995</v>
      </c>
      <c r="Z54" s="294" t="n">
        <f t="shared" ref="Z54" si="35">Z52-$H52</f>
        <v>3.2119999999999997</v>
      </c>
      <c r="AA54" s="294" t="n">
        <f t="shared" ref="AA54" si="36">AA52-$H52</f>
        <v>3.0599999999999996</v>
      </c>
      <c r="AB54" s="294" t="n">
        <f t="shared" ref="AB54:AC54" si="37">AB52-$H52</f>
        <v>3.1479999999999997</v>
      </c>
      <c r="AC54" s="294" t="n">
        <f t="shared" si="37"/>
        <v>3.056</v>
      </c>
      <c r="AD54" s="294" t="n">
        <f t="shared" ref="AD54" si="38">AD52-$H52</f>
        <v>2.7960000000000003</v>
      </c>
      <c r="AE54" s="858"/>
      <c r="AF54" s="858"/>
      <c r="AG54" s="858"/>
      <c r="AH54" s="858"/>
      <c r="AI54" s="858"/>
      <c r="AJ54" s="858"/>
      <c r="AK54" s="858"/>
      <c r="AL54" s="858"/>
      <c r="AM54" s="858"/>
      <c r="AN54" s="858"/>
    </row>
    <row r="55" ht="29.15" customHeight="1">
      <c r="B55" s="289"/>
      <c r="C55" s="289"/>
      <c r="D55" s="286"/>
      <c r="E55" s="286"/>
      <c r="F55" s="286"/>
      <c r="G55" s="286"/>
      <c r="H55" s="286"/>
      <c r="I55" s="286"/>
      <c r="J55" s="286"/>
      <c r="K55" s="286"/>
      <c r="L55" s="286"/>
      <c r="M55" s="286"/>
      <c r="N55" s="286"/>
      <c r="O55" s="286"/>
      <c r="P55" s="286"/>
      <c r="Q55" s="286" t="s">
        <v>1895</v>
      </c>
      <c r="R55" s="286"/>
      <c r="S55" s="286"/>
      <c r="T55" s="286"/>
      <c r="U55" s="286" t="s">
        <v>1893</v>
      </c>
      <c r="V55" s="286"/>
      <c r="W55" s="286" t="s">
        <v>1894</v>
      </c>
      <c r="X55" s="286"/>
      <c r="Y55" s="286"/>
      <c r="Z55" s="286"/>
      <c r="AA55" s="286"/>
      <c r="AB55" s="286"/>
      <c r="AC55" s="286"/>
    </row>
    <row r="56" ht="29.15" customHeight="1">
      <c r="B56" s="289"/>
      <c r="C56" s="289"/>
      <c r="D56" s="286"/>
      <c r="E56" s="286"/>
      <c r="F56" s="286"/>
      <c r="G56" s="286"/>
      <c r="H56" s="286"/>
      <c r="I56" s="286"/>
      <c r="J56" s="286"/>
      <c r="K56" s="286"/>
      <c r="L56" s="286"/>
      <c r="M56" s="286"/>
      <c r="N56" s="286"/>
      <c r="O56" s="286"/>
      <c r="P56" s="286"/>
      <c r="Q56" s="286" t="n">
        <f>SUM(P52:S52)</f>
        <v>8.8360000000000003</v>
      </c>
      <c r="R56" s="286"/>
      <c r="S56" s="286"/>
      <c r="T56" s="286"/>
      <c r="U56" s="286" t="n">
        <f>SUM(T52:W52)</f>
        <v>13.732000000000001</v>
      </c>
      <c r="V56" s="286"/>
      <c r="W56" t="n">
        <v>112</v>
      </c>
      <c r="X56" s="286"/>
      <c r="Y56" s="286"/>
      <c r="Z56" s="286"/>
      <c r="AA56" s="286"/>
      <c r="AB56" s="286"/>
      <c r="AC56" s="286"/>
    </row>
    <row r="57" ht="29.15" customHeight="1">
      <c r="B57" s="289"/>
      <c r="C57" s="289"/>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row>
    <row r="58" ht="35.9" customHeight="1"/>
    <row r="59">
      <c r="B59" s="680" t="s">
        <v>276</v>
      </c>
    </row>
    <row r="60">
      <c r="B60" s="836" t="s">
        <v>714</v>
      </c>
      <c r="C60" s="837"/>
      <c r="D60" s="379" t="s">
        <v>191</v>
      </c>
      <c r="E60" s="379"/>
      <c r="F60" s="379"/>
      <c r="G60" s="379"/>
      <c r="H60" s="379"/>
      <c r="I60" s="379"/>
      <c r="J60" s="379"/>
      <c r="K60" s="379"/>
      <c r="L60" s="379"/>
      <c r="M60" s="379"/>
      <c r="N60" s="379"/>
      <c r="O60" s="379"/>
      <c r="P60" s="379"/>
      <c r="Q60" s="379"/>
      <c r="R60" s="379"/>
      <c r="S60" s="379"/>
      <c r="T60" s="379"/>
      <c r="U60" s="379"/>
      <c r="V60" s="379"/>
      <c r="W60" s="379"/>
      <c r="X60" s="379"/>
      <c r="Y60" s="379"/>
      <c r="Z60" s="379"/>
      <c r="AA60" s="379"/>
      <c r="AB60" s="379"/>
      <c r="AC60" s="251" t="s">
        <v>192</v>
      </c>
      <c r="AD60" s="252"/>
      <c r="AE60" s="252"/>
      <c r="AF60" s="252"/>
      <c r="AG60" s="252"/>
      <c r="AH60" s="252"/>
      <c r="AI60" s="252"/>
      <c r="AJ60" s="252"/>
      <c r="AK60" s="252"/>
      <c r="AL60" s="252"/>
      <c r="AM60" s="252"/>
      <c r="AN60" s="253"/>
    </row>
    <row r="61">
      <c r="B61" s="838"/>
      <c r="C61" s="839"/>
      <c r="D61" s="254" t="n">
        <v>2018</v>
      </c>
      <c r="E61" s="254" t="n">
        <v>2019</v>
      </c>
      <c r="F61" s="441"/>
      <c r="G61" s="441"/>
      <c r="H61" s="256"/>
      <c r="I61" s="254" t="n">
        <v>2020</v>
      </c>
      <c r="J61" s="441"/>
      <c r="K61" s="441"/>
      <c r="L61" s="441"/>
      <c r="M61" s="254" t="n">
        <v>2021</v>
      </c>
      <c r="N61" s="441"/>
      <c r="O61" s="441"/>
      <c r="P61" s="441"/>
      <c r="Q61" s="254" t="n">
        <v>2022</v>
      </c>
      <c r="R61" s="255"/>
      <c r="S61" s="255"/>
      <c r="T61" s="256"/>
      <c r="U61" s="298"/>
      <c r="V61" s="304" t="n">
        <v>2023</v>
      </c>
      <c r="W61" s="304"/>
      <c r="X61" s="300"/>
      <c r="Y61" s="305"/>
      <c r="Z61" s="304" t="n">
        <v>2024</v>
      </c>
      <c r="AA61" s="298"/>
      <c r="AB61" s="300"/>
      <c r="AC61" s="261" t="n">
        <v>2025</v>
      </c>
      <c r="AD61" s="262"/>
      <c r="AE61" s="262"/>
      <c r="AF61" s="263"/>
      <c r="AG61" s="261" t="n">
        <v>2026</v>
      </c>
      <c r="AH61" s="262"/>
      <c r="AI61" s="262"/>
      <c r="AJ61" s="263"/>
      <c r="AK61" s="261" t="n">
        <v>2027</v>
      </c>
      <c r="AL61" s="262"/>
      <c r="AM61" s="262"/>
      <c r="AN61" s="263"/>
    </row>
    <row r="62">
      <c r="B62" s="838"/>
      <c r="C62" s="839"/>
      <c r="D62" s="274" t="s">
        <v>193</v>
      </c>
      <c r="E62" s="274" t="s">
        <v>194</v>
      </c>
      <c r="F62" s="275" t="s">
        <v>195</v>
      </c>
      <c r="G62" s="275" t="s">
        <v>171</v>
      </c>
      <c r="H62" s="276" t="s">
        <v>193</v>
      </c>
      <c r="I62" s="275" t="s">
        <v>194</v>
      </c>
      <c r="J62" s="275" t="s">
        <v>195</v>
      </c>
      <c r="K62" s="275" t="s">
        <v>171</v>
      </c>
      <c r="L62" s="275" t="s">
        <v>193</v>
      </c>
      <c r="M62" s="274" t="s">
        <v>194</v>
      </c>
      <c r="N62" s="275" t="s">
        <v>195</v>
      </c>
      <c r="O62" s="275" t="s">
        <v>171</v>
      </c>
      <c r="P62" s="275" t="s">
        <v>193</v>
      </c>
      <c r="Q62" s="274" t="s">
        <v>194</v>
      </c>
      <c r="R62" s="275" t="s">
        <v>195</v>
      </c>
      <c r="S62" s="275" t="s">
        <v>171</v>
      </c>
      <c r="T62" s="276" t="s">
        <v>193</v>
      </c>
      <c r="U62" s="275" t="s">
        <v>194</v>
      </c>
      <c r="V62" s="294" t="s">
        <v>195</v>
      </c>
      <c r="W62" s="294" t="s">
        <v>171</v>
      </c>
      <c r="X62" s="292" t="s">
        <v>193</v>
      </c>
      <c r="Y62" s="293" t="s">
        <v>194</v>
      </c>
      <c r="Z62" s="295" t="s">
        <v>195</v>
      </c>
      <c r="AA62" s="294" t="s">
        <v>171</v>
      </c>
      <c r="AB62" s="294" t="s">
        <v>193</v>
      </c>
      <c r="AC62" s="293" t="s">
        <v>194</v>
      </c>
      <c r="AD62" s="295" t="s">
        <v>195</v>
      </c>
      <c r="AE62" s="291" t="s">
        <v>171</v>
      </c>
      <c r="AF62" s="291" t="s">
        <v>193</v>
      </c>
      <c r="AG62" s="296" t="s">
        <v>194</v>
      </c>
      <c r="AH62" s="290" t="s">
        <v>195</v>
      </c>
      <c r="AI62" s="291" t="s">
        <v>171</v>
      </c>
      <c r="AJ62" s="297" t="s">
        <v>193</v>
      </c>
      <c r="AK62" s="296" t="s">
        <v>194</v>
      </c>
      <c r="AL62" s="290" t="s">
        <v>195</v>
      </c>
      <c r="AM62" s="291" t="s">
        <v>171</v>
      </c>
      <c r="AN62" s="297" t="s">
        <v>193</v>
      </c>
    </row>
    <row r="63" ht="25.75" customHeight="1">
      <c r="B63" s="870" t="s">
        <v>377</v>
      </c>
      <c r="C63" s="853" t="s">
        <v>378</v>
      </c>
      <c r="D63" s="513" t="n">
        <f>'Haver Pivoted'!B31</f>
        <v>48.3</v>
      </c>
      <c r="E63" s="514" t="n">
        <f>'Haver Pivoted'!C31</f>
        <v>57.5</v>
      </c>
      <c r="F63" s="514" t="n">
        <f>'Haver Pivoted'!D31</f>
        <v>56.9</v>
      </c>
      <c r="G63" s="514" t="n">
        <f>'Haver Pivoted'!E31</f>
        <v>59.8</v>
      </c>
      <c r="H63" s="514" t="n">
        <f>'Haver Pivoted'!F31</f>
        <v>61</v>
      </c>
      <c r="I63" s="514" t="n">
        <f>'Haver Pivoted'!G31</f>
        <v>67.900000000000006</v>
      </c>
      <c r="J63" s="514" t="n">
        <f>'Haver Pivoted'!H31</f>
        <v>67.2</v>
      </c>
      <c r="K63" s="514" t="n">
        <f>'Haver Pivoted'!I31</f>
        <v>68.2</v>
      </c>
      <c r="L63" s="514" t="n">
        <f>'Haver Pivoted'!J31</f>
        <v>70.2</v>
      </c>
      <c r="M63" s="514" t="n">
        <f>'Haver Pivoted'!K31</f>
        <v>70.2</v>
      </c>
      <c r="N63" s="514" t="n">
        <f>'Haver Pivoted'!L31</f>
        <v>70.3</v>
      </c>
      <c r="O63" s="514" t="n">
        <f>'Haver Pivoted'!M31</f>
        <v>80.599999999999994</v>
      </c>
      <c r="P63" s="514" t="n">
        <f>'Haver Pivoted'!N31</f>
        <v>82.2</v>
      </c>
      <c r="Q63" s="514" t="n">
        <f>'Haver Pivoted'!O31</f>
        <v>83.6</v>
      </c>
      <c r="R63" s="514" t="n">
        <f>'Haver Pivoted'!P31</f>
        <v>85.1</v>
      </c>
      <c r="S63" s="515" t="n">
        <f>'Haver Pivoted'!Q31</f>
        <v>87.3</v>
      </c>
      <c r="T63" s="875" t="n">
        <f>'Haver Pivoted'!R31</f>
        <v>94.1</v>
      </c>
      <c r="U63" s="515" t="n">
        <f>'Haver Pivoted'!S31</f>
        <v>100.7</v>
      </c>
      <c r="V63" s="515" t="n">
        <f>'Haver Pivoted'!T31</f>
        <v>106.4</v>
      </c>
      <c r="W63" s="515" t="n">
        <f>'Haver Pivoted'!U31</f>
        <v>112</v>
      </c>
      <c r="X63" s="515" t="n">
        <f>'Haver Pivoted'!V31</f>
        <v>120.5</v>
      </c>
      <c r="Y63" s="515" t="n">
        <f>'Haver Pivoted'!W31</f>
        <v>134.19999999999999</v>
      </c>
      <c r="Z63" s="515" t="n">
        <f>'Haver Pivoted'!X31</f>
        <v>136.80000000000001</v>
      </c>
      <c r="AA63" s="515" t="n">
        <f>'Haver Pivoted'!Y31</f>
        <v>137.80000000000001</v>
      </c>
      <c r="AB63" s="515" t="n">
        <f>'Haver Pivoted'!Z31</f>
        <v>141.30000000000001</v>
      </c>
      <c r="AC63" s="515" t="n">
        <f>'Haver Pivoted'!AA31</f>
        <v>139.6</v>
      </c>
      <c r="AD63" s="515" t="n">
        <f>'Haver Pivoted'!AB31</f>
        <v>145.4</v>
      </c>
      <c r="AE63" s="892"/>
      <c r="AF63" s="892"/>
      <c r="AG63" s="380"/>
      <c r="AH63" s="380"/>
      <c r="AI63" s="380"/>
      <c r="AJ63" s="380"/>
      <c r="AK63" s="380"/>
      <c r="AL63" s="380"/>
      <c r="AM63" s="380"/>
      <c r="AN63" s="380"/>
    </row>
    <row r="64" ht="37" customHeight="1">
      <c r="B64" s="642" t="s">
        <v>1746</v>
      </c>
      <c r="C64" s="289"/>
      <c r="D64" s="887" t="n">
        <f t="shared" ref="D64:AD64" si="39">D65+D66</f>
        <v>66.988</v>
      </c>
      <c r="E64" s="610" t="n">
        <f t="shared" si="39"/>
        <v>41.1</v>
      </c>
      <c r="F64" s="610" t="n">
        <f t="shared" si="39"/>
        <v>41.9</v>
      </c>
      <c r="G64" s="610" t="n">
        <f t="shared" si="39"/>
        <v>42.9</v>
      </c>
      <c r="H64" s="610" t="n">
        <f t="shared" si="39"/>
        <v>43.5</v>
      </c>
      <c r="I64" s="610" t="n">
        <f t="shared" si="39"/>
        <v>44.537999999999997</v>
      </c>
      <c r="J64" s="610" t="n">
        <f t="shared" si="39"/>
        <v>44.738</v>
      </c>
      <c r="K64" s="610" t="n">
        <f t="shared" si="39"/>
        <v>45.309999999999995</v>
      </c>
      <c r="L64" s="610" t="n">
        <f t="shared" si="39"/>
        <v>45.67</v>
      </c>
      <c r="M64" s="610" t="n">
        <f t="shared" si="39"/>
        <v>16.062000000000001</v>
      </c>
      <c r="N64" s="610" t="n">
        <f t="shared" si="39"/>
        <v>49.367840000000029</v>
      </c>
      <c r="O64" s="610" t="n">
        <f t="shared" si="39"/>
        <v>63.064160000000072</v>
      </c>
      <c r="P64" s="610" t="n">
        <f t="shared" si="39"/>
        <v>87.36999999999999</v>
      </c>
      <c r="Q64" s="610" t="n">
        <f t="shared" si="39"/>
        <v>87.757999999999996</v>
      </c>
      <c r="R64" s="610" t="n">
        <f t="shared" si="39"/>
        <v>88.361999999999995</v>
      </c>
      <c r="S64" s="872" t="n">
        <f t="shared" si="39"/>
        <v>88.48</v>
      </c>
      <c r="T64" s="872" t="n">
        <f t="shared" si="39"/>
        <v>72.50800000000001</v>
      </c>
      <c r="U64" s="872" t="n">
        <f t="shared" si="39"/>
        <v>90.204000000000008</v>
      </c>
      <c r="V64" s="872" t="n">
        <f t="shared" si="39"/>
        <v>91.555428571428564</v>
      </c>
      <c r="W64" s="872" t="n">
        <f t="shared" si="39"/>
        <v>92.523428571428582</v>
      </c>
      <c r="X64" s="872" t="n">
        <f t="shared" si="39"/>
        <v>86.841999999999999</v>
      </c>
      <c r="Y64" s="872" t="n">
        <f t="shared" si="39"/>
        <v>92.889999999999986</v>
      </c>
      <c r="Z64" s="872" t="n">
        <f t="shared" si="39"/>
        <v>94.81</v>
      </c>
      <c r="AA64" s="872" t="n">
        <f t="shared" si="39"/>
        <v>94.057999999999993</v>
      </c>
      <c r="AB64" s="872" t="n">
        <f t="shared" si="39"/>
        <v>93.674999999999997</v>
      </c>
      <c r="AC64" s="872" t="n">
        <f t="shared" si="39"/>
        <v>92.983000000000004</v>
      </c>
      <c r="AD64" s="872" t="n">
        <f t="shared" si="39"/>
        <v>93.322999999999993</v>
      </c>
      <c r="AE64" s="860"/>
      <c r="AF64" s="860"/>
      <c r="AG64" s="380"/>
      <c r="AH64" s="380"/>
      <c r="AI64" s="380"/>
      <c r="AJ64" s="380"/>
      <c r="AK64" s="380"/>
      <c r="AL64" s="380"/>
      <c r="AM64" s="380"/>
      <c r="AN64" s="380"/>
    </row>
    <row r="65" ht="25.75" customHeight="1">
      <c r="B65" s="570" t="s">
        <v>1744</v>
      </c>
      <c r="C65" s="289"/>
      <c r="D65" s="887" t="n">
        <f t="shared" ref="D65:AD65" si="40">D14+D17+D27</f>
        <v>39.9</v>
      </c>
      <c r="E65" s="887" t="n">
        <f t="shared" si="40"/>
        <v>41.1</v>
      </c>
      <c r="F65" s="610" t="n">
        <f t="shared" si="40"/>
        <v>41.9</v>
      </c>
      <c r="G65" s="610" t="n">
        <f t="shared" si="40"/>
        <v>42.9</v>
      </c>
      <c r="H65" s="610" t="n">
        <f t="shared" si="40"/>
        <v>43.5</v>
      </c>
      <c r="I65" s="610" t="n">
        <f t="shared" si="40"/>
        <v>44.3</v>
      </c>
      <c r="J65" s="610" t="n">
        <f t="shared" si="40"/>
        <v>44.4</v>
      </c>
      <c r="K65" s="610" t="n">
        <f t="shared" si="40"/>
        <v>44.8</v>
      </c>
      <c r="L65" s="610" t="n">
        <f t="shared" si="40"/>
        <v>45.2</v>
      </c>
      <c r="M65" s="610" t="n">
        <f t="shared" si="40"/>
        <v>15.6</v>
      </c>
      <c r="N65" s="610" t="n">
        <f t="shared" si="40"/>
        <v>14.7</v>
      </c>
      <c r="O65" s="610" t="n">
        <f t="shared" si="40"/>
        <v>14.2</v>
      </c>
      <c r="P65" s="610" t="n">
        <f t="shared" si="40"/>
        <v>14.1</v>
      </c>
      <c r="Q65" s="610" t="n">
        <f t="shared" si="40"/>
        <v>14.5</v>
      </c>
      <c r="R65" s="610" t="n">
        <f t="shared" si="40"/>
        <v>15</v>
      </c>
      <c r="S65" s="872" t="n">
        <f t="shared" si="40"/>
        <v>15.7</v>
      </c>
      <c r="T65" s="872" t="n">
        <f t="shared" si="40"/>
        <v>17.5</v>
      </c>
      <c r="U65" s="872" t="n">
        <f t="shared" si="40"/>
        <v>53.1</v>
      </c>
      <c r="V65" s="872" t="n">
        <f t="shared" si="40"/>
        <v>53.991428571428571</v>
      </c>
      <c r="W65" s="872" t="n">
        <f t="shared" si="40"/>
        <v>54.691428571428574</v>
      </c>
      <c r="X65" s="872" t="n">
        <f t="shared" si="40"/>
        <v>62.7</v>
      </c>
      <c r="Y65" s="872" t="n">
        <f t="shared" si="40"/>
        <v>68.599999999999994</v>
      </c>
      <c r="Z65" s="872" t="n">
        <f t="shared" si="40"/>
        <v>70.2</v>
      </c>
      <c r="AA65" s="872" t="n">
        <f t="shared" si="40"/>
        <v>69.599999999999994</v>
      </c>
      <c r="AB65" s="872" t="n">
        <f t="shared" si="40"/>
        <v>69.3</v>
      </c>
      <c r="AC65" s="872" t="n">
        <f t="shared" si="40"/>
        <v>68.7</v>
      </c>
      <c r="AD65" s="872" t="n">
        <f t="shared" si="40"/>
        <v>69.3</v>
      </c>
      <c r="AE65" s="860"/>
      <c r="AF65" s="860"/>
      <c r="AG65" s="860"/>
      <c r="AH65" s="860"/>
      <c r="AI65" s="860"/>
      <c r="AJ65" s="860"/>
      <c r="AK65" s="860"/>
      <c r="AL65" s="860"/>
      <c r="AM65" s="860"/>
      <c r="AN65" s="860"/>
    </row>
    <row r="66" ht="49.5" customHeight="1">
      <c r="B66" s="570" t="s">
        <v>1907</v>
      </c>
      <c r="C66" s="289"/>
      <c r="D66" s="610" t="n">
        <f>D18+D21+D24+D25+D26+D28+D31+D72</f>
        <v>27.088000000000001</v>
      </c>
      <c r="E66" s="610" t="n">
        <f t="shared" ref="E66:AN66" si="41">E18+E21+E24+E25+E26+E28+E31</f>
        <v>0</v>
      </c>
      <c r="F66" s="610" t="n">
        <f t="shared" si="41"/>
        <v>0</v>
      </c>
      <c r="G66" s="610" t="n">
        <f t="shared" si="41"/>
        <v>0</v>
      </c>
      <c r="H66" s="610" t="n">
        <f t="shared" si="41"/>
        <v>0</v>
      </c>
      <c r="I66" s="610" t="n">
        <f t="shared" si="41"/>
        <v>0.23799999999999999</v>
      </c>
      <c r="J66" s="610" t="n">
        <f t="shared" si="41"/>
        <v>0.33799999999999986</v>
      </c>
      <c r="K66" s="610" t="n">
        <f t="shared" si="41"/>
        <v>0.51</v>
      </c>
      <c r="L66" s="610" t="n">
        <f t="shared" si="41"/>
        <v>0.47</v>
      </c>
      <c r="M66" s="610" t="n">
        <f t="shared" si="41"/>
        <v>0.46199999999999997</v>
      </c>
      <c r="N66" s="610" t="n">
        <f t="shared" si="41"/>
        <v>34.667840000000027</v>
      </c>
      <c r="O66" s="610" t="n">
        <f t="shared" si="41"/>
        <v>48.864160000000069</v>
      </c>
      <c r="P66" s="610" t="n">
        <f t="shared" si="41"/>
        <v>73.27</v>
      </c>
      <c r="Q66" s="610" t="n">
        <f t="shared" si="41"/>
        <v>73.257999999999996</v>
      </c>
      <c r="R66" s="610" t="n">
        <f t="shared" si="41"/>
        <v>73.361999999999995</v>
      </c>
      <c r="S66" s="610" t="n">
        <f t="shared" si="41"/>
        <v>72.78</v>
      </c>
      <c r="T66" s="610" t="n">
        <f t="shared" si="41"/>
        <v>55.008000000000003</v>
      </c>
      <c r="U66" s="610" t="n">
        <f t="shared" si="41"/>
        <v>37.103999999999999</v>
      </c>
      <c r="V66" s="610" t="n">
        <f t="shared" si="41"/>
        <v>37.564</v>
      </c>
      <c r="W66" s="610" t="n">
        <f t="shared" si="41"/>
        <v>37.832000000000001</v>
      </c>
      <c r="X66" s="860" t="n">
        <f t="shared" si="41"/>
        <v>24.141999999999999</v>
      </c>
      <c r="Y66" s="860" t="n">
        <f t="shared" si="41"/>
        <v>24.29</v>
      </c>
      <c r="Z66" s="860" t="n">
        <f t="shared" si="41"/>
        <v>24.61</v>
      </c>
      <c r="AA66" s="860" t="n">
        <f t="shared" si="41"/>
        <v>24.457999999999998</v>
      </c>
      <c r="AB66" s="860" t="n">
        <f t="shared" si="41"/>
        <v>24.375</v>
      </c>
      <c r="AC66" s="860" t="n">
        <f t="shared" si="41"/>
        <v>24.282999999999998</v>
      </c>
      <c r="AD66" s="860" t="n">
        <f t="shared" si="41"/>
        <v>24.023</v>
      </c>
      <c r="AE66" s="860" t="n">
        <f t="shared" si="41"/>
        <v>24.023</v>
      </c>
      <c r="AF66" s="860" t="n">
        <f t="shared" si="41"/>
        <v>-2.0179999999999998</v>
      </c>
      <c r="AG66" s="860" t="n">
        <f t="shared" si="41"/>
        <v>-4.1790000000000003</v>
      </c>
      <c r="AH66" s="860" t="n">
        <f t="shared" si="41"/>
        <v>-4.907</v>
      </c>
      <c r="AI66" s="860" t="n">
        <f t="shared" si="41"/>
        <v>-4.907</v>
      </c>
      <c r="AJ66" s="860" t="n">
        <f t="shared" si="41"/>
        <v>-13.061999999999999</v>
      </c>
      <c r="AK66" s="860" t="n">
        <f t="shared" si="41"/>
        <v>-13.061999999999999</v>
      </c>
      <c r="AL66" s="860" t="n">
        <f t="shared" si="41"/>
        <v>-13.061999999999999</v>
      </c>
      <c r="AM66" s="860" t="n">
        <f t="shared" si="41"/>
        <v>-13.061999999999999</v>
      </c>
      <c r="AN66" s="860" t="n">
        <f t="shared" si="41"/>
        <v>-34.707000000000001</v>
      </c>
    </row>
    <row r="67" ht="25.75" customHeight="1">
      <c r="B67" s="642" t="s">
        <v>711</v>
      </c>
      <c r="C67" s="289"/>
      <c r="D67" s="872" t="n">
        <f t="shared" ref="D67:AD67" si="42">D63-D64</f>
        <v>-18.688000000000002</v>
      </c>
      <c r="E67" s="872" t="n">
        <f t="shared" si="42"/>
        <v>16.399999999999999</v>
      </c>
      <c r="F67" s="872" t="n">
        <f t="shared" si="42"/>
        <v>15</v>
      </c>
      <c r="G67" s="872" t="n">
        <f t="shared" si="42"/>
        <v>16.899999999999999</v>
      </c>
      <c r="H67" s="872" t="n">
        <f t="shared" si="42"/>
        <v>17.5</v>
      </c>
      <c r="I67" s="872" t="n">
        <f t="shared" si="42"/>
        <v>23.362000000000009</v>
      </c>
      <c r="J67" s="872" t="n">
        <f t="shared" si="42"/>
        <v>22.462000000000003</v>
      </c>
      <c r="K67" s="872" t="n">
        <f t="shared" si="42"/>
        <v>22.890000000000008</v>
      </c>
      <c r="L67" s="872" t="n">
        <f t="shared" si="42"/>
        <v>24.53</v>
      </c>
      <c r="M67" s="872" t="n">
        <f t="shared" si="42"/>
        <v>54.138000000000005</v>
      </c>
      <c r="N67" s="872" t="n">
        <f t="shared" si="42"/>
        <v>20.932159999999968</v>
      </c>
      <c r="O67" s="872" t="n">
        <f t="shared" si="42"/>
        <v>17.535839999999922</v>
      </c>
      <c r="P67" s="872" t="n">
        <f t="shared" si="42"/>
        <v>-5.1699999999999875</v>
      </c>
      <c r="Q67" s="872" t="n">
        <f t="shared" si="42"/>
        <v>-4.1580000000000013</v>
      </c>
      <c r="R67" s="872" t="n">
        <f t="shared" si="42"/>
        <v>-3.2620000000000005</v>
      </c>
      <c r="S67" s="872" t="n">
        <f t="shared" si="42"/>
        <v>-1.1800000000000068</v>
      </c>
      <c r="T67" s="872" t="n">
        <f t="shared" si="42"/>
        <v>21.591999999999985</v>
      </c>
      <c r="U67" s="872" t="n">
        <f t="shared" si="42"/>
        <v>10.495999999999995</v>
      </c>
      <c r="V67" s="872" t="n">
        <f t="shared" si="42"/>
        <v>14.844571428571442</v>
      </c>
      <c r="W67" s="872" t="n">
        <f t="shared" si="42"/>
        <v>19.476571428571418</v>
      </c>
      <c r="X67" s="872" t="n">
        <f t="shared" si="42"/>
        <v>33.658000000000001</v>
      </c>
      <c r="Y67" s="872" t="n">
        <f t="shared" si="42"/>
        <v>41.31</v>
      </c>
      <c r="Z67" s="872" t="n">
        <f t="shared" si="42"/>
        <v>41.990000000000009</v>
      </c>
      <c r="AA67" s="872" t="n">
        <f t="shared" si="42"/>
        <v>43.742000000000019</v>
      </c>
      <c r="AB67" s="872" t="n">
        <f t="shared" si="42"/>
        <v>47.625000000000014</v>
      </c>
      <c r="AC67" s="872" t="n">
        <f t="shared" si="42"/>
        <v>46.61699999999999</v>
      </c>
      <c r="AD67" s="872" t="n">
        <f t="shared" si="42"/>
        <v>52.077000000000012</v>
      </c>
      <c r="AE67" s="860"/>
      <c r="AF67" s="860"/>
      <c r="AG67" s="380"/>
      <c r="AH67" s="380"/>
      <c r="AI67" s="380"/>
      <c r="AJ67" s="380"/>
      <c r="AK67" s="380"/>
      <c r="AL67" s="380"/>
      <c r="AM67" s="380"/>
      <c r="AN67" s="380"/>
    </row>
    <row r="68" ht="20.5" customHeight="1">
      <c r="B68" s="901" t="s">
        <v>712</v>
      </c>
      <c r="C68" s="902"/>
      <c r="D68" s="906" t="n">
        <f>D12-D14-D17-D27-D72</f>
        <v>-18.688000000000002</v>
      </c>
      <c r="E68" s="897" t="n">
        <f>E12-E14-E17-E27</f>
        <v>16.399999999999999</v>
      </c>
      <c r="F68" s="897" t="n">
        <f>F12-F14-F17-F27</f>
        <v>15</v>
      </c>
      <c r="G68" s="897" t="n">
        <f>G12-G14-G17-G27</f>
        <v>16.899999999999999</v>
      </c>
      <c r="H68" s="897" t="n">
        <f>H12-H14-H17-H27</f>
        <v>17.5</v>
      </c>
      <c r="I68" s="897" t="n">
        <f>I12-I14-I17-I27</f>
        <v>23.600000000000009</v>
      </c>
      <c r="J68" s="907" t="n">
        <f>I68+($H$68-$E$68)/3</f>
        <v>23.966666666666676</v>
      </c>
      <c r="K68" s="907" t="n">
        <f>J68+($H$68-$E$68)/3</f>
        <v>24.333333333333343</v>
      </c>
      <c r="L68" s="907" t="n">
        <f>K68+($H$68-$E$68)/3</f>
        <v>24.70000000000001</v>
      </c>
      <c r="M68" s="908" t="n">
        <f>L68+($H$68-$E$68)/3 +(M72-L72)</f>
        <v>25.530666666666676</v>
      </c>
      <c r="N68" s="907" t="n">
        <f>M68+($H$68-$E$68)/3</f>
        <v>25.897333333333343</v>
      </c>
      <c r="O68" s="907" t="n">
        <f>N68+($H$68-$E$68)/3</f>
        <v>26.26400000000001</v>
      </c>
      <c r="P68" s="907" t="n">
        <f>O68+($H$68-$E$68)/3</f>
        <v>26.630666666666677</v>
      </c>
      <c r="Q68" s="908" t="n">
        <f>P68+($H$68-$E$68)/3 + 0.06*Q72</f>
        <v>30.017253333333343</v>
      </c>
      <c r="R68" s="907" t="n">
        <f>Q68+($H$68-$E$68)/3</f>
        <v>30.38392000000001</v>
      </c>
      <c r="S68" s="907" t="n">
        <f>R68+($H$68-$E$68)/3</f>
        <v>30.750586666666678</v>
      </c>
      <c r="T68" s="907" t="n">
        <f>S68+($H$68-$E$68)/3</f>
        <v>31.117253333333345</v>
      </c>
      <c r="U68" s="907" t="n">
        <f t="shared" ref="U68:AN68" si="43">T68+U69</f>
        <v>36.048288000000014</v>
      </c>
      <c r="V68" s="907" t="n">
        <f t="shared" si="43"/>
        <v>36.414954666666681</v>
      </c>
      <c r="W68" s="897" t="n">
        <f t="shared" si="43"/>
        <v>36.781621333333348</v>
      </c>
      <c r="X68" s="903" t="n">
        <f t="shared" si="43"/>
        <v>37.148288000000015</v>
      </c>
      <c r="Y68" s="903" t="n">
        <f t="shared" si="43"/>
        <v>39.527370666666684</v>
      </c>
      <c r="Z68" s="903" t="n">
        <f t="shared" si="43"/>
        <v>39.894037333333351</v>
      </c>
      <c r="AA68" s="903" t="n">
        <f t="shared" si="43"/>
        <v>40.260704000000018</v>
      </c>
      <c r="AB68" s="903" t="n">
        <f t="shared" si="43"/>
        <v>40.627370666666685</v>
      </c>
      <c r="AC68" s="903" t="n">
        <f>AB68+AC69</f>
        <v>42.779437333333355</v>
      </c>
      <c r="AD68" s="903" t="n">
        <f>AC68+AD69</f>
        <v>43.146104000000022</v>
      </c>
      <c r="AE68" s="903" t="n">
        <f>AD68+AE69</f>
        <v>43.51277066666669</v>
      </c>
      <c r="AF68" s="903" t="n">
        <f t="shared" si="43"/>
        <v>43.879437333333357</v>
      </c>
      <c r="AG68" s="903" t="n">
        <f t="shared" si="43"/>
        <v>47.037496884000021</v>
      </c>
      <c r="AH68" s="903" t="n">
        <f t="shared" si="43"/>
        <v>47.404163550666688</v>
      </c>
      <c r="AI68" s="903" t="n">
        <f t="shared" si="43"/>
        <v>47.770830217333355</v>
      </c>
      <c r="AJ68" s="903" t="n">
        <f t="shared" si="43"/>
        <v>48.137496884000022</v>
      </c>
      <c r="AK68" s="903" t="n">
        <f t="shared" si="43"/>
        <v>52.787621470998687</v>
      </c>
      <c r="AL68" s="903" t="n">
        <f t="shared" si="43"/>
        <v>53.154288137665354</v>
      </c>
      <c r="AM68" s="903" t="n">
        <f t="shared" si="43"/>
        <v>53.520954804332021</v>
      </c>
      <c r="AN68" s="903" t="n">
        <f t="shared" si="43"/>
        <v>53.887621470998688</v>
      </c>
    </row>
    <row r="69" ht="20.5" customHeight="1">
      <c r="B69" s="904" t="s">
        <v>1705</v>
      </c>
      <c r="C69" s="289"/>
      <c r="D69" s="887"/>
      <c r="E69" s="610"/>
      <c r="F69" s="610"/>
      <c r="G69" s="610"/>
      <c r="H69" s="610"/>
      <c r="I69" s="610"/>
      <c r="J69" s="899"/>
      <c r="K69" s="899"/>
      <c r="L69" s="899"/>
      <c r="M69" s="909"/>
      <c r="N69" s="899"/>
      <c r="O69" s="899"/>
      <c r="P69" s="899"/>
      <c r="Q69" s="909"/>
      <c r="R69" s="899"/>
      <c r="S69" s="899"/>
      <c r="T69" s="899"/>
      <c r="U69" s="899" t="n">
        <f>U70+U71</f>
        <v>4.9310346666666671</v>
      </c>
      <c r="V69" s="899" t="n">
        <f>V70+V71</f>
        <v>0.36666666666666714</v>
      </c>
      <c r="W69" s="899" t="n">
        <f>W70+W71</f>
        <v>0.36666666666666714</v>
      </c>
      <c r="X69" s="860" t="n">
        <f t="shared" ref="X69:AN69" si="44">X70+X75*X72</f>
        <v>0.36666666666666714</v>
      </c>
      <c r="Y69" s="860" t="n">
        <f t="shared" si="44"/>
        <v>2.3790826666666671</v>
      </c>
      <c r="Z69" s="860" t="n">
        <f t="shared" si="44"/>
        <v>0.36666666666666714</v>
      </c>
      <c r="AA69" s="860" t="n">
        <f t="shared" si="44"/>
        <v>0.36666666666666714</v>
      </c>
      <c r="AB69" s="860" t="n">
        <f t="shared" si="44"/>
        <v>0.36666666666666714</v>
      </c>
      <c r="AC69" s="860" t="n">
        <f t="shared" si="44"/>
        <v>2.1520666666666672</v>
      </c>
      <c r="AD69" s="860" t="n">
        <f t="shared" si="44"/>
        <v>0.36666666666666714</v>
      </c>
      <c r="AE69" s="860" t="n">
        <f t="shared" si="44"/>
        <v>0.36666666666666714</v>
      </c>
      <c r="AF69" s="860" t="n">
        <f t="shared" si="44"/>
        <v>0.36666666666666714</v>
      </c>
      <c r="AG69" s="860" t="n">
        <f t="shared" si="44"/>
        <v>3.1580595506666671</v>
      </c>
      <c r="AH69" s="860" t="n">
        <f t="shared" si="44"/>
        <v>0.36666666666666714</v>
      </c>
      <c r="AI69" s="860" t="n">
        <f t="shared" si="44"/>
        <v>0.36666666666666714</v>
      </c>
      <c r="AJ69" s="860" t="n">
        <f t="shared" si="44"/>
        <v>0.36666666666666714</v>
      </c>
      <c r="AK69" s="860" t="n">
        <f t="shared" si="44"/>
        <v>4.6501245869986674</v>
      </c>
      <c r="AL69" s="860" t="n">
        <f t="shared" si="44"/>
        <v>0.36666666666666714</v>
      </c>
      <c r="AM69" s="860" t="n">
        <f t="shared" si="44"/>
        <v>0.36666666666666714</v>
      </c>
      <c r="AN69" s="860" t="n">
        <f t="shared" si="44"/>
        <v>0.36666666666666714</v>
      </c>
    </row>
    <row r="70" ht="28.4" customHeight="1">
      <c r="B70" s="905" t="s">
        <v>1702</v>
      </c>
      <c r="C70" s="289"/>
      <c r="D70" s="887"/>
      <c r="E70" s="610"/>
      <c r="F70" s="610"/>
      <c r="G70" s="610"/>
      <c r="H70" s="610"/>
      <c r="I70" s="610"/>
      <c r="J70" s="899"/>
      <c r="K70" s="899"/>
      <c r="L70" s="899"/>
      <c r="M70" s="909"/>
      <c r="N70" s="899"/>
      <c r="O70" s="899"/>
      <c r="P70" s="899"/>
      <c r="Q70" s="909"/>
      <c r="R70" s="899"/>
      <c r="S70" s="899"/>
      <c r="T70" s="899"/>
      <c r="U70" s="899" t="n">
        <f>($H$68-$E$68)/3</f>
        <v>0.36666666666666714</v>
      </c>
      <c r="V70" s="899" t="n">
        <f>($H$68-$E$68)/3</f>
        <v>0.36666666666666714</v>
      </c>
      <c r="W70" s="899" t="n">
        <f>($H$68-$E$68)/3</f>
        <v>0.36666666666666714</v>
      </c>
      <c r="X70" s="860" t="n">
        <f t="shared" ref="X70:AC70" si="45">W70</f>
        <v>0.36666666666666714</v>
      </c>
      <c r="Y70" s="860" t="n">
        <f t="shared" si="45"/>
        <v>0.36666666666666714</v>
      </c>
      <c r="Z70" s="860" t="n">
        <f t="shared" si="45"/>
        <v>0.36666666666666714</v>
      </c>
      <c r="AA70" s="860" t="n">
        <f t="shared" si="45"/>
        <v>0.36666666666666714</v>
      </c>
      <c r="AB70" s="860" t="n">
        <f t="shared" si="45"/>
        <v>0.36666666666666714</v>
      </c>
      <c r="AC70" s="860" t="n">
        <f t="shared" si="45"/>
        <v>0.36666666666666714</v>
      </c>
      <c r="AD70" s="860" t="n">
        <f t="shared" ref="AD70" si="46">AC70</f>
        <v>0.36666666666666714</v>
      </c>
      <c r="AE70" s="860" t="n">
        <f t="shared" ref="AE70" si="47">AD70</f>
        <v>0.36666666666666714</v>
      </c>
      <c r="AF70" s="860" t="n">
        <f>AE70</f>
        <v>0.36666666666666714</v>
      </c>
      <c r="AG70" s="860" t="n">
        <f>AF70</f>
        <v>0.36666666666666714</v>
      </c>
      <c r="AH70" s="860" t="n">
        <f>AG70</f>
        <v>0.36666666666666714</v>
      </c>
      <c r="AI70" s="860" t="n">
        <f t="shared" ref="AI70:AJ70" si="48">AH70</f>
        <v>0.36666666666666714</v>
      </c>
      <c r="AJ70" s="860" t="n">
        <f t="shared" si="48"/>
        <v>0.36666666666666714</v>
      </c>
      <c r="AK70" s="860" t="n">
        <f t="shared" ref="AK70" si="49">AJ70</f>
        <v>0.36666666666666714</v>
      </c>
      <c r="AL70" s="860" t="n">
        <f t="shared" ref="AL70" si="50">AK70</f>
        <v>0.36666666666666714</v>
      </c>
      <c r="AM70" s="860" t="n">
        <f t="shared" ref="AM70" si="51">AL70</f>
        <v>0.36666666666666714</v>
      </c>
      <c r="AN70" s="860" t="n">
        <f t="shared" ref="AN70" si="52">AM70</f>
        <v>0.36666666666666714</v>
      </c>
    </row>
    <row r="71" ht="30.65" customHeight="1">
      <c r="B71" s="880" t="s">
        <v>1703</v>
      </c>
      <c r="C71" s="881"/>
      <c r="D71" s="882"/>
      <c r="E71" s="863"/>
      <c r="F71" s="863"/>
      <c r="G71" s="863"/>
      <c r="H71" s="863"/>
      <c r="I71" s="863"/>
      <c r="J71" s="883"/>
      <c r="K71" s="883"/>
      <c r="L71" s="883"/>
      <c r="M71" s="884"/>
      <c r="N71" s="883"/>
      <c r="O71" s="883"/>
      <c r="P71" s="883"/>
      <c r="Q71" s="884"/>
      <c r="R71" s="883"/>
      <c r="S71" s="883"/>
      <c r="T71" s="883"/>
      <c r="U71" s="883" t="n">
        <f t="shared" ref="U71:AN71" si="53">U75*T72</f>
        <v>4.564368</v>
      </c>
      <c r="V71" s="883" t="n">
        <f t="shared" si="53"/>
        <v>0</v>
      </c>
      <c r="W71" s="863" t="n">
        <f t="shared" si="53"/>
        <v>0</v>
      </c>
      <c r="X71" s="910" t="n">
        <f t="shared" si="53"/>
        <v>0</v>
      </c>
      <c r="Y71" s="910" t="n">
        <f t="shared" si="53"/>
        <v>1.984</v>
      </c>
      <c r="Z71" s="910" t="n">
        <f t="shared" si="53"/>
        <v>0</v>
      </c>
      <c r="AA71" s="910" t="n">
        <f t="shared" si="53"/>
        <v>0</v>
      </c>
      <c r="AB71" s="910" t="n">
        <f t="shared" si="53"/>
        <v>0</v>
      </c>
      <c r="AC71" s="910" t="n">
        <f t="shared" si="53"/>
        <v>1.774</v>
      </c>
      <c r="AD71" s="910" t="n">
        <f t="shared" si="53"/>
        <v>0</v>
      </c>
      <c r="AE71" s="910" t="n">
        <f t="shared" si="53"/>
        <v>0</v>
      </c>
      <c r="AF71" s="910" t="n">
        <f t="shared" si="53"/>
        <v>0</v>
      </c>
      <c r="AG71" s="910" t="n">
        <f t="shared" si="53"/>
        <v>2.3689079999999998</v>
      </c>
      <c r="AH71" s="910" t="n">
        <f t="shared" si="53"/>
        <v>0</v>
      </c>
      <c r="AI71" s="910" t="n">
        <f t="shared" si="53"/>
        <v>0</v>
      </c>
      <c r="AJ71" s="910" t="n">
        <f t="shared" si="53"/>
        <v>0</v>
      </c>
      <c r="AK71" s="910" t="n">
        <f t="shared" si="53"/>
        <v>3.8723928840000004</v>
      </c>
      <c r="AL71" s="910" t="n">
        <f t="shared" si="53"/>
        <v>0</v>
      </c>
      <c r="AM71" s="910" t="n">
        <f t="shared" si="53"/>
        <v>0</v>
      </c>
      <c r="AN71" s="910" t="n">
        <f t="shared" si="53"/>
        <v>0</v>
      </c>
    </row>
    <row r="72" ht="17.5" customHeight="1">
      <c r="B72" s="737" t="s">
        <v>385</v>
      </c>
      <c r="C72" s="289" t="s">
        <v>386</v>
      </c>
      <c r="D72" s="887" t="n">
        <f>'Haver Pivoted'!B88/1000</f>
        <v>27.088000000000001</v>
      </c>
      <c r="E72" s="610" t="n">
        <f>'Haver Pivoted'!C88/1000</f>
        <v>34.148000000000003</v>
      </c>
      <c r="F72" s="610" t="n">
        <f>'Haver Pivoted'!D88/1000</f>
        <v>31.952000000000002</v>
      </c>
      <c r="G72" s="610" t="n">
        <f>'Haver Pivoted'!E88/1000</f>
        <v>32.332000000000001</v>
      </c>
      <c r="H72" s="610" t="n">
        <f>'Haver Pivoted'!F88/1000</f>
        <v>32.82</v>
      </c>
      <c r="I72" s="610" t="n">
        <f>'Haver Pivoted'!G88/1000</f>
        <v>38.700000000000003</v>
      </c>
      <c r="J72" s="610" t="n">
        <f>'Haver Pivoted'!H88/1000</f>
        <v>37.216000000000001</v>
      </c>
      <c r="K72" s="610" t="n">
        <f>'Haver Pivoted'!I88/1000</f>
        <v>37.731999999999999</v>
      </c>
      <c r="L72" s="610" t="n">
        <f>'Haver Pivoted'!J88/1000</f>
        <v>38.283999999999999</v>
      </c>
      <c r="M72" s="610" t="n">
        <f>'Haver Pivoted'!K88/1000</f>
        <v>38.747999999999998</v>
      </c>
      <c r="N72" s="610" t="n">
        <f>'Haver Pivoted'!L88/1000</f>
        <v>39.283999999999999</v>
      </c>
      <c r="O72" s="610" t="n">
        <f>'Haver Pivoted'!M88/1000</f>
        <v>47.475999999999999</v>
      </c>
      <c r="P72" s="610" t="n">
        <f>'Haver Pivoted'!N88/1000</f>
        <v>49.095999999999997</v>
      </c>
      <c r="Q72" s="610" t="n">
        <f>'Haver Pivoted'!O88/1000</f>
        <v>50.332000000000001</v>
      </c>
      <c r="R72" s="610" t="n">
        <f>'Haver Pivoted'!P88/1000</f>
        <v>51.216000000000001</v>
      </c>
      <c r="S72" s="872" t="n">
        <f>'Haver Pivoted'!Q88/1000</f>
        <v>52.015999999999998</v>
      </c>
      <c r="T72" s="872" t="n">
        <f>'Haver Pivoted'!R88/1000</f>
        <v>52.463999999999999</v>
      </c>
      <c r="U72" s="872" t="n">
        <f>'Haver Pivoted'!S88/1000</f>
        <v>56.915999999999997</v>
      </c>
      <c r="V72" s="872" t="n">
        <f>'Haver Pivoted'!T88/1000</f>
        <v>59.804000000000002</v>
      </c>
      <c r="W72" s="872" t="n">
        <f>'Haver Pivoted'!U88/1000</f>
        <v>61.244</v>
      </c>
      <c r="X72" s="872" t="n">
        <f>'Haver Pivoted'!V88/1000</f>
        <v>62</v>
      </c>
      <c r="Y72" s="872" t="n">
        <f>'Haver Pivoted'!W88/1000</f>
        <v>62.887999999999998</v>
      </c>
      <c r="Z72" s="872" t="n">
        <f>'Haver Pivoted'!X88/1000</f>
        <v>69.012</v>
      </c>
      <c r="AA72" s="872" t="n">
        <f>'Haver Pivoted'!Y88/1000</f>
        <v>69.680000000000007</v>
      </c>
      <c r="AB72" s="872" t="n">
        <f>'Haver Pivoted'!Z88/1000</f>
        <v>70.959999999999994</v>
      </c>
      <c r="AC72" s="872" t="n">
        <f>'Haver Pivoted'!AA88/1000</f>
        <v>71.415999999999997</v>
      </c>
      <c r="AD72" s="872" t="n">
        <f>'Haver Pivoted'!AB88/1000</f>
        <v>76.995999999999995</v>
      </c>
      <c r="AE72" s="860" t="n">
        <f t="shared" ref="AE72:AN72" si="54">AD72+AE73</f>
        <v>86.995999999999995</v>
      </c>
      <c r="AF72" s="860" t="n">
        <f t="shared" si="54"/>
        <v>102.996</v>
      </c>
      <c r="AG72" s="860" t="n">
        <f t="shared" si="54"/>
        <v>121.364908</v>
      </c>
      <c r="AH72" s="860" t="n">
        <f t="shared" si="54"/>
        <v>137.36490800000001</v>
      </c>
      <c r="AI72" s="860" t="n">
        <f t="shared" si="54"/>
        <v>153.36490800000001</v>
      </c>
      <c r="AJ72" s="860" t="n">
        <f t="shared" si="54"/>
        <v>168.36490800000001</v>
      </c>
      <c r="AK72" s="860" t="n">
        <f t="shared" si="54"/>
        <v>186.23730088400001</v>
      </c>
      <c r="AL72" s="860" t="n">
        <f t="shared" si="54"/>
        <v>199.23730088400001</v>
      </c>
      <c r="AM72" s="860" t="n">
        <f t="shared" si="54"/>
        <v>211.23730088400001</v>
      </c>
      <c r="AN72" s="860" t="n">
        <f t="shared" si="54"/>
        <v>222.23730088400001</v>
      </c>
    </row>
    <row r="73" ht="17.5" customHeight="1">
      <c r="B73" s="570" t="s">
        <v>1704</v>
      </c>
      <c r="C73" s="289"/>
      <c r="D73" s="887"/>
      <c r="E73" s="610"/>
      <c r="F73" s="610"/>
      <c r="G73" s="610"/>
      <c r="H73" s="610"/>
      <c r="I73" s="610"/>
      <c r="J73" s="610"/>
      <c r="K73" s="610"/>
      <c r="L73" s="610"/>
      <c r="M73" s="610"/>
      <c r="N73" s="610"/>
      <c r="O73" s="610"/>
      <c r="P73" s="610"/>
      <c r="Q73" s="610"/>
      <c r="R73" s="610"/>
      <c r="S73" s="872"/>
      <c r="T73" s="872"/>
      <c r="U73" s="872" t="n">
        <f t="shared" ref="U73:AN73" si="55">U71+U74</f>
        <v>12.564368</v>
      </c>
      <c r="V73" s="610" t="n">
        <f t="shared" si="55"/>
        <v>8</v>
      </c>
      <c r="W73" s="610" t="n">
        <f t="shared" si="55"/>
        <v>11</v>
      </c>
      <c r="X73" s="860" t="n">
        <f t="shared" si="55"/>
        <v>14</v>
      </c>
      <c r="Y73" s="860" t="n">
        <f t="shared" si="55"/>
        <v>10.984</v>
      </c>
      <c r="Z73" s="860" t="n">
        <f t="shared" si="55"/>
        <v>13</v>
      </c>
      <c r="AA73" s="860" t="n">
        <f t="shared" si="55"/>
        <v>11</v>
      </c>
      <c r="AB73" s="860" t="n">
        <f t="shared" si="55"/>
        <v>14</v>
      </c>
      <c r="AC73" s="860" t="n">
        <f t="shared" si="55"/>
        <v>8.7740000000000009</v>
      </c>
      <c r="AD73" s="860" t="n">
        <f t="shared" si="55"/>
        <v>68.28</v>
      </c>
      <c r="AE73" s="860" t="n">
        <f t="shared" si="55"/>
        <v>10</v>
      </c>
      <c r="AF73" s="860" t="n">
        <f t="shared" si="55"/>
        <v>16</v>
      </c>
      <c r="AG73" s="860" t="n">
        <f t="shared" si="55"/>
        <v>18.368908000000001</v>
      </c>
      <c r="AH73" s="860" t="n">
        <f t="shared" si="55"/>
        <v>16</v>
      </c>
      <c r="AI73" s="860" t="n">
        <f t="shared" si="55"/>
        <v>16</v>
      </c>
      <c r="AJ73" s="860" t="n">
        <f t="shared" si="55"/>
        <v>15</v>
      </c>
      <c r="AK73" s="860" t="n">
        <f t="shared" si="55"/>
        <v>17.872392884</v>
      </c>
      <c r="AL73" s="860" t="n">
        <f t="shared" si="55"/>
        <v>13</v>
      </c>
      <c r="AM73" s="860" t="n">
        <f t="shared" si="55"/>
        <v>12</v>
      </c>
      <c r="AN73" s="860" t="n">
        <f t="shared" si="55"/>
        <v>11</v>
      </c>
    </row>
    <row r="74" ht="17.5" customHeight="1">
      <c r="B74" s="562" t="s">
        <v>1707</v>
      </c>
      <c r="C74" s="289"/>
      <c r="D74" s="887"/>
      <c r="E74" s="610"/>
      <c r="F74" s="872"/>
      <c r="G74" s="872"/>
      <c r="H74" s="872"/>
      <c r="I74" s="872"/>
      <c r="J74" s="872"/>
      <c r="K74" s="872"/>
      <c r="L74" s="872"/>
      <c r="M74" s="872"/>
      <c r="N74" s="872"/>
      <c r="O74" s="872"/>
      <c r="P74" s="872"/>
      <c r="Q74" s="872"/>
      <c r="R74" s="872"/>
      <c r="S74" s="872"/>
      <c r="T74" s="872"/>
      <c r="U74" s="872" t="n">
        <v>8</v>
      </c>
      <c r="V74" s="610" t="n">
        <v>8</v>
      </c>
      <c r="W74" s="610" t="n">
        <v>11</v>
      </c>
      <c r="X74" s="860" t="n">
        <v>14</v>
      </c>
      <c r="Y74" s="860" t="n">
        <v>9</v>
      </c>
      <c r="Z74" s="860" t="n">
        <v>13</v>
      </c>
      <c r="AA74" s="860" t="n">
        <v>11</v>
      </c>
      <c r="AB74" s="860" t="n">
        <v>14</v>
      </c>
      <c r="AC74" s="860" t="n">
        <v>7</v>
      </c>
      <c r="AD74" s="860" t="n">
        <f>158-89.72</f>
        <v>68.28</v>
      </c>
      <c r="AE74" s="860" t="n">
        <v>10</v>
      </c>
      <c r="AF74" s="860" t="n">
        <v>16</v>
      </c>
      <c r="AG74" s="860" t="n">
        <v>16</v>
      </c>
      <c r="AH74" s="860" t="n">
        <v>16</v>
      </c>
      <c r="AI74" s="860" t="n">
        <v>16</v>
      </c>
      <c r="AJ74" s="860" t="n">
        <v>15</v>
      </c>
      <c r="AK74" s="860" t="n">
        <v>14</v>
      </c>
      <c r="AL74" s="860" t="n">
        <v>13</v>
      </c>
      <c r="AM74" s="860" t="n">
        <v>12</v>
      </c>
      <c r="AN74" s="860" t="n">
        <v>11</v>
      </c>
    </row>
    <row r="75" ht="39" customHeight="1">
      <c r="B75" s="562" t="s">
        <v>1708</v>
      </c>
      <c r="C75" s="289"/>
      <c r="D75" s="887"/>
      <c r="E75" s="610"/>
      <c r="F75" s="610"/>
      <c r="G75" s="610"/>
      <c r="H75" s="610"/>
      <c r="I75" s="863"/>
      <c r="J75" s="863"/>
      <c r="K75" s="863"/>
      <c r="L75" s="863"/>
      <c r="M75" s="863"/>
      <c r="N75" s="863"/>
      <c r="O75" s="863"/>
      <c r="P75" s="863"/>
      <c r="Q75" s="863"/>
      <c r="R75" s="863"/>
      <c r="S75" s="885"/>
      <c r="T75" s="885"/>
      <c r="U75" s="873" t="n">
        <v>8.6999999999999994E-2</v>
      </c>
      <c r="V75" s="864" t="n">
        <v>0</v>
      </c>
      <c r="W75" s="864" t="n">
        <v>0</v>
      </c>
      <c r="X75" s="886" t="n">
        <v>0</v>
      </c>
      <c r="Y75" s="886" t="n">
        <v>3.2000000000000001E-2</v>
      </c>
      <c r="Z75" s="886" t="n">
        <v>0</v>
      </c>
      <c r="AA75" s="886" t="n">
        <v>0</v>
      </c>
      <c r="AB75" s="886" t="n">
        <v>0</v>
      </c>
      <c r="AC75" s="886" t="n">
        <v>2.5000000000000001E-2</v>
      </c>
      <c r="AD75" s="886" t="n">
        <v>0</v>
      </c>
      <c r="AE75" s="886" t="n">
        <v>0</v>
      </c>
      <c r="AF75" s="886" t="n">
        <v>0</v>
      </c>
      <c r="AG75" s="886" t="n">
        <v>2.3E-2</v>
      </c>
      <c r="AH75" s="886" t="n">
        <v>0</v>
      </c>
      <c r="AI75" s="886" t="n">
        <v>0</v>
      </c>
      <c r="AJ75" s="886" t="n">
        <v>0</v>
      </c>
      <c r="AK75" s="886" t="n">
        <v>2.3E-2</v>
      </c>
      <c r="AL75" s="886" t="n">
        <v>0</v>
      </c>
      <c r="AM75" s="886" t="n">
        <v>0</v>
      </c>
      <c r="AN75" s="886" t="n">
        <v>0</v>
      </c>
    </row>
    <row r="76" ht="49.75" customHeight="1">
      <c r="B76" s="642" t="s">
        <v>1331</v>
      </c>
      <c r="C76" s="289"/>
      <c r="D76" s="887" t="n">
        <f t="shared" ref="D76:AD76" si="56">D67-D68</f>
        <v>0</v>
      </c>
      <c r="E76" s="610" t="n">
        <f t="shared" si="56"/>
        <v>0</v>
      </c>
      <c r="F76" s="610" t="n">
        <f t="shared" si="56"/>
        <v>0</v>
      </c>
      <c r="G76" s="610" t="n">
        <f t="shared" si="56"/>
        <v>0</v>
      </c>
      <c r="H76" s="610" t="n">
        <f t="shared" si="56"/>
        <v>0</v>
      </c>
      <c r="I76" s="610" t="n">
        <f t="shared" si="56"/>
        <v>-0.23799999999999955</v>
      </c>
      <c r="J76" s="610" t="n">
        <f t="shared" si="56"/>
        <v>-1.5046666666666724</v>
      </c>
      <c r="K76" s="610" t="n">
        <f t="shared" si="56"/>
        <v>-1.4433333333333351</v>
      </c>
      <c r="L76" s="610" t="n">
        <f t="shared" si="56"/>
        <v>-0.17000000000000881</v>
      </c>
      <c r="M76" s="610" t="n">
        <f t="shared" si="56"/>
        <v>28.60733333333333</v>
      </c>
      <c r="N76" s="610" t="n">
        <f t="shared" si="56"/>
        <v>-4.9651733333333752</v>
      </c>
      <c r="O76" s="610" t="n">
        <f t="shared" si="56"/>
        <v>-8.7281600000000878</v>
      </c>
      <c r="P76" s="610" t="n">
        <f t="shared" si="56"/>
        <v>-31.800666666666665</v>
      </c>
      <c r="Q76" s="610" t="n">
        <f t="shared" si="56"/>
        <v>-34.175253333333345</v>
      </c>
      <c r="R76" s="610" t="n">
        <f t="shared" si="56"/>
        <v>-33.645920000000011</v>
      </c>
      <c r="S76" s="872" t="n">
        <f t="shared" si="56"/>
        <v>-31.930586666666684</v>
      </c>
      <c r="T76" s="872" t="n">
        <f t="shared" si="56"/>
        <v>-9.5252533333333602</v>
      </c>
      <c r="U76" s="872" t="n">
        <f t="shared" si="56"/>
        <v>-25.552288000000019</v>
      </c>
      <c r="V76" s="872" t="n">
        <f t="shared" si="56"/>
        <v>-21.570383238095239</v>
      </c>
      <c r="W76" s="872" t="n">
        <f t="shared" si="56"/>
        <v>-17.30504990476193</v>
      </c>
      <c r="X76" s="872" t="n">
        <f t="shared" si="56"/>
        <v>-3.4902880000000138</v>
      </c>
      <c r="Y76" s="872" t="n">
        <f t="shared" si="56"/>
        <v>1.7826293333333183</v>
      </c>
      <c r="Z76" s="872" t="n">
        <f t="shared" si="56"/>
        <v>2.095962666666658</v>
      </c>
      <c r="AA76" s="872" t="n">
        <f t="shared" si="56"/>
        <v>3.4812960000000004</v>
      </c>
      <c r="AB76" s="872" t="n">
        <f t="shared" si="56"/>
        <v>6.9976293333333288</v>
      </c>
      <c r="AC76" s="872" t="n">
        <f t="shared" si="56"/>
        <v>3.8375626666666349</v>
      </c>
      <c r="AD76" s="872" t="n">
        <f t="shared" si="56"/>
        <v>8.93089599999999</v>
      </c>
      <c r="AE76" s="860" t="n">
        <f t="shared" ref="AE76" si="57">AD76</f>
        <v>8.93089599999999</v>
      </c>
      <c r="AF76" s="860" t="n">
        <f t="shared" ref="AF76:AH76" si="58">AE76</f>
        <v>8.93089599999999</v>
      </c>
      <c r="AG76" s="860" t="n">
        <f t="shared" si="58"/>
        <v>8.93089599999999</v>
      </c>
      <c r="AH76" s="860" t="n">
        <f t="shared" si="58"/>
        <v>8.93089599999999</v>
      </c>
      <c r="AI76" s="860" t="n">
        <f t="shared" ref="AI76" si="59">AH76</f>
        <v>8.93089599999999</v>
      </c>
      <c r="AJ76" s="860" t="n">
        <f t="shared" ref="AJ76" si="60">AI76</f>
        <v>8.93089599999999</v>
      </c>
      <c r="AK76" s="860" t="n">
        <f t="shared" ref="AK76" si="61">AJ76</f>
        <v>8.93089599999999</v>
      </c>
      <c r="AL76" s="860" t="n">
        <f t="shared" ref="AL76" si="62">AK76</f>
        <v>8.93089599999999</v>
      </c>
      <c r="AM76" s="860" t="n">
        <f t="shared" ref="AM76" si="63">AL76</f>
        <v>8.93089599999999</v>
      </c>
      <c r="AN76" s="860" t="n">
        <f t="shared" ref="AN76" si="64">AM76</f>
        <v>8.93089599999999</v>
      </c>
    </row>
    <row r="77" ht="29.5" customHeight="1">
      <c r="B77" s="427"/>
      <c r="C77" s="289"/>
      <c r="D77" s="387"/>
      <c r="E77" s="387"/>
      <c r="F77" s="387"/>
      <c r="G77" s="387"/>
      <c r="H77" s="387"/>
      <c r="I77" s="387"/>
      <c r="J77" s="387"/>
      <c r="K77" s="387"/>
      <c r="L77" s="387"/>
      <c r="M77" s="387"/>
      <c r="N77" s="387"/>
      <c r="O77" s="387"/>
      <c r="P77" s="387"/>
      <c r="Q77" s="387"/>
      <c r="R77" s="387"/>
      <c r="S77" s="387"/>
      <c r="T77" s="387"/>
      <c r="U77" s="387"/>
      <c r="V77" s="387"/>
      <c r="W77" s="387"/>
      <c r="X77" s="387"/>
      <c r="Y77" s="387"/>
      <c r="Z77" s="387"/>
      <c r="AA77" s="387"/>
      <c r="AB77" s="387"/>
      <c r="AC77" s="387"/>
    </row>
    <row r="78" ht="16.75" customHeight="1">
      <c r="B78" s="737" t="s">
        <v>385</v>
      </c>
      <c r="C78" s="289" t="s">
        <v>386</v>
      </c>
      <c r="D78" s="887" t="n">
        <v>983.86099999999999</v>
      </c>
      <c r="E78" s="610" t="n">
        <v>1019.19</v>
      </c>
      <c r="F78" s="610" t="n">
        <v>1026.704</v>
      </c>
      <c r="G78" s="610" t="n">
        <v>1034.4169999999999</v>
      </c>
      <c r="H78" s="610" t="n">
        <v>1042.6610000000001</v>
      </c>
      <c r="I78" s="610" t="n">
        <v>1068.201</v>
      </c>
      <c r="J78" s="610" t="n">
        <v>1075.075</v>
      </c>
      <c r="K78" s="610" t="n">
        <v>1080.441</v>
      </c>
      <c r="L78" s="610" t="n">
        <v>1087.9949999999999</v>
      </c>
      <c r="M78" s="610" t="n">
        <v>1105.6379999999999</v>
      </c>
      <c r="N78" s="610" t="n">
        <v>1109.6400000000001</v>
      </c>
      <c r="O78" s="610" t="n">
        <v>1116.9480000000001</v>
      </c>
      <c r="P78" s="610" t="n">
        <v>1126.174</v>
      </c>
      <c r="Q78" s="610" t="n">
        <v>1198.452</v>
      </c>
      <c r="R78" s="610" t="n">
        <v>1207.163</v>
      </c>
      <c r="S78" s="872" t="n">
        <v>1214.7809999999999</v>
      </c>
      <c r="T78" s="872" t="n">
        <v>1225.6189999999999</v>
      </c>
      <c r="U78" s="872" t="n">
        <v>1339.904</v>
      </c>
      <c r="V78" s="872" t="n">
        <v>1353.2829999999999</v>
      </c>
      <c r="W78" s="872" t="n">
        <v>1360.723</v>
      </c>
      <c r="X78" s="872" t="n">
        <v>1373.982</v>
      </c>
      <c r="Y78" s="872" t="n">
        <v>1426.547</v>
      </c>
      <c r="Z78" s="872" t="n">
        <v>1439.73</v>
      </c>
      <c r="AA78" s="872" t="n">
        <v>1453.1369999999999</v>
      </c>
      <c r="AB78" s="872" t="n">
        <v>1467.9159999999999</v>
      </c>
      <c r="AC78" s="860" t="n">
        <v>1511.6139000000001</v>
      </c>
      <c r="AD78" s="860" t="n">
        <v>1525.6138999999998</v>
      </c>
      <c r="AE78" s="860" t="n">
        <v>1540.6138999999998</v>
      </c>
      <c r="AF78" s="860" t="n">
        <v>1556.6138999999998</v>
      </c>
      <c r="AG78" s="860" t="n">
        <v>1608.4160196999999</v>
      </c>
      <c r="AH78" s="860" t="n">
        <v>1624.4160196999999</v>
      </c>
      <c r="AI78" s="860" t="n">
        <v>1640.4160196999999</v>
      </c>
      <c r="AJ78" s="860" t="n">
        <v>1655.4160196999999</v>
      </c>
      <c r="AK78" s="860" t="n">
        <v>1707.4905881530999</v>
      </c>
      <c r="AL78" s="860" t="n">
        <v>1720.4905881530999</v>
      </c>
      <c r="AM78" s="860" t="n">
        <v>1732.4905881530999</v>
      </c>
      <c r="AN78" s="860" t="n">
        <v>1743.4905881530999</v>
      </c>
    </row>
    <row r="79" ht="16.75" customHeight="1">
      <c r="B79" s="570" t="s">
        <v>1704</v>
      </c>
      <c r="C79" s="289"/>
      <c r="D79" s="887"/>
      <c r="E79" s="610"/>
      <c r="F79" s="610"/>
      <c r="G79" s="610"/>
      <c r="H79" s="610"/>
      <c r="I79" s="610"/>
      <c r="J79" s="610"/>
      <c r="K79" s="610"/>
      <c r="L79" s="610"/>
      <c r="M79" s="610"/>
      <c r="N79" s="610"/>
      <c r="O79" s="610"/>
      <c r="P79" s="610"/>
      <c r="Q79" s="610"/>
      <c r="R79" s="610"/>
      <c r="S79" s="872"/>
      <c r="T79" s="872"/>
      <c r="U79" s="872" t="n">
        <v>114.62885299999998</v>
      </c>
      <c r="V79" s="610" t="n">
        <v>8</v>
      </c>
      <c r="W79" s="610" t="n">
        <v>11</v>
      </c>
      <c r="X79" s="860" t="n">
        <v>14</v>
      </c>
      <c r="Y79" s="860" t="n">
        <v>52.967424000000001</v>
      </c>
      <c r="Z79" s="860" t="n">
        <v>13</v>
      </c>
      <c r="AA79" s="860" t="n">
        <v>11</v>
      </c>
      <c r="AB79" s="860" t="n">
        <v>14</v>
      </c>
      <c r="AC79" s="860" t="n">
        <v>43.697899999999997</v>
      </c>
      <c r="AD79" s="860" t="n">
        <v>14</v>
      </c>
      <c r="AE79" s="860" t="n">
        <v>15</v>
      </c>
      <c r="AF79" s="860" t="n">
        <v>16</v>
      </c>
      <c r="AG79" s="860" t="n">
        <v>51.802119699999999</v>
      </c>
      <c r="AH79" s="860" t="n">
        <v>16</v>
      </c>
      <c r="AI79" s="860" t="n">
        <v>16</v>
      </c>
      <c r="AJ79" s="860" t="n">
        <v>15</v>
      </c>
      <c r="AK79" s="860" t="n">
        <v>52.074568453099999</v>
      </c>
      <c r="AL79" s="860" t="n">
        <v>13</v>
      </c>
      <c r="AM79" s="860" t="n">
        <v>12</v>
      </c>
      <c r="AN79" s="860" t="n">
        <v>11</v>
      </c>
    </row>
    <row r="80" ht="16.75" customHeight="1">
      <c r="B80" s="562" t="s">
        <v>1882</v>
      </c>
      <c r="C80" s="289"/>
      <c r="D80" s="887"/>
      <c r="E80" s="610"/>
      <c r="F80" s="872"/>
      <c r="G80" s="872"/>
      <c r="H80" s="872"/>
      <c r="I80" s="872"/>
      <c r="J80" s="872"/>
      <c r="K80" s="872"/>
      <c r="L80" s="872"/>
      <c r="M80" s="872"/>
      <c r="N80" s="872"/>
      <c r="O80" s="872"/>
      <c r="P80" s="872"/>
      <c r="Q80" s="872"/>
      <c r="R80" s="872"/>
      <c r="S80" s="872"/>
      <c r="T80" s="872"/>
      <c r="U80" s="872" t="n">
        <v>8</v>
      </c>
      <c r="V80" s="610" t="n">
        <v>8</v>
      </c>
      <c r="W80" s="610" t="n">
        <v>11</v>
      </c>
      <c r="X80" s="860" t="n">
        <v>14</v>
      </c>
      <c r="Y80" s="860" t="n">
        <v>9</v>
      </c>
      <c r="Z80" s="860" t="n">
        <v>13</v>
      </c>
      <c r="AA80" s="860" t="n">
        <v>11</v>
      </c>
      <c r="AB80" s="860" t="n">
        <v>14</v>
      </c>
      <c r="AC80" s="860" t="n">
        <v>7</v>
      </c>
      <c r="AD80" s="860" t="n">
        <v>14</v>
      </c>
      <c r="AE80" s="860" t="n">
        <v>15</v>
      </c>
      <c r="AF80" s="860" t="n">
        <v>16</v>
      </c>
      <c r="AG80" s="860" t="n">
        <v>16</v>
      </c>
      <c r="AH80" s="860" t="n">
        <v>16</v>
      </c>
      <c r="AI80" s="860" t="n">
        <v>16</v>
      </c>
      <c r="AJ80" s="860" t="n">
        <v>15</v>
      </c>
      <c r="AK80" s="860" t="n">
        <v>14</v>
      </c>
      <c r="AL80" s="860" t="n">
        <v>13</v>
      </c>
      <c r="AM80" s="860" t="n">
        <v>12</v>
      </c>
      <c r="AN80" s="860" t="n">
        <v>11</v>
      </c>
    </row>
    <row r="81" ht="16.75" customHeight="1">
      <c r="B81" s="562" t="s">
        <v>1883</v>
      </c>
      <c r="C81" s="289"/>
      <c r="D81" s="887"/>
      <c r="E81" s="610"/>
      <c r="F81" s="610"/>
      <c r="G81" s="610"/>
      <c r="H81" s="610"/>
      <c r="I81" s="863"/>
      <c r="J81" s="863"/>
      <c r="K81" s="863"/>
      <c r="L81" s="863"/>
      <c r="M81" s="863"/>
      <c r="N81" s="863"/>
      <c r="O81" s="863"/>
      <c r="P81" s="863"/>
      <c r="Q81" s="863"/>
      <c r="R81" s="863"/>
      <c r="S81" s="885"/>
      <c r="T81" s="885"/>
      <c r="U81" s="873" t="n">
        <v>8.6999999999999994E-2</v>
      </c>
      <c r="V81" s="864" t="n">
        <v>0</v>
      </c>
      <c r="W81" s="864" t="n">
        <v>0</v>
      </c>
      <c r="X81" s="886" t="n">
        <v>0</v>
      </c>
      <c r="Y81" s="886" t="n">
        <v>3.2000000000000001E-2</v>
      </c>
      <c r="Z81" s="886" t="n">
        <v>0</v>
      </c>
      <c r="AA81" s="886" t="n">
        <v>0</v>
      </c>
      <c r="AB81" s="886" t="n">
        <v>0</v>
      </c>
      <c r="AC81" s="886" t="n">
        <v>2.5000000000000001E-2</v>
      </c>
      <c r="AD81" s="886" t="n">
        <v>0</v>
      </c>
      <c r="AE81" s="886" t="n">
        <v>0</v>
      </c>
      <c r="AF81" s="886" t="n">
        <v>0</v>
      </c>
      <c r="AG81" s="886" t="n">
        <v>2.3E-2</v>
      </c>
      <c r="AH81" s="886" t="n">
        <v>0</v>
      </c>
      <c r="AI81" s="886" t="n">
        <v>0</v>
      </c>
      <c r="AJ81" s="886" t="n">
        <v>0</v>
      </c>
      <c r="AK81" s="886" t="n">
        <v>2.3E-2</v>
      </c>
      <c r="AL81" s="886" t="n">
        <v>0</v>
      </c>
      <c r="AM81" s="886" t="n">
        <v>0</v>
      </c>
      <c r="AN81" s="886" t="n">
        <v>0</v>
      </c>
    </row>
    <row r="82" ht="16.75" customHeight="1">
      <c r="B82" s="642" t="s">
        <v>1331</v>
      </c>
      <c r="C82" s="289"/>
      <c r="D82" s="887" t="n">
        <v>0</v>
      </c>
      <c r="E82" s="610" t="n">
        <v>0</v>
      </c>
      <c r="F82" s="610" t="n">
        <v>0</v>
      </c>
      <c r="G82" s="610" t="n">
        <v>0</v>
      </c>
      <c r="H82" s="610" t="n">
        <v>0</v>
      </c>
      <c r="I82" s="610" t="n">
        <v>-6.9120000000000346</v>
      </c>
      <c r="J82" s="610" t="n">
        <v>-37.9549999999997</v>
      </c>
      <c r="K82" s="610" t="n">
        <v>85.725999999999658</v>
      </c>
      <c r="L82" s="610" t="n">
        <v>18.405999999999722</v>
      </c>
      <c r="M82" s="610" t="n">
        <v>20.282000000000153</v>
      </c>
      <c r="N82" s="610" t="n">
        <v>-8.5988400000003367</v>
      </c>
      <c r="O82" s="610" t="n">
        <v>-12.537493333333487</v>
      </c>
      <c r="P82" s="610" t="n">
        <v>-32.38033333333351</v>
      </c>
      <c r="Q82" s="610" t="n">
        <v>72.734879999999521</v>
      </c>
      <c r="R82" s="610" t="n">
        <v>75.236879999999019</v>
      </c>
      <c r="S82" s="872" t="n">
        <v>66.046879999999419</v>
      </c>
      <c r="T82" s="872" t="n">
        <v>90.12587999999937</v>
      </c>
      <c r="U82" s="872" t="n">
        <v>55.219026999999414</v>
      </c>
      <c r="V82" s="872" t="n">
        <v>69.376026999999112</v>
      </c>
      <c r="W82" s="872" t="n">
        <v>73.871026999999231</v>
      </c>
      <c r="X82" s="872" t="n">
        <v>92.003026999999292</v>
      </c>
      <c r="Y82" s="872" t="n">
        <v>133.13552299999901</v>
      </c>
      <c r="Z82" s="872" t="n">
        <v>146.42352299999902</v>
      </c>
      <c r="AA82" s="872" t="n">
        <v>149.85352299999886</v>
      </c>
      <c r="AB82" s="872" t="n">
        <v>163.69852299999889</v>
      </c>
      <c r="AC82" s="860" t="n">
        <v>163.69852299999889</v>
      </c>
      <c r="AD82" s="860" t="n">
        <v>163.69852299999889</v>
      </c>
      <c r="AE82" s="860" t="n">
        <v>163.69852299999889</v>
      </c>
      <c r="AF82" s="860" t="n">
        <v>163.69852299999889</v>
      </c>
      <c r="AG82" s="860" t="n">
        <v>163.69852299999889</v>
      </c>
      <c r="AH82" s="860" t="n">
        <v>163.69852299999889</v>
      </c>
      <c r="AI82" s="860" t="n">
        <v>163.69852299999889</v>
      </c>
      <c r="AJ82" s="860" t="n">
        <v>163.69852299999889</v>
      </c>
      <c r="AK82" s="860" t="n">
        <v>163.69852299999889</v>
      </c>
      <c r="AL82" s="860" t="n">
        <v>163.69852299999889</v>
      </c>
      <c r="AM82" s="860" t="n">
        <v>163.69852299999889</v>
      </c>
      <c r="AN82" s="860" t="n">
        <v>163.69852299999889</v>
      </c>
    </row>
    <row r="83" ht="16.75" customHeight="1">
      <c r="B83" s="383"/>
      <c r="C83" s="289"/>
      <c r="S83" s="387"/>
      <c r="T83" s="387"/>
      <c r="U83" s="387"/>
      <c r="V83" s="387"/>
      <c r="W83" s="387"/>
      <c r="X83" s="387"/>
      <c r="Y83" s="387"/>
      <c r="Z83" s="387"/>
      <c r="AA83" s="387"/>
      <c r="AB83" s="387"/>
      <c r="AC83" s="387"/>
      <c r="AD83" s="683"/>
    </row>
    <row r="84" ht="16.75" customHeight="1">
      <c r="B84" s="383"/>
      <c r="C84" s="289"/>
      <c r="S84" s="387"/>
      <c r="T84" s="387"/>
      <c r="U84" s="387"/>
      <c r="V84" s="387"/>
      <c r="W84" s="387"/>
      <c r="X84" s="387"/>
      <c r="Y84" s="387"/>
      <c r="Z84" s="387"/>
      <c r="AA84" s="387"/>
      <c r="AB84" s="387"/>
      <c r="AC84" s="387"/>
      <c r="AD84" s="683"/>
    </row>
    <row r="85" ht="16.75" customHeight="1">
      <c r="B85" s="289"/>
      <c r="C85" s="289"/>
      <c r="S85" s="289"/>
      <c r="T85" s="289"/>
      <c r="U85" s="610"/>
      <c r="V85" s="610"/>
      <c r="W85" s="610"/>
      <c r="X85" s="610"/>
      <c r="Y85" s="610"/>
      <c r="Z85" s="610"/>
      <c r="AA85" s="610"/>
      <c r="AB85" s="610"/>
      <c r="AC85" s="610"/>
      <c r="AD85" s="683"/>
    </row>
    <row r="86" ht="16.75" customHeight="1">
      <c r="B86" s="383"/>
      <c r="C86" s="289"/>
      <c r="S86" s="289"/>
      <c r="T86" s="289"/>
      <c r="U86" s="610"/>
      <c r="V86" s="610"/>
      <c r="W86" s="610"/>
      <c r="X86" s="610"/>
      <c r="Y86" s="610"/>
      <c r="Z86" s="610"/>
      <c r="AA86" s="610"/>
      <c r="AB86" s="610"/>
      <c r="AC86" s="610"/>
      <c r="AD86" s="683"/>
    </row>
    <row r="87" ht="16.75" customHeight="1">
      <c r="B87" s="383"/>
      <c r="C87" s="289"/>
      <c r="S87" s="289"/>
      <c r="T87" s="289"/>
      <c r="U87" s="387"/>
      <c r="V87" s="387"/>
      <c r="W87" s="387"/>
      <c r="X87" s="387"/>
      <c r="Y87" s="387"/>
      <c r="Z87" s="387"/>
      <c r="AA87" s="387"/>
      <c r="AB87" s="387"/>
      <c r="AC87" s="387"/>
      <c r="AD87" s="683"/>
    </row>
    <row r="88" ht="16.75" customHeight="1">
      <c r="B88" s="383"/>
      <c r="C88" s="289"/>
      <c r="S88" s="289"/>
      <c r="T88" s="289"/>
      <c r="U88" s="874"/>
      <c r="V88" s="874"/>
      <c r="W88" s="874"/>
      <c r="X88" s="874"/>
      <c r="Y88" s="874"/>
      <c r="Z88" s="874"/>
      <c r="AA88" s="874"/>
      <c r="AB88" s="874"/>
      <c r="AC88" s="874"/>
      <c r="AD88" s="683"/>
    </row>
    <row r="89" ht="16.75" customHeight="1">
      <c r="B89" s="289"/>
      <c r="C89" s="289"/>
      <c r="S89" s="387"/>
      <c r="T89" s="387"/>
      <c r="U89" s="387"/>
      <c r="V89" s="387"/>
      <c r="W89" s="387"/>
      <c r="X89" s="387"/>
      <c r="Y89" s="387"/>
      <c r="Z89" s="387"/>
      <c r="AA89" s="387"/>
      <c r="AB89" s="387"/>
      <c r="AC89" s="387"/>
      <c r="AD89" s="683"/>
    </row>
    <row r="90" ht="22.5" customHeight="1">
      <c r="B90" s="427"/>
      <c r="C90" s="289"/>
      <c r="D90" s="387"/>
      <c r="E90" s="387"/>
      <c r="F90" s="387"/>
      <c r="G90" s="387"/>
      <c r="H90" s="387"/>
      <c r="I90" s="387"/>
      <c r="J90" s="387"/>
      <c r="K90" s="387"/>
      <c r="L90" s="387"/>
      <c r="M90" s="387"/>
      <c r="N90" s="387"/>
      <c r="O90" s="387"/>
      <c r="P90" s="387"/>
      <c r="Q90" s="387"/>
      <c r="R90" s="387"/>
      <c r="S90" s="387"/>
      <c r="T90" s="387"/>
      <c r="U90" s="387"/>
      <c r="V90" s="387"/>
      <c r="W90" s="387"/>
      <c r="X90" s="387"/>
      <c r="Y90" s="387"/>
      <c r="Z90" s="387"/>
      <c r="AA90" s="387"/>
      <c r="AB90" s="387"/>
      <c r="AC90" s="387"/>
    </row>
    <row r="91" ht="22.5" customHeight="1">
      <c r="B91" s="427"/>
      <c r="C91" s="289"/>
      <c r="D91" s="387"/>
      <c r="E91" s="387"/>
      <c r="F91" s="387"/>
      <c r="G91" s="387"/>
      <c r="H91" s="387"/>
      <c r="I91" s="387"/>
      <c r="J91" s="387"/>
      <c r="K91" s="387"/>
      <c r="L91" s="387"/>
      <c r="M91" s="387"/>
      <c r="N91" s="387"/>
      <c r="O91" s="387"/>
      <c r="P91" s="387"/>
      <c r="Q91" s="387"/>
      <c r="R91" s="387"/>
      <c r="S91" s="387"/>
      <c r="T91" s="387"/>
      <c r="U91" s="387"/>
      <c r="V91" s="387"/>
      <c r="W91" s="387"/>
      <c r="X91" s="387"/>
      <c r="Y91" s="387"/>
      <c r="Z91" s="387"/>
      <c r="AA91" s="387"/>
      <c r="AB91" s="387"/>
      <c r="AC91" s="387"/>
    </row>
    <row r="92" ht="38.5" customHeight="1">
      <c r="B92" s="855"/>
      <c r="C92" s="856" t="n">
        <v>2016</v>
      </c>
      <c r="D92" s="857" t="n">
        <f>C92+1</f>
        <v>2017</v>
      </c>
      <c r="E92" s="857" t="n">
        <f t="shared" ref="E92:R92" si="65">D92+1</f>
        <v>2018</v>
      </c>
      <c r="F92" s="857" t="n">
        <f t="shared" si="65"/>
        <v>2019</v>
      </c>
      <c r="G92" s="857" t="n">
        <f t="shared" si="65"/>
        <v>2020</v>
      </c>
      <c r="H92" s="857" t="n">
        <f t="shared" si="65"/>
        <v>2021</v>
      </c>
      <c r="I92" s="857" t="n">
        <f t="shared" si="65"/>
        <v>2022</v>
      </c>
      <c r="J92" s="857" t="n">
        <f t="shared" si="65"/>
        <v>2023</v>
      </c>
      <c r="K92" s="857" t="n">
        <f t="shared" si="65"/>
        <v>2024</v>
      </c>
      <c r="L92" s="857" t="n">
        <f t="shared" si="65"/>
        <v>2025</v>
      </c>
      <c r="M92" s="857" t="n">
        <f t="shared" si="65"/>
        <v>2026</v>
      </c>
      <c r="N92" s="857" t="n">
        <f t="shared" si="65"/>
        <v>2027</v>
      </c>
      <c r="O92" s="857" t="n">
        <f t="shared" si="65"/>
        <v>2028</v>
      </c>
      <c r="P92" s="857" t="n">
        <f t="shared" si="65"/>
        <v>2029</v>
      </c>
      <c r="Q92" s="857" t="n">
        <f t="shared" si="65"/>
        <v>2030</v>
      </c>
      <c r="R92" s="857" t="n">
        <f t="shared" si="65"/>
        <v>2031</v>
      </c>
      <c r="S92" s="387"/>
      <c r="T92" s="387"/>
      <c r="U92" s="387"/>
      <c r="V92" s="387"/>
      <c r="W92" s="387"/>
      <c r="X92" s="387"/>
      <c r="Y92" s="387"/>
      <c r="Z92" s="387"/>
      <c r="AA92" s="387"/>
      <c r="AB92" s="387"/>
      <c r="AC92" s="387"/>
    </row>
    <row r="93" ht="38.5" customHeight="1">
      <c r="B93" s="861" t="s">
        <v>1876</v>
      </c>
      <c r="C93" t="n">
        <v>910.3</v>
      </c>
      <c r="D93" t="n">
        <v>939.2</v>
      </c>
      <c r="E93" t="n">
        <v>982</v>
      </c>
      <c r="F93" t="n">
        <v>1038.5</v>
      </c>
      <c r="G93" t="n">
        <v>1089.9000000000001</v>
      </c>
      <c r="H93" t="n">
        <v>1128.8</v>
      </c>
      <c r="I93" t="n">
        <v>1212.5</v>
      </c>
      <c r="J93" t="n">
        <v>1348</v>
      </c>
      <c r="K93" t="n">
        <v>1454.424</v>
      </c>
      <c r="L93" t="n">
        <v>1572.1079999999999</v>
      </c>
      <c r="M93" t="n">
        <v>1664.223</v>
      </c>
      <c r="N93" t="n">
        <v>1760.8779999999999</v>
      </c>
      <c r="O93" t="n">
        <v>1865.222</v>
      </c>
      <c r="P93" t="n">
        <v>1967.5059999999999</v>
      </c>
      <c r="Q93" t="n">
        <v>2071.6129999999998</v>
      </c>
      <c r="R93" t="n">
        <v>2179.337</v>
      </c>
      <c r="S93" s="415" t="n">
        <v>2288.683</v>
      </c>
      <c r="T93" s="415" t="n">
        <v>2399.4650000000001</v>
      </c>
      <c r="U93" s="415" t="n">
        <v>2510.5969999999998</v>
      </c>
      <c r="V93" s="387" t="n">
        <v>2623.808</v>
      </c>
      <c r="W93" s="387"/>
      <c r="X93" s="387"/>
      <c r="Y93" s="387"/>
      <c r="Z93" s="387"/>
      <c r="AA93" s="387"/>
      <c r="AB93" s="387"/>
      <c r="AC93" s="387"/>
    </row>
    <row r="94" ht="38.5" customHeight="1">
      <c r="B94" s="547" t="s">
        <v>1877</v>
      </c>
      <c r="C94" t="n">
        <v>890.39374999999995</v>
      </c>
      <c r="D94" t="n">
        <v>918.71375</v>
      </c>
      <c r="E94" t="n">
        <v>960.61400000000003</v>
      </c>
      <c r="F94" t="n">
        <v>1016.043</v>
      </c>
      <c r="G94" t="n">
        <v>1066.5944999999999</v>
      </c>
      <c r="H94" t="n">
        <v>1105.0552499999999</v>
      </c>
      <c r="I94" t="n">
        <v>1186.6424999999999</v>
      </c>
      <c r="J94" t="n">
        <v>1319.8822500000001</v>
      </c>
      <c r="K94" t="n">
        <v>1423.3489999999999</v>
      </c>
      <c r="L94" s="415" t="n">
        <f>AVERAGE(AB72:AE72)</f>
        <v>76.591999999999985</v>
      </c>
      <c r="M94" s="415" t="n">
        <f>AVERAGE(AF72:AI72)</f>
        <v>128.77268100000001</v>
      </c>
      <c r="N94" s="415" t="n">
        <f>AVERAGE(AJ72:AM72)</f>
        <v>191.26920266299999</v>
      </c>
      <c r="S94" s="387"/>
      <c r="T94" s="387"/>
      <c r="U94" s="387"/>
      <c r="V94" s="387"/>
      <c r="W94" s="387"/>
      <c r="X94" s="387"/>
      <c r="Y94" s="387"/>
      <c r="Z94" s="387"/>
      <c r="AA94" s="387"/>
      <c r="AB94" s="387"/>
      <c r="AC94" s="387"/>
    </row>
    <row r="95" ht="69" customHeight="1">
      <c r="B95" s="427" t="s">
        <v>1878</v>
      </c>
      <c r="C95" s="289" t="n">
        <f>C94/C93</f>
        <v>0.97813220916181476</v>
      </c>
      <c r="D95" s="289" t="n">
        <f t="shared" ref="D95:K95" si="66">D94/D93</f>
        <v>0.97818755323679718</v>
      </c>
      <c r="E95" s="289" t="n">
        <f t="shared" si="66"/>
        <v>0.97822199592668024</v>
      </c>
      <c r="F95" s="289" t="n">
        <f t="shared" si="66"/>
        <v>0.97837554164660567</v>
      </c>
      <c r="G95" s="289" t="n">
        <f t="shared" si="66"/>
        <v>0.97861684558216333</v>
      </c>
      <c r="H95" s="289" t="n">
        <f t="shared" si="66"/>
        <v>0.9789646084337349</v>
      </c>
      <c r="I95" s="289" t="n">
        <f t="shared" si="66"/>
        <v>0.97867422680412364</v>
      </c>
      <c r="J95" s="289" t="n">
        <f t="shared" si="66"/>
        <v>0.97914113501483691</v>
      </c>
      <c r="K95" s="289" t="n">
        <f t="shared" si="66"/>
        <v>0.97863415345181315</v>
      </c>
      <c r="L95" s="289" t="n">
        <f t="shared" ref="L95" si="67">L94/L93</f>
        <v>4.8719299183007776E-2</v>
      </c>
      <c r="M95" s="289" t="n">
        <f t="shared" ref="M95" si="68">M94/M93</f>
        <v>7.7377058843676599E-2</v>
      </c>
      <c r="N95" s="289" t="n">
        <f t="shared" ref="N95" si="69">N94/N93</f>
        <v>0.10862149601675981</v>
      </c>
      <c r="P95" s="387"/>
      <c r="Q95" s="387"/>
      <c r="R95" s="387"/>
      <c r="S95" s="387"/>
      <c r="T95" s="387"/>
      <c r="U95" s="387"/>
      <c r="V95" s="387"/>
      <c r="W95" s="387"/>
      <c r="X95" s="387"/>
      <c r="Y95" s="387"/>
      <c r="Z95" s="387"/>
      <c r="AA95" s="387"/>
      <c r="AB95" s="387"/>
      <c r="AC95" s="387"/>
    </row>
    <row r="96">
      <c r="I96" s="289"/>
      <c r="J96" s="289"/>
      <c r="K96" s="289"/>
      <c r="L96" s="289" t="n">
        <f>L93*$K$95</f>
        <v>1538.5185817148231</v>
      </c>
      <c r="M96" s="289" t="n">
        <f t="shared" ref="M96:N96" si="70">M93*$K$95</f>
        <v>1628.6654667600367</v>
      </c>
      <c r="N96" s="289" t="n">
        <f t="shared" si="70"/>
        <v>1723.2553508619217</v>
      </c>
      <c r="P96" s="289"/>
    </row>
    <row r="97">
      <c r="L97" s="88" t="n">
        <f>L96-L94</f>
        <v>1461.926581714823</v>
      </c>
      <c r="M97" s="88" t="n">
        <f t="shared" ref="M97:N97" si="71">M96-M94</f>
        <v>1499.8927857600368</v>
      </c>
      <c r="N97" s="88" t="n">
        <f t="shared" si="71"/>
        <v>1531.9861481989217</v>
      </c>
      <c r="R97" s="683"/>
    </row>
    <row r="99">
      <c r="C99" t="e">
        <f t="shared" ref="C99:M99" si="72">C93/B93-1</f>
        <v>#VALUE!</v>
      </c>
      <c r="D99" t="n">
        <f t="shared" si="72"/>
        <v>3.1747775458640159E-2</v>
      </c>
      <c r="E99" t="n">
        <f t="shared" si="72"/>
        <v>4.557069846678008E-2</v>
      </c>
      <c r="F99" t="n">
        <f t="shared" si="72"/>
        <v>5.7535641547861616E-2</v>
      </c>
      <c r="G99" t="n">
        <f t="shared" si="72"/>
        <v>4.9494463168030967E-2</v>
      </c>
      <c r="H99" t="n">
        <f t="shared" si="72"/>
        <v>3.5691347830075992E-2</v>
      </c>
      <c r="I99" t="n">
        <f t="shared" si="72"/>
        <v>7.4149539333805858E-2</v>
      </c>
      <c r="J99" t="n">
        <f t="shared" si="72"/>
        <v>0.11175257731958754</v>
      </c>
      <c r="K99" t="n">
        <f t="shared" si="72"/>
        <v>7.8949554896142526E-2</v>
      </c>
      <c r="L99" t="n">
        <f t="shared" si="72"/>
        <v>8.0914506361281058E-2</v>
      </c>
      <c r="M99" t="n">
        <f t="shared" si="72"/>
        <v>5.8593302750192811E-2</v>
      </c>
      <c r="N99" t="n">
        <f>N93/M93-1</f>
        <v>5.8078154189672881E-2</v>
      </c>
    </row>
    <row r="100" ht="13.4" customHeight="1"/>
    <row r="104" ht="27.65" customHeight="1"/>
  </sheetData>
  <mergeCells count="35">
    <mergeCell ref="B60:C62"/>
    <mergeCell ref="E61:H61"/>
    <mergeCell ref="I61:L61"/>
    <mergeCell ref="M49:P49"/>
    <mergeCell ref="M61:P61"/>
    <mergeCell ref="D60:AB60"/>
    <mergeCell ref="B11:C11"/>
    <mergeCell ref="B47:AC47"/>
    <mergeCell ref="B48:C50"/>
    <mergeCell ref="E49:H49"/>
    <mergeCell ref="I49:L49"/>
    <mergeCell ref="B36:C36"/>
    <mergeCell ref="AC49:AF49"/>
    <mergeCell ref="AC48:AN48"/>
    <mergeCell ref="D48:AB48"/>
    <mergeCell ref="B1:AC1"/>
    <mergeCell ref="B2:AC6"/>
    <mergeCell ref="E9:H9"/>
    <mergeCell ref="I9:L9"/>
    <mergeCell ref="M9:P9"/>
    <mergeCell ref="Q9:T9"/>
    <mergeCell ref="AC9:AF9"/>
    <mergeCell ref="AC8:AN8"/>
    <mergeCell ref="D8:AB8"/>
    <mergeCell ref="AK61:AN61"/>
    <mergeCell ref="AK9:AN9"/>
    <mergeCell ref="AK49:AN49"/>
    <mergeCell ref="U9:X9"/>
    <mergeCell ref="Q61:T61"/>
    <mergeCell ref="AC61:AF61"/>
    <mergeCell ref="AG49:AJ49"/>
    <mergeCell ref="AG61:AJ61"/>
    <mergeCell ref="Q49:T49"/>
    <mergeCell ref="AG9:AJ9"/>
    <mergeCell ref="AC60:AN60"/>
  </mergeCells>
  <pageMargins left="0.7" right="0.7" top="0.75" bottom="0.75" header="0.3" footer="0.3"/>
  <pageSetup paperSize="9" orientation="portrait" horizontalDpi="300" verticalDpi="300"/>
  <drawing r:id="rId1"/>
  <legacyDrawing r:id="rIdvml"/>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M1" zoomScale="82" zoomScaleNormal="100" workbookViewId="0">
      <selection activeCell="W18" sqref="W18"/>
    </sheetView>
  </sheetViews>
  <sheetFormatPr defaultRowHeight="15.0" baseColWidth="10"/>
  <cols>
    <col min="1" max="1" width="17.26953125" hidden="0" customWidth="1"/>
  </cols>
  <sheetData>
    <row r="1">
      <c r="B1" s="266" t="s">
        <v>1807</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25" customHeight="1">
      <c r="B2" s="581" t="s">
        <v>1808</v>
      </c>
      <c r="C2" s="581"/>
      <c r="D2" s="581"/>
      <c r="E2" s="581"/>
      <c r="F2" s="581"/>
      <c r="G2" s="581"/>
      <c r="H2" s="581"/>
      <c r="I2" s="581"/>
      <c r="J2" s="581"/>
      <c r="K2" s="581"/>
      <c r="L2" s="581"/>
      <c r="M2" s="581"/>
      <c r="N2" s="581"/>
      <c r="O2" s="581"/>
      <c r="P2" s="581"/>
      <c r="Q2" s="581"/>
      <c r="R2" s="581"/>
      <c r="S2" s="767"/>
      <c r="T2" s="770"/>
      <c r="U2" s="770"/>
      <c r="V2" s="770"/>
      <c r="W2" s="770"/>
      <c r="X2" s="770"/>
      <c r="Y2" s="770"/>
      <c r="Z2" s="770"/>
      <c r="AA2" s="770"/>
      <c r="AB2" s="770"/>
      <c r="AC2" s="770"/>
    </row>
    <row r="3">
      <c r="B3" s="581"/>
      <c r="C3" s="581"/>
      <c r="D3" s="581"/>
      <c r="E3" s="581"/>
      <c r="F3" s="581"/>
      <c r="G3" s="581"/>
      <c r="H3" s="581"/>
      <c r="I3" s="581"/>
      <c r="J3" s="581"/>
      <c r="K3" s="581"/>
      <c r="L3" s="581"/>
      <c r="M3" s="581"/>
      <c r="N3" s="581"/>
      <c r="O3" s="581"/>
      <c r="P3" s="581"/>
      <c r="Q3" s="581"/>
      <c r="R3" s="581"/>
      <c r="S3" s="767"/>
      <c r="T3" s="770"/>
      <c r="U3" s="770"/>
      <c r="V3" s="770"/>
      <c r="W3" s="770"/>
      <c r="X3" s="770"/>
      <c r="Y3" s="770"/>
      <c r="Z3" s="770"/>
      <c r="AA3" s="770"/>
      <c r="AB3" s="770"/>
      <c r="AC3" s="770"/>
    </row>
    <row r="4" ht="21" customHeight="1">
      <c r="B4" s="581"/>
      <c r="C4" s="581"/>
      <c r="D4" s="581"/>
      <c r="E4" s="581"/>
      <c r="F4" s="581"/>
      <c r="G4" s="581"/>
      <c r="H4" s="581"/>
      <c r="I4" s="581"/>
      <c r="J4" s="581"/>
      <c r="K4" s="581"/>
      <c r="L4" s="581"/>
      <c r="M4" s="581"/>
      <c r="N4" s="581"/>
      <c r="O4" s="581"/>
      <c r="P4" s="581"/>
      <c r="Q4" s="581"/>
      <c r="R4" s="581"/>
      <c r="S4" s="767"/>
      <c r="T4" s="770"/>
      <c r="U4" s="770"/>
      <c r="V4" s="770"/>
      <c r="W4" s="770"/>
      <c r="X4" s="770"/>
      <c r="Y4" s="770"/>
      <c r="Z4" s="770"/>
      <c r="AA4" s="770"/>
      <c r="AB4" s="770"/>
      <c r="AC4" s="770"/>
    </row>
    <row r="6">
      <c r="B6" s="680" t="s">
        <v>244</v>
      </c>
    </row>
    <row r="7" ht="14.9" customHeight="1">
      <c r="B7" s="268" t="s">
        <v>1779</v>
      </c>
      <c r="C7" s="269"/>
      <c r="D7" s="272" t="s">
        <v>191</v>
      </c>
      <c r="E7" s="594"/>
      <c r="F7" s="594"/>
      <c r="G7" s="594"/>
      <c r="H7" s="594"/>
      <c r="I7" s="594"/>
      <c r="J7" s="594"/>
      <c r="K7" s="594"/>
      <c r="L7" s="594"/>
      <c r="M7" s="594"/>
      <c r="N7" s="594"/>
      <c r="O7" s="594"/>
      <c r="P7" s="594"/>
      <c r="Q7" s="594"/>
      <c r="R7" s="594"/>
      <c r="S7" s="594"/>
      <c r="T7" s="594"/>
      <c r="U7" s="593"/>
      <c r="V7" s="271"/>
      <c r="W7" s="802" t="s">
        <v>192</v>
      </c>
      <c r="X7" s="803"/>
      <c r="Y7" s="803"/>
      <c r="Z7" s="803"/>
      <c r="AA7" s="803"/>
      <c r="AB7" s="803"/>
      <c r="AC7" s="803"/>
      <c r="AD7" s="803"/>
      <c r="AE7" s="803"/>
      <c r="AF7" s="803"/>
      <c r="AG7" s="803"/>
      <c r="AH7" s="803"/>
      <c r="AI7" s="803"/>
      <c r="AJ7" s="803"/>
      <c r="AK7" s="803"/>
      <c r="AL7" s="803"/>
      <c r="AM7" s="803"/>
      <c r="AN7" s="803"/>
    </row>
    <row r="8">
      <c r="B8" s="270"/>
      <c r="C8" s="271"/>
      <c r="D8" s="254" t="n">
        <v>2018</v>
      </c>
      <c r="E8" s="254" t="n">
        <v>2019</v>
      </c>
      <c r="F8" s="441"/>
      <c r="G8" s="441"/>
      <c r="H8" s="256"/>
      <c r="I8" s="254" t="n">
        <v>2020</v>
      </c>
      <c r="J8" s="441"/>
      <c r="K8" s="441"/>
      <c r="L8" s="441"/>
      <c r="M8" s="254" t="n">
        <v>2021</v>
      </c>
      <c r="N8" s="441"/>
      <c r="O8" s="441"/>
      <c r="P8" s="255"/>
      <c r="Q8" s="254" t="n">
        <v>2022</v>
      </c>
      <c r="R8" s="255"/>
      <c r="S8" s="255"/>
      <c r="T8" s="255"/>
      <c r="U8" s="305"/>
      <c r="V8" s="298" t="n">
        <v>2023</v>
      </c>
      <c r="W8" s="475"/>
      <c r="X8" s="301"/>
      <c r="Y8" s="264" t="n">
        <v>2024</v>
      </c>
      <c r="Z8" s="262"/>
      <c r="AA8" s="262"/>
      <c r="AB8" s="263"/>
      <c r="AC8" s="261" t="n">
        <v>2025</v>
      </c>
      <c r="AD8" s="262"/>
      <c r="AE8" s="262"/>
      <c r="AF8" s="263"/>
      <c r="AG8" s="261" t="n">
        <v>2026</v>
      </c>
      <c r="AH8" s="262"/>
      <c r="AI8" s="262"/>
      <c r="AJ8" s="263"/>
      <c r="AK8" s="261" t="n">
        <v>2027</v>
      </c>
      <c r="AL8" s="262"/>
      <c r="AM8" s="262"/>
      <c r="AN8" s="263"/>
    </row>
    <row r="9">
      <c r="B9" s="272"/>
      <c r="C9" s="273"/>
      <c r="D9" s="274" t="s">
        <v>193</v>
      </c>
      <c r="E9" s="274" t="s">
        <v>194</v>
      </c>
      <c r="F9" s="275" t="s">
        <v>195</v>
      </c>
      <c r="G9" s="275" t="s">
        <v>171</v>
      </c>
      <c r="H9" s="276" t="s">
        <v>193</v>
      </c>
      <c r="I9" s="275" t="s">
        <v>194</v>
      </c>
      <c r="J9" s="275" t="s">
        <v>195</v>
      </c>
      <c r="K9" s="275" t="s">
        <v>171</v>
      </c>
      <c r="L9" s="275" t="s">
        <v>193</v>
      </c>
      <c r="M9" s="274" t="s">
        <v>194</v>
      </c>
      <c r="N9" s="275" t="s">
        <v>195</v>
      </c>
      <c r="O9" s="275" t="s">
        <v>171</v>
      </c>
      <c r="P9" s="275" t="s">
        <v>193</v>
      </c>
      <c r="Q9" s="274" t="s">
        <v>194</v>
      </c>
      <c r="R9" s="275" t="s">
        <v>195</v>
      </c>
      <c r="S9" s="275" t="s">
        <v>171</v>
      </c>
      <c r="T9" s="275" t="s">
        <v>193</v>
      </c>
      <c r="U9" s="293" t="s">
        <v>194</v>
      </c>
      <c r="V9" s="294" t="s">
        <v>195</v>
      </c>
      <c r="W9" s="291" t="s">
        <v>171</v>
      </c>
      <c r="X9" s="297" t="s">
        <v>193</v>
      </c>
      <c r="Y9" s="291" t="s">
        <v>194</v>
      </c>
      <c r="Z9" s="290" t="s">
        <v>195</v>
      </c>
      <c r="AA9" s="291" t="s">
        <v>171</v>
      </c>
      <c r="AB9" s="291" t="s">
        <v>193</v>
      </c>
      <c r="AC9" s="296" t="s">
        <v>194</v>
      </c>
      <c r="AD9" s="290" t="s">
        <v>195</v>
      </c>
      <c r="AE9" s="291" t="s">
        <v>171</v>
      </c>
      <c r="AF9" s="291" t="s">
        <v>193</v>
      </c>
      <c r="AG9" s="296" t="s">
        <v>194</v>
      </c>
      <c r="AH9" s="290" t="s">
        <v>195</v>
      </c>
      <c r="AI9" s="291" t="s">
        <v>171</v>
      </c>
      <c r="AJ9" s="297" t="s">
        <v>193</v>
      </c>
      <c r="AK9" s="296" t="s">
        <v>194</v>
      </c>
      <c r="AL9" s="290" t="s">
        <v>195</v>
      </c>
      <c r="AM9" s="291" t="s">
        <v>171</v>
      </c>
      <c r="AN9" s="297" t="s">
        <v>193</v>
      </c>
    </row>
    <row r="10">
      <c r="S10" s="922" t="s">
        <v>117</v>
      </c>
      <c r="T10" s="922" t="s">
        <v>118</v>
      </c>
      <c r="U10" s="922" t="s">
        <v>119</v>
      </c>
      <c r="V10" s="922" t="s">
        <v>120</v>
      </c>
      <c r="W10" s="922" t="s">
        <v>121</v>
      </c>
      <c r="X10" s="922" t="s">
        <v>122</v>
      </c>
      <c r="Y10" s="922" t="s">
        <v>123</v>
      </c>
      <c r="Z10" s="922" t="s">
        <v>124</v>
      </c>
      <c r="AA10" s="922" t="s">
        <v>108</v>
      </c>
      <c r="AB10" s="922" t="s">
        <v>109</v>
      </c>
      <c r="AC10" s="922" t="s">
        <v>110</v>
      </c>
      <c r="AD10" s="922" t="s">
        <v>675</v>
      </c>
      <c r="AE10" s="922" t="s">
        <v>676</v>
      </c>
      <c r="AF10" s="922" t="s">
        <v>677</v>
      </c>
      <c r="AG10" s="922" t="s">
        <v>1057</v>
      </c>
      <c r="AH10" s="922" t="s">
        <v>1058</v>
      </c>
      <c r="AI10" s="922" t="s">
        <v>1059</v>
      </c>
      <c r="AJ10" s="922" t="s">
        <v>1060</v>
      </c>
      <c r="AK10" s="922" t="s">
        <v>1061</v>
      </c>
      <c r="AL10" s="922" t="s">
        <v>1062</v>
      </c>
      <c r="AM10" s="922" t="s">
        <v>1063</v>
      </c>
      <c r="AN10" s="922" t="s">
        <v>1064</v>
      </c>
    </row>
    <row r="11">
      <c r="S11" s="920"/>
      <c r="T11" s="920"/>
      <c r="U11" s="920"/>
      <c r="V11" s="920"/>
      <c r="W11" s="920"/>
      <c r="X11" s="920"/>
      <c r="Y11" s="920"/>
      <c r="Z11" s="920"/>
      <c r="AA11" s="920"/>
      <c r="AB11" s="920"/>
      <c r="AC11" s="920"/>
      <c r="AD11" s="920"/>
      <c r="AE11" s="920"/>
      <c r="AF11" s="920"/>
      <c r="AG11" s="920"/>
      <c r="AH11" s="920"/>
    </row>
    <row r="12">
      <c r="B12" s="920" t="s">
        <v>1752</v>
      </c>
      <c r="P12" t="s">
        <v>1752</v>
      </c>
      <c r="S12" s="219" t="n">
        <v>4.0506371546650453</v>
      </c>
      <c r="T12" s="219" t="n">
        <v>6.7510619244417409</v>
      </c>
      <c r="U12" s="219" t="n">
        <v>25.428999915397224</v>
      </c>
      <c r="V12" s="219" t="n">
        <v>38.481052969317929</v>
      </c>
      <c r="W12" s="219" t="n">
        <v>51.308070625757232</v>
      </c>
      <c r="X12" s="219" t="n">
        <v>56.236345830599703</v>
      </c>
      <c r="Y12" s="219" t="n">
        <v>63.685017487233758</v>
      </c>
      <c r="Z12" s="219" t="n">
        <v>69.310902424268548</v>
      </c>
      <c r="AA12" s="219" t="n">
        <v>64.357873325703125</v>
      </c>
      <c r="AB12" s="219" t="n">
        <v>57.18149450002155</v>
      </c>
      <c r="AC12" s="219" t="n">
        <v>59.094295378613374</v>
      </c>
      <c r="AD12" s="219" t="n">
        <v>70.233547553942245</v>
      </c>
      <c r="AE12" s="219" t="n">
        <v>81.462813888263668</v>
      </c>
      <c r="AF12" s="219" t="n">
        <v>86.188557235372897</v>
      </c>
      <c r="AG12" s="219" t="n">
        <v>105.31656602129117</v>
      </c>
      <c r="AH12" s="219" t="n">
        <v>120.73149074876648</v>
      </c>
      <c r="AI12" s="219" t="n">
        <v>126.01869741259176</v>
      </c>
      <c r="AJ12" s="219" t="n">
        <v>123.55455981017052</v>
      </c>
      <c r="AK12" s="219" t="n">
        <v>112.20152400723433</v>
      </c>
      <c r="AL12" s="219" t="n">
        <v>93.984908581115704</v>
      </c>
      <c r="AM12" s="219" t="n">
        <v>72.945224093593026</v>
      </c>
      <c r="AN12" s="219" t="n">
        <v>47.054901613358936</v>
      </c>
    </row>
    <row r="13">
      <c r="B13" s="920" t="s">
        <v>1753</v>
      </c>
      <c r="P13" t="s">
        <v>1753</v>
      </c>
      <c r="S13" s="176" t="n">
        <f>Deflators!S72</f>
        <v>1.1700921610724198</v>
      </c>
      <c r="T13" s="176" t="n">
        <f>Deflators!T72</f>
        <v>1.1816953797963978</v>
      </c>
      <c r="U13" s="176" t="n">
        <f>Deflators!U72</f>
        <v>1.1931632087271602</v>
      </c>
      <c r="V13" s="176" t="n">
        <f>Deflators!V72</f>
        <v>1.201768659356208</v>
      </c>
      <c r="W13" s="176" t="n">
        <f>Deflators!W72</f>
        <v>1.2097758632810751</v>
      </c>
      <c r="X13" s="176" t="n">
        <f>Deflators!X72</f>
        <v>1.2147338005500146</v>
      </c>
      <c r="Y13" s="176" t="n">
        <f>Deflators!Y72</f>
        <v>1.2250061487428185</v>
      </c>
      <c r="Z13" s="176" t="n">
        <f>Deflators!Z72</f>
        <v>1.2326880562148892</v>
      </c>
      <c r="AA13" s="176" t="n">
        <f>Deflators!AA72</f>
        <v>1.2372845576913525</v>
      </c>
      <c r="AB13" s="176" t="n">
        <f>Deflators!AB72</f>
        <v>1.2447937543552396</v>
      </c>
      <c r="AC13" s="176" t="n">
        <f>Deflators!AC72</f>
        <v>1.2519082564303945</v>
      </c>
      <c r="AD13" s="176" t="n">
        <f>Deflators!AD72</f>
        <v>1.2585786405872741</v>
      </c>
      <c r="AE13" s="176" t="n">
        <f>Deflators!AE72</f>
        <v>1.2654057203904239</v>
      </c>
      <c r="AF13" s="176" t="n">
        <f>Deflators!AF72</f>
        <v>1.27231230577623</v>
      </c>
      <c r="AG13" s="176" t="n">
        <f>Deflators!AG72</f>
        <v>1.2790868658623309</v>
      </c>
      <c r="AH13" s="921" t="n">
        <f>Deflators!AH72</f>
        <v>1.2855539483713756</v>
      </c>
      <c r="AI13" s="921" t="n">
        <f>Deflators!AI72</f>
        <v>1.292033226806468</v>
      </c>
      <c r="AJ13" s="921" t="n">
        <f>Deflators!AJ72</f>
        <v>1.2985763342395193</v>
      </c>
      <c r="AK13" s="921" t="n">
        <f>Deflators!AK72</f>
        <v>1.3051101996236651</v>
      </c>
      <c r="AL13" s="921" t="n">
        <f>Deflators!AL72</f>
        <v>1.3116458212540378</v>
      </c>
      <c r="AM13" s="921" t="n">
        <f>Deflators!AM72</f>
        <v>1.3181836945304437</v>
      </c>
      <c r="AN13" s="921" t="n">
        <f>Deflators!AN72</f>
        <v>1.3247463561647055</v>
      </c>
    </row>
    <row r="14">
      <c r="B14" s="920" t="s">
        <v>1754</v>
      </c>
      <c r="P14" t="s">
        <v>1754</v>
      </c>
      <c r="S14" t="n">
        <f>S12*S13</f>
        <v>4.7396187820222604</v>
      </c>
      <c r="T14" t="n">
        <f t="shared" ref="T14:AI14" si="0">T12*T13</f>
        <v>7.9776986848321831</v>
      </c>
      <c r="U14" t="n">
        <f t="shared" si="0"/>
        <v>30.340947133778037</v>
      </c>
      <c r="V14" t="n">
        <f t="shared" si="0"/>
        <v>46.245323437552436</v>
      </c>
      <c r="W14" t="n">
        <f t="shared" si="0"/>
        <v>62.071265434561823</v>
      </c>
      <c r="X14" t="n">
        <f t="shared" si="0"/>
        <v>68.312190099849346</v>
      </c>
      <c r="Y14" t="n">
        <f t="shared" si="0"/>
        <v>78.014538004655279</v>
      </c>
      <c r="Z14" t="n">
        <f t="shared" si="0"/>
        <v>85.438721583871441</v>
      </c>
      <c r="AA14" t="n">
        <f t="shared" si="0"/>
        <v>79.629002831748679</v>
      </c>
      <c r="AB14" t="n">
        <f t="shared" si="0"/>
        <v>71.179167218325318</v>
      </c>
      <c r="AC14" t="n">
        <f t="shared" si="0"/>
        <v>73.980636292422588</v>
      </c>
      <c r="AD14" t="n">
        <f t="shared" si="0"/>
        <v>88.394442804062294</v>
      </c>
      <c r="AE14" t="n">
        <f t="shared" si="0"/>
        <v>103.08351069330931</v>
      </c>
      <c r="AF14" t="n">
        <f t="shared" si="0"/>
        <v>109.65876198766387</v>
      </c>
      <c r="AG14" t="n">
        <f>AG12*AG13</f>
        <v>134.70903635555658</v>
      </c>
      <c r="AH14" s="670" t="n">
        <f t="shared" si="0"/>
        <v>155.20684462483894</v>
      </c>
      <c r="AI14" s="670" t="n">
        <f t="shared" si="0"/>
        <v>162.82034425593883</v>
      </c>
      <c r="AJ14" s="670" t="n">
        <f>AJ12*AJ13</f>
        <v>160.44502735686868</v>
      </c>
      <c r="AK14" s="670" t="n">
        <f t="shared" ref="AK14:AN14" si="1">AK12*AK13</f>
        <v>146.43535339516106</v>
      </c>
      <c r="AL14" s="670" t="n">
        <f t="shared" si="1"/>
        <v>123.27491260136317</v>
      </c>
      <c r="AM14" s="670" t="n">
        <f t="shared" si="1"/>
        <v>96.155204994043586</v>
      </c>
      <c r="AN14" s="670" t="n">
        <f t="shared" si="1"/>
        <v>62.335809451985973</v>
      </c>
    </row>
    <row r="15">
      <c r="S15" s="219"/>
      <c r="T15" s="219"/>
      <c r="U15" s="219"/>
      <c r="V15" s="219"/>
      <c r="W15" s="219"/>
      <c r="X15" s="219"/>
      <c r="Y15" s="219"/>
      <c r="Z15" s="219"/>
      <c r="AA15" s="219"/>
      <c r="AB15" s="219"/>
      <c r="AC15" s="219"/>
      <c r="AD15" s="219"/>
      <c r="AE15" s="219"/>
      <c r="AF15" s="219"/>
      <c r="AG15" s="219"/>
      <c r="AH15" s="219"/>
      <c r="AI15" s="219"/>
      <c r="AJ15" s="219"/>
      <c r="AK15" s="219"/>
      <c r="AL15" s="219"/>
      <c r="AM15" s="219"/>
      <c r="AN15" s="219"/>
    </row>
    <row r="16">
      <c r="S16" s="219" t="n">
        <v>4.0506371546650453</v>
      </c>
      <c r="T16" s="219" t="n">
        <v>6.7510619244417409</v>
      </c>
      <c r="U16" s="219" t="n">
        <v>25.428999915397224</v>
      </c>
      <c r="V16" s="219" t="n">
        <v>38.481052969317929</v>
      </c>
      <c r="W16" s="219" t="n">
        <v>51.308070625757232</v>
      </c>
      <c r="X16" s="219" t="n">
        <v>56.236345830599703</v>
      </c>
      <c r="Y16" s="219" t="n">
        <v>63.685017487233758</v>
      </c>
      <c r="Z16" s="219" t="n">
        <v>69.310902424268548</v>
      </c>
      <c r="AA16" s="219" t="n">
        <v>64.357873325703125</v>
      </c>
      <c r="AB16" s="219" t="n">
        <v>57.18149450002155</v>
      </c>
      <c r="AC16" s="219" t="n">
        <v>59.094295378613374</v>
      </c>
      <c r="AD16" s="219" t="n">
        <v>70.233547553942245</v>
      </c>
      <c r="AE16" s="219" t="n">
        <v>81.462813888263668</v>
      </c>
      <c r="AF16" s="219" t="n">
        <v>86.188557235372897</v>
      </c>
      <c r="AG16" s="219" t="n">
        <v>105.31656602129117</v>
      </c>
      <c r="AH16" s="219" t="n">
        <v>120.73149074876648</v>
      </c>
      <c r="AI16" s="219" t="n">
        <v>126.01869741259176</v>
      </c>
      <c r="AJ16" s="219" t="n">
        <v>123.55455981017052</v>
      </c>
      <c r="AK16" s="219" t="n">
        <v>112.20152400723433</v>
      </c>
      <c r="AL16" s="219" t="n">
        <v>93.984908581115704</v>
      </c>
      <c r="AM16" s="219" t="n">
        <v>72.945224093593026</v>
      </c>
      <c r="AN16" s="219" t="n">
        <v>47.054901613358936</v>
      </c>
    </row>
    <row r="18">
      <c r="P18" t="s">
        <v>1851</v>
      </c>
      <c r="S18" s="920" t="n">
        <v>9.676624590017175</v>
      </c>
      <c r="T18" s="920" t="n">
        <v>9.6670597070816413</v>
      </c>
      <c r="U18" s="920" t="n">
        <v>29.968874069165178</v>
      </c>
      <c r="V18" s="920" t="n">
        <v>48.407564583050345</v>
      </c>
      <c r="W18" s="920" t="n">
        <v>68.860864510897471</v>
      </c>
      <c r="X18" s="920" t="n">
        <v>88.107434654608909</v>
      </c>
      <c r="Y18" s="920" t="n">
        <v>101.08174054588757</v>
      </c>
      <c r="Z18" s="920" t="n">
        <v>103.56513754278419</v>
      </c>
      <c r="AA18" s="920" t="n">
        <v>106.00637033635157</v>
      </c>
      <c r="AB18" s="920" t="n">
        <v>108.38917414017335</v>
      </c>
      <c r="AC18" s="920" t="n">
        <v>110.69246087615031</v>
      </c>
      <c r="AD18" s="920" t="n">
        <v>112.950351679587</v>
      </c>
      <c r="AE18" s="920" t="n">
        <v>115.16440141682602</v>
      </c>
      <c r="AF18" s="920" t="n">
        <v>117.3462460140392</v>
      </c>
      <c r="AG18" s="920" t="n">
        <v>118.525001293339</v>
      </c>
      <c r="AH18" s="670" t="n">
        <f>AG18</f>
        <v>118.525001293339</v>
      </c>
      <c r="AI18" s="670" t="n">
        <f t="shared" ref="AI18:AN18" si="2">AH18</f>
        <v>118.525001293339</v>
      </c>
      <c r="AJ18" s="670" t="n">
        <f t="shared" si="2"/>
        <v>118.525001293339</v>
      </c>
      <c r="AK18" s="670" t="n">
        <f t="shared" si="2"/>
        <v>118.525001293339</v>
      </c>
      <c r="AL18" s="670" t="n">
        <f t="shared" si="2"/>
        <v>118.525001293339</v>
      </c>
      <c r="AM18" s="670" t="n">
        <f t="shared" si="2"/>
        <v>118.525001293339</v>
      </c>
      <c r="AN18" s="670" t="n">
        <f t="shared" si="2"/>
        <v>118.525001293339</v>
      </c>
    </row>
    <row r="19">
      <c r="S19" s="219"/>
    </row>
    <row r="20">
      <c r="S20" s="219"/>
    </row>
    <row r="21">
      <c r="S21" s="219"/>
    </row>
    <row r="22">
      <c r="S22" s="219"/>
    </row>
    <row r="23">
      <c r="B23" s="809"/>
      <c r="C23" s="809"/>
      <c r="D23" s="809"/>
      <c r="E23" s="809"/>
      <c r="H23" s="809"/>
      <c r="I23" s="809"/>
      <c r="J23" s="809"/>
      <c r="K23" t="s">
        <v>1830</v>
      </c>
      <c r="S23" s="219"/>
    </row>
    <row r="24" ht="29.15" customHeight="1">
      <c r="B24" s="809"/>
      <c r="C24" s="912" t="s">
        <v>1831</v>
      </c>
      <c r="D24" s="809"/>
      <c r="E24" s="809"/>
      <c r="H24" s="809"/>
      <c r="I24" s="809"/>
      <c r="J24" s="809"/>
      <c r="K24" t="s">
        <v>1832</v>
      </c>
      <c r="S24" s="219"/>
    </row>
    <row r="25" ht="29.15" customHeight="1">
      <c r="B25" s="809"/>
      <c r="C25" s="912" t="s">
        <v>1833</v>
      </c>
      <c r="D25" s="809" t="s">
        <v>1834</v>
      </c>
      <c r="E25" s="809"/>
      <c r="F25" s="809"/>
      <c r="G25" s="809"/>
      <c r="H25" s="809"/>
      <c r="I25" s="809"/>
      <c r="J25" s="809"/>
      <c r="S25" s="219"/>
    </row>
    <row r="26" ht="72.650000000000006" customHeight="1">
      <c r="B26" s="913" t="n">
        <v>44774</v>
      </c>
      <c r="C26" s="809" t="n">
        <v>9</v>
      </c>
      <c r="D26" s="809"/>
      <c r="E26" s="809"/>
      <c r="H26" s="809"/>
      <c r="I26" s="809"/>
      <c r="J26" s="912" t="s">
        <v>1835</v>
      </c>
      <c r="K26" s="45" t="s">
        <v>1836</v>
      </c>
      <c r="L26" s="45" t="s">
        <v>1837</v>
      </c>
      <c r="M26" s="45" t="s">
        <v>1838</v>
      </c>
      <c r="N26" s="912" t="s">
        <v>1839</v>
      </c>
      <c r="S26" s="219"/>
    </row>
    <row r="27">
      <c r="B27" s="913" t="n">
        <f>B26+31</f>
        <v>44805</v>
      </c>
      <c r="C27" s="809" t="n">
        <v>9</v>
      </c>
      <c r="D27" s="809" t="n">
        <v>2022</v>
      </c>
      <c r="E27" s="809" t="s">
        <v>242</v>
      </c>
      <c r="F27" t="n">
        <f>SUM(C26:C27)/3</f>
        <v>6</v>
      </c>
      <c r="H27" s="809" t="n">
        <v>2022</v>
      </c>
      <c r="I27" s="809" t="s">
        <v>242</v>
      </c>
      <c r="J27" s="219" t="n">
        <v>6</v>
      </c>
      <c r="K27" s="219"/>
      <c r="L27" s="219"/>
      <c r="M27" s="219" t="n">
        <f>K27+J27</f>
        <v>6</v>
      </c>
      <c r="N27" s="219" t="n">
        <f>M27*F$81</f>
        <v>4.0506371546650453</v>
      </c>
      <c r="S27" s="219"/>
    </row>
    <row r="28">
      <c r="B28" s="913" t="n">
        <f t="shared" ref="B28:B57" si="3">B27+31</f>
        <v>44836</v>
      </c>
      <c r="C28" s="809" t="n">
        <v>10</v>
      </c>
      <c r="D28" s="809"/>
      <c r="E28" s="809"/>
      <c r="H28" s="809" t="n">
        <v>2022</v>
      </c>
      <c r="I28" s="809" t="s">
        <v>686</v>
      </c>
      <c r="J28" s="219" t="n">
        <v>10</v>
      </c>
      <c r="K28" s="219"/>
      <c r="L28" s="219"/>
      <c r="M28" s="219" t="n">
        <f t="shared" ref="M28:M48" si="4">K28+J28</f>
        <v>10</v>
      </c>
      <c r="N28" s="219" t="n">
        <f t="shared" ref="N28:N48" si="5">M28*F$81</f>
        <v>6.7510619244417409</v>
      </c>
      <c r="S28" s="219"/>
    </row>
    <row r="29">
      <c r="B29" s="913" t="n">
        <f t="shared" si="3"/>
        <v>44867</v>
      </c>
      <c r="C29" s="809" t="n">
        <v>10</v>
      </c>
      <c r="D29" s="809"/>
      <c r="E29" s="809"/>
      <c r="H29" s="809" t="n">
        <v>2023</v>
      </c>
      <c r="I29" s="809" t="s">
        <v>173</v>
      </c>
      <c r="J29" s="219" t="n">
        <v>37.666666666666664</v>
      </c>
      <c r="K29" s="219"/>
      <c r="L29" s="219"/>
      <c r="M29" s="219" t="n">
        <f t="shared" si="4"/>
        <v>37.666666666666664</v>
      </c>
      <c r="N29" s="219" t="n">
        <f t="shared" si="5"/>
        <v>25.428999915397224</v>
      </c>
      <c r="S29" s="219"/>
    </row>
    <row r="30">
      <c r="B30" s="913" t="n">
        <f t="shared" si="3"/>
        <v>44898</v>
      </c>
      <c r="C30" s="809" t="n">
        <v>10</v>
      </c>
      <c r="D30" s="809" t="n">
        <v>2022</v>
      </c>
      <c r="E30" s="809" t="s">
        <v>686</v>
      </c>
      <c r="F30" t="n">
        <f>AVERAGE(C28:C30)</f>
        <v>10</v>
      </c>
      <c r="H30" s="809" t="n">
        <v>2023</v>
      </c>
      <c r="I30" s="809" t="s">
        <v>174</v>
      </c>
      <c r="J30" s="219" t="n">
        <v>57</v>
      </c>
      <c r="K30" s="219"/>
      <c r="L30" s="219"/>
      <c r="M30" s="219" t="n">
        <f t="shared" si="4"/>
        <v>57</v>
      </c>
      <c r="N30" s="219" t="n">
        <f t="shared" si="5"/>
        <v>38.481052969317929</v>
      </c>
      <c r="S30" s="219"/>
    </row>
    <row r="31">
      <c r="B31" s="913" t="n">
        <f t="shared" si="3"/>
        <v>44929</v>
      </c>
      <c r="C31" s="809" t="n">
        <v>34</v>
      </c>
      <c r="D31" s="809"/>
      <c r="E31" s="809"/>
      <c r="H31" s="809" t="n">
        <v>2023</v>
      </c>
      <c r="I31" s="809" t="s">
        <v>242</v>
      </c>
      <c r="J31" s="219" t="n">
        <v>76.666666666666671</v>
      </c>
      <c r="K31" s="219"/>
      <c r="L31" s="219"/>
      <c r="M31" s="219" t="n">
        <v>76</v>
      </c>
      <c r="N31" s="219" t="n">
        <f t="shared" si="5"/>
        <v>51.308070625757232</v>
      </c>
      <c r="S31" s="219"/>
    </row>
    <row r="32">
      <c r="B32" s="913" t="n">
        <f t="shared" si="3"/>
        <v>44960</v>
      </c>
      <c r="C32" s="809" t="n">
        <v>35</v>
      </c>
      <c r="D32" s="809"/>
      <c r="E32" s="809"/>
      <c r="H32" s="809" t="n">
        <v>2023</v>
      </c>
      <c r="I32" s="809" t="s">
        <v>686</v>
      </c>
      <c r="J32" s="219" t="n">
        <v>84</v>
      </c>
      <c r="K32" s="219"/>
      <c r="L32" s="219"/>
      <c r="M32" s="219" t="n">
        <v>83.3</v>
      </c>
      <c r="N32" s="219" t="n">
        <f t="shared" si="5"/>
        <v>56.236345830599703</v>
      </c>
      <c r="S32" s="219"/>
    </row>
    <row r="33">
      <c r="B33" s="913" t="n">
        <f t="shared" si="3"/>
        <v>44991</v>
      </c>
      <c r="C33" s="809" t="n">
        <v>44</v>
      </c>
      <c r="D33" s="809" t="n">
        <v>2023</v>
      </c>
      <c r="E33" s="809" t="s">
        <v>173</v>
      </c>
      <c r="F33" t="n">
        <f>AVERAGE(C31:C33)</f>
        <v>37.666666666666664</v>
      </c>
      <c r="H33" s="809" t="n">
        <v>2024</v>
      </c>
      <c r="I33" s="809" t="s">
        <v>173</v>
      </c>
      <c r="J33" s="219" t="n">
        <v>94.333333333333329</v>
      </c>
      <c r="K33" s="219"/>
      <c r="L33" s="219"/>
      <c r="M33" s="219" t="n">
        <f t="shared" si="4"/>
        <v>94.333333333333329</v>
      </c>
      <c r="N33" s="219" t="n">
        <f t="shared" si="5"/>
        <v>63.685017487233758</v>
      </c>
      <c r="O33" t="s">
        <v>1850</v>
      </c>
      <c r="S33" s="219"/>
    </row>
    <row r="34">
      <c r="B34" s="913" t="n">
        <f t="shared" si="3"/>
        <v>45022</v>
      </c>
      <c r="C34" s="809" t="n">
        <v>49</v>
      </c>
      <c r="D34" s="809"/>
      <c r="E34" s="809"/>
      <c r="H34" s="809" t="n">
        <v>2024</v>
      </c>
      <c r="I34" s="809" t="s">
        <v>174</v>
      </c>
      <c r="J34" s="219" t="n">
        <v>102.66666666666667</v>
      </c>
      <c r="K34" s="219"/>
      <c r="L34" s="219"/>
      <c r="M34" s="219" t="n">
        <f t="shared" si="4"/>
        <v>102.66666666666667</v>
      </c>
      <c r="N34" s="219" t="n">
        <f t="shared" si="5"/>
        <v>69.310902424268548</v>
      </c>
      <c r="S34" s="219"/>
    </row>
    <row r="35">
      <c r="B35" s="913" t="n">
        <f t="shared" si="3"/>
        <v>45053</v>
      </c>
      <c r="C35" s="809" t="n">
        <v>58</v>
      </c>
      <c r="D35" s="809"/>
      <c r="E35" s="809"/>
      <c r="H35" s="809" t="n">
        <v>2024</v>
      </c>
      <c r="I35" s="809" t="s">
        <v>242</v>
      </c>
      <c r="J35" s="219" t="n">
        <v>92.33</v>
      </c>
      <c r="K35" s="219" t="n">
        <f>(+J27)*0.5</f>
        <v>3</v>
      </c>
      <c r="L35" s="219" t="n">
        <f>K35</f>
        <v>3</v>
      </c>
      <c r="M35" s="219" t="n">
        <f t="shared" si="4"/>
        <v>95.33</v>
      </c>
      <c r="N35" s="219" t="n">
        <f t="shared" si="5"/>
        <v>64.357873325703125</v>
      </c>
      <c r="S35" s="219"/>
    </row>
    <row r="36">
      <c r="B36" s="913" t="n">
        <f t="shared" si="3"/>
        <v>45084</v>
      </c>
      <c r="C36" s="809" t="n">
        <v>64</v>
      </c>
      <c r="D36" s="809" t="n">
        <v>2023</v>
      </c>
      <c r="E36" s="809" t="s">
        <v>174</v>
      </c>
      <c r="F36" t="n">
        <f>AVERAGE(C34:C36)</f>
        <v>57</v>
      </c>
      <c r="H36" s="809" t="n">
        <v>2024</v>
      </c>
      <c r="I36" s="809" t="s">
        <v>686</v>
      </c>
      <c r="J36" s="219" t="n">
        <v>76.7</v>
      </c>
      <c r="K36" s="219" t="n">
        <f>(J27+J28)*0.5</f>
        <v>8</v>
      </c>
      <c r="L36" s="219" t="n">
        <f>K36</f>
        <v>8</v>
      </c>
      <c r="M36" s="219" t="n">
        <f t="shared" si="4"/>
        <v>84.7</v>
      </c>
      <c r="N36" s="219" t="n">
        <f t="shared" si="5"/>
        <v>57.18149450002155</v>
      </c>
      <c r="S36" s="219"/>
    </row>
    <row r="37">
      <c r="B37" s="913" t="n">
        <f t="shared" si="3"/>
        <v>45115</v>
      </c>
      <c r="C37" s="809" t="n">
        <v>72</v>
      </c>
      <c r="D37" s="809"/>
      <c r="E37" s="809"/>
      <c r="H37" s="809" t="n">
        <v>2025</v>
      </c>
      <c r="I37" s="809" t="s">
        <v>173</v>
      </c>
      <c r="J37" s="219" t="n">
        <v>60.7</v>
      </c>
      <c r="K37" s="219" t="n">
        <f>(J27+J28+J29)*0.5</f>
        <v>26.833333333333332</v>
      </c>
      <c r="L37" s="219" t="n">
        <f>K37-10</f>
        <v>16.833333333333332</v>
      </c>
      <c r="M37" s="219" t="n">
        <f t="shared" si="4"/>
        <v>87.533333333333331</v>
      </c>
      <c r="N37" s="219" t="n">
        <f t="shared" si="5"/>
        <v>59.094295378613374</v>
      </c>
    </row>
    <row r="38">
      <c r="B38" s="913" t="n">
        <f t="shared" si="3"/>
        <v>45146</v>
      </c>
      <c r="C38" s="809" t="n">
        <v>76</v>
      </c>
      <c r="D38" s="809"/>
      <c r="E38" s="809"/>
      <c r="H38" s="809" t="n">
        <v>2025</v>
      </c>
      <c r="I38" s="809" t="s">
        <v>174</v>
      </c>
      <c r="J38" s="219" t="n">
        <v>48.7</v>
      </c>
      <c r="K38" s="219" t="n">
        <f t="shared" ref="K38:K50" si="6">(J27+J28+J29+J30)*0.5</f>
        <v>55.333333333333329</v>
      </c>
      <c r="L38" s="219" t="n">
        <f>K38-15</f>
        <v>40.333333333333329</v>
      </c>
      <c r="M38" s="219" t="n">
        <f t="shared" si="4"/>
        <v>104.03333333333333</v>
      </c>
      <c r="N38" s="219" t="n">
        <f t="shared" si="5"/>
        <v>70.233547553942245</v>
      </c>
    </row>
    <row r="39">
      <c r="B39" s="913" t="n">
        <f t="shared" si="3"/>
        <v>45177</v>
      </c>
      <c r="C39" s="809" t="n">
        <v>80</v>
      </c>
      <c r="D39" s="809" t="n">
        <v>2023</v>
      </c>
      <c r="E39" s="809" t="s">
        <v>242</v>
      </c>
      <c r="F39" t="n">
        <f>AVERAGE(C37:C39)</f>
        <v>76</v>
      </c>
      <c r="H39" s="809" t="n">
        <v>2025</v>
      </c>
      <c r="I39" s="809" t="s">
        <v>242</v>
      </c>
      <c r="J39" s="219" t="n">
        <v>30</v>
      </c>
      <c r="K39" s="219" t="n">
        <f t="shared" si="6"/>
        <v>90.666666666666657</v>
      </c>
      <c r="L39" s="219" t="n">
        <f>K39</f>
        <v>90.666666666666657</v>
      </c>
      <c r="M39" s="219" t="n">
        <f t="shared" si="4"/>
        <v>120.66666666666666</v>
      </c>
      <c r="N39" s="219" t="n">
        <f t="shared" si="5"/>
        <v>81.462813888263668</v>
      </c>
    </row>
    <row r="40">
      <c r="B40" s="913" t="n">
        <f t="shared" si="3"/>
        <v>45208</v>
      </c>
      <c r="C40" s="809" t="n">
        <v>82</v>
      </c>
      <c r="D40" s="809"/>
      <c r="E40" s="809"/>
      <c r="H40" s="809" t="n">
        <v>2025</v>
      </c>
      <c r="I40" s="809" t="s">
        <v>686</v>
      </c>
      <c r="J40" s="219" t="n">
        <v>0</v>
      </c>
      <c r="K40" s="219" t="n">
        <f t="shared" si="6"/>
        <v>127.66666666666666</v>
      </c>
      <c r="L40" s="219" t="n">
        <f>K40+15</f>
        <v>142.66666666666666</v>
      </c>
      <c r="M40" s="219" t="n">
        <f t="shared" si="4"/>
        <v>127.66666666666666</v>
      </c>
      <c r="N40" s="219" t="n">
        <f t="shared" si="5"/>
        <v>86.188557235372897</v>
      </c>
    </row>
    <row r="41">
      <c r="B41" s="913" t="n">
        <f t="shared" si="3"/>
        <v>45239</v>
      </c>
      <c r="C41" s="809" t="n">
        <v>82</v>
      </c>
      <c r="D41" s="809"/>
      <c r="E41" s="809"/>
      <c r="H41" s="809" t="n">
        <v>2026</v>
      </c>
      <c r="I41" s="809" t="s">
        <v>173</v>
      </c>
      <c r="J41" s="219" t="n">
        <v>0</v>
      </c>
      <c r="K41" s="219" t="n">
        <f t="shared" si="6"/>
        <v>156</v>
      </c>
      <c r="L41" s="219" t="n">
        <f>K41+10</f>
        <v>166</v>
      </c>
      <c r="M41" s="219" t="n">
        <f t="shared" si="4"/>
        <v>156</v>
      </c>
      <c r="N41" s="219" t="n">
        <f t="shared" si="5"/>
        <v>105.31656602129117</v>
      </c>
    </row>
    <row r="42">
      <c r="B42" s="913" t="n">
        <f t="shared" si="3"/>
        <v>45270</v>
      </c>
      <c r="C42" s="809" t="n">
        <v>86</v>
      </c>
      <c r="D42" s="809" t="n">
        <v>2023</v>
      </c>
      <c r="E42" s="809" t="s">
        <v>686</v>
      </c>
      <c r="F42" t="n">
        <f>AVERAGE(C40:C42)</f>
        <v>83.333333333333329</v>
      </c>
      <c r="H42" s="809" t="n">
        <v>2027</v>
      </c>
      <c r="I42" s="809" t="s">
        <v>174</v>
      </c>
      <c r="J42" s="219" t="n">
        <v>0</v>
      </c>
      <c r="K42" s="219" t="n">
        <f t="shared" si="6"/>
        <v>178.83333333333334</v>
      </c>
      <c r="L42" s="219" t="n">
        <f>K42</f>
        <v>178.83333333333334</v>
      </c>
      <c r="M42" s="219" t="n">
        <f t="shared" si="4"/>
        <v>178.83333333333334</v>
      </c>
      <c r="N42" s="219" t="n">
        <f t="shared" si="5"/>
        <v>120.73149074876648</v>
      </c>
    </row>
    <row r="43">
      <c r="B43" s="913" t="n">
        <f t="shared" si="3"/>
        <v>45301</v>
      </c>
      <c r="C43" s="809" t="n">
        <v>90</v>
      </c>
      <c r="D43" s="809"/>
      <c r="E43" s="809"/>
      <c r="H43" s="809" t="n">
        <v>2027</v>
      </c>
      <c r="I43" s="809" t="s">
        <v>242</v>
      </c>
      <c r="J43" s="219"/>
      <c r="K43" s="219" t="n">
        <f t="shared" si="6"/>
        <v>186.66499999999999</v>
      </c>
      <c r="L43" s="219" t="n">
        <f t="shared" ref="L43:L51" si="7">K43</f>
        <v>186.66499999999999</v>
      </c>
      <c r="M43" s="219" t="n">
        <f t="shared" si="4"/>
        <v>186.66499999999999</v>
      </c>
      <c r="N43" s="219" t="n">
        <f t="shared" si="5"/>
        <v>126.01869741259176</v>
      </c>
    </row>
    <row r="44">
      <c r="B44" s="913" t="n">
        <f t="shared" si="3"/>
        <v>45332</v>
      </c>
      <c r="C44" s="809" t="n">
        <v>95</v>
      </c>
      <c r="D44" s="809"/>
      <c r="E44" s="809"/>
      <c r="H44" s="809" t="n">
        <v>2027</v>
      </c>
      <c r="I44" s="809" t="s">
        <v>686</v>
      </c>
      <c r="J44" s="219"/>
      <c r="K44" s="219" t="n">
        <f t="shared" si="6"/>
        <v>183.01499999999999</v>
      </c>
      <c r="L44" s="219" t="n">
        <f t="shared" si="7"/>
        <v>183.01499999999999</v>
      </c>
      <c r="M44" s="219" t="n">
        <f t="shared" si="4"/>
        <v>183.01499999999999</v>
      </c>
      <c r="N44" s="219" t="n">
        <f t="shared" si="5"/>
        <v>123.55455981017052</v>
      </c>
    </row>
    <row r="45">
      <c r="B45" s="913" t="n">
        <f t="shared" si="3"/>
        <v>45363</v>
      </c>
      <c r="C45" s="809" t="n">
        <v>98</v>
      </c>
      <c r="D45" s="809" t="n">
        <v>2024</v>
      </c>
      <c r="E45" s="809" t="s">
        <v>173</v>
      </c>
      <c r="F45" t="n">
        <f>AVERAGE(C43:C45)</f>
        <v>94.333333333333329</v>
      </c>
      <c r="H45" s="809" t="n">
        <v>2028</v>
      </c>
      <c r="I45" s="809" t="s">
        <v>173</v>
      </c>
      <c r="J45" s="219"/>
      <c r="K45" s="219" t="n">
        <f t="shared" si="6"/>
        <v>166.19833333333332</v>
      </c>
      <c r="L45" s="219" t="n">
        <f t="shared" si="7"/>
        <v>166.19833333333332</v>
      </c>
      <c r="M45" s="219" t="n">
        <f t="shared" si="4"/>
        <v>166.19833333333332</v>
      </c>
      <c r="N45" s="219" t="n">
        <f t="shared" si="5"/>
        <v>112.20152400723433</v>
      </c>
    </row>
    <row r="46">
      <c r="B46" s="913" t="n">
        <f t="shared" si="3"/>
        <v>45394</v>
      </c>
      <c r="C46" s="809" t="n">
        <v>98</v>
      </c>
      <c r="D46" s="809"/>
      <c r="E46" s="809"/>
      <c r="H46" s="809" t="n">
        <v>2028</v>
      </c>
      <c r="I46" s="809" t="s">
        <v>174</v>
      </c>
      <c r="J46" s="219"/>
      <c r="K46" s="219" t="n">
        <f t="shared" si="6"/>
        <v>139.215</v>
      </c>
      <c r="L46" s="219" t="n">
        <f t="shared" si="7"/>
        <v>139.215</v>
      </c>
      <c r="M46" s="219" t="n">
        <f t="shared" si="4"/>
        <v>139.215</v>
      </c>
      <c r="N46" s="219" t="n">
        <f t="shared" si="5"/>
        <v>93.984908581115704</v>
      </c>
    </row>
    <row r="47">
      <c r="B47" s="913" t="n">
        <f t="shared" si="3"/>
        <v>45425</v>
      </c>
      <c r="C47" s="809" t="n">
        <v>104</v>
      </c>
      <c r="D47" s="809"/>
      <c r="E47" s="809"/>
      <c r="H47" s="809" t="n">
        <v>2028</v>
      </c>
      <c r="I47" s="809" t="s">
        <v>242</v>
      </c>
      <c r="J47" s="219"/>
      <c r="K47" s="219" t="n">
        <f t="shared" si="6"/>
        <v>108.05000000000001</v>
      </c>
      <c r="L47" s="219" t="n">
        <f t="shared" si="7"/>
        <v>108.05000000000001</v>
      </c>
      <c r="M47" s="219" t="n">
        <f t="shared" si="4"/>
        <v>108.05000000000001</v>
      </c>
      <c r="N47" s="219" t="n">
        <f t="shared" si="5"/>
        <v>72.945224093593026</v>
      </c>
    </row>
    <row r="48">
      <c r="B48" s="913" t="n">
        <f t="shared" si="3"/>
        <v>45456</v>
      </c>
      <c r="C48" s="809" t="n">
        <v>106</v>
      </c>
      <c r="D48" s="809" t="n">
        <v>2024</v>
      </c>
      <c r="E48" s="809" t="s">
        <v>174</v>
      </c>
      <c r="F48" t="n">
        <f>AVERAGE(C46:C48)</f>
        <v>102.66666666666667</v>
      </c>
      <c r="H48" s="809" t="n">
        <v>2028</v>
      </c>
      <c r="I48" s="809" t="s">
        <v>686</v>
      </c>
      <c r="J48" s="219"/>
      <c r="K48" s="219" t="n">
        <f t="shared" si="6"/>
        <v>69.7</v>
      </c>
      <c r="L48" s="219" t="n">
        <f t="shared" si="7"/>
        <v>69.7</v>
      </c>
      <c r="M48" s="219" t="n">
        <f t="shared" si="4"/>
        <v>69.7</v>
      </c>
      <c r="N48" s="219" t="n">
        <f t="shared" si="5"/>
        <v>47.054901613358936</v>
      </c>
    </row>
    <row r="49">
      <c r="B49" s="913" t="n">
        <f t="shared" si="3"/>
        <v>45487</v>
      </c>
      <c r="C49" s="809" t="n">
        <v>96</v>
      </c>
      <c r="D49" s="809"/>
      <c r="E49" s="809"/>
      <c r="H49" s="809" t="s">
        <v>234</v>
      </c>
      <c r="I49" s="809" t="s">
        <v>234</v>
      </c>
      <c r="J49" s="809"/>
      <c r="K49" s="219" t="n">
        <f t="shared" si="6"/>
        <v>39.35</v>
      </c>
      <c r="L49" s="219" t="n">
        <f t="shared" si="7"/>
        <v>39.35</v>
      </c>
      <c r="M49" s="219"/>
      <c r="N49" s="219"/>
    </row>
    <row r="50">
      <c r="B50" s="913" t="n">
        <f t="shared" si="3"/>
        <v>45518</v>
      </c>
      <c r="C50" s="809" t="n">
        <v>93</v>
      </c>
      <c r="D50" s="809"/>
      <c r="E50" s="809"/>
      <c r="H50" s="809" t="s">
        <v>234</v>
      </c>
      <c r="I50" s="809" t="s">
        <v>234</v>
      </c>
      <c r="J50" s="809"/>
      <c r="K50" s="219" t="n">
        <f t="shared" si="6"/>
        <v>15</v>
      </c>
      <c r="L50" s="219" t="n">
        <f t="shared" si="7"/>
        <v>15</v>
      </c>
      <c r="M50" s="219"/>
      <c r="N50" s="219"/>
    </row>
    <row r="51">
      <c r="B51" s="913" t="n">
        <f t="shared" si="3"/>
        <v>45549</v>
      </c>
      <c r="C51" s="809" t="n">
        <v>88</v>
      </c>
      <c r="D51" s="809" t="n">
        <v>2024</v>
      </c>
      <c r="E51" s="809" t="s">
        <v>242</v>
      </c>
      <c r="F51" t="n">
        <f>AVERAGE(C49:C51)</f>
        <v>92.333333333333329</v>
      </c>
      <c r="H51" s="809" t="s">
        <v>234</v>
      </c>
      <c r="I51" s="809" t="s">
        <v>234</v>
      </c>
      <c r="J51" s="809"/>
      <c r="K51" s="219" t="n">
        <f t="shared" ref="K51" si="8">J41+J42+J43</f>
        <v>0</v>
      </c>
      <c r="L51" s="219" t="n">
        <f t="shared" si="7"/>
        <v>0</v>
      </c>
      <c r="M51" s="219"/>
      <c r="N51" s="219"/>
    </row>
    <row r="52">
      <c r="B52" s="913" t="n">
        <f t="shared" si="3"/>
        <v>45580</v>
      </c>
      <c r="C52" s="809" t="n">
        <v>80</v>
      </c>
      <c r="D52" s="809"/>
      <c r="E52" s="809"/>
      <c r="H52" s="809" t="s">
        <v>234</v>
      </c>
      <c r="I52" s="809" t="s">
        <v>234</v>
      </c>
      <c r="J52" s="809" t="n">
        <f>SUM(J27:J51)</f>
        <v>776.76333333333343</v>
      </c>
      <c r="K52" t="n">
        <f>SUM(K27:K51)</f>
        <v>1553.5266666666664</v>
      </c>
      <c r="L52" t="n">
        <f>SUM(L27:L51)</f>
        <v>1553.5266666666664</v>
      </c>
    </row>
    <row r="53">
      <c r="B53" s="913" t="n">
        <f t="shared" si="3"/>
        <v>45611</v>
      </c>
      <c r="C53" s="809" t="n">
        <v>76</v>
      </c>
      <c r="D53" s="809"/>
      <c r="E53" s="809"/>
      <c r="H53" s="809"/>
      <c r="I53" s="809"/>
      <c r="J53" s="809"/>
    </row>
    <row r="54">
      <c r="B54" s="913" t="n">
        <f t="shared" si="3"/>
        <v>45642</v>
      </c>
      <c r="C54" s="809" t="n">
        <v>74</v>
      </c>
      <c r="D54" s="809" t="n">
        <v>2024</v>
      </c>
      <c r="E54" s="809" t="s">
        <v>686</v>
      </c>
      <c r="F54" t="n">
        <f>AVERAGE(C52:C54)</f>
        <v>76.666666666666671</v>
      </c>
      <c r="H54" s="809"/>
      <c r="I54" s="809"/>
      <c r="J54" s="809"/>
    </row>
    <row r="55">
      <c r="B55" s="913" t="n">
        <f t="shared" si="3"/>
        <v>45673</v>
      </c>
      <c r="C55" s="809" t="n">
        <v>66</v>
      </c>
      <c r="D55" s="809"/>
      <c r="E55" s="809"/>
      <c r="H55" s="809"/>
      <c r="I55" s="809"/>
      <c r="J55" s="809"/>
    </row>
    <row r="56">
      <c r="B56" s="913" t="n">
        <f t="shared" si="3"/>
        <v>45704</v>
      </c>
      <c r="C56" s="809" t="n">
        <v>58</v>
      </c>
      <c r="D56" s="809"/>
      <c r="E56" s="809"/>
      <c r="H56" s="809"/>
      <c r="I56" s="809"/>
      <c r="J56" s="809"/>
    </row>
    <row r="57">
      <c r="B57" s="913" t="n">
        <f t="shared" si="3"/>
        <v>45735</v>
      </c>
      <c r="C57" s="809" t="n">
        <v>58</v>
      </c>
      <c r="D57" s="809" t="n">
        <v>2025</v>
      </c>
      <c r="E57" s="809" t="s">
        <v>173</v>
      </c>
      <c r="F57" t="n">
        <f>AVERAGE(C55:C57)</f>
        <v>60.666666666666664</v>
      </c>
      <c r="H57" s="809"/>
      <c r="I57" s="809"/>
      <c r="J57" s="809"/>
    </row>
    <row r="58">
      <c r="B58" s="913"/>
      <c r="C58" s="914" t="n">
        <v>50</v>
      </c>
      <c r="D58" s="809"/>
      <c r="E58" s="809"/>
      <c r="H58" s="809"/>
      <c r="I58" s="809"/>
      <c r="J58" s="809"/>
    </row>
    <row r="59">
      <c r="B59" s="913"/>
      <c r="C59" s="914" t="n">
        <v>48</v>
      </c>
      <c r="D59" s="809"/>
      <c r="E59" s="809"/>
      <c r="H59" s="809"/>
      <c r="I59" s="809"/>
      <c r="J59" s="809"/>
    </row>
    <row r="60">
      <c r="B60" s="809"/>
      <c r="C60" s="914" t="n">
        <v>48</v>
      </c>
      <c r="D60" s="809" t="n">
        <v>2025</v>
      </c>
      <c r="E60" s="809" t="s">
        <v>174</v>
      </c>
      <c r="F60" t="n">
        <f>AVERAGE(C58:C60)</f>
        <v>48.666666666666664</v>
      </c>
      <c r="H60" s="809"/>
      <c r="I60" s="809"/>
      <c r="J60" s="809"/>
    </row>
    <row r="61">
      <c r="B61" s="809"/>
      <c r="C61" s="809" t="n">
        <v>40</v>
      </c>
      <c r="D61" s="809"/>
      <c r="E61" s="809"/>
      <c r="H61" s="809"/>
      <c r="I61" s="809"/>
      <c r="J61" s="809"/>
    </row>
    <row r="62">
      <c r="B62" s="809"/>
      <c r="C62" s="914" t="n">
        <v>30</v>
      </c>
      <c r="D62" s="809"/>
      <c r="E62" s="809"/>
      <c r="H62" s="809"/>
      <c r="I62" s="809"/>
      <c r="J62" s="809"/>
    </row>
    <row r="63">
      <c r="B63" s="809"/>
      <c r="C63" s="914" t="n">
        <v>20</v>
      </c>
      <c r="D63" s="809"/>
      <c r="E63" s="809"/>
      <c r="F63" t="n">
        <f>AVERAGE(C61:C63)</f>
        <v>30</v>
      </c>
      <c r="H63" s="809"/>
      <c r="I63" s="809"/>
      <c r="J63" s="809"/>
    </row>
    <row r="64">
      <c r="B64" s="809"/>
      <c r="C64" s="809"/>
      <c r="D64" s="809"/>
      <c r="E64" s="809"/>
      <c r="H64" s="809"/>
      <c r="I64" s="809"/>
      <c r="J64" s="809"/>
    </row>
    <row r="65">
      <c r="B65" s="809"/>
      <c r="C65" s="912"/>
      <c r="D65" s="915"/>
      <c r="E65" s="912"/>
      <c r="H65" s="809"/>
      <c r="I65" s="809"/>
      <c r="J65" s="809"/>
    </row>
    <row r="66">
      <c r="B66" s="809"/>
      <c r="C66" s="809"/>
      <c r="D66" s="809"/>
      <c r="E66" s="809"/>
      <c r="F66" t="e">
        <f>AVERAGE(C64:C66)</f>
        <v>#DIV/0!</v>
      </c>
      <c r="H66" s="809"/>
      <c r="I66" s="809"/>
      <c r="J66" s="809"/>
    </row>
    <row r="67">
      <c r="B67" s="809"/>
      <c r="C67" s="809"/>
      <c r="D67" s="306"/>
      <c r="E67" s="809"/>
      <c r="H67" s="809"/>
      <c r="I67" s="809"/>
      <c r="J67" s="809"/>
    </row>
    <row r="68">
      <c r="B68" s="809"/>
      <c r="C68" s="809"/>
      <c r="D68" s="306"/>
      <c r="E68" s="306"/>
      <c r="H68" s="809"/>
      <c r="I68" s="809"/>
      <c r="J68" s="809"/>
    </row>
    <row r="69">
      <c r="B69" s="916"/>
      <c r="C69" s="917"/>
      <c r="D69" s="918"/>
      <c r="E69" s="809"/>
      <c r="H69" s="809"/>
      <c r="I69" s="809"/>
      <c r="J69" s="809"/>
    </row>
    <row r="70">
      <c r="B70" s="306" t="s">
        <v>1840</v>
      </c>
      <c r="C70" s="306"/>
      <c r="D70" s="918"/>
      <c r="E70" s="809"/>
      <c r="H70" s="809"/>
      <c r="I70" s="809"/>
      <c r="J70" s="809"/>
    </row>
    <row r="71">
      <c r="B71" s="306" t="s">
        <v>1841</v>
      </c>
      <c r="C71" s="306"/>
      <c r="D71" s="918"/>
      <c r="E71" s="809"/>
      <c r="H71" s="809"/>
      <c r="I71" s="809"/>
      <c r="J71" s="809"/>
    </row>
    <row r="72">
      <c r="B72" s="306" t="s">
        <v>1842</v>
      </c>
      <c r="C72" s="306"/>
      <c r="D72" s="918"/>
      <c r="E72" s="809"/>
      <c r="H72" s="809"/>
      <c r="I72" s="809"/>
      <c r="J72" s="809"/>
    </row>
    <row r="73">
      <c r="B73" s="306" t="s">
        <v>1843</v>
      </c>
      <c r="C73" s="306"/>
      <c r="D73" s="918"/>
      <c r="E73" s="809"/>
      <c r="H73" s="809" t="s">
        <v>1844</v>
      </c>
      <c r="I73" s="809"/>
      <c r="J73" s="809"/>
    </row>
    <row r="74">
      <c r="B74" s="306" t="s">
        <v>1845</v>
      </c>
      <c r="C74" s="306"/>
      <c r="D74" s="918"/>
      <c r="E74" s="809"/>
      <c r="H74" s="809" t="s">
        <v>1846</v>
      </c>
      <c r="I74" s="809"/>
      <c r="J74" s="809"/>
    </row>
    <row r="75">
      <c r="B75" s="306" t="s">
        <v>1755</v>
      </c>
      <c r="C75" s="306"/>
      <c r="D75" s="809"/>
      <c r="E75" s="809"/>
      <c r="H75" s="809"/>
      <c r="I75" s="809"/>
      <c r="J75" s="809"/>
    </row>
    <row r="76">
      <c r="B76" s="809"/>
      <c r="C76" s="809"/>
      <c r="D76" s="809"/>
      <c r="E76" s="809"/>
      <c r="H76" s="809"/>
      <c r="I76" s="809"/>
      <c r="J76" s="809"/>
    </row>
    <row r="77">
      <c r="B77" s="306" t="s">
        <v>1847</v>
      </c>
      <c r="C77" s="306" t="s">
        <v>1848</v>
      </c>
      <c r="D77" s="809"/>
      <c r="E77" s="809"/>
      <c r="H77" s="809"/>
      <c r="I77" s="809"/>
      <c r="J77" s="809"/>
    </row>
    <row r="78">
      <c r="B78" s="809"/>
      <c r="C78" s="809"/>
      <c r="D78" s="809"/>
      <c r="E78" s="809"/>
      <c r="H78" s="809"/>
      <c r="I78" s="809"/>
      <c r="J78" s="809"/>
    </row>
    <row r="79">
      <c r="B79" s="306" t="s">
        <v>1849</v>
      </c>
      <c r="C79" s="306"/>
      <c r="D79" s="809"/>
      <c r="E79" s="809"/>
      <c r="H79" s="809"/>
      <c r="I79" s="809"/>
      <c r="J79" s="809"/>
    </row>
    <row r="80">
      <c r="B80" s="306" t="s">
        <v>1756</v>
      </c>
      <c r="C80" s="306" t="s">
        <v>1847</v>
      </c>
      <c r="D80" s="809"/>
      <c r="E80" s="809"/>
      <c r="H80" s="809"/>
      <c r="I80" s="809"/>
      <c r="J80" s="809"/>
    </row>
    <row r="81">
      <c r="B81" s="919" t="n">
        <v>42736</v>
      </c>
      <c r="C81" s="918" t="n">
        <v>234.95833333333334</v>
      </c>
      <c r="D81" s="809"/>
      <c r="E81" s="809"/>
      <c r="F81" t="n">
        <f>C81/C86</f>
        <v>0.67510619244417414</v>
      </c>
      <c r="H81" s="809"/>
      <c r="I81" s="809"/>
      <c r="J81" s="809"/>
    </row>
    <row r="82">
      <c r="B82" s="919" t="n">
        <v>43101</v>
      </c>
      <c r="C82" s="918" t="n">
        <v>247.02500000000001</v>
      </c>
      <c r="D82" s="809"/>
      <c r="E82" s="809"/>
      <c r="H82" s="809"/>
      <c r="I82" s="809"/>
      <c r="J82" s="809"/>
    </row>
    <row r="83">
      <c r="B83" s="919" t="n">
        <v>43466</v>
      </c>
      <c r="C83" s="918" t="n">
        <v>251.27500000000001</v>
      </c>
      <c r="D83" s="809"/>
      <c r="E83" s="809"/>
      <c r="H83" s="809"/>
      <c r="I83" s="809"/>
      <c r="J83" s="809"/>
    </row>
    <row r="84">
      <c r="B84" s="919" t="n">
        <v>43831</v>
      </c>
      <c r="C84" s="918" t="n">
        <v>256.94166666666666</v>
      </c>
      <c r="D84" s="809"/>
      <c r="E84" s="809"/>
      <c r="H84" s="809"/>
      <c r="I84" s="809"/>
      <c r="J84" s="809"/>
    </row>
    <row r="85">
      <c r="B85" s="919" t="n">
        <v>44197</v>
      </c>
      <c r="C85" s="918" t="n">
        <v>298.95841666666666</v>
      </c>
      <c r="D85" s="809"/>
      <c r="E85" s="809"/>
      <c r="H85" s="809"/>
      <c r="I85" s="809"/>
      <c r="J85" s="809"/>
    </row>
    <row r="86">
      <c r="B86" s="919" t="n">
        <v>44562</v>
      </c>
      <c r="C86" s="918" t="n">
        <v>348.03166666666669</v>
      </c>
      <c r="D86" s="809"/>
      <c r="E86" s="809"/>
      <c r="H86" s="809"/>
      <c r="I86" s="809"/>
      <c r="J86" s="809"/>
    </row>
    <row r="87">
      <c r="B87" s="919" t="n">
        <v>44927</v>
      </c>
      <c r="C87" s="918" t="n">
        <v>351.04091666666665</v>
      </c>
      <c r="D87" s="809"/>
      <c r="E87" s="809"/>
      <c r="H87" s="809"/>
      <c r="I87" s="809"/>
      <c r="J87" s="809"/>
    </row>
    <row r="88">
      <c r="B88" s="919" t="n">
        <v>45292</v>
      </c>
      <c r="C88" s="306" t="n">
        <v>0</v>
      </c>
      <c r="D88" s="809"/>
      <c r="E88" s="809"/>
      <c r="H88" s="809"/>
      <c r="I88" s="809"/>
      <c r="J88" s="809"/>
    </row>
  </sheetData>
  <mergeCells count="15">
    <mergeCell ref="B1:AC1"/>
    <mergeCell ref="B2:R4"/>
    <mergeCell ref="T2:AC4"/>
    <mergeCell ref="B7:C9"/>
    <mergeCell ref="D7:V7"/>
    <mergeCell ref="E8:H8"/>
    <mergeCell ref="I8:L8"/>
    <mergeCell ref="M8:P8"/>
    <mergeCell ref="Q8:T8"/>
    <mergeCell ref="AK8:AN8"/>
    <mergeCell ref="W7:AN7"/>
    <mergeCell ref="D25:F25"/>
    <mergeCell ref="Y8:AB8"/>
    <mergeCell ref="AC8:AF8"/>
    <mergeCell ref="AG8:AJ8"/>
  </mergeCells>
  <pageMargins left="0.7" right="0.7" top="0.75" bottom="0.75" header="0.3" footer="0.3"/>
  <pageSetup paperSize="9" orientation="portrait" horizontalDpi="300" verticalDpi="30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C1" zoomScaleNormal="100" workbookViewId="0">
      <pane xSplit="2" ySplit="7" topLeftCell="X8" activePane="bottomRight" state="frozen"/>
      <selection activeCell="C1" sqref="C1"/>
      <selection pane="topRight" activeCell="E1" sqref="E1"/>
      <selection pane="bottomLeft" activeCell="C8" sqref="C8"/>
      <selection pane="bottomRight" activeCell="AE20" sqref="AE20"/>
    </sheetView>
  </sheetViews>
  <sheetFormatPr defaultRowHeight="15.0" baseColWidth="10"/>
  <cols>
    <col min="1" max="1" width="0" hidden="1" customWidth="1"/>
    <col min="2" max="2" width="0" hidden="1" customWidth="1"/>
    <col min="3" max="3" width="18" hidden="0" customWidth="1"/>
    <col min="4" max="4" width="45.1796875" hidden="0" customWidth="1"/>
    <col min="5" max="5" width="11.1796875" hidden="0" customWidth="1"/>
    <col min="11" max="11" width="15.453125" hidden="0" customWidth="1"/>
    <col min="12" max="12" width="15.7265625" hidden="0" customWidth="1"/>
    <col min="13" max="13" width="12.453125" hidden="0" customWidth="1"/>
    <col min="14" max="14" width="13.453125" hidden="0" customWidth="1"/>
    <col min="15" max="15" width="13.453125" hidden="0" customWidth="1"/>
    <col min="16" max="16" width="11.1796875" hidden="0" customWidth="1"/>
    <col min="19" max="19" width="12" hidden="0" customWidth="1"/>
    <col min="27" max="27" width="11" hidden="0" customWidth="1"/>
    <col min="28" max="28" width="11" hidden="0" customWidth="1"/>
    <col min="29" max="29" width="11" hidden="0" customWidth="1"/>
    <col min="30" max="30" width="12.54296875" hidden="0" customWidth="1"/>
    <col min="31" max="31" width="17.81640625" hidden="0" customWidth="1"/>
    <col min="32" max="32" width="12.54296875" hidden="0" customWidth="1"/>
    <col min="33" max="33" width="12.54296875" hidden="0" customWidth="1"/>
    <col min="34" max="34" width="12.54296875" hidden="0" customWidth="1"/>
    <col min="35" max="35" width="14.81640625" hidden="0" customWidth="1"/>
    <col min="36" max="36" width="12.54296875" hidden="0" customWidth="1"/>
    <col min="37" max="37" width="12.54296875" hidden="0" customWidth="1"/>
    <col min="38" max="38" width="11.26953125" hidden="0" customWidth="1"/>
    <col min="39" max="39" width="12.54296875" hidden="0" customWidth="1"/>
    <col min="40" max="40" width="11" hidden="0" customWidth="1"/>
  </cols>
  <sheetData>
    <row r="1">
      <c r="D1" s="266" t="s">
        <v>49</v>
      </c>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25" customHeight="1">
      <c r="D2" s="267" t="s">
        <v>813</v>
      </c>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ht="84.75" customHeight="1">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c r="D4" s="1068" t="s">
        <v>244</v>
      </c>
      <c r="W4" s="78"/>
      <c r="AE4" s="89"/>
      <c r="AI4" s="89"/>
      <c r="AM4" s="89"/>
      <c r="AN4" s="89"/>
    </row>
    <row r="5">
      <c r="D5" s="268" t="s">
        <v>314</v>
      </c>
      <c r="E5" s="269"/>
      <c r="F5" s="932" t="s">
        <v>191</v>
      </c>
      <c r="G5" s="933"/>
      <c r="H5" s="933"/>
      <c r="I5" s="933"/>
      <c r="J5" s="933"/>
      <c r="K5" s="933"/>
      <c r="L5" s="933"/>
      <c r="M5" s="933"/>
      <c r="N5" s="933"/>
      <c r="O5" s="933"/>
      <c r="P5" s="933"/>
      <c r="Q5" s="933"/>
      <c r="R5" s="933"/>
      <c r="S5" s="933"/>
      <c r="T5" s="933"/>
      <c r="U5" s="933"/>
      <c r="V5" s="933"/>
      <c r="W5" s="933"/>
      <c r="X5" s="933"/>
      <c r="Y5" s="933"/>
      <c r="Z5" s="933"/>
      <c r="AA5" s="933"/>
      <c r="AB5" s="934"/>
      <c r="AC5" s="251" t="s">
        <v>192</v>
      </c>
      <c r="AD5" s="252"/>
      <c r="AE5" s="252"/>
      <c r="AF5" s="252"/>
      <c r="AG5" s="252"/>
      <c r="AH5" s="252"/>
      <c r="AI5" s="252"/>
      <c r="AJ5" s="252"/>
      <c r="AK5" s="252"/>
      <c r="AL5" s="252"/>
      <c r="AM5" s="252"/>
      <c r="AN5" s="253"/>
      <c r="AO5" s="1000"/>
      <c r="AP5" s="1000"/>
      <c r="AQ5" s="1000"/>
      <c r="AR5" s="1000"/>
      <c r="AS5" s="1000"/>
      <c r="AT5" s="1000"/>
      <c r="AU5" s="1000"/>
      <c r="AV5" s="1000"/>
      <c r="AW5" s="1000"/>
      <c r="AX5" s="1000"/>
      <c r="AY5" s="1000"/>
      <c r="AZ5" s="1000"/>
      <c r="BA5" s="1000"/>
      <c r="BB5" s="1000"/>
      <c r="BC5" s="1000"/>
      <c r="BD5" s="1000"/>
      <c r="BE5" s="1000"/>
    </row>
    <row r="6">
      <c r="D6" s="270"/>
      <c r="E6" s="593"/>
      <c r="F6" s="274" t="n">
        <v>2019</v>
      </c>
      <c r="G6" s="275"/>
      <c r="H6" s="276"/>
      <c r="I6" s="275" t="n">
        <v>2020</v>
      </c>
      <c r="J6" s="275"/>
      <c r="K6" s="275"/>
      <c r="L6" s="275"/>
      <c r="M6" s="254" t="n">
        <v>2021</v>
      </c>
      <c r="N6" s="441"/>
      <c r="O6" s="441"/>
      <c r="P6" s="441"/>
      <c r="Q6" s="254" t="n">
        <v>2022</v>
      </c>
      <c r="R6" s="255"/>
      <c r="S6" s="255"/>
      <c r="T6" s="256"/>
      <c r="U6" s="254" t="n">
        <v>2023</v>
      </c>
      <c r="V6" s="255"/>
      <c r="W6" s="255"/>
      <c r="X6" s="256"/>
      <c r="Y6" s="305"/>
      <c r="Z6" s="304"/>
      <c r="AA6" s="304" t="n">
        <v>2024</v>
      </c>
      <c r="AB6" s="300"/>
      <c r="AC6" s="261" t="n">
        <v>2025</v>
      </c>
      <c r="AD6" s="262"/>
      <c r="AE6" s="262"/>
      <c r="AF6" s="263"/>
      <c r="AG6" s="261" t="n">
        <v>2026</v>
      </c>
      <c r="AH6" s="262"/>
      <c r="AI6" s="262"/>
      <c r="AJ6" s="263"/>
      <c r="AK6" s="261" t="n">
        <v>2027</v>
      </c>
      <c r="AL6" s="262"/>
      <c r="AM6" s="262"/>
      <c r="AN6" s="263"/>
      <c r="AO6" s="956"/>
      <c r="AP6" s="956"/>
      <c r="AQ6" s="956"/>
      <c r="AR6" s="956"/>
      <c r="AS6" s="956"/>
      <c r="AT6" s="956"/>
      <c r="AU6" s="956"/>
      <c r="AV6" s="956"/>
      <c r="AW6" s="956"/>
      <c r="AX6" s="956"/>
      <c r="AY6" s="956"/>
      <c r="AZ6" s="956"/>
      <c r="BA6" s="956"/>
      <c r="BB6" s="956"/>
      <c r="BC6" s="956"/>
      <c r="BD6" s="956"/>
    </row>
    <row r="7">
      <c r="D7" s="272"/>
      <c r="E7" s="594"/>
      <c r="F7" s="274" t="s">
        <v>195</v>
      </c>
      <c r="G7" s="275" t="s">
        <v>171</v>
      </c>
      <c r="H7" s="276" t="s">
        <v>193</v>
      </c>
      <c r="I7" s="275" t="s">
        <v>194</v>
      </c>
      <c r="J7" s="275" t="s">
        <v>195</v>
      </c>
      <c r="K7" s="275" t="s">
        <v>171</v>
      </c>
      <c r="L7" s="275" t="s">
        <v>193</v>
      </c>
      <c r="M7" s="274" t="s">
        <v>194</v>
      </c>
      <c r="N7" s="275" t="s">
        <v>195</v>
      </c>
      <c r="O7" s="275" t="s">
        <v>171</v>
      </c>
      <c r="P7" s="275" t="s">
        <v>193</v>
      </c>
      <c r="Q7" s="274" t="s">
        <v>194</v>
      </c>
      <c r="R7" s="275" t="s">
        <v>195</v>
      </c>
      <c r="S7" s="275" t="s">
        <v>171</v>
      </c>
      <c r="T7" s="276" t="s">
        <v>193</v>
      </c>
      <c r="U7" s="275" t="s">
        <v>194</v>
      </c>
      <c r="V7" s="294" t="s">
        <v>195</v>
      </c>
      <c r="W7" s="275" t="s">
        <v>171</v>
      </c>
      <c r="X7" s="276" t="s">
        <v>193</v>
      </c>
      <c r="Y7" s="274" t="s">
        <v>194</v>
      </c>
      <c r="Z7" s="299" t="s">
        <v>195</v>
      </c>
      <c r="AA7" s="275" t="s">
        <v>171</v>
      </c>
      <c r="AB7" s="275" t="s">
        <v>193</v>
      </c>
      <c r="AC7" s="293" t="s">
        <v>194</v>
      </c>
      <c r="AD7" s="295" t="s">
        <v>195</v>
      </c>
      <c r="AE7" s="291" t="s">
        <v>171</v>
      </c>
      <c r="AF7" s="291" t="s">
        <v>193</v>
      </c>
      <c r="AG7" s="296" t="s">
        <v>194</v>
      </c>
      <c r="AH7" s="290" t="s">
        <v>195</v>
      </c>
      <c r="AI7" s="291" t="s">
        <v>171</v>
      </c>
      <c r="AJ7" s="297" t="s">
        <v>193</v>
      </c>
      <c r="AK7" s="296" t="s">
        <v>194</v>
      </c>
      <c r="AL7" s="290" t="s">
        <v>195</v>
      </c>
      <c r="AM7" s="291" t="s">
        <v>171</v>
      </c>
      <c r="AN7" s="297" t="s">
        <v>193</v>
      </c>
      <c r="AO7" s="981"/>
      <c r="AP7" s="981"/>
      <c r="AQ7" s="981"/>
      <c r="AR7" s="981"/>
      <c r="AS7" s="981"/>
      <c r="AT7" s="981"/>
      <c r="AU7" s="981"/>
      <c r="AV7" s="981"/>
      <c r="AW7" s="981"/>
      <c r="AX7" s="981"/>
      <c r="AY7" s="981"/>
      <c r="AZ7" s="981"/>
      <c r="BA7" s="981"/>
      <c r="BB7" s="981"/>
      <c r="BC7" s="981"/>
      <c r="BD7" s="981"/>
    </row>
    <row r="8">
      <c r="D8" s="1079" t="s">
        <v>376</v>
      </c>
      <c r="E8" s="581"/>
      <c r="F8" s="946"/>
      <c r="G8" s="1077"/>
      <c r="H8" s="1077"/>
      <c r="I8" s="1077"/>
      <c r="J8" s="1077"/>
      <c r="K8" s="1077"/>
      <c r="L8" s="1077"/>
      <c r="M8" s="1077"/>
      <c r="N8" s="1077"/>
      <c r="O8" s="1077"/>
      <c r="P8" s="1077"/>
      <c r="Q8" s="1077"/>
      <c r="R8" s="1077"/>
      <c r="S8" s="1077"/>
      <c r="T8" s="1077"/>
      <c r="U8" s="1016"/>
      <c r="V8" s="1016"/>
      <c r="W8" s="1016"/>
      <c r="X8" s="1077"/>
      <c r="Y8" s="1077"/>
      <c r="Z8" s="1077"/>
      <c r="AA8" s="1077"/>
      <c r="AB8" s="1077"/>
      <c r="AC8" s="1016"/>
      <c r="AD8" s="1016"/>
      <c r="AE8" s="1016"/>
      <c r="AF8" s="1016"/>
      <c r="AG8" s="1040"/>
      <c r="AH8" s="1040"/>
      <c r="AI8" s="1040"/>
      <c r="AJ8" s="1040"/>
      <c r="AK8" s="1040"/>
      <c r="AL8" s="1040"/>
      <c r="AM8" s="1040"/>
      <c r="AN8" s="1040"/>
      <c r="AO8" s="874"/>
      <c r="AP8" s="874"/>
      <c r="AQ8" s="874"/>
      <c r="AR8" s="874"/>
      <c r="AS8" s="874"/>
      <c r="AT8" s="874"/>
      <c r="AU8" s="874"/>
      <c r="AV8" s="874"/>
      <c r="AW8" s="874"/>
      <c r="AX8" s="874"/>
      <c r="AY8" s="874"/>
      <c r="AZ8" s="874"/>
      <c r="BA8" s="874"/>
      <c r="BB8" s="874"/>
      <c r="BC8" s="874"/>
      <c r="BD8" s="874"/>
    </row>
    <row r="9" ht="14.9" customHeight="1">
      <c r="D9" s="653" t="s">
        <v>391</v>
      </c>
      <c r="E9" s="1078"/>
      <c r="F9" s="947" t="n">
        <f t="shared" ref="F9:S9" si="0">SUM(F10:F15)</f>
        <v>150.39999999999998</v>
      </c>
      <c r="G9" s="1009" t="n">
        <f t="shared" si="0"/>
        <v>151</v>
      </c>
      <c r="H9" s="1009" t="n">
        <f t="shared" si="0"/>
        <v>152.6</v>
      </c>
      <c r="I9" s="1009" t="n">
        <f t="shared" si="0"/>
        <v>154</v>
      </c>
      <c r="J9" s="1009" t="n">
        <f t="shared" si="0"/>
        <v>155.70000000000002</v>
      </c>
      <c r="K9" s="1009" t="n">
        <f t="shared" si="0"/>
        <v>158.19999999999999</v>
      </c>
      <c r="L9" s="1009" t="n">
        <f t="shared" si="0"/>
        <v>175.7</v>
      </c>
      <c r="M9" s="1009" t="n">
        <f t="shared" si="0"/>
        <v>178.60000000000002</v>
      </c>
      <c r="N9" s="1009" t="n">
        <f t="shared" si="0"/>
        <v>180.1</v>
      </c>
      <c r="O9" s="1009" t="n">
        <f t="shared" si="0"/>
        <v>183.6</v>
      </c>
      <c r="P9" s="1009" t="n">
        <f t="shared" si="0"/>
        <v>196.7</v>
      </c>
      <c r="Q9" s="1009" t="n">
        <f t="shared" si="0"/>
        <v>200.6</v>
      </c>
      <c r="R9" s="1009" t="n">
        <f t="shared" si="0"/>
        <v>205.9</v>
      </c>
      <c r="S9" s="1009" t="n">
        <f t="shared" si="0"/>
        <v>212.7</v>
      </c>
      <c r="T9" s="1009" t="n">
        <f t="shared" ref="T9:AN9" si="1">SUM(T10,T13,T15)</f>
        <v>221.39999999999998</v>
      </c>
      <c r="U9" s="1009" t="n">
        <f t="shared" si="1"/>
        <v>228.49999999999997</v>
      </c>
      <c r="V9" s="1009" t="n">
        <f t="shared" si="1"/>
        <v>235.09999999999997</v>
      </c>
      <c r="W9" s="1009" t="n">
        <f t="shared" si="1"/>
        <v>237.6</v>
      </c>
      <c r="X9" s="1009" t="n">
        <f t="shared" si="1"/>
        <v>238.60000000000002</v>
      </c>
      <c r="Y9" s="1009" t="n">
        <f t="shared" si="1"/>
        <v>202.79999999999998</v>
      </c>
      <c r="Z9" s="1009" t="n">
        <f t="shared" si="1"/>
        <v>237.5</v>
      </c>
      <c r="AA9" s="1009" t="n">
        <f t="shared" si="1"/>
        <v>244.8</v>
      </c>
      <c r="AB9" s="1009" t="n">
        <f t="shared" si="1"/>
        <v>251.3</v>
      </c>
      <c r="AC9" s="1009" t="n">
        <f t="shared" si="1"/>
        <v>259</v>
      </c>
      <c r="AD9" s="1009" t="n">
        <f t="shared" si="1"/>
        <v>266.7</v>
      </c>
      <c r="AE9" s="1009" t="n">
        <f t="shared" si="1"/>
        <v>255.85120834274557</v>
      </c>
      <c r="AF9" s="1009" t="n">
        <f t="shared" si="1"/>
        <v>316.39728465678081</v>
      </c>
      <c r="AG9" s="1009" t="n">
        <f t="shared" si="1"/>
        <v>65.735740640653447</v>
      </c>
      <c r="AH9" s="1009" t="n">
        <f t="shared" si="1"/>
        <v>67.678536141759167</v>
      </c>
      <c r="AI9" s="1009" t="n">
        <f t="shared" si="1"/>
        <v>69.649207411984236</v>
      </c>
      <c r="AJ9" s="1009" t="n">
        <f t="shared" si="1"/>
        <v>71.648110530447653</v>
      </c>
      <c r="AK9" s="1009" t="n">
        <f t="shared" si="1"/>
        <v>3.6309728050395336</v>
      </c>
      <c r="AL9" s="1009" t="n">
        <f t="shared" si="1"/>
        <v>4.6305034393529354</v>
      </c>
      <c r="AM9" s="1009" t="n">
        <f t="shared" si="1"/>
        <v>5.6440711672167936</v>
      </c>
      <c r="AN9" s="1009" t="n">
        <f t="shared" si="1"/>
        <v>6.6718279014959023</v>
      </c>
      <c r="AO9" s="973"/>
      <c r="AP9" s="973"/>
      <c r="AV9" s="1002"/>
      <c r="AW9" s="1002"/>
      <c r="AX9" s="1002"/>
      <c r="AY9" s="1002"/>
      <c r="AZ9" s="1002"/>
      <c r="BA9" s="1002"/>
      <c r="BB9" s="1002"/>
      <c r="BC9" s="1002"/>
      <c r="BD9" s="1002"/>
    </row>
    <row r="10">
      <c r="D10" s="686" t="s">
        <v>1912</v>
      </c>
      <c r="E10" s="537" t="s">
        <v>84</v>
      </c>
      <c r="F10" s="954" t="n">
        <f>'Haver Pivoted'!D27</f>
        <v>86.3</v>
      </c>
      <c r="G10" s="1008" t="n">
        <f>'Haver Pivoted'!E27</f>
        <v>87.2</v>
      </c>
      <c r="H10" s="1008" t="n">
        <f>'Haver Pivoted'!F27</f>
        <v>83.6</v>
      </c>
      <c r="I10" s="1008" t="n">
        <f>'Haver Pivoted'!G27</f>
        <v>85.1</v>
      </c>
      <c r="J10" s="1008" t="n">
        <f>'Haver Pivoted'!H27</f>
        <v>86.3</v>
      </c>
      <c r="K10" s="1008" t="n">
        <f>'Haver Pivoted'!I27</f>
        <v>88.2</v>
      </c>
      <c r="L10" s="1008" t="n">
        <f>'Haver Pivoted'!J27</f>
        <v>100.3</v>
      </c>
      <c r="M10" s="1008" t="n">
        <f>'Haver Pivoted'!K27</f>
        <v>102.4</v>
      </c>
      <c r="N10" s="1008" t="n">
        <f>'Haver Pivoted'!L27</f>
        <v>103.1</v>
      </c>
      <c r="O10" s="1008" t="n">
        <f>'Haver Pivoted'!M27</f>
        <v>105.3</v>
      </c>
      <c r="P10" s="1008" t="n">
        <f>'Haver Pivoted'!N27</f>
        <v>104.5</v>
      </c>
      <c r="Q10" s="1008" t="n">
        <f>'Haver Pivoted'!O27</f>
        <v>106.9</v>
      </c>
      <c r="R10" s="1008" t="n">
        <f>'Haver Pivoted'!P27</f>
        <v>111</v>
      </c>
      <c r="S10" s="1008" t="n">
        <f>'Haver Pivoted'!Q27</f>
        <v>116</v>
      </c>
      <c r="T10" s="1008" t="n">
        <f>'Haver Pivoted'!R27</f>
        <v>119.5</v>
      </c>
      <c r="U10" s="1008" t="n">
        <f>'Haver Pivoted'!S27</f>
        <v>124.8</v>
      </c>
      <c r="V10" s="1008" t="n">
        <f>'Haver Pivoted'!T27</f>
        <v>129.69999999999999</v>
      </c>
      <c r="W10" s="1008" t="n">
        <f>'Haver Pivoted'!U27</f>
        <v>132</v>
      </c>
      <c r="X10" s="1008" t="n">
        <f>'Haver Pivoted'!V27</f>
        <v>132.30000000000001</v>
      </c>
      <c r="Y10" s="1008" t="n">
        <f>'Haver Pivoted'!W27</f>
        <v>94.6</v>
      </c>
      <c r="Z10" s="1008" t="n">
        <f>'Haver Pivoted'!X27</f>
        <v>125.7</v>
      </c>
      <c r="AA10" s="1008" t="n">
        <f>'Haver Pivoted'!Y27</f>
        <v>130.4</v>
      </c>
      <c r="AB10" s="1008" t="n">
        <f>'Haver Pivoted'!Z27</f>
        <v>133</v>
      </c>
      <c r="AC10" s="1008" t="n">
        <f>'Haver Pivoted'!AA27</f>
        <v>138.69999999999999</v>
      </c>
      <c r="AD10" s="1008" t="n">
        <f>'Haver Pivoted'!AB27</f>
        <v>144.5</v>
      </c>
      <c r="AE10" s="944" t="n">
        <f>AD10*(1.02)^0.25+AE11+AE12</f>
        <v>29.217143612327959</v>
      </c>
      <c r="AF10" s="944" t="n">
        <f>AE10*(1.02)^0.25+AF11+AF12</f>
        <v>29.362146296840411</v>
      </c>
      <c r="AG10" s="979" t="n">
        <f>AC10*(1+$M40-0.01)+AG11+AG12</f>
        <v>-224.32246816859458</v>
      </c>
      <c r="AH10" s="944" t="n">
        <f>AG10*(1.02)^0.25+AH11+AH12</f>
        <v>-225.43576522844751</v>
      </c>
      <c r="AI10" s="944" t="n">
        <f>AH10*(1.02)^0.25+AI11+AI12</f>
        <v>-226.55458750542914</v>
      </c>
      <c r="AJ10" s="944" t="n">
        <f>AI10*(1.02)^0.25+AJ11+AJ12</f>
        <v>-227.678962420814</v>
      </c>
      <c r="AK10" s="979" t="n">
        <f>AG10*(1+$N40-0.01)+AK11+AK12</f>
        <v>-298.57676927076824</v>
      </c>
      <c r="AL10" s="944" t="n">
        <f>AK10*(1.02)^0.25+AL11+AL12</f>
        <v>-300.05858534600731</v>
      </c>
      <c r="AM10" s="944" t="n">
        <f>AL10*(1.02)^0.25+AM11+AM12</f>
        <v>-301.54775557303191</v>
      </c>
      <c r="AN10" s="944" t="n">
        <f>AM10*(1.02)^0.25+AN11+AN12</f>
        <v>-303.04431644999403</v>
      </c>
      <c r="AO10" s="973"/>
      <c r="AP10" s="973"/>
      <c r="AV10" s="874"/>
      <c r="AW10" s="874"/>
      <c r="AX10" s="874"/>
      <c r="AY10" s="874"/>
      <c r="AZ10" s="874"/>
      <c r="BA10" s="874"/>
      <c r="BB10" s="874"/>
      <c r="BC10" s="874"/>
      <c r="BD10" s="874"/>
    </row>
    <row r="11">
      <c r="D11" s="957" t="s">
        <v>1901</v>
      </c>
      <c r="E11" s="537"/>
      <c r="F11" s="940"/>
      <c r="G11" s="950"/>
      <c r="H11" s="950"/>
      <c r="I11" s="950"/>
      <c r="J11" s="950"/>
      <c r="K11" s="950"/>
      <c r="L11" s="950"/>
      <c r="M11" s="950"/>
      <c r="N11" s="950"/>
      <c r="O11" s="950"/>
      <c r="P11" s="950"/>
      <c r="Q11" s="950"/>
      <c r="R11" s="950"/>
      <c r="S11" s="950"/>
      <c r="T11" s="950"/>
      <c r="U11" s="950"/>
      <c r="V11" s="950"/>
      <c r="W11" s="950"/>
      <c r="X11" s="950"/>
      <c r="Y11" s="950"/>
      <c r="Z11" s="950"/>
      <c r="AA11" s="950"/>
      <c r="AB11" s="944"/>
      <c r="AC11" s="944"/>
      <c r="AD11" s="944"/>
      <c r="AE11" s="944" t="n">
        <v>-116</v>
      </c>
      <c r="AF11" s="944" t="n">
        <v>0</v>
      </c>
      <c r="AG11" s="944" t="n">
        <v>-380</v>
      </c>
      <c r="AH11" s="944" t="n">
        <v>0</v>
      </c>
      <c r="AI11" s="944" t="n">
        <v>0</v>
      </c>
      <c r="AJ11" s="944" t="n">
        <v>0</v>
      </c>
      <c r="AK11" s="944" t="n">
        <v>-55</v>
      </c>
      <c r="AL11" s="944" t="n">
        <v>0</v>
      </c>
      <c r="AM11" s="944" t="n">
        <v>0</v>
      </c>
      <c r="AN11" s="944" t="n">
        <v>0</v>
      </c>
      <c r="AO11" s="973"/>
      <c r="AP11" s="973"/>
      <c r="AV11" s="874"/>
      <c r="AW11" s="874"/>
      <c r="AX11" s="874"/>
      <c r="AY11" s="874"/>
      <c r="AZ11" s="874"/>
      <c r="BA11" s="874"/>
      <c r="BB11" s="874"/>
      <c r="BC11" s="874"/>
      <c r="BD11" s="874"/>
    </row>
    <row r="12">
      <c r="D12" s="686" t="s">
        <v>1650</v>
      </c>
      <c r="E12" s="537"/>
      <c r="F12" s="948"/>
      <c r="G12" s="949"/>
      <c r="H12" s="949"/>
      <c r="I12" s="949"/>
      <c r="J12" s="949"/>
      <c r="K12" s="949"/>
      <c r="L12" s="949"/>
      <c r="M12" s="949"/>
      <c r="N12" s="949"/>
      <c r="O12" s="949"/>
      <c r="P12" s="949"/>
      <c r="Q12" s="949"/>
      <c r="R12" s="949"/>
      <c r="S12" s="1075"/>
      <c r="T12" s="1075" t="n">
        <v>46</v>
      </c>
      <c r="U12" s="1075" t="n">
        <v>-5</v>
      </c>
      <c r="V12" s="1075" t="n">
        <v>12</v>
      </c>
      <c r="W12" s="1075" t="n">
        <v>67</v>
      </c>
      <c r="X12" s="1075" t="n">
        <v>7</v>
      </c>
      <c r="Y12" s="1075" t="n">
        <v>-205</v>
      </c>
      <c r="Z12" s="1075" t="n">
        <v>47</v>
      </c>
      <c r="AA12" s="1075" t="n">
        <v>17</v>
      </c>
      <c r="AB12" s="1075" t="n">
        <v>10</v>
      </c>
      <c r="AC12" s="1075" t="n">
        <v>-32</v>
      </c>
      <c r="AD12" s="1075" t="n">
        <v>42</v>
      </c>
      <c r="AE12" s="1075" t="n">
        <v>0</v>
      </c>
      <c r="AF12" s="1075" t="n">
        <v>0</v>
      </c>
      <c r="AG12" s="1075" t="n">
        <v>0</v>
      </c>
      <c r="AH12" s="1075" t="n">
        <v>0</v>
      </c>
      <c r="AI12" s="1075" t="n">
        <v>0</v>
      </c>
      <c r="AJ12" s="1075" t="n">
        <v>0</v>
      </c>
      <c r="AK12" s="1075" t="n">
        <v>0</v>
      </c>
      <c r="AL12" s="1075" t="n">
        <v>0</v>
      </c>
      <c r="AM12" s="1075" t="n">
        <v>0</v>
      </c>
      <c r="AN12" s="1075" t="n">
        <v>0</v>
      </c>
      <c r="AO12" s="973"/>
      <c r="AP12" s="973"/>
      <c r="AV12" s="874"/>
      <c r="AW12" s="874"/>
      <c r="AX12" s="874"/>
      <c r="AY12" s="874"/>
      <c r="AZ12" s="874"/>
      <c r="BA12" s="874"/>
      <c r="BB12" s="874"/>
      <c r="BC12" s="874"/>
      <c r="BD12" s="874"/>
    </row>
    <row r="13">
      <c r="D13" s="686" t="s">
        <v>393</v>
      </c>
      <c r="E13" s="516" t="s">
        <v>87</v>
      </c>
      <c r="F13" s="954" t="n">
        <f>'Haver Pivoted'!D30</f>
        <v>45.9</v>
      </c>
      <c r="G13" s="1008" t="n">
        <f>'Haver Pivoted'!E30</f>
        <v>45.6</v>
      </c>
      <c r="H13" s="1008" t="n">
        <f>'Haver Pivoted'!F30</f>
        <v>49.6</v>
      </c>
      <c r="I13" s="1008" t="n">
        <f>'Haver Pivoted'!G30</f>
        <v>50.2</v>
      </c>
      <c r="J13" s="1008" t="n">
        <f>'Haver Pivoted'!H30</f>
        <v>50.5</v>
      </c>
      <c r="K13" s="1008" t="n">
        <f>'Haver Pivoted'!I30</f>
        <v>51</v>
      </c>
      <c r="L13" s="1008" t="n">
        <f>'Haver Pivoted'!J30</f>
        <v>57.3</v>
      </c>
      <c r="M13" s="1008" t="n">
        <f>'Haver Pivoted'!K30</f>
        <v>57.9</v>
      </c>
      <c r="N13" s="1008" t="n">
        <f>'Haver Pivoted'!L30</f>
        <v>58.5</v>
      </c>
      <c r="O13" s="1008" t="n">
        <f>'Haver Pivoted'!M30</f>
        <v>59.4</v>
      </c>
      <c r="P13" s="1008" t="n">
        <f>'Haver Pivoted'!N30</f>
        <v>72.7</v>
      </c>
      <c r="Q13" s="1008" t="n">
        <f>'Haver Pivoted'!O30</f>
        <v>73.8</v>
      </c>
      <c r="R13" s="1008" t="n">
        <f>'Haver Pivoted'!P30</f>
        <v>75.099999999999994</v>
      </c>
      <c r="S13" s="1008" t="n">
        <f>'Haver Pivoted'!Q30</f>
        <v>76.599999999999994</v>
      </c>
      <c r="T13" s="1008" t="n">
        <f>'Haver Pivoted'!R30</f>
        <v>82.1</v>
      </c>
      <c r="U13" s="1008" t="n">
        <f>'Haver Pivoted'!S30</f>
        <v>83.6</v>
      </c>
      <c r="V13" s="1008" t="n">
        <f>'Haver Pivoted'!T30</f>
        <v>85.2</v>
      </c>
      <c r="W13" s="1008" t="n">
        <f>'Haver Pivoted'!U30</f>
        <v>85.4</v>
      </c>
      <c r="X13" s="1008" t="n">
        <f>'Haver Pivoted'!V30</f>
        <v>86.5</v>
      </c>
      <c r="Y13" s="1008" t="n">
        <f>'Haver Pivoted'!W30</f>
        <v>86.8</v>
      </c>
      <c r="Z13" s="1008" t="n">
        <f>'Haver Pivoted'!X30</f>
        <v>88.5</v>
      </c>
      <c r="AA13" s="1008" t="n">
        <f>'Haver Pivoted'!Y30</f>
        <v>90.5</v>
      </c>
      <c r="AB13" s="1008" t="n">
        <f>'Haver Pivoted'!Z30</f>
        <v>97.5</v>
      </c>
      <c r="AC13" s="1008" t="n">
        <f>'Haver Pivoted'!AA30</f>
        <v>98.9</v>
      </c>
      <c r="AD13" s="1008" t="n">
        <f>'Haver Pivoted'!AB30</f>
        <v>100.6</v>
      </c>
      <c r="AE13" s="944" t="n">
        <f>AD13*(1+$L42)^0.25+AE14</f>
        <v>95.323525362657321</v>
      </c>
      <c r="AF13" s="944" t="n">
        <f>AE13*(1+$L42)^0.25+AF14</f>
        <v>96.009101786691033</v>
      </c>
      <c r="AG13" s="979" t="n">
        <f>AF13*(1+$M42)^0.25+AG14</f>
        <v>97.104371757844334</v>
      </c>
      <c r="AH13" s="944" t="n">
        <f>AG13*(1+$M42)^0.25+AH14</f>
        <v>98.212136547586567</v>
      </c>
      <c r="AI13" s="944" t="n">
        <f>AH13*(1+$M42)^0.25+AI14</f>
        <v>99.332538696565848</v>
      </c>
      <c r="AJ13" s="944" t="n">
        <f>AI13*(1+$M42)^0.25+AJ14</f>
        <v>100.46572237153127</v>
      </c>
      <c r="AK13" s="979" t="n">
        <f>AJ13*(1+$M42)^0.25+AK14</f>
        <v>101.61183338388339</v>
      </c>
      <c r="AL13" s="944" t="n">
        <f>AK13*(1+$L42)^0.25+AL14</f>
        <v>102.34263595445347</v>
      </c>
      <c r="AM13" s="944" t="n">
        <f>AL13*(1+$L42)^0.25+AM14</f>
        <v>103.0786945309371</v>
      </c>
      <c r="AN13" s="944" t="n">
        <f>AM13*(1+$L42)^0.25+AN14</f>
        <v>103.82004691505976</v>
      </c>
      <c r="AO13" s="973"/>
      <c r="AP13" s="973"/>
      <c r="AV13" s="874"/>
      <c r="AW13" s="874"/>
      <c r="AX13" s="874"/>
      <c r="AY13" s="874"/>
      <c r="AZ13" s="874"/>
      <c r="BA13" s="874"/>
      <c r="BB13" s="874"/>
      <c r="BC13" s="874"/>
      <c r="BD13" s="874"/>
    </row>
    <row r="14">
      <c r="D14" s="686" t="s">
        <v>1633</v>
      </c>
      <c r="E14" s="516"/>
      <c r="F14" s="940"/>
      <c r="G14" s="950"/>
      <c r="H14" s="950"/>
      <c r="I14" s="950"/>
      <c r="J14" s="950"/>
      <c r="K14" s="950"/>
      <c r="L14" s="950"/>
      <c r="M14" s="950"/>
      <c r="N14" s="950"/>
      <c r="O14" s="950"/>
      <c r="P14" s="950"/>
      <c r="Q14" s="950"/>
      <c r="R14" s="950"/>
      <c r="S14" s="950"/>
      <c r="T14" s="944"/>
      <c r="U14" s="944" t="n">
        <v>8</v>
      </c>
      <c r="V14" s="944" t="n">
        <v>-10</v>
      </c>
      <c r="W14" s="944" t="n">
        <v>-5</v>
      </c>
      <c r="X14" s="944" t="n">
        <v>-6</v>
      </c>
      <c r="Y14" s="944" t="n">
        <v>21</v>
      </c>
      <c r="Z14" s="944" t="n">
        <v>5</v>
      </c>
      <c r="AA14" s="944" t="n">
        <v>-10</v>
      </c>
      <c r="AB14" s="944"/>
      <c r="AC14" s="944" t="n">
        <v>5</v>
      </c>
      <c r="AD14" s="944" t="n">
        <v>4</v>
      </c>
      <c r="AE14" s="944" t="n">
        <v>-6</v>
      </c>
      <c r="AF14" s="944"/>
      <c r="AG14" s="944"/>
      <c r="AH14" s="944"/>
      <c r="AI14" s="944"/>
      <c r="AJ14" s="944"/>
      <c r="AK14" s="944"/>
      <c r="AL14" s="944"/>
      <c r="AM14" s="944"/>
      <c r="AN14" s="944"/>
      <c r="AO14" s="973"/>
      <c r="AP14" s="973"/>
      <c r="AV14" s="874"/>
      <c r="AW14" s="874"/>
      <c r="AX14" s="874"/>
      <c r="AY14" s="874"/>
      <c r="AZ14" s="874"/>
      <c r="BA14" s="874"/>
      <c r="BB14" s="874"/>
      <c r="BC14" s="874"/>
      <c r="BD14" s="874"/>
    </row>
    <row r="15">
      <c r="D15" s="686" t="s">
        <v>394</v>
      </c>
      <c r="E15" s="537" t="s">
        <v>85</v>
      </c>
      <c r="F15" s="941" t="n">
        <f t="shared" ref="F15:AD15" si="2">F16+F17</f>
        <v>18.2</v>
      </c>
      <c r="G15" s="945" t="n">
        <f>G16+G17</f>
        <v>18.2</v>
      </c>
      <c r="H15" s="945" t="n">
        <f t="shared" si="2"/>
        <v>19.400000000000002</v>
      </c>
      <c r="I15" s="945" t="n">
        <f t="shared" si="2"/>
        <v>18.7</v>
      </c>
      <c r="J15" s="945" t="n">
        <f t="shared" si="2"/>
        <v>18.899999999999999</v>
      </c>
      <c r="K15" s="945" t="n">
        <f t="shared" si="2"/>
        <v>19</v>
      </c>
      <c r="L15" s="945" t="n">
        <f t="shared" si="2"/>
        <v>18.100000000000001</v>
      </c>
      <c r="M15" s="945" t="n">
        <f t="shared" si="2"/>
        <v>18.3</v>
      </c>
      <c r="N15" s="945" t="n">
        <f t="shared" si="2"/>
        <v>18.5</v>
      </c>
      <c r="O15" s="945" t="n">
        <f t="shared" si="2"/>
        <v>18.900000000000002</v>
      </c>
      <c r="P15" s="945" t="n">
        <f t="shared" si="2"/>
        <v>19.5</v>
      </c>
      <c r="Q15" s="945" t="n">
        <f t="shared" si="2"/>
        <v>19.900000000000002</v>
      </c>
      <c r="R15" s="945" t="n">
        <f t="shared" si="2"/>
        <v>19.8</v>
      </c>
      <c r="S15" s="945" t="n">
        <f t="shared" si="2"/>
        <v>20.099999999999998</v>
      </c>
      <c r="T15" s="945" t="n">
        <f t="shared" si="2"/>
        <v>19.799999999999997</v>
      </c>
      <c r="U15" s="945" t="n">
        <f t="shared" si="2"/>
        <v>20.100000000000001</v>
      </c>
      <c r="V15" s="945" t="n">
        <f t="shared" si="2"/>
        <v>20.2</v>
      </c>
      <c r="W15" s="945" t="n">
        <f t="shared" si="2"/>
        <v>20.2</v>
      </c>
      <c r="X15" s="945" t="n">
        <f t="shared" si="2"/>
        <v>19.799999999999997</v>
      </c>
      <c r="Y15" s="945" t="n">
        <f t="shared" si="2"/>
        <v>21.4</v>
      </c>
      <c r="Z15" s="945" t="n">
        <f t="shared" si="2"/>
        <v>23.299999999999997</v>
      </c>
      <c r="AA15" s="945" t="n">
        <f t="shared" si="2"/>
        <v>23.900000000000002</v>
      </c>
      <c r="AB15" s="945" t="n">
        <f t="shared" si="2"/>
        <v>20.8</v>
      </c>
      <c r="AC15" s="945" t="n">
        <f t="shared" si="2"/>
        <v>21.4</v>
      </c>
      <c r="AD15" s="945" t="n">
        <f t="shared" si="2"/>
        <v>21.599999999999998</v>
      </c>
      <c r="AE15" s="945" t="n">
        <f t="shared" ref="AE15:AN15" si="3">AE16+AE17+AE18</f>
        <v>131.31053936776027</v>
      </c>
      <c r="AF15" s="945" t="n">
        <f t="shared" si="3"/>
        <v>191.02603657324934</v>
      </c>
      <c r="AG15" s="945" t="n">
        <f t="shared" si="3"/>
        <v>192.9538370514037</v>
      </c>
      <c r="AH15" s="945" t="n">
        <f t="shared" si="3"/>
        <v>194.90216482262011</v>
      </c>
      <c r="AI15" s="945" t="n">
        <f t="shared" si="3"/>
        <v>196.87125622084753</v>
      </c>
      <c r="AJ15" s="945" t="n">
        <f t="shared" si="3"/>
        <v>198.86135057973038</v>
      </c>
      <c r="AK15" s="945" t="n">
        <f t="shared" si="3"/>
        <v>200.59590869192439</v>
      </c>
      <c r="AL15" s="945" t="n">
        <f t="shared" si="3"/>
        <v>202.34645283090677</v>
      </c>
      <c r="AM15" s="945" t="n">
        <f t="shared" si="3"/>
        <v>204.1131322093116</v>
      </c>
      <c r="AN15" s="945" t="n">
        <f t="shared" si="3"/>
        <v>205.89609743643015</v>
      </c>
      <c r="AO15" s="973"/>
      <c r="AP15" s="973"/>
      <c r="AV15" s="874"/>
      <c r="AW15" s="874"/>
      <c r="AX15" s="874"/>
      <c r="AY15" s="874"/>
      <c r="AZ15" s="874"/>
      <c r="BA15" s="874"/>
      <c r="BB15" s="874"/>
      <c r="BC15" s="874"/>
      <c r="BD15" s="874"/>
    </row>
    <row r="16">
      <c r="D16" s="686" t="s">
        <v>1908</v>
      </c>
      <c r="E16" s="537" t="s">
        <v>1910</v>
      </c>
      <c r="F16" s="587" t="n">
        <f>'Haver Pivoted'!D90</f>
        <v>2.5</v>
      </c>
      <c r="G16" s="588" t="n">
        <f>'Haver Pivoted'!E90</f>
        <v>2.6</v>
      </c>
      <c r="H16" s="588" t="n">
        <f>'Haver Pivoted'!F90</f>
        <v>2.6</v>
      </c>
      <c r="I16" s="588" t="n">
        <f>'Haver Pivoted'!G90</f>
        <v>2.7</v>
      </c>
      <c r="J16" s="588" t="n">
        <f>'Haver Pivoted'!H90</f>
        <v>3.2</v>
      </c>
      <c r="K16" s="588" t="n">
        <f>'Haver Pivoted'!I90</f>
        <v>4</v>
      </c>
      <c r="L16" s="588" t="n">
        <f>'Haver Pivoted'!J90</f>
        <v>3.1</v>
      </c>
      <c r="M16" s="588" t="n">
        <f>'Haver Pivoted'!K90</f>
        <v>2.8</v>
      </c>
      <c r="N16" s="588" t="n">
        <f>'Haver Pivoted'!L90</f>
        <v>2.9</v>
      </c>
      <c r="O16" s="588" t="n">
        <f>'Haver Pivoted'!M90</f>
        <v>3.1</v>
      </c>
      <c r="P16" s="588" t="n">
        <f>'Haver Pivoted'!N90</f>
        <v>3.4</v>
      </c>
      <c r="Q16" s="588" t="n">
        <f>'Haver Pivoted'!O90</f>
        <v>3.3</v>
      </c>
      <c r="R16" s="588" t="n">
        <f>'Haver Pivoted'!P90</f>
        <v>3.2</v>
      </c>
      <c r="S16" s="588" t="n">
        <f>'Haver Pivoted'!Q90</f>
        <v>3.2</v>
      </c>
      <c r="T16" s="588" t="n">
        <f>'Haver Pivoted'!R90</f>
        <v>3.4</v>
      </c>
      <c r="U16" s="588" t="n">
        <f>'Haver Pivoted'!S90</f>
        <v>3.6</v>
      </c>
      <c r="V16" s="588" t="n">
        <f>'Haver Pivoted'!T90</f>
        <v>3.8</v>
      </c>
      <c r="W16" s="588" t="n">
        <f>'Haver Pivoted'!U90</f>
        <v>3.9</v>
      </c>
      <c r="X16" s="588" t="n">
        <f>'Haver Pivoted'!V90</f>
        <v>4.0999999999999996</v>
      </c>
      <c r="Y16" s="588" t="n">
        <f>'Haver Pivoted'!W90</f>
        <v>5.2</v>
      </c>
      <c r="Z16" s="588" t="n">
        <f>'Haver Pivoted'!X90</f>
        <v>6.9</v>
      </c>
      <c r="AA16" s="588" t="n">
        <f>'Haver Pivoted'!Y90</f>
        <v>7.3</v>
      </c>
      <c r="AB16" s="588" t="n">
        <f>'Haver Pivoted'!Z90</f>
        <v>4.3</v>
      </c>
      <c r="AC16" s="588" t="n">
        <f>'Haver Pivoted'!AA90</f>
        <v>4.5999999999999996</v>
      </c>
      <c r="AD16" s="588" t="n">
        <f>'Haver Pivoted'!AB90</f>
        <v>4.7</v>
      </c>
      <c r="AE16" s="943" t="n">
        <f>AD16+110</f>
        <v>114.7</v>
      </c>
      <c r="AF16" s="942" t="n">
        <f>AE16+60</f>
        <v>174.7</v>
      </c>
      <c r="AG16" s="942" t="n">
        <f>AF16*(1.038)^0.25</f>
        <v>176.33651091256652</v>
      </c>
      <c r="AH16" s="942" t="n">
        <f t="shared" ref="AH16:AN16" si="4">AG16*(1.038)^0.25</f>
        <v>177.98835192225357</v>
      </c>
      <c r="AI16" s="942" t="n">
        <f t="shared" si="4"/>
        <v>179.65566663450602</v>
      </c>
      <c r="AJ16" s="942" t="n">
        <f t="shared" si="4"/>
        <v>181.33859999999993</v>
      </c>
      <c r="AK16" s="942" t="n">
        <f t="shared" si="4"/>
        <v>183.037298327244</v>
      </c>
      <c r="AL16" s="942" t="n">
        <f t="shared" si="4"/>
        <v>184.75190929529913</v>
      </c>
      <c r="AM16" s="942" t="n">
        <f t="shared" si="4"/>
        <v>186.48258196661718</v>
      </c>
      <c r="AN16" s="942" t="n">
        <f t="shared" si="4"/>
        <v>188.22946679999987</v>
      </c>
      <c r="AO16" s="973"/>
      <c r="AP16" s="973"/>
      <c r="AV16" s="874"/>
      <c r="AW16" s="874"/>
      <c r="AX16" s="874"/>
      <c r="AY16" s="874"/>
      <c r="AZ16" s="874"/>
      <c r="BA16" s="874"/>
      <c r="BB16" s="874"/>
      <c r="BC16" s="874"/>
      <c r="BD16" s="874"/>
    </row>
    <row r="17">
      <c r="D17" s="686" t="s">
        <v>1909</v>
      </c>
      <c r="E17" s="537" t="s">
        <v>1911</v>
      </c>
      <c r="F17" s="587" t="n">
        <f>'Haver Pivoted'!D91+'Haver Pivoted'!D92</f>
        <v>15.7</v>
      </c>
      <c r="G17" s="588" t="n">
        <f>'Haver Pivoted'!E91+'Haver Pivoted'!E92</f>
        <v>15.6</v>
      </c>
      <c r="H17" s="588" t="n">
        <f>'Haver Pivoted'!F91+'Haver Pivoted'!F92</f>
        <v>16.8</v>
      </c>
      <c r="I17" s="588" t="n">
        <f>'Haver Pivoted'!G91+'Haver Pivoted'!G92</f>
        <v>16</v>
      </c>
      <c r="J17" s="588" t="n">
        <f>'Haver Pivoted'!H91+'Haver Pivoted'!H92</f>
        <v>15.7</v>
      </c>
      <c r="K17" s="588" t="n">
        <f>'Haver Pivoted'!I91+'Haver Pivoted'!I92</f>
        <v>15</v>
      </c>
      <c r="L17" s="588" t="n">
        <f>'Haver Pivoted'!J91+'Haver Pivoted'!J92</f>
        <v>15</v>
      </c>
      <c r="M17" s="588" t="n">
        <f>'Haver Pivoted'!K91+'Haver Pivoted'!K92</f>
        <v>15.5</v>
      </c>
      <c r="N17" s="588" t="n">
        <f>'Haver Pivoted'!L91+'Haver Pivoted'!L92</f>
        <v>15.6</v>
      </c>
      <c r="O17" s="588" t="n">
        <f>'Haver Pivoted'!M91+'Haver Pivoted'!M92</f>
        <v>15.8</v>
      </c>
      <c r="P17" s="588" t="n">
        <f>'Haver Pivoted'!N91+'Haver Pivoted'!N92</f>
        <v>16.100000000000001</v>
      </c>
      <c r="Q17" s="588" t="n">
        <f>'Haver Pivoted'!O91+'Haver Pivoted'!O92</f>
        <v>16.600000000000001</v>
      </c>
      <c r="R17" s="588" t="n">
        <f>'Haver Pivoted'!P91+'Haver Pivoted'!P92</f>
        <v>16.600000000000001</v>
      </c>
      <c r="S17" s="588" t="n">
        <f>'Haver Pivoted'!Q91+'Haver Pivoted'!Q92</f>
        <v>16.899999999999999</v>
      </c>
      <c r="T17" s="588" t="n">
        <f>'Haver Pivoted'!R91+'Haver Pivoted'!R92</f>
        <v>16.399999999999999</v>
      </c>
      <c r="U17" s="588" t="n">
        <f>'Haver Pivoted'!S91+'Haver Pivoted'!S92</f>
        <v>16.5</v>
      </c>
      <c r="V17" s="588" t="n">
        <f>'Haver Pivoted'!T91+'Haver Pivoted'!T92</f>
        <v>16.399999999999999</v>
      </c>
      <c r="W17" s="588" t="n">
        <f>'Haver Pivoted'!U91+'Haver Pivoted'!U92</f>
        <v>16.3</v>
      </c>
      <c r="X17" s="588" t="n">
        <f>'Haver Pivoted'!V91+'Haver Pivoted'!V92</f>
        <v>15.7</v>
      </c>
      <c r="Y17" s="588" t="n">
        <f>'Haver Pivoted'!W91+'Haver Pivoted'!W92</f>
        <v>16.2</v>
      </c>
      <c r="Z17" s="588" t="n">
        <f>'Haver Pivoted'!X91+'Haver Pivoted'!X92</f>
        <v>16.399999999999999</v>
      </c>
      <c r="AA17" s="588" t="n">
        <f>'Haver Pivoted'!Y91+'Haver Pivoted'!Y92</f>
        <v>16.600000000000001</v>
      </c>
      <c r="AB17" s="588" t="n">
        <f>'Haver Pivoted'!Z91+'Haver Pivoted'!Z92</f>
        <v>16.5</v>
      </c>
      <c r="AC17" s="588" t="n">
        <f>'Haver Pivoted'!AA91+'Haver Pivoted'!AA92</f>
        <v>16.8</v>
      </c>
      <c r="AD17" s="588" t="n">
        <f>'Haver Pivoted'!AB91+'Haver Pivoted'!AB92</f>
        <v>16.899999999999999</v>
      </c>
      <c r="AE17" s="942" t="n">
        <f>AD17*(1+$L$43)^0.25</f>
        <v>16.610539367760278</v>
      </c>
      <c r="AF17" s="942" t="n">
        <f>AE17*(1+$L$43)^0.25</f>
        <v>16.326036573249354</v>
      </c>
      <c r="AG17" s="942" t="n">
        <f>AF17*(1+$M$43)^0.25</f>
        <v>16.617326138837168</v>
      </c>
      <c r="AH17" s="942" t="n">
        <f>AG17*(1+$M$43)^0.25</f>
        <v>16.913812900366548</v>
      </c>
      <c r="AI17" s="942" t="n">
        <f>AH17*(1+$M$43)^0.25</f>
        <v>17.215589586341519</v>
      </c>
      <c r="AJ17" s="942" t="n">
        <f>AI17*(1+$M$43)^0.25</f>
        <v>17.522750579730467</v>
      </c>
      <c r="AK17" s="942" t="n">
        <f>AJ17*(1+$N$43)^0.25</f>
        <v>17.558610364680394</v>
      </c>
      <c r="AL17" s="942" t="n">
        <f>AK17*(1+$N$43)^0.25</f>
        <v>17.594543535607642</v>
      </c>
      <c r="AM17" s="942" t="n">
        <f>AL17*(1+$N$43)^0.25</f>
        <v>17.630550242694419</v>
      </c>
      <c r="AN17" s="942" t="n">
        <f>AM17*(1+$N$43)^0.25</f>
        <v>17.666630636430277</v>
      </c>
      <c r="AO17" s="973"/>
      <c r="AP17" s="973"/>
      <c r="AV17" s="874"/>
      <c r="AW17" s="874"/>
      <c r="AX17" s="874"/>
      <c r="AY17" s="874"/>
      <c r="AZ17" s="874"/>
      <c r="BA17" s="874"/>
      <c r="BB17" s="874"/>
      <c r="BC17" s="874"/>
      <c r="BD17" s="874"/>
    </row>
    <row r="18">
      <c r="D18" s="996" t="s">
        <v>1913</v>
      </c>
      <c r="E18" s="997"/>
      <c r="F18" s="948"/>
      <c r="G18" s="949"/>
      <c r="H18" s="949"/>
      <c r="I18" s="949"/>
      <c r="J18" s="949"/>
      <c r="K18" s="949"/>
      <c r="L18" s="949"/>
      <c r="M18" s="949"/>
      <c r="N18" s="949"/>
      <c r="O18" s="949"/>
      <c r="P18" s="949"/>
      <c r="Q18" s="949"/>
      <c r="R18" s="949"/>
      <c r="S18" s="1075"/>
      <c r="T18" s="1075"/>
      <c r="U18" s="1075"/>
      <c r="V18" s="1075"/>
      <c r="W18" s="1075"/>
      <c r="X18" s="1075"/>
      <c r="Y18" s="1075"/>
      <c r="Z18" s="1075"/>
      <c r="AA18" s="1075"/>
      <c r="AB18" s="1075"/>
      <c r="AC18" s="1075"/>
      <c r="AD18" s="1075"/>
      <c r="AE18" s="1075"/>
      <c r="AF18" s="1075"/>
      <c r="AG18" s="1075"/>
      <c r="AH18" s="1075"/>
      <c r="AI18" s="1075"/>
      <c r="AJ18" s="1075"/>
      <c r="AK18" s="1075"/>
      <c r="AL18" s="1075"/>
      <c r="AM18" s="1075"/>
      <c r="AN18" s="1075"/>
      <c r="AO18" s="973"/>
      <c r="AP18" s="973"/>
      <c r="AV18" s="874"/>
      <c r="AW18" s="874"/>
      <c r="AX18" s="874"/>
      <c r="AY18" s="874"/>
      <c r="AZ18" s="874"/>
      <c r="BA18" s="874"/>
      <c r="BB18" s="874"/>
      <c r="BC18" s="874"/>
      <c r="BD18" s="874"/>
    </row>
    <row r="19" ht="14.9" customHeight="1">
      <c r="D19" s="569" t="s">
        <v>1778</v>
      </c>
      <c r="E19" s="994" t="s">
        <v>86</v>
      </c>
      <c r="F19" s="953" t="n">
        <f>'Haver Pivoted'!D29</f>
        <v>27.9</v>
      </c>
      <c r="G19" s="978" t="n">
        <f>'Haver Pivoted'!E29</f>
        <v>26.6</v>
      </c>
      <c r="H19" s="978" t="n">
        <f>'Haver Pivoted'!F29</f>
        <v>29.9</v>
      </c>
      <c r="I19" s="978" t="n">
        <f>'Haver Pivoted'!G29</f>
        <v>30.7</v>
      </c>
      <c r="J19" s="978" t="n">
        <f>'Haver Pivoted'!H29</f>
        <v>29.8</v>
      </c>
      <c r="K19" s="978" t="n">
        <f>'Haver Pivoted'!I29</f>
        <v>30.1</v>
      </c>
      <c r="L19" s="978" t="n">
        <f>'Haver Pivoted'!J29</f>
        <v>31.8</v>
      </c>
      <c r="M19" s="978" t="n">
        <f>'Haver Pivoted'!K29</f>
        <v>32</v>
      </c>
      <c r="N19" s="978" t="n">
        <f>'Haver Pivoted'!L29</f>
        <v>33.1</v>
      </c>
      <c r="O19" s="978" t="n">
        <f>'Haver Pivoted'!M29</f>
        <v>36.6</v>
      </c>
      <c r="P19" s="978" t="n">
        <f>'Haver Pivoted'!N29</f>
        <v>39.299999999999997</v>
      </c>
      <c r="Q19" s="978" t="n">
        <f>'Haver Pivoted'!O29</f>
        <v>39.4</v>
      </c>
      <c r="R19" s="978" t="n">
        <f>'Haver Pivoted'!P29</f>
        <v>37.6</v>
      </c>
      <c r="S19" s="978" t="n">
        <f>'Haver Pivoted'!Q29</f>
        <v>39.4</v>
      </c>
      <c r="T19" s="978" t="n">
        <f>'Haver Pivoted'!R29</f>
        <v>37.4</v>
      </c>
      <c r="U19" s="978" t="n">
        <f>'Haver Pivoted'!S29</f>
        <v>39.299999999999997</v>
      </c>
      <c r="V19" s="978" t="n">
        <f>'Haver Pivoted'!T29</f>
        <v>43.5</v>
      </c>
      <c r="W19" s="978" t="n">
        <f>'Haver Pivoted'!U29</f>
        <v>38.1</v>
      </c>
      <c r="X19" s="978" t="n">
        <f>'Haver Pivoted'!V29</f>
        <v>31.5</v>
      </c>
      <c r="Y19" s="978" t="n">
        <f>'Haver Pivoted'!W29</f>
        <v>34.200000000000003</v>
      </c>
      <c r="Z19" s="978" t="n">
        <f>'Haver Pivoted'!X29</f>
        <v>43.2</v>
      </c>
      <c r="AA19" s="978" t="n">
        <f>'Haver Pivoted'!Y29</f>
        <v>43.9</v>
      </c>
      <c r="AB19" s="978" t="n">
        <f>'Haver Pivoted'!Z29</f>
        <v>49.9</v>
      </c>
      <c r="AC19" s="978" t="n">
        <f>'Haver Pivoted'!AA29</f>
        <v>49</v>
      </c>
      <c r="AD19" s="978" t="n">
        <f>'Haver Pivoted'!AB29</f>
        <v>48.5</v>
      </c>
      <c r="AE19" s="944" t="n">
        <f>AD19*(1+$L44)^0.25+AE20</f>
        <v>-350.55781247494872</v>
      </c>
      <c r="AF19" s="944" t="n">
        <f t="shared" ref="AF19:AN19" si="5">AE19*(1+$M44)^0.25+AF20</f>
        <v>-93.391759745174227</v>
      </c>
      <c r="AG19" s="944" t="n">
        <f t="shared" si="5"/>
        <v>-92.814703781975751</v>
      </c>
      <c r="AH19" s="944" t="n">
        <f t="shared" si="5"/>
        <v>-92.241213375155823</v>
      </c>
      <c r="AI19" s="944" t="n">
        <f t="shared" si="5"/>
        <v>-91.671266493589044</v>
      </c>
      <c r="AJ19" s="944" t="n">
        <f t="shared" si="5"/>
        <v>-91.104841242277558</v>
      </c>
      <c r="AK19" s="944" t="n">
        <f t="shared" si="5"/>
        <v>-80.541915861509978</v>
      </c>
      <c r="AL19" s="944" t="n">
        <f t="shared" si="5"/>
        <v>-80.04425747106815</v>
      </c>
      <c r="AM19" s="944" t="n">
        <f t="shared" si="5"/>
        <v>-79.549674049366857</v>
      </c>
      <c r="AN19" s="944" t="n">
        <f t="shared" si="5"/>
        <v>-79.05814659656015</v>
      </c>
      <c r="AO19" s="973"/>
      <c r="AP19" s="973"/>
      <c r="AV19" s="1002"/>
      <c r="AW19" s="1002"/>
      <c r="AX19" s="1002"/>
      <c r="AY19" s="1002"/>
      <c r="AZ19" s="1002"/>
      <c r="BA19" s="1002"/>
      <c r="BB19" s="1002"/>
      <c r="BC19" s="1002"/>
      <c r="BD19" s="1002"/>
    </row>
    <row r="20" ht="14.9" customHeight="1">
      <c r="D20" s="958" t="s">
        <v>1902</v>
      </c>
      <c r="E20" s="994"/>
      <c r="F20" s="951"/>
      <c r="G20" s="952"/>
      <c r="H20" s="952"/>
      <c r="I20" s="952"/>
      <c r="J20" s="952"/>
      <c r="K20" s="952"/>
      <c r="L20" s="952"/>
      <c r="M20" s="952"/>
      <c r="N20" s="952"/>
      <c r="O20" s="952"/>
      <c r="P20" s="952"/>
      <c r="Q20" s="952"/>
      <c r="R20" s="952"/>
      <c r="S20" s="952"/>
      <c r="T20" s="952"/>
      <c r="U20" s="952"/>
      <c r="V20" s="952"/>
      <c r="W20" s="952"/>
      <c r="X20" s="952"/>
      <c r="Y20" s="952"/>
      <c r="Z20" s="952"/>
      <c r="AA20" s="952"/>
      <c r="AB20" s="944" t="n">
        <v>0</v>
      </c>
      <c r="AC20" s="944" t="n">
        <v>0</v>
      </c>
      <c r="AD20" s="944" t="n">
        <v>0</v>
      </c>
      <c r="AE20" s="944" t="n">
        <v>-400</v>
      </c>
      <c r="AF20" s="944" t="n">
        <v>255</v>
      </c>
      <c r="AG20" s="944" t="n">
        <v>0</v>
      </c>
      <c r="AH20" s="944" t="n">
        <v>0</v>
      </c>
      <c r="AI20" s="944" t="n">
        <v>0</v>
      </c>
      <c r="AJ20" s="944" t="n">
        <v>0</v>
      </c>
      <c r="AK20" s="944" t="n">
        <v>10</v>
      </c>
      <c r="AL20" s="944" t="n">
        <v>0</v>
      </c>
      <c r="AM20" s="944" t="n">
        <v>0</v>
      </c>
      <c r="AN20" s="944" t="n">
        <v>0</v>
      </c>
      <c r="AO20" s="973"/>
      <c r="AP20" s="973"/>
      <c r="AV20" s="1002"/>
      <c r="AW20" s="1002"/>
      <c r="AX20" s="1002"/>
      <c r="AY20" s="1002"/>
      <c r="AZ20" s="1002"/>
      <c r="BA20" s="1002"/>
      <c r="BB20" s="1002"/>
      <c r="BC20" s="1002"/>
      <c r="BD20" s="1002"/>
    </row>
    <row r="21">
      <c r="D21" s="1074" t="s">
        <v>383</v>
      </c>
      <c r="E21" s="1037"/>
      <c r="F21" s="1022"/>
      <c r="G21" s="1017"/>
      <c r="H21" s="1017"/>
      <c r="I21" s="1017"/>
      <c r="J21" s="1017"/>
      <c r="K21" s="1017"/>
      <c r="L21" s="1017"/>
      <c r="M21" s="1017"/>
      <c r="N21" s="1017"/>
      <c r="O21" s="1017"/>
      <c r="P21" s="1017"/>
      <c r="Q21" s="1017"/>
      <c r="R21" s="1017"/>
      <c r="S21" s="1017"/>
      <c r="T21" s="1017"/>
      <c r="U21" s="1076"/>
      <c r="V21" s="1017"/>
      <c r="W21" s="1017"/>
      <c r="X21" s="1017"/>
      <c r="Y21" s="1017"/>
      <c r="Z21" s="1017"/>
      <c r="AA21" s="1017"/>
      <c r="AB21" s="1017"/>
      <c r="AC21" s="1017"/>
      <c r="AD21" s="683"/>
      <c r="AE21" s="939"/>
      <c r="AF21" s="939"/>
      <c r="AG21" s="939"/>
      <c r="AH21" s="973"/>
      <c r="AI21" s="973"/>
      <c r="AJ21" s="973"/>
      <c r="AK21" s="939"/>
      <c r="AL21" s="973"/>
      <c r="AM21" s="973"/>
      <c r="AN21" s="973"/>
      <c r="AO21" s="973"/>
      <c r="AP21" s="973"/>
    </row>
    <row r="22" ht="14.9" customHeight="1">
      <c r="D22" s="1001" t="s">
        <v>391</v>
      </c>
      <c r="E22" s="995"/>
      <c r="F22" s="951" t="n">
        <f t="shared" ref="F22:P22" si="6">SUM(F25:F28)</f>
        <v>89.7</v>
      </c>
      <c r="G22" s="952" t="n">
        <f t="shared" si="6"/>
        <v>91.5</v>
      </c>
      <c r="H22" s="952" t="n">
        <f t="shared" si="6"/>
        <v>94.1</v>
      </c>
      <c r="I22" s="952" t="n">
        <f t="shared" si="6"/>
        <v>97</v>
      </c>
      <c r="J22" s="952" t="n">
        <f t="shared" si="6"/>
        <v>100</v>
      </c>
      <c r="K22" s="952" t="n">
        <f t="shared" si="6"/>
        <v>103.2</v>
      </c>
      <c r="L22" s="952" t="n">
        <f t="shared" si="6"/>
        <v>107.2</v>
      </c>
      <c r="M22" s="952" t="n">
        <f t="shared" si="6"/>
        <v>110.8</v>
      </c>
      <c r="N22" s="952" t="n">
        <f t="shared" si="6"/>
        <v>112.9</v>
      </c>
      <c r="O22" s="952" t="n">
        <f t="shared" si="6"/>
        <v>115.7</v>
      </c>
      <c r="P22" s="952" t="n">
        <f t="shared" si="6"/>
        <v>118.39999999999999</v>
      </c>
      <c r="Q22" s="952" t="n">
        <f>SUM(Q24:Q28)</f>
        <v>120.1</v>
      </c>
      <c r="R22" s="952" t="n">
        <f>SUM(R24:R28)</f>
        <v>123.30000000000001</v>
      </c>
      <c r="S22" s="952" t="n">
        <f>SUM(S24:S28)</f>
        <v>125.19999999999999</v>
      </c>
      <c r="T22" s="952" t="n">
        <f>SUM(T24:T28)</f>
        <v>125.9</v>
      </c>
      <c r="U22" s="952" t="n">
        <f>SUM(U25:U28)</f>
        <v>129.69999999999999</v>
      </c>
      <c r="V22" s="952" t="n">
        <f>SUM(V24:V28)</f>
        <v>133.69999999999999</v>
      </c>
      <c r="W22" s="952" t="n">
        <f t="shared" ref="W22:AN22" si="7">SUM(W24,W25,W27,W28)</f>
        <v>134.80000000000001</v>
      </c>
      <c r="X22" s="952" t="n">
        <f t="shared" si="7"/>
        <v>136.5</v>
      </c>
      <c r="Y22" s="952" t="n">
        <f t="shared" si="7"/>
        <v>140</v>
      </c>
      <c r="Z22" s="1011" t="n">
        <f t="shared" si="7"/>
        <v>144</v>
      </c>
      <c r="AA22" s="1011" t="n">
        <f t="shared" si="7"/>
        <v>147.5</v>
      </c>
      <c r="AB22" s="1011" t="n">
        <f t="shared" si="7"/>
        <v>152.4</v>
      </c>
      <c r="AC22" s="1011" t="n">
        <f t="shared" si="7"/>
        <v>156.19999999999999</v>
      </c>
      <c r="AD22" s="1011" t="n">
        <f>SUM(AD24,AD25,AD27,AD28)</f>
        <v>159.80000000000001</v>
      </c>
      <c r="AE22" s="1011" t="n">
        <f t="shared" si="7"/>
        <v>148.40803374473339</v>
      </c>
      <c r="AF22" s="1011" t="n">
        <f t="shared" si="7"/>
        <v>150.01111960699666</v>
      </c>
      <c r="AG22" s="1011" t="n">
        <f t="shared" si="7"/>
        <v>151.48284414687353</v>
      </c>
      <c r="AH22" s="1011" t="n">
        <f t="shared" si="7"/>
        <v>153.02682066145346</v>
      </c>
      <c r="AI22" s="1011" t="n">
        <f t="shared" si="7"/>
        <v>154.42279518832558</v>
      </c>
      <c r="AJ22" s="1011" t="n">
        <f t="shared" si="7"/>
        <v>155.94978286991093</v>
      </c>
      <c r="AK22" s="1011" t="n">
        <f t="shared" si="7"/>
        <v>157.56567203132539</v>
      </c>
      <c r="AL22" s="1011" t="n">
        <f t="shared" si="7"/>
        <v>159.04661234281983</v>
      </c>
      <c r="AM22" s="1011" t="n">
        <f t="shared" si="7"/>
        <v>160.53957499417038</v>
      </c>
      <c r="AN22" s="1011" t="n">
        <f t="shared" si="7"/>
        <v>162.12114575094796</v>
      </c>
      <c r="AO22" s="973"/>
      <c r="AP22" s="973"/>
    </row>
    <row r="23" ht="14.9" customHeight="1">
      <c r="D23" s="1001"/>
      <c r="E23" s="995"/>
      <c r="F23" s="951"/>
      <c r="G23" s="952"/>
      <c r="H23" s="952"/>
      <c r="I23" s="952"/>
      <c r="J23" s="952"/>
      <c r="K23" s="952"/>
      <c r="L23" s="952"/>
      <c r="M23" s="952"/>
      <c r="N23" s="952"/>
      <c r="O23" s="952"/>
      <c r="P23" s="952"/>
      <c r="Q23" s="952"/>
      <c r="R23" s="952"/>
      <c r="S23" s="952"/>
      <c r="T23" s="955" t="n">
        <f t="shared" ref="T23:AC23" si="8">(T22/S22)^4-1</f>
        <v>2.2552476662503818E-2</v>
      </c>
      <c r="U23" s="955" t="n">
        <f t="shared" si="8"/>
        <v>0.12630752034921056</v>
      </c>
      <c r="V23" s="955" t="n">
        <f t="shared" si="8"/>
        <v>0.12918662328786046</v>
      </c>
      <c r="W23" s="955" t="n">
        <f t="shared" si="8"/>
        <v>3.3317869262567079E-2</v>
      </c>
      <c r="X23" s="955" t="n">
        <f t="shared" si="8"/>
        <v>5.1407417846646375E-2</v>
      </c>
      <c r="Y23" s="955" t="n">
        <f t="shared" si="8"/>
        <v>0.10657674001627826</v>
      </c>
      <c r="Z23" s="938" t="n">
        <f t="shared" si="8"/>
        <v>0.11927763431903338</v>
      </c>
      <c r="AA23" s="938" t="n">
        <f t="shared" si="8"/>
        <v>0.100824566407822</v>
      </c>
      <c r="AB23" s="938" t="n">
        <f t="shared" si="8"/>
        <v>0.1396507660361499</v>
      </c>
      <c r="AC23" s="938" t="n">
        <f t="shared" si="8"/>
        <v>0.10353026930703613</v>
      </c>
      <c r="AD23" s="938" t="n">
        <f>(AD22/AC22)^4-1</f>
        <v>9.5425841161999037E-2</v>
      </c>
      <c r="AE23" s="938" t="n">
        <f t="shared" ref="AE23" si="9">(AE22/AD22)^4-1</f>
        <v>-0.25608632065952341</v>
      </c>
      <c r="AF23" s="938" t="n">
        <f t="shared" ref="AF23" si="10">(AF22/AE22)^4-1</f>
        <v>4.3912661288582955E-2</v>
      </c>
      <c r="AG23" s="938" t="n">
        <f t="shared" ref="AG23" si="11">(AG22/AF22)^4-1</f>
        <v>3.9824372277512454E-2</v>
      </c>
      <c r="AH23" s="938" t="n">
        <f t="shared" ref="AH23" si="12">(AH22/AG22)^4-1</f>
        <v>4.1397231758364628E-2</v>
      </c>
      <c r="AI23" s="938" t="n">
        <f t="shared" ref="AI23" si="13">(AI22/AH22)^4-1</f>
        <v>3.6992024012709512E-2</v>
      </c>
      <c r="AJ23" s="938" t="n">
        <f t="shared" ref="AJ23" si="14">(AJ22/AI22)^4-1</f>
        <v>4.0143981472448909E-2</v>
      </c>
      <c r="AK23" s="938" t="n">
        <f t="shared" ref="AK23" si="15">(AK22/AJ22)^4-1</f>
        <v>4.2095034976284085E-2</v>
      </c>
      <c r="AL23" s="938" t="n">
        <f t="shared" ref="AL23" si="16">(AL22/AK22)^4-1</f>
        <v>3.8128868732762999E-2</v>
      </c>
      <c r="AM23" s="938" t="n">
        <f t="shared" ref="AM23" si="17">(AM22/AL22)^4-1</f>
        <v>3.8079806650910042E-2</v>
      </c>
      <c r="AN23" s="938" t="n">
        <f t="shared" ref="AN23" si="18">(AN22/AM22)^4-1</f>
        <v>3.9992534491579912E-2</v>
      </c>
      <c r="AO23" s="973"/>
      <c r="AP23" s="973"/>
    </row>
    <row r="24" ht="42" customHeight="1">
      <c r="D24" s="999" t="s">
        <v>737</v>
      </c>
      <c r="E24" s="995"/>
      <c r="F24" s="1069"/>
      <c r="G24" s="980"/>
      <c r="H24" s="980"/>
      <c r="I24" s="980"/>
      <c r="J24" s="980"/>
      <c r="K24" s="980"/>
      <c r="L24" s="980"/>
      <c r="M24" s="980"/>
      <c r="N24" s="980"/>
      <c r="O24" s="980"/>
      <c r="P24" s="980"/>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973"/>
      <c r="AP24" s="973"/>
    </row>
    <row r="25">
      <c r="D25" s="686" t="s">
        <v>396</v>
      </c>
      <c r="E25" s="516" t="s">
        <v>397</v>
      </c>
      <c r="F25" s="954" t="n">
        <f>'Haver Pivoted'!D33</f>
        <v>14.3</v>
      </c>
      <c r="G25" s="1008" t="n">
        <f>'Haver Pivoted'!E33</f>
        <v>14.4</v>
      </c>
      <c r="H25" s="1008" t="n">
        <f>'Haver Pivoted'!F33</f>
        <v>14.7</v>
      </c>
      <c r="I25" s="1008" t="n">
        <f>'Haver Pivoted'!G33</f>
        <v>15.6</v>
      </c>
      <c r="J25" s="1008" t="n">
        <f>'Haver Pivoted'!H33</f>
        <v>16</v>
      </c>
      <c r="K25" s="1008" t="n">
        <f>'Haver Pivoted'!I33</f>
        <v>17.3</v>
      </c>
      <c r="L25" s="1008" t="n">
        <f>'Haver Pivoted'!J33</f>
        <v>19.5</v>
      </c>
      <c r="M25" s="1008" t="n">
        <f>'Haver Pivoted'!K33</f>
        <v>21</v>
      </c>
      <c r="N25" s="1008" t="n">
        <f>'Haver Pivoted'!L33</f>
        <v>21.2</v>
      </c>
      <c r="O25" s="1008" t="n">
        <f>'Haver Pivoted'!M33</f>
        <v>21.8</v>
      </c>
      <c r="P25" s="1008" t="n">
        <f>'Haver Pivoted'!N33</f>
        <v>21.9</v>
      </c>
      <c r="Q25" s="1008" t="n">
        <f>'Haver Pivoted'!O33</f>
        <v>22.3</v>
      </c>
      <c r="R25" s="1008" t="n">
        <f>'Haver Pivoted'!P33</f>
        <v>23.1</v>
      </c>
      <c r="S25" s="1008" t="n">
        <f>'Haver Pivoted'!Q33</f>
        <v>24</v>
      </c>
      <c r="T25" s="1008" t="n">
        <f>'Haver Pivoted'!R33</f>
        <v>23.3</v>
      </c>
      <c r="U25" s="1008" t="n">
        <f>'Haver Pivoted'!S33</f>
        <v>24.1</v>
      </c>
      <c r="V25" s="1008" t="n">
        <f>'Haver Pivoted'!T33</f>
        <v>25.2</v>
      </c>
      <c r="W25" s="1008" t="n">
        <f>'Haver Pivoted'!U33</f>
        <v>25.6</v>
      </c>
      <c r="X25" s="1008" t="n">
        <f>'Haver Pivoted'!V33</f>
        <v>25.7</v>
      </c>
      <c r="Y25" s="1008" t="n">
        <f>'Haver Pivoted'!W33</f>
        <v>26.5</v>
      </c>
      <c r="Z25" s="1008" t="n">
        <f>'Haver Pivoted'!X33</f>
        <v>27.2</v>
      </c>
      <c r="AA25" s="1008" t="n">
        <f>'Haver Pivoted'!Y33</f>
        <v>28.2</v>
      </c>
      <c r="AB25" s="1008" t="n">
        <f>'Haver Pivoted'!Z33</f>
        <v>29.5</v>
      </c>
      <c r="AC25" s="1008" t="n">
        <f>'Haver Pivoted'!AA33</f>
        <v>30.6</v>
      </c>
      <c r="AD25" s="1008" t="n">
        <f>'Haver Pivoted'!AB33</f>
        <v>31.6</v>
      </c>
      <c r="AE25" s="950" t="n">
        <f t="shared" ref="AE25:AN25" si="19">$AC125*AE134*(AE107/$AC107)+AE24+AE26</f>
        <v>20.715675731289267</v>
      </c>
      <c r="AF25" s="950" t="n">
        <f t="shared" si="19"/>
        <v>21.103500358040627</v>
      </c>
      <c r="AG25" s="950" t="n">
        <f t="shared" si="19"/>
        <v>21.466065557156071</v>
      </c>
      <c r="AH25" s="950" t="n">
        <f t="shared" si="19"/>
        <v>21.814460833451378</v>
      </c>
      <c r="AI25" s="950" t="n">
        <f t="shared" si="19"/>
        <v>22.16254806794624</v>
      </c>
      <c r="AJ25" s="950" t="n">
        <f t="shared" si="19"/>
        <v>22.506014675434535</v>
      </c>
      <c r="AK25" s="950" t="n">
        <f t="shared" si="19"/>
        <v>22.863805226643201</v>
      </c>
      <c r="AL25" s="950" t="n">
        <f t="shared" si="19"/>
        <v>23.219439485248799</v>
      </c>
      <c r="AM25" s="950" t="n">
        <f t="shared" si="19"/>
        <v>23.583698914266655</v>
      </c>
      <c r="AN25" s="950" t="n">
        <f t="shared" si="19"/>
        <v>23.956891555497208</v>
      </c>
      <c r="AO25" s="973"/>
      <c r="AP25" s="973"/>
    </row>
    <row r="26">
      <c r="D26" s="686" t="s">
        <v>1786</v>
      </c>
      <c r="E26" s="516"/>
      <c r="F26" s="940"/>
      <c r="G26" s="950"/>
      <c r="H26" s="950"/>
      <c r="I26" s="950"/>
      <c r="J26" s="950"/>
      <c r="K26" s="950"/>
      <c r="L26" s="950"/>
      <c r="M26" s="950"/>
      <c r="N26" s="950"/>
      <c r="O26" s="950"/>
      <c r="P26" s="950"/>
      <c r="Q26" s="950"/>
      <c r="R26" s="950"/>
      <c r="S26" s="950"/>
      <c r="T26" s="950"/>
      <c r="U26" s="950"/>
      <c r="V26" s="950"/>
      <c r="W26" s="950" t="n">
        <v>20</v>
      </c>
      <c r="X26" s="950" t="n">
        <v>20</v>
      </c>
      <c r="Y26" s="950" t="n">
        <v>0</v>
      </c>
      <c r="Z26" s="950" t="n">
        <f>-24</f>
        <v>-24</v>
      </c>
      <c r="AA26" s="950" t="n">
        <f>-11</f>
        <v>-11</v>
      </c>
      <c r="AB26" s="950" t="n">
        <f>-11</f>
        <v>-11</v>
      </c>
      <c r="AC26" s="950" t="n">
        <f t="shared" ref="AC26:AN26" si="20">-11</f>
        <v>-11</v>
      </c>
      <c r="AD26" s="950" t="n">
        <f>-11</f>
        <v>-11</v>
      </c>
      <c r="AE26" s="950" t="n">
        <f t="shared" si="20"/>
        <v>-11</v>
      </c>
      <c r="AF26" s="950" t="n">
        <f t="shared" si="20"/>
        <v>-11</v>
      </c>
      <c r="AG26" s="950" t="n">
        <f>-11</f>
        <v>-11</v>
      </c>
      <c r="AH26" s="950" t="n">
        <f t="shared" si="20"/>
        <v>-11</v>
      </c>
      <c r="AI26" s="950" t="n">
        <f t="shared" si="20"/>
        <v>-11</v>
      </c>
      <c r="AJ26" s="950" t="n">
        <f t="shared" si="20"/>
        <v>-11</v>
      </c>
      <c r="AK26" s="950" t="n">
        <f>-11</f>
        <v>-11</v>
      </c>
      <c r="AL26" s="950" t="n">
        <f t="shared" si="20"/>
        <v>-11</v>
      </c>
      <c r="AM26" s="950" t="n">
        <f t="shared" si="20"/>
        <v>-11</v>
      </c>
      <c r="AN26" s="950" t="n">
        <f t="shared" si="20"/>
        <v>-11</v>
      </c>
      <c r="AO26" s="973"/>
      <c r="AP26" s="973"/>
    </row>
    <row r="27">
      <c r="D27" s="686" t="s">
        <v>393</v>
      </c>
      <c r="E27" s="516" t="s">
        <v>398</v>
      </c>
      <c r="F27" s="954" t="n">
        <f>'Haver Pivoted'!D36</f>
        <v>1.1000000000000001</v>
      </c>
      <c r="G27" s="1008" t="n">
        <f>'Haver Pivoted'!E36</f>
        <v>1.1000000000000001</v>
      </c>
      <c r="H27" s="1008" t="n">
        <f>'Haver Pivoted'!F36</f>
        <v>1.1000000000000001</v>
      </c>
      <c r="I27" s="1008" t="n">
        <f>'Haver Pivoted'!G36</f>
        <v>1.2</v>
      </c>
      <c r="J27" s="1008" t="n">
        <f>'Haver Pivoted'!H36</f>
        <v>1.2</v>
      </c>
      <c r="K27" s="1008" t="n">
        <f>'Haver Pivoted'!I36</f>
        <v>1.2</v>
      </c>
      <c r="L27" s="1008" t="n">
        <f>'Haver Pivoted'!J36</f>
        <v>1.3</v>
      </c>
      <c r="M27" s="1008" t="n">
        <f>'Haver Pivoted'!K36</f>
        <v>1.3</v>
      </c>
      <c r="N27" s="1008" t="n">
        <f>'Haver Pivoted'!L36</f>
        <v>1.3</v>
      </c>
      <c r="O27" s="1008" t="n">
        <f>'Haver Pivoted'!M36</f>
        <v>1.4</v>
      </c>
      <c r="P27" s="1008" t="n">
        <f>'Haver Pivoted'!N36</f>
        <v>1.4</v>
      </c>
      <c r="Q27" s="1008" t="n">
        <f>'Haver Pivoted'!O36</f>
        <v>1.5</v>
      </c>
      <c r="R27" s="1008" t="n">
        <f>'Haver Pivoted'!P36</f>
        <v>1.5</v>
      </c>
      <c r="S27" s="1008" t="n">
        <f>'Haver Pivoted'!Q36</f>
        <v>1.6</v>
      </c>
      <c r="T27" s="1008" t="n">
        <f>'Haver Pivoted'!R36</f>
        <v>1.6</v>
      </c>
      <c r="U27" s="1008" t="n">
        <f>'Haver Pivoted'!S36</f>
        <v>1.6</v>
      </c>
      <c r="V27" s="1008" t="n">
        <f>'Haver Pivoted'!T36</f>
        <v>1.7</v>
      </c>
      <c r="W27" s="1008" t="n">
        <f>'Haver Pivoted'!U36</f>
        <v>1.7</v>
      </c>
      <c r="X27" s="1008" t="n">
        <f>'Haver Pivoted'!V36</f>
        <v>1.8</v>
      </c>
      <c r="Y27" s="1008" t="n">
        <f>'Haver Pivoted'!W36</f>
        <v>1.8</v>
      </c>
      <c r="Z27" s="1008" t="n">
        <f>'Haver Pivoted'!X36</f>
        <v>1.9</v>
      </c>
      <c r="AA27" s="1008" t="n">
        <f>'Haver Pivoted'!Y36</f>
        <v>2</v>
      </c>
      <c r="AB27" s="1008" t="n">
        <f>'Haver Pivoted'!Z36</f>
        <v>2</v>
      </c>
      <c r="AC27" s="1008" t="n">
        <f>'Haver Pivoted'!AA36</f>
        <v>2.1</v>
      </c>
      <c r="AD27" s="1008" t="n">
        <f>'Haver Pivoted'!AB36</f>
        <v>2.2000000000000002</v>
      </c>
      <c r="AE27" s="950" t="n">
        <f t="shared" ref="AE27:AN27" si="21">$AC126*AE135*(AE108/$AC108)</f>
        <v>2.2074387496761547</v>
      </c>
      <c r="AF27" s="950" t="n">
        <f t="shared" si="21"/>
        <v>2.2338714093589895</v>
      </c>
      <c r="AG27" s="950" t="n">
        <f t="shared" si="21"/>
        <v>2.2589394766681417</v>
      </c>
      <c r="AH27" s="950" t="n">
        <f t="shared" si="21"/>
        <v>2.2831483561864547</v>
      </c>
      <c r="AI27" s="950" t="n">
        <f t="shared" si="21"/>
        <v>2.3071382270522021</v>
      </c>
      <c r="AJ27" s="950" t="n">
        <f t="shared" si="21"/>
        <v>2.3307237742516724</v>
      </c>
      <c r="AK27" s="950" t="n">
        <f t="shared" si="21"/>
        <v>2.354848419672845</v>
      </c>
      <c r="AL27" s="950" t="n">
        <f t="shared" si="21"/>
        <v>2.3792089205660125</v>
      </c>
      <c r="AM27" s="950" t="n">
        <f t="shared" si="21"/>
        <v>2.4039568983060282</v>
      </c>
      <c r="AN27" s="950" t="n">
        <f t="shared" si="21"/>
        <v>2.428923884698611</v>
      </c>
      <c r="AO27" s="973"/>
      <c r="AP27" s="973"/>
    </row>
    <row r="28">
      <c r="D28" s="686" t="s">
        <v>394</v>
      </c>
      <c r="E28" s="516" t="s">
        <v>399</v>
      </c>
      <c r="F28" s="954" t="n">
        <f>'Haver Pivoted'!D34</f>
        <v>74.3</v>
      </c>
      <c r="G28" s="1008" t="n">
        <f>'Haver Pivoted'!E34</f>
        <v>76</v>
      </c>
      <c r="H28" s="1008" t="n">
        <f>'Haver Pivoted'!F34</f>
        <v>78.3</v>
      </c>
      <c r="I28" s="1008" t="n">
        <f>'Haver Pivoted'!G34</f>
        <v>80.2</v>
      </c>
      <c r="J28" s="1008" t="n">
        <f>'Haver Pivoted'!H34</f>
        <v>82.8</v>
      </c>
      <c r="K28" s="1008" t="n">
        <f>'Haver Pivoted'!I34</f>
        <v>84.7</v>
      </c>
      <c r="L28" s="1008" t="n">
        <f>'Haver Pivoted'!J34</f>
        <v>86.4</v>
      </c>
      <c r="M28" s="1008" t="n">
        <f>'Haver Pivoted'!K34</f>
        <v>88.5</v>
      </c>
      <c r="N28" s="1008" t="n">
        <f>'Haver Pivoted'!L34</f>
        <v>90.4</v>
      </c>
      <c r="O28" s="1008" t="n">
        <f>'Haver Pivoted'!M34</f>
        <v>92.5</v>
      </c>
      <c r="P28" s="1008" t="n">
        <f>'Haver Pivoted'!N34</f>
        <v>95.1</v>
      </c>
      <c r="Q28" s="1008" t="n">
        <f>'Haver Pivoted'!O34</f>
        <v>96.3</v>
      </c>
      <c r="R28" s="1008" t="n">
        <f>'Haver Pivoted'!P34</f>
        <v>98.7</v>
      </c>
      <c r="S28" s="1008" t="n">
        <f>'Haver Pivoted'!Q34</f>
        <v>99.6</v>
      </c>
      <c r="T28" s="1008" t="n">
        <f>'Haver Pivoted'!R34</f>
        <v>101</v>
      </c>
      <c r="U28" s="1008" t="n">
        <f>'Haver Pivoted'!S34</f>
        <v>104</v>
      </c>
      <c r="V28" s="1008" t="n">
        <f>'Haver Pivoted'!T34</f>
        <v>106.8</v>
      </c>
      <c r="W28" s="1008" t="n">
        <f>'Haver Pivoted'!U34</f>
        <v>107.5</v>
      </c>
      <c r="X28" s="1008" t="n">
        <f>'Haver Pivoted'!V34</f>
        <v>109</v>
      </c>
      <c r="Y28" s="1008" t="n">
        <f>'Haver Pivoted'!W34</f>
        <v>111.7</v>
      </c>
      <c r="Z28" s="1008" t="n">
        <f>'Haver Pivoted'!X34</f>
        <v>114.9</v>
      </c>
      <c r="AA28" s="1008" t="n">
        <f>'Haver Pivoted'!Y34</f>
        <v>117.3</v>
      </c>
      <c r="AB28" s="1008" t="n">
        <f>'Haver Pivoted'!Z34</f>
        <v>120.9</v>
      </c>
      <c r="AC28" s="1008" t="n">
        <f>'Haver Pivoted'!AA34</f>
        <v>123.5</v>
      </c>
      <c r="AD28" s="1008" t="n">
        <f>'Haver Pivoted'!AB34</f>
        <v>126</v>
      </c>
      <c r="AE28" s="950" t="n">
        <f t="shared" ref="AE28:AN28" si="22">$AC131*AE136*(AE110/$AC110)</f>
        <v>125.48491926376796</v>
      </c>
      <c r="AF28" s="950" t="n">
        <f t="shared" si="22"/>
        <v>126.67374783959704</v>
      </c>
      <c r="AG28" s="950" t="n">
        <f t="shared" si="22"/>
        <v>127.75783911304931</v>
      </c>
      <c r="AH28" s="950" t="n">
        <f t="shared" si="22"/>
        <v>128.92921147181562</v>
      </c>
      <c r="AI28" s="950" t="n">
        <f t="shared" si="22"/>
        <v>129.95310889332714</v>
      </c>
      <c r="AJ28" s="950" t="n">
        <f t="shared" si="22"/>
        <v>131.11304442022472</v>
      </c>
      <c r="AK28" s="950" t="n">
        <f t="shared" si="22"/>
        <v>132.34701838500933</v>
      </c>
      <c r="AL28" s="950" t="n">
        <f t="shared" si="22"/>
        <v>133.44796393700503</v>
      </c>
      <c r="AM28" s="950" t="n">
        <f t="shared" si="22"/>
        <v>134.5519191815977</v>
      </c>
      <c r="AN28" s="950" t="n">
        <f t="shared" si="22"/>
        <v>135.73533031075215</v>
      </c>
      <c r="AO28" s="973"/>
      <c r="AP28" s="973"/>
    </row>
    <row r="29" ht="14.9" customHeight="1">
      <c r="D29" s="1003" t="s">
        <v>395</v>
      </c>
      <c r="E29" s="1023" t="s">
        <v>400</v>
      </c>
      <c r="F29" s="935" t="n">
        <f>'Haver Pivoted'!D35</f>
        <v>3.8</v>
      </c>
      <c r="G29" s="1010" t="n">
        <f>'Haver Pivoted'!E35</f>
        <v>3.6</v>
      </c>
      <c r="H29" s="1010" t="n">
        <f>'Haver Pivoted'!F35</f>
        <v>4.0999999999999996</v>
      </c>
      <c r="I29" s="1010" t="n">
        <f>'Haver Pivoted'!G35</f>
        <v>4.2</v>
      </c>
      <c r="J29" s="1010" t="n">
        <f>'Haver Pivoted'!H35</f>
        <v>4.4000000000000004</v>
      </c>
      <c r="K29" s="1010" t="n">
        <f>'Haver Pivoted'!I35</f>
        <v>4.5</v>
      </c>
      <c r="L29" s="1010" t="n">
        <f>'Haver Pivoted'!J35</f>
        <v>5</v>
      </c>
      <c r="M29" s="1010" t="n">
        <f>'Haver Pivoted'!K35</f>
        <v>5</v>
      </c>
      <c r="N29" s="1010" t="n">
        <f>'Haver Pivoted'!L35</f>
        <v>5.2</v>
      </c>
      <c r="O29" s="1010" t="n">
        <f>'Haver Pivoted'!M35</f>
        <v>5.7</v>
      </c>
      <c r="P29" s="1010" t="n">
        <f>'Haver Pivoted'!N35</f>
        <v>6</v>
      </c>
      <c r="Q29" s="1010" t="n">
        <f>'Haver Pivoted'!O35</f>
        <v>6.1</v>
      </c>
      <c r="R29" s="1010" t="n">
        <f>'Haver Pivoted'!P35</f>
        <v>5.9</v>
      </c>
      <c r="S29" s="1010" t="n">
        <f>'Haver Pivoted'!Q35</f>
        <v>6.1</v>
      </c>
      <c r="T29" s="1081" t="n">
        <f>'Haver Pivoted'!R35</f>
        <v>6.3</v>
      </c>
      <c r="U29" s="1010" t="n">
        <f>'Haver Pivoted'!S35</f>
        <v>6.6</v>
      </c>
      <c r="V29" s="1010" t="n">
        <f>'Haver Pivoted'!T35</f>
        <v>7.3</v>
      </c>
      <c r="W29" s="1010" t="n">
        <f>'Haver Pivoted'!U35</f>
        <v>6.5</v>
      </c>
      <c r="X29" s="1010" t="n">
        <f>'Haver Pivoted'!V35</f>
        <v>6.1</v>
      </c>
      <c r="Y29" s="1010" t="n">
        <f>'Haver Pivoted'!W35</f>
        <v>6.6</v>
      </c>
      <c r="Z29" s="1010" t="n">
        <f>'Haver Pivoted'!X35</f>
        <v>8.1999999999999993</v>
      </c>
      <c r="AA29" s="1010" t="n">
        <f>'Haver Pivoted'!Y35</f>
        <v>8.4</v>
      </c>
      <c r="AB29" s="1010" t="n">
        <f>'Haver Pivoted'!Z35</f>
        <v>9.6999999999999993</v>
      </c>
      <c r="AC29" s="1010" t="n">
        <f>'Haver Pivoted'!AA35</f>
        <v>9.6</v>
      </c>
      <c r="AD29" s="1010" t="n">
        <f>'Haver Pivoted'!AB35</f>
        <v>9.6999999999999993</v>
      </c>
      <c r="AE29" s="1080" t="n">
        <f t="shared" ref="AE29:AN29" si="23">$Y132*AE137*(AE111/$Y111)</f>
        <v>7.5336169110602595</v>
      </c>
      <c r="AF29" s="1080" t="n">
        <f>$Y132*AF137*(AF111/$Y111)</f>
        <v>7.5298398824095578</v>
      </c>
      <c r="AG29" s="1080" t="n">
        <f t="shared" si="23"/>
        <v>7.5389491868024283</v>
      </c>
      <c r="AH29" s="1080" t="n">
        <f t="shared" si="23"/>
        <v>7.5538351232493142</v>
      </c>
      <c r="AI29" s="1080" t="n">
        <f t="shared" si="23"/>
        <v>7.5462810659479098</v>
      </c>
      <c r="AJ29" s="1080" t="n">
        <f t="shared" si="23"/>
        <v>7.5553903703407812</v>
      </c>
      <c r="AK29" s="1080" t="n">
        <f t="shared" si="23"/>
        <v>7.540948790205741</v>
      </c>
      <c r="AL29" s="1080" t="n">
        <f t="shared" si="23"/>
        <v>7.5131765207152803</v>
      </c>
      <c r="AM29" s="1080" t="n">
        <f t="shared" si="23"/>
        <v>7.4805163317944992</v>
      </c>
      <c r="AN29" s="1080" t="n">
        <f t="shared" si="23"/>
        <v>7.4865151420044391</v>
      </c>
      <c r="AO29" s="973"/>
      <c r="AP29" s="973"/>
    </row>
    <row r="30" ht="14.9" customHeight="1">
      <c r="D30" s="1039" t="s">
        <v>1788</v>
      </c>
      <c r="E30" s="995"/>
      <c r="F30" s="859" t="n">
        <f t="shared" ref="F30:AN30" si="24">F9+F22</f>
        <v>240.09999999999997</v>
      </c>
      <c r="G30" s="859" t="n">
        <f t="shared" si="24"/>
        <v>242.5</v>
      </c>
      <c r="H30" s="859" t="n">
        <f t="shared" si="24"/>
        <v>246.7</v>
      </c>
      <c r="I30" s="859" t="n">
        <f t="shared" si="24"/>
        <v>251</v>
      </c>
      <c r="J30" s="859" t="n">
        <f t="shared" si="24"/>
        <v>255.70000000000002</v>
      </c>
      <c r="K30" s="859" t="n">
        <f t="shared" si="24"/>
        <v>261.39999999999998</v>
      </c>
      <c r="L30" s="859" t="n">
        <f t="shared" si="24"/>
        <v>282.89999999999998</v>
      </c>
      <c r="M30" s="859" t="n">
        <f t="shared" si="24"/>
        <v>289.40000000000003</v>
      </c>
      <c r="N30" s="859" t="n">
        <f t="shared" si="24"/>
        <v>293</v>
      </c>
      <c r="O30" s="859" t="n">
        <f t="shared" si="24"/>
        <v>299.3</v>
      </c>
      <c r="P30" s="859" t="n">
        <f t="shared" si="24"/>
        <v>315.09999999999997</v>
      </c>
      <c r="Q30" s="859" t="n">
        <f t="shared" si="24"/>
        <v>320.7</v>
      </c>
      <c r="R30" s="859" t="n">
        <f t="shared" si="24"/>
        <v>329.20000000000005</v>
      </c>
      <c r="S30" s="859" t="n">
        <f t="shared" si="24"/>
        <v>337.9</v>
      </c>
      <c r="T30" s="859" t="n">
        <f t="shared" si="24"/>
        <v>347.29999999999995</v>
      </c>
      <c r="U30" s="859" t="n">
        <f t="shared" si="24"/>
        <v>358.19999999999993</v>
      </c>
      <c r="V30" s="859" t="n">
        <f t="shared" si="24"/>
        <v>368.79999999999995</v>
      </c>
      <c r="W30" s="859" t="n">
        <f t="shared" si="24"/>
        <v>372.4</v>
      </c>
      <c r="X30" s="859" t="n">
        <f t="shared" si="24"/>
        <v>375.1</v>
      </c>
      <c r="Y30" s="859" t="n">
        <f t="shared" si="24"/>
        <v>342.79999999999995</v>
      </c>
      <c r="Z30" s="859" t="n">
        <f t="shared" si="24"/>
        <v>381.5</v>
      </c>
      <c r="AA30" s="859" t="n">
        <f t="shared" si="24"/>
        <v>392.3</v>
      </c>
      <c r="AB30" s="859" t="n">
        <f t="shared" si="24"/>
        <v>403.70000000000005</v>
      </c>
      <c r="AC30" s="859" t="n">
        <f t="shared" si="24"/>
        <v>415.2</v>
      </c>
      <c r="AD30" s="859" t="n">
        <f t="shared" si="24"/>
        <v>426.5</v>
      </c>
      <c r="AE30" s="859" t="n">
        <f t="shared" si="24"/>
        <v>404.25924208747892</v>
      </c>
      <c r="AF30" s="859" t="n">
        <f t="shared" si="24"/>
        <v>466.40840426377747</v>
      </c>
      <c r="AG30" s="859" t="n">
        <f t="shared" si="24"/>
        <v>217.21858478752699</v>
      </c>
      <c r="AH30" s="859" t="n">
        <f t="shared" si="24"/>
        <v>220.70535680321262</v>
      </c>
      <c r="AI30" s="859" t="n">
        <f t="shared" si="24"/>
        <v>224.07200260030982</v>
      </c>
      <c r="AJ30" s="859" t="n">
        <f t="shared" si="24"/>
        <v>227.5978934003586</v>
      </c>
      <c r="AK30" s="859" t="n">
        <f t="shared" si="24"/>
        <v>161.19664483636492</v>
      </c>
      <c r="AL30" s="859" t="n">
        <f t="shared" si="24"/>
        <v>163.67711578217276</v>
      </c>
      <c r="AM30" s="859" t="n">
        <f t="shared" si="24"/>
        <v>166.18364616138717</v>
      </c>
      <c r="AN30" s="859" t="n">
        <f t="shared" si="24"/>
        <v>168.79297365244386</v>
      </c>
    </row>
    <row r="31" ht="14.9" customHeight="1">
      <c r="D31" s="1039" t="s">
        <v>1805</v>
      </c>
      <c r="E31" s="995"/>
      <c r="F31" s="859" t="n">
        <f t="shared" ref="F31:AN31" si="25">F10+F25</f>
        <v>100.6</v>
      </c>
      <c r="G31" s="859" t="n">
        <f t="shared" si="25"/>
        <v>101.60000000000001</v>
      </c>
      <c r="H31" s="859" t="n">
        <f t="shared" si="25"/>
        <v>98.3</v>
      </c>
      <c r="I31" s="859" t="n">
        <f t="shared" si="25"/>
        <v>100.69999999999999</v>
      </c>
      <c r="J31" s="859" t="n">
        <f t="shared" si="25"/>
        <v>102.3</v>
      </c>
      <c r="K31" s="859" t="n">
        <f t="shared" si="25"/>
        <v>105.5</v>
      </c>
      <c r="L31" s="859" t="n">
        <f t="shared" si="25"/>
        <v>119.8</v>
      </c>
      <c r="M31" s="859" t="n">
        <f t="shared" si="25"/>
        <v>123.4</v>
      </c>
      <c r="N31" s="859" t="n">
        <f t="shared" si="25"/>
        <v>124.3</v>
      </c>
      <c r="O31" s="859" t="n">
        <f t="shared" si="25"/>
        <v>127.1</v>
      </c>
      <c r="P31" s="859" t="n">
        <f t="shared" si="25"/>
        <v>126.4</v>
      </c>
      <c r="Q31" s="859" t="n">
        <f t="shared" si="25"/>
        <v>129.20000000000002</v>
      </c>
      <c r="R31" s="859" t="n">
        <f t="shared" si="25"/>
        <v>134.1</v>
      </c>
      <c r="S31" s="859" t="n">
        <f t="shared" si="25"/>
        <v>140</v>
      </c>
      <c r="T31" s="859" t="n">
        <f t="shared" si="25"/>
        <v>142.80000000000001</v>
      </c>
      <c r="U31" s="859" t="n">
        <f t="shared" si="25"/>
        <v>148.9</v>
      </c>
      <c r="V31" s="859" t="n">
        <f t="shared" si="25"/>
        <v>154.89999999999998</v>
      </c>
      <c r="W31" s="859" t="n">
        <f t="shared" si="25"/>
        <v>157.6</v>
      </c>
      <c r="X31" s="859" t="n">
        <f t="shared" si="25"/>
        <v>158</v>
      </c>
      <c r="Y31" s="859" t="n">
        <f t="shared" si="25"/>
        <v>121.1</v>
      </c>
      <c r="Z31" s="859" t="n">
        <f t="shared" si="25"/>
        <v>152.9</v>
      </c>
      <c r="AA31" s="859" t="n">
        <f t="shared" si="25"/>
        <v>158.6</v>
      </c>
      <c r="AB31" s="859" t="n">
        <f t="shared" si="25"/>
        <v>162.5</v>
      </c>
      <c r="AC31" s="859" t="n">
        <f t="shared" si="25"/>
        <v>169.29999999999998</v>
      </c>
      <c r="AD31" s="859" t="n">
        <f t="shared" si="25"/>
        <v>176.1</v>
      </c>
      <c r="AE31" s="859" t="n">
        <f t="shared" si="25"/>
        <v>49.932819343617226</v>
      </c>
      <c r="AF31" s="859" t="n">
        <f t="shared" si="25"/>
        <v>50.465646654881041</v>
      </c>
      <c r="AG31" s="859" t="n">
        <f t="shared" si="25"/>
        <v>-202.85640261143851</v>
      </c>
      <c r="AH31" s="859" t="n">
        <f t="shared" si="25"/>
        <v>-203.62130439499612</v>
      </c>
      <c r="AI31" s="859" t="n">
        <f t="shared" si="25"/>
        <v>-204.39203943748291</v>
      </c>
      <c r="AJ31" s="859" t="n">
        <f t="shared" si="25"/>
        <v>-205.17294774537947</v>
      </c>
      <c r="AK31" s="859" t="n">
        <f t="shared" si="25"/>
        <v>-275.71296404412504</v>
      </c>
      <c r="AL31" s="859" t="n">
        <f t="shared" si="25"/>
        <v>-276.83914586075849</v>
      </c>
      <c r="AM31" s="859" t="n">
        <f t="shared" si="25"/>
        <v>-277.96405665876523</v>
      </c>
      <c r="AN31" s="859" t="n">
        <f t="shared" si="25"/>
        <v>-279.08742489449685</v>
      </c>
    </row>
    <row r="32" ht="14.9" customHeight="1">
      <c r="D32" s="1039" t="s">
        <v>1806</v>
      </c>
      <c r="E32" s="995"/>
      <c r="F32" s="859" t="n">
        <f t="shared" ref="F32:AN32" si="26">F13+F27</f>
        <v>47</v>
      </c>
      <c r="G32" s="859" t="n">
        <f t="shared" si="26"/>
        <v>46.7</v>
      </c>
      <c r="H32" s="859" t="n">
        <f t="shared" si="26"/>
        <v>50.7</v>
      </c>
      <c r="I32" s="859" t="n">
        <f t="shared" si="26"/>
        <v>51.400000000000006</v>
      </c>
      <c r="J32" s="859" t="n">
        <f t="shared" si="26"/>
        <v>51.7</v>
      </c>
      <c r="K32" s="859" t="n">
        <f t="shared" si="26"/>
        <v>52.2</v>
      </c>
      <c r="L32" s="859" t="n">
        <f t="shared" si="26"/>
        <v>58.599999999999994</v>
      </c>
      <c r="M32" s="859" t="n">
        <f t="shared" si="26"/>
        <v>59.199999999999996</v>
      </c>
      <c r="N32" s="859" t="n">
        <f t="shared" si="26"/>
        <v>59.8</v>
      </c>
      <c r="O32" s="859" t="n">
        <f t="shared" si="26"/>
        <v>60.8</v>
      </c>
      <c r="P32" s="859" t="n">
        <f t="shared" si="26"/>
        <v>74.100000000000009</v>
      </c>
      <c r="Q32" s="859" t="n">
        <f t="shared" si="26"/>
        <v>75.3</v>
      </c>
      <c r="R32" s="859" t="n">
        <f t="shared" si="26"/>
        <v>76.599999999999994</v>
      </c>
      <c r="S32" s="859" t="n">
        <f t="shared" si="26"/>
        <v>78.199999999999989</v>
      </c>
      <c r="T32" s="859" t="n">
        <f t="shared" si="26"/>
        <v>83.699999999999989</v>
      </c>
      <c r="U32" s="859" t="n">
        <f t="shared" si="26"/>
        <v>85.199999999999989</v>
      </c>
      <c r="V32" s="859" t="n">
        <f t="shared" si="26"/>
        <v>86.9</v>
      </c>
      <c r="W32" s="859" t="n">
        <f t="shared" si="26"/>
        <v>87.100000000000009</v>
      </c>
      <c r="X32" s="859" t="n">
        <f t="shared" si="26"/>
        <v>88.3</v>
      </c>
      <c r="Y32" s="859" t="n">
        <f t="shared" si="26"/>
        <v>88.6</v>
      </c>
      <c r="Z32" s="859" t="n">
        <f t="shared" si="26"/>
        <v>90.4</v>
      </c>
      <c r="AA32" s="859" t="n">
        <f t="shared" si="26"/>
        <v>92.5</v>
      </c>
      <c r="AB32" s="859" t="n">
        <f t="shared" si="26"/>
        <v>99.5</v>
      </c>
      <c r="AC32" s="859" t="n">
        <f t="shared" si="26"/>
        <v>101</v>
      </c>
      <c r="AD32" s="859" t="n">
        <f t="shared" si="26"/>
        <v>102.8</v>
      </c>
      <c r="AE32" s="859" t="n">
        <f t="shared" si="26"/>
        <v>97.530964112333479</v>
      </c>
      <c r="AF32" s="859" t="n">
        <f t="shared" si="26"/>
        <v>98.242973196050016</v>
      </c>
      <c r="AG32" s="859" t="n">
        <f t="shared" si="26"/>
        <v>99.36331123451248</v>
      </c>
      <c r="AH32" s="859" t="n">
        <f t="shared" si="26"/>
        <v>100.49528490377303</v>
      </c>
      <c r="AI32" s="859" t="n">
        <f t="shared" si="26"/>
        <v>101.63967692361805</v>
      </c>
      <c r="AJ32" s="859" t="n">
        <f t="shared" si="26"/>
        <v>102.79644614578294</v>
      </c>
      <c r="AK32" s="859" t="n">
        <f t="shared" si="26"/>
        <v>103.96668180355624</v>
      </c>
      <c r="AL32" s="859" t="n">
        <f t="shared" si="26"/>
        <v>104.72184487501949</v>
      </c>
      <c r="AM32" s="859" t="n">
        <f t="shared" si="26"/>
        <v>105.48265142924313</v>
      </c>
      <c r="AN32" s="859" t="n">
        <f t="shared" si="26"/>
        <v>106.24897079975837</v>
      </c>
    </row>
    <row r="33" ht="14.25" customHeight="1"/>
    <row r="34" ht="14.9" customHeight="1">
      <c r="D34" s="680"/>
      <c r="E34" s="468"/>
      <c r="F34" s="468"/>
      <c r="G34" s="468"/>
      <c r="H34" s="468"/>
      <c r="I34" s="468"/>
      <c r="J34" s="468"/>
      <c r="K34" s="468"/>
      <c r="L34" s="468"/>
      <c r="AI34" s="412"/>
      <c r="AJ34" s="412"/>
      <c r="AK34" s="412"/>
      <c r="AL34" s="412"/>
      <c r="AM34" s="412"/>
      <c r="AN34" s="412"/>
      <c r="AO34" s="412"/>
    </row>
    <row r="35" ht="14.9" customHeight="1">
      <c r="D35" s="929" t="s">
        <v>819</v>
      </c>
      <c r="E35" s="930"/>
      <c r="F35" s="931"/>
      <c r="G35" s="248" t="n">
        <v>2020</v>
      </c>
      <c r="H35" s="249" t="n">
        <v>2021</v>
      </c>
      <c r="I35" s="248" t="n">
        <v>2022</v>
      </c>
      <c r="J35" s="1024" t="n">
        <v>2023</v>
      </c>
      <c r="K35" s="1024" t="n">
        <v>2024</v>
      </c>
      <c r="L35" s="1025" t="n">
        <v>2025</v>
      </c>
      <c r="M35" s="1025" t="n">
        <v>2026</v>
      </c>
      <c r="N35" s="1025" t="n">
        <v>2027</v>
      </c>
      <c r="AI35" s="412"/>
      <c r="AJ35" s="412"/>
      <c r="AK35" s="412"/>
      <c r="AL35" s="412"/>
      <c r="AM35" s="412"/>
      <c r="AN35" s="412"/>
      <c r="AO35" s="412"/>
    </row>
    <row r="36" ht="14.9" customHeight="1">
      <c r="D36" s="998" t="s">
        <v>401</v>
      </c>
      <c r="E36" s="428"/>
      <c r="F36" s="457"/>
      <c r="G36" s="1060" t="n">
        <f>AVERAGE(H10:K10)</f>
        <v>85.8</v>
      </c>
      <c r="H36" s="626" t="n">
        <f>AVERAGE(L10:O10)</f>
        <v>102.77499999999999</v>
      </c>
      <c r="I36" s="626" t="n">
        <f>AVERAGE(P10:S10)</f>
        <v>109.6</v>
      </c>
      <c r="J36" s="626" t="n">
        <f>I36*J60/I60</f>
        <v>90.626586909155847</v>
      </c>
      <c r="K36" s="626" t="n">
        <f>J36*K60/J60</f>
        <v>101.01910920560987</v>
      </c>
      <c r="L36" s="626" t="n">
        <f>K36*L60/K60</f>
        <v>109.1501734136987</v>
      </c>
      <c r="M36" s="626" t="n">
        <f>L36*M60/L60</f>
        <v>123.60216933337637</v>
      </c>
      <c r="N36" s="626" t="n">
        <f>M36*N60/M60</f>
        <v>135.44735293838292</v>
      </c>
      <c r="O36" t="s">
        <v>1809</v>
      </c>
    </row>
    <row r="37" ht="14.9" customHeight="1">
      <c r="D37" s="1018" t="s">
        <v>406</v>
      </c>
      <c r="E37" s="286"/>
      <c r="F37" s="286"/>
      <c r="G37" s="1061" t="n">
        <f>AVERAGE(H13:K13)</f>
        <v>50.325000000000003</v>
      </c>
      <c r="H37" s="393" t="n">
        <f>AVERAGE(L13:O13)</f>
        <v>58.274999999999999</v>
      </c>
      <c r="I37" s="393" t="n">
        <f>AVERAGE(P13:S13)</f>
        <v>74.55</v>
      </c>
      <c r="J37" s="393" t="n">
        <f t="shared" ref="J37:N38" si="27">I37*J62/I62</f>
        <v>81.129481249401749</v>
      </c>
      <c r="K37" s="393" t="n">
        <f t="shared" si="27"/>
        <v>85.876778229704087</v>
      </c>
      <c r="L37" s="393" t="n">
        <f t="shared" si="27"/>
        <v>88.374096645424473</v>
      </c>
      <c r="M37" s="393" t="n">
        <f t="shared" si="27"/>
        <v>92.476309987152234</v>
      </c>
      <c r="N37" s="393" t="n">
        <f t="shared" si="27"/>
        <v>96.249976407558748</v>
      </c>
    </row>
    <row r="38" ht="14.9" customHeight="1">
      <c r="D38" s="1018" t="s">
        <v>79</v>
      </c>
      <c r="E38" s="286"/>
      <c r="F38" s="286"/>
      <c r="G38" s="1061" t="n">
        <f>AVERAGE(H15:K15)</f>
        <v>19</v>
      </c>
      <c r="H38" s="393" t="n">
        <f>AVERAGE(L15:O15)</f>
        <v>18.450000000000003</v>
      </c>
      <c r="I38" s="393" t="n">
        <f>AVERAGE(P15:S15)</f>
        <v>19.824999999999999</v>
      </c>
      <c r="J38" s="393" t="n">
        <f t="shared" si="27"/>
        <v>16.465295212765959</v>
      </c>
      <c r="K38" s="393" t="n">
        <f t="shared" si="27"/>
        <v>11.026707180851064</v>
      </c>
      <c r="L38" s="393" t="n">
        <f t="shared" si="27"/>
        <v>10.290440425531914</v>
      </c>
      <c r="M38" s="393" t="n">
        <f t="shared" si="27"/>
        <v>11.044739494680851</v>
      </c>
      <c r="N38" s="393" t="n">
        <f t="shared" si="27"/>
        <v>11.135428324468085</v>
      </c>
    </row>
    <row r="39" ht="14.9" customHeight="1">
      <c r="D39" s="1018" t="s">
        <v>187</v>
      </c>
      <c r="E39" s="286"/>
      <c r="F39" s="286"/>
      <c r="G39" s="1061" t="n">
        <f>AVERAGE(H19:K19)</f>
        <v>30.125</v>
      </c>
      <c r="H39" s="393" t="n">
        <f>AVERAGE(L19:O19)</f>
        <v>33.375</v>
      </c>
      <c r="I39" s="393" t="n">
        <f>AVERAGE(P19:S19)</f>
        <v>38.924999999999997</v>
      </c>
      <c r="J39" s="393" t="n">
        <f>I39*J66/I66</f>
        <v>38.440987885620672</v>
      </c>
      <c r="K39" s="393" t="n">
        <f>J39*K66/J66</f>
        <v>48.544775129628796</v>
      </c>
      <c r="L39" s="393" t="n">
        <f>K39*L66/K66</f>
        <v>47.978032949134679</v>
      </c>
      <c r="M39" s="393" t="n">
        <f>L39*M66/L66</f>
        <v>45.363836153431549</v>
      </c>
      <c r="N39" s="393" t="n">
        <f>M39*N66/M66</f>
        <v>42.966221723504063</v>
      </c>
    </row>
    <row r="40" ht="14.9" customHeight="1">
      <c r="C40" s="78"/>
      <c r="D40" s="1018" t="s">
        <v>815</v>
      </c>
      <c r="E40" s="78"/>
      <c r="F40" s="289"/>
      <c r="G40" s="737"/>
      <c r="H40" s="1059" t="n">
        <f>H36/G36-1+0.021</f>
        <v>0.21884382284382284</v>
      </c>
      <c r="I40" s="1059" t="n">
        <f>I36/H36-1.05</f>
        <v>1.6407200194599847E-2</v>
      </c>
      <c r="J40" s="1059" t="n">
        <f>J36/I36-1</f>
        <v>-0.17311508294565825</v>
      </c>
      <c r="K40" s="1059" t="n">
        <f>K36/J36-1+K41</f>
        <v>0.16967410007254818</v>
      </c>
      <c r="L40" s="1059" t="n">
        <f>L36/K36-1+L41</f>
        <v>8.0490357438603111E-2</v>
      </c>
      <c r="M40" s="1059" t="n">
        <f>M36/L36-1+M41</f>
        <v>0.13240469957754453</v>
      </c>
      <c r="N40" s="1059" t="n">
        <f>N36/M36-1+N41</f>
        <v>9.5833136820261178E-2</v>
      </c>
      <c r="O40" t="s">
        <v>804</v>
      </c>
    </row>
    <row r="41" ht="14.9" customHeight="1">
      <c r="C41" s="78"/>
      <c r="D41" s="1018" t="s">
        <v>1787</v>
      </c>
      <c r="E41" s="78"/>
      <c r="F41" s="289"/>
      <c r="G41" s="737"/>
      <c r="H41" s="1059"/>
      <c r="I41" s="1059"/>
      <c r="J41" s="1059"/>
      <c r="K41" s="1059" t="n">
        <v>5.5E-2</v>
      </c>
      <c r="L41" s="1059"/>
      <c r="M41" s="1059"/>
      <c r="N41" s="1059"/>
    </row>
    <row r="42" ht="14.9" customHeight="1">
      <c r="C42" s="78"/>
      <c r="D42" s="1018" t="s">
        <v>816</v>
      </c>
      <c r="E42" s="78"/>
      <c r="F42" s="289"/>
      <c r="G42" s="737"/>
      <c r="H42" s="1059" t="n">
        <f>H37/G37-1.03</f>
        <v>0.12797317436661682</v>
      </c>
      <c r="I42" s="1059" t="n">
        <f>I37/H37-1.013</f>
        <v>0.26627927927927941</v>
      </c>
      <c r="J42" s="981" t="n">
        <f>J37/I37-1</f>
        <v>8.8255952372927604E-2</v>
      </c>
      <c r="K42" s="981" t="n">
        <f>K37/J37-1</f>
        <v>5.851506637529913E-2</v>
      </c>
      <c r="L42" s="981" t="n">
        <f>L37/K37-1</f>
        <v>2.9080252743536095E-2</v>
      </c>
      <c r="M42" s="981" t="n">
        <f>M37/L37-1</f>
        <v>4.6418730119377694E-2</v>
      </c>
      <c r="N42" s="981" t="n">
        <f>N37/M37-1</f>
        <v>4.0806844703587197E-2</v>
      </c>
      <c r="O42" t="s">
        <v>805</v>
      </c>
    </row>
    <row r="43" ht="14.9" customHeight="1">
      <c r="C43" s="78"/>
      <c r="D43" s="1018" t="s">
        <v>817</v>
      </c>
      <c r="E43" s="78"/>
      <c r="F43" s="289"/>
      <c r="G43" s="737"/>
      <c r="H43" s="1059" t="n">
        <f>H38/G38-1</f>
        <v>-2.89473684210525E-2</v>
      </c>
      <c r="I43" s="1059" t="n">
        <f>I38/H38-1.01</f>
        <v>6.452574525745236E-2</v>
      </c>
      <c r="J43" s="1059" t="n">
        <f>J38/I38-1</f>
        <v>-0.16946808510638289</v>
      </c>
      <c r="K43" s="1059" t="n">
        <f t="shared" ref="K43" si="28">K38/J38-1</f>
        <v>-0.33030613551940569</v>
      </c>
      <c r="L43" s="1059" t="n">
        <f>L38/K38-1</f>
        <v>-6.677122582866335E-2</v>
      </c>
      <c r="M43" s="1059" t="n">
        <f>M38/L38-1</f>
        <v>7.3300950975569767E-2</v>
      </c>
      <c r="N43" s="1059" t="n">
        <f>N38/M38-1</f>
        <v>8.2110428979254024E-3</v>
      </c>
    </row>
    <row r="44" ht="14.9" customHeight="1">
      <c r="C44" s="78"/>
      <c r="D44" s="982" t="s">
        <v>818</v>
      </c>
      <c r="E44" s="77"/>
      <c r="F44" s="506"/>
      <c r="G44" s="736"/>
      <c r="H44" s="983" t="n">
        <f>H39/G39-1</f>
        <v>0.10788381742738595</v>
      </c>
      <c r="I44" s="983" t="n">
        <f>I39/H39-1.103</f>
        <v>6.3292134831460567E-2</v>
      </c>
      <c r="J44" s="983" t="n">
        <f>J39/I39-1</f>
        <v>-1.2434479495936457E-2</v>
      </c>
      <c r="K44" s="983" t="n">
        <f>K39/J39-1-0.15</f>
        <v>0.11283890710799263</v>
      </c>
      <c r="L44" s="983" t="n">
        <f>0.08</f>
        <v>0.08</v>
      </c>
      <c r="M44" s="983" t="n">
        <f>M39/L39-1+0.03</f>
        <v>-2.4487369219047511E-2</v>
      </c>
      <c r="N44" s="983" t="n">
        <f>N39/M39-1+0.03</f>
        <v>-2.2852991131926542E-2</v>
      </c>
    </row>
    <row r="45" ht="14.9" customHeight="1">
      <c r="D45" s="279"/>
      <c r="E45" s="995"/>
      <c r="F45" s="1005"/>
      <c r="G45" s="1005"/>
      <c r="H45" s="980"/>
      <c r="I45" s="980"/>
      <c r="J45" s="980"/>
      <c r="K45" s="980"/>
      <c r="L45" s="980"/>
    </row>
    <row r="46" ht="14.9" customHeight="1">
      <c r="D46" s="279"/>
      <c r="E46" s="995"/>
      <c r="F46" s="1005"/>
      <c r="G46" s="1005"/>
      <c r="H46" s="980"/>
      <c r="I46" s="980"/>
      <c r="J46" s="980"/>
      <c r="K46" s="980"/>
      <c r="L46" s="980"/>
    </row>
    <row r="47" ht="14.9" customHeight="1">
      <c r="D47" s="279"/>
      <c r="E47" s="995"/>
      <c r="F47" s="932" t="s">
        <v>191</v>
      </c>
      <c r="G47" s="933"/>
      <c r="H47" s="933"/>
      <c r="I47" s="933"/>
      <c r="J47" s="933"/>
      <c r="K47" s="933"/>
      <c r="L47" s="933"/>
      <c r="M47" s="933"/>
      <c r="N47" s="933"/>
      <c r="O47" s="933"/>
      <c r="P47" s="933"/>
      <c r="Q47" s="933"/>
      <c r="R47" s="933"/>
      <c r="S47" s="933"/>
      <c r="T47" s="933"/>
      <c r="U47" s="933"/>
      <c r="V47" s="934"/>
      <c r="W47" s="251" t="s">
        <v>192</v>
      </c>
      <c r="X47" s="252"/>
      <c r="Y47" s="252"/>
      <c r="Z47" s="252"/>
      <c r="AA47" s="252"/>
      <c r="AB47" s="252"/>
      <c r="AC47" s="252"/>
      <c r="AD47" s="252"/>
      <c r="AE47" s="252"/>
      <c r="AF47" s="252"/>
      <c r="AG47" s="252"/>
      <c r="AH47" s="253"/>
      <c r="AJ47" s="1036" t="s">
        <v>1855</v>
      </c>
    </row>
    <row r="48" ht="14.9" customHeight="1">
      <c r="D48" s="279"/>
      <c r="E48" s="995"/>
      <c r="F48" s="254" t="n">
        <v>2019</v>
      </c>
      <c r="G48" s="255"/>
      <c r="H48" s="256"/>
      <c r="I48" s="255" t="n">
        <v>2020</v>
      </c>
      <c r="J48" s="255"/>
      <c r="K48" s="255"/>
      <c r="L48" s="255"/>
      <c r="M48" s="254" t="n">
        <v>2021</v>
      </c>
      <c r="N48" s="255"/>
      <c r="O48" s="255"/>
      <c r="P48" s="255"/>
      <c r="Q48" s="254" t="n">
        <v>2022</v>
      </c>
      <c r="R48" s="255"/>
      <c r="S48" s="255"/>
      <c r="T48" s="256"/>
      <c r="U48" s="298"/>
      <c r="V48" s="298" t="n">
        <v>2023</v>
      </c>
      <c r="W48" s="433"/>
      <c r="X48" s="960"/>
      <c r="Y48" s="277" t="n">
        <v>2024</v>
      </c>
      <c r="Z48" s="257"/>
      <c r="AA48" s="257"/>
      <c r="AB48" s="258"/>
      <c r="AC48" s="277" t="n">
        <v>2025</v>
      </c>
      <c r="AD48" s="257"/>
      <c r="AE48" s="257"/>
      <c r="AF48" s="258"/>
      <c r="AG48" s="261" t="n">
        <v>2026</v>
      </c>
      <c r="AH48" s="262"/>
      <c r="AI48" s="262"/>
      <c r="AJ48" s="263"/>
    </row>
    <row r="49" ht="14.9" customHeight="1">
      <c r="D49" s="279"/>
      <c r="E49" s="995"/>
      <c r="F49" s="293" t="s">
        <v>195</v>
      </c>
      <c r="G49" s="294" t="s">
        <v>171</v>
      </c>
      <c r="H49" s="292" t="s">
        <v>193</v>
      </c>
      <c r="I49" s="294" t="s">
        <v>194</v>
      </c>
      <c r="J49" s="294" t="s">
        <v>195</v>
      </c>
      <c r="K49" s="294" t="s">
        <v>171</v>
      </c>
      <c r="L49" s="294" t="s">
        <v>193</v>
      </c>
      <c r="M49" s="293" t="s">
        <v>194</v>
      </c>
      <c r="N49" s="294" t="s">
        <v>195</v>
      </c>
      <c r="O49" s="294" t="s">
        <v>171</v>
      </c>
      <c r="P49" s="294" t="s">
        <v>193</v>
      </c>
      <c r="Q49" s="293" t="s">
        <v>194</v>
      </c>
      <c r="R49" s="294" t="s">
        <v>195</v>
      </c>
      <c r="S49" s="294" t="s">
        <v>171</v>
      </c>
      <c r="T49" s="292" t="s">
        <v>193</v>
      </c>
      <c r="U49" s="294" t="s">
        <v>194</v>
      </c>
      <c r="V49" s="294" t="s">
        <v>195</v>
      </c>
      <c r="W49" s="291" t="s">
        <v>171</v>
      </c>
      <c r="X49" s="297" t="s">
        <v>193</v>
      </c>
      <c r="Y49" s="296" t="s">
        <v>194</v>
      </c>
      <c r="Z49" s="290" t="s">
        <v>195</v>
      </c>
      <c r="AA49" s="291" t="s">
        <v>171</v>
      </c>
      <c r="AB49" s="297" t="s">
        <v>193</v>
      </c>
      <c r="AC49" s="296" t="s">
        <v>194</v>
      </c>
      <c r="AD49" s="290" t="s">
        <v>195</v>
      </c>
      <c r="AE49" s="291" t="s">
        <v>171</v>
      </c>
      <c r="AF49" s="291" t="s">
        <v>193</v>
      </c>
      <c r="AG49" s="296" t="s">
        <v>194</v>
      </c>
      <c r="AH49" s="290" t="s">
        <v>195</v>
      </c>
      <c r="AI49" s="291" t="s">
        <v>171</v>
      </c>
      <c r="AJ49" s="297" t="s">
        <v>193</v>
      </c>
    </row>
    <row r="50" ht="14.9" customHeight="1">
      <c r="D50" s="1018" t="s">
        <v>815</v>
      </c>
      <c r="E50" s="995"/>
      <c r="F50" s="1005"/>
      <c r="G50" s="1005"/>
      <c r="H50" s="980"/>
      <c r="I50" s="980"/>
      <c r="J50" s="980"/>
      <c r="K50" s="980"/>
      <c r="L50" s="980"/>
    </row>
    <row r="51" ht="14.9" customHeight="1">
      <c r="D51" s="1018" t="s">
        <v>1787</v>
      </c>
      <c r="E51" s="995"/>
      <c r="F51" s="1005"/>
      <c r="G51" s="1005"/>
      <c r="H51" s="980"/>
      <c r="I51" s="980"/>
      <c r="J51" s="980"/>
      <c r="K51" s="980"/>
      <c r="L51" s="980"/>
      <c r="M51" s="1038" t="n">
        <f>H40</f>
        <v>0.21884382284382284</v>
      </c>
      <c r="N51" s="1038" t="n">
        <f>H40</f>
        <v>0.21884382284382284</v>
      </c>
      <c r="O51" s="1038" t="n">
        <f>H40</f>
        <v>0.21884382284382284</v>
      </c>
      <c r="P51" s="1038" t="n">
        <f>H40</f>
        <v>0.21884382284382284</v>
      </c>
      <c r="Q51" s="1038" t="n">
        <f>I40</f>
        <v>1.6407200194599847E-2</v>
      </c>
      <c r="R51" s="1038" t="n">
        <f>I40</f>
        <v>1.6407200194599847E-2</v>
      </c>
      <c r="S51" s="1038" t="n">
        <f>I40</f>
        <v>1.6407200194599847E-2</v>
      </c>
      <c r="T51" s="1038" t="n">
        <f>I40</f>
        <v>1.6407200194599847E-2</v>
      </c>
      <c r="U51" s="1038" t="n">
        <f>J40</f>
        <v>-0.17311508294565825</v>
      </c>
      <c r="V51" s="1038" t="n">
        <f>J40</f>
        <v>-0.17311508294565825</v>
      </c>
      <c r="W51" s="1038" t="n">
        <f>J40</f>
        <v>-0.17311508294565825</v>
      </c>
      <c r="X51" s="1038" t="n">
        <f>J40</f>
        <v>-0.17311508294565825</v>
      </c>
      <c r="Y51" s="1038" t="n">
        <f>K40</f>
        <v>0.16967410007254818</v>
      </c>
      <c r="Z51" s="1038" t="n">
        <f>K40</f>
        <v>0.16967410007254818</v>
      </c>
      <c r="AA51" s="1038" t="n">
        <f>K40</f>
        <v>0.16967410007254818</v>
      </c>
      <c r="AB51" s="1038" t="n">
        <f t="shared" ref="AB51:AC55" si="29">K40</f>
        <v>0.16967410007254818</v>
      </c>
      <c r="AC51" s="1038" t="n">
        <f>L40</f>
        <v>8.0490357438603111E-2</v>
      </c>
      <c r="AD51" s="1038" t="n">
        <f>L40</f>
        <v>8.0490357438603111E-2</v>
      </c>
      <c r="AE51" s="1038" t="n">
        <f>L40</f>
        <v>8.0490357438603111E-2</v>
      </c>
      <c r="AF51" s="1038" t="n">
        <f t="shared" ref="AF51:AG55" si="30">L40</f>
        <v>8.0490357438603111E-2</v>
      </c>
      <c r="AG51" s="1038" t="n">
        <f t="shared" si="30"/>
        <v>0.13240469957754453</v>
      </c>
      <c r="AH51" s="1038" t="n">
        <f>M40</f>
        <v>0.13240469957754453</v>
      </c>
      <c r="AI51" s="1038" t="n">
        <f>M40</f>
        <v>0.13240469957754453</v>
      </c>
      <c r="AJ51" s="1038" t="n">
        <f>M40</f>
        <v>0.13240469957754453</v>
      </c>
    </row>
    <row r="52" ht="14.9" customHeight="1">
      <c r="D52" s="1018" t="s">
        <v>816</v>
      </c>
      <c r="E52" s="995"/>
      <c r="F52" s="1005"/>
      <c r="G52" s="1005"/>
      <c r="H52" s="980"/>
      <c r="I52" s="980"/>
      <c r="J52" s="980"/>
      <c r="K52" s="980"/>
      <c r="L52" s="980"/>
      <c r="Y52" s="1038" t="n">
        <f>K41</f>
        <v>5.5E-2</v>
      </c>
      <c r="Z52" s="1038" t="n">
        <f>K41</f>
        <v>5.5E-2</v>
      </c>
      <c r="AA52" s="1038" t="n">
        <f>K41</f>
        <v>5.5E-2</v>
      </c>
      <c r="AB52" s="1038" t="n">
        <f t="shared" si="29"/>
        <v>5.5E-2</v>
      </c>
      <c r="AC52" s="1038" t="n">
        <f>L41</f>
        <v>0</v>
      </c>
      <c r="AD52" s="1038" t="n">
        <f>L41</f>
        <v>0</v>
      </c>
      <c r="AE52" s="1038" t="n">
        <f>L41</f>
        <v>0</v>
      </c>
      <c r="AF52" s="1038" t="n">
        <f t="shared" si="30"/>
        <v>0</v>
      </c>
      <c r="AG52" s="1038" t="n">
        <f t="shared" si="30"/>
        <v>0</v>
      </c>
      <c r="AH52" s="1038" t="n">
        <f>M41</f>
        <v>0</v>
      </c>
      <c r="AI52" s="1038" t="n">
        <f>M41</f>
        <v>0</v>
      </c>
      <c r="AJ52" s="1038" t="n">
        <f>M41</f>
        <v>0</v>
      </c>
    </row>
    <row r="53" ht="14.9" customHeight="1">
      <c r="D53" s="1018" t="s">
        <v>817</v>
      </c>
      <c r="E53" s="995"/>
      <c r="F53" s="1005"/>
      <c r="G53" s="1005"/>
      <c r="H53" s="980"/>
      <c r="I53" s="980"/>
      <c r="J53" s="980"/>
      <c r="K53" s="980"/>
      <c r="L53" s="980"/>
      <c r="M53" s="1038" t="n">
        <f>H42</f>
        <v>0.12797317436661682</v>
      </c>
      <c r="N53" s="1038" t="n">
        <f>H42</f>
        <v>0.12797317436661682</v>
      </c>
      <c r="O53" s="177" t="n">
        <f>H42</f>
        <v>0.12797317436661682</v>
      </c>
      <c r="P53" s="1038" t="n">
        <f t="shared" ref="P53:Q55" si="31">H42</f>
        <v>0.12797317436661682</v>
      </c>
      <c r="Q53" s="1038" t="n">
        <f t="shared" si="31"/>
        <v>0.26627927927927941</v>
      </c>
      <c r="R53" s="1038" t="n">
        <f>I42</f>
        <v>0.26627927927927941</v>
      </c>
      <c r="S53" s="1038" t="n">
        <f>I42</f>
        <v>0.26627927927927941</v>
      </c>
      <c r="T53" s="1038" t="n">
        <f t="shared" ref="T53:U55" si="32">I42</f>
        <v>0.26627927927927941</v>
      </c>
      <c r="U53" s="177" t="n">
        <f t="shared" si="32"/>
        <v>8.8255952372927604E-2</v>
      </c>
      <c r="V53" s="177" t="n">
        <f>J42</f>
        <v>8.8255952372927604E-2</v>
      </c>
      <c r="W53" s="177" t="n">
        <f>J42</f>
        <v>8.8255952372927604E-2</v>
      </c>
      <c r="X53" s="177" t="n">
        <f>J42</f>
        <v>8.8255952372927604E-2</v>
      </c>
      <c r="Y53" s="1038" t="n">
        <f>K42</f>
        <v>5.851506637529913E-2</v>
      </c>
      <c r="Z53" s="1038" t="n">
        <f>K42</f>
        <v>5.851506637529913E-2</v>
      </c>
      <c r="AA53" s="1038" t="n">
        <f>K42</f>
        <v>5.851506637529913E-2</v>
      </c>
      <c r="AB53" s="1038" t="n">
        <f t="shared" si="29"/>
        <v>5.851506637529913E-2</v>
      </c>
      <c r="AC53" s="1038" t="n">
        <f t="shared" si="29"/>
        <v>2.9080252743536095E-2</v>
      </c>
      <c r="AD53" s="1038" t="n">
        <f>L42</f>
        <v>2.9080252743536095E-2</v>
      </c>
      <c r="AE53" s="1038" t="n">
        <f>L42</f>
        <v>2.9080252743536095E-2</v>
      </c>
      <c r="AF53" s="1038" t="n">
        <f t="shared" si="30"/>
        <v>2.9080252743536095E-2</v>
      </c>
      <c r="AG53" s="1038" t="n">
        <f>M42</f>
        <v>4.6418730119377694E-2</v>
      </c>
      <c r="AH53" s="1038" t="n">
        <f>M42</f>
        <v>4.6418730119377694E-2</v>
      </c>
      <c r="AI53" s="1038" t="n">
        <f>M42</f>
        <v>4.6418730119377694E-2</v>
      </c>
      <c r="AJ53" s="1038" t="n">
        <f>M42</f>
        <v>4.6418730119377694E-2</v>
      </c>
    </row>
    <row r="54" ht="14.9" customHeight="1">
      <c r="D54" s="982" t="s">
        <v>818</v>
      </c>
      <c r="E54" s="995"/>
      <c r="F54" s="1005"/>
      <c r="G54" s="1005"/>
      <c r="H54" s="980"/>
      <c r="I54" s="980"/>
      <c r="J54" s="980"/>
      <c r="K54" s="980"/>
      <c r="L54" s="980"/>
      <c r="M54" s="1038" t="n">
        <f>H43</f>
        <v>-2.89473684210525E-2</v>
      </c>
      <c r="N54" s="1038" t="n">
        <f>H43</f>
        <v>-2.89473684210525E-2</v>
      </c>
      <c r="O54" s="1038" t="n">
        <f>H43</f>
        <v>-2.89473684210525E-2</v>
      </c>
      <c r="P54" s="1038" t="n">
        <f t="shared" si="31"/>
        <v>-2.89473684210525E-2</v>
      </c>
      <c r="Q54" s="1038" t="n">
        <f t="shared" si="31"/>
        <v>6.452574525745236E-2</v>
      </c>
      <c r="R54" s="1038" t="n">
        <f>I43</f>
        <v>6.452574525745236E-2</v>
      </c>
      <c r="S54" s="1038" t="n">
        <f>I43</f>
        <v>6.452574525745236E-2</v>
      </c>
      <c r="T54" s="1038" t="n">
        <f t="shared" si="32"/>
        <v>6.452574525745236E-2</v>
      </c>
      <c r="U54" s="1038" t="n">
        <f t="shared" si="32"/>
        <v>-0.16946808510638289</v>
      </c>
      <c r="V54" s="1038" t="n">
        <f>J43</f>
        <v>-0.16946808510638289</v>
      </c>
      <c r="W54" s="1038" t="n">
        <f>J43</f>
        <v>-0.16946808510638289</v>
      </c>
      <c r="X54" s="1038" t="n">
        <f>J43</f>
        <v>-0.16946808510638289</v>
      </c>
      <c r="Y54" s="1038" t="n">
        <f>K43</f>
        <v>-0.33030613551940569</v>
      </c>
      <c r="Z54" s="1038" t="n">
        <f>K43</f>
        <v>-0.33030613551940569</v>
      </c>
      <c r="AA54" s="1038" t="n">
        <f>K43</f>
        <v>-0.33030613551940569</v>
      </c>
      <c r="AB54" s="1038" t="n">
        <f t="shared" si="29"/>
        <v>-0.33030613551940569</v>
      </c>
      <c r="AC54" s="1038" t="n">
        <f t="shared" si="29"/>
        <v>-6.677122582866335E-2</v>
      </c>
      <c r="AD54" s="1038" t="n">
        <f>L43</f>
        <v>-6.677122582866335E-2</v>
      </c>
      <c r="AE54" s="1038" t="n">
        <f>L43</f>
        <v>-6.677122582866335E-2</v>
      </c>
      <c r="AF54" s="1038" t="n">
        <f t="shared" si="30"/>
        <v>-6.677122582866335E-2</v>
      </c>
      <c r="AG54" s="1038" t="n">
        <f t="shared" si="30"/>
        <v>7.3300950975569767E-2</v>
      </c>
      <c r="AH54" s="1038" t="n">
        <f>M43</f>
        <v>7.3300950975569767E-2</v>
      </c>
      <c r="AI54" s="1038" t="n">
        <f>M43</f>
        <v>7.3300950975569767E-2</v>
      </c>
      <c r="AJ54" s="1038" t="n">
        <f>M43</f>
        <v>7.3300950975569767E-2</v>
      </c>
    </row>
    <row r="55" ht="14.9" customHeight="1">
      <c r="D55" s="279"/>
      <c r="E55" s="995"/>
      <c r="F55" s="1005"/>
      <c r="G55" s="1005"/>
      <c r="H55" s="980"/>
      <c r="I55" s="980"/>
      <c r="J55" s="980"/>
      <c r="K55" s="980"/>
      <c r="L55" s="980"/>
      <c r="M55" s="1038" t="n">
        <f>H44</f>
        <v>0.10788381742738595</v>
      </c>
      <c r="N55" s="1038" t="n">
        <f>H44</f>
        <v>0.10788381742738595</v>
      </c>
      <c r="O55" s="1038" t="n">
        <f>H44</f>
        <v>0.10788381742738595</v>
      </c>
      <c r="P55" s="1038" t="n">
        <f t="shared" si="31"/>
        <v>0.10788381742738595</v>
      </c>
      <c r="Q55" s="1038" t="n">
        <f t="shared" si="31"/>
        <v>6.3292134831460567E-2</v>
      </c>
      <c r="R55" s="1038" t="n">
        <f>I44</f>
        <v>6.3292134831460567E-2</v>
      </c>
      <c r="S55" s="1038" t="n">
        <f>I44</f>
        <v>6.3292134831460567E-2</v>
      </c>
      <c r="T55" s="1038" t="n">
        <f t="shared" si="32"/>
        <v>6.3292134831460567E-2</v>
      </c>
      <c r="U55" s="1038" t="n">
        <f t="shared" si="32"/>
        <v>-1.2434479495936457E-2</v>
      </c>
      <c r="V55" s="1038" t="n">
        <f>J44</f>
        <v>-1.2434479495936457E-2</v>
      </c>
      <c r="W55" s="1038" t="n">
        <f>J44</f>
        <v>-1.2434479495936457E-2</v>
      </c>
      <c r="X55" s="1038" t="n">
        <f>J44</f>
        <v>-1.2434479495936457E-2</v>
      </c>
      <c r="Y55" s="1038" t="n">
        <f>K44</f>
        <v>0.11283890710799263</v>
      </c>
      <c r="Z55" s="1038" t="n">
        <f>K44</f>
        <v>0.11283890710799263</v>
      </c>
      <c r="AA55" s="1038" t="n">
        <f>K44</f>
        <v>0.11283890710799263</v>
      </c>
      <c r="AB55" s="1038" t="n">
        <f t="shared" si="29"/>
        <v>0.11283890710799263</v>
      </c>
      <c r="AC55" s="1038" t="n">
        <f t="shared" si="29"/>
        <v>0.08</v>
      </c>
      <c r="AD55" s="1038" t="n">
        <f>L44</f>
        <v>0.08</v>
      </c>
      <c r="AE55" s="1038" t="n">
        <f>L44</f>
        <v>0.08</v>
      </c>
      <c r="AF55" s="1038" t="n">
        <f t="shared" si="30"/>
        <v>0.08</v>
      </c>
      <c r="AG55" s="1038" t="n">
        <f t="shared" si="30"/>
        <v>-2.4487369219047511E-2</v>
      </c>
      <c r="AH55" s="1038" t="n">
        <f>O44</f>
        <v>0</v>
      </c>
      <c r="AI55" s="1038" t="e">
        <f>#REF!</f>
        <v>#REF!</v>
      </c>
      <c r="AJ55" s="1038" t="n">
        <f>P44</f>
        <v>0</v>
      </c>
    </row>
    <row r="56" ht="14.9" customHeight="1">
      <c r="D56" s="279"/>
      <c r="E56" s="995"/>
      <c r="F56" s="1005"/>
      <c r="G56" s="1005"/>
      <c r="H56" s="980"/>
      <c r="I56" s="980"/>
      <c r="J56" s="1073"/>
      <c r="K56" s="980"/>
      <c r="L56" s="980"/>
    </row>
    <row r="57" ht="14.9" customHeight="1">
      <c r="D57" s="279"/>
      <c r="E57" s="995"/>
      <c r="F57" s="1005"/>
      <c r="G57" s="1005"/>
      <c r="H57" s="980"/>
      <c r="I57" s="980"/>
      <c r="J57" s="980"/>
      <c r="K57" s="980"/>
      <c r="L57" s="980"/>
    </row>
    <row r="58" ht="41.9" customHeight="1">
      <c r="F58" s="289"/>
      <c r="G58" s="289"/>
      <c r="H58" s="959"/>
      <c r="I58" s="959"/>
      <c r="J58" s="959"/>
      <c r="K58" s="959"/>
      <c r="L58" s="959"/>
      <c r="M58" s="289"/>
      <c r="N58" s="427"/>
      <c r="AF58" s="959"/>
      <c r="AG58" s="959"/>
      <c r="AH58" s="959"/>
      <c r="AI58" s="959"/>
      <c r="AJ58" s="959"/>
      <c r="AK58" s="959"/>
      <c r="AL58" s="959"/>
      <c r="AN58" s="959"/>
      <c r="AO58" s="959"/>
    </row>
    <row r="59" ht="30.75" customHeight="1">
      <c r="D59" s="965" t="s">
        <v>1866</v>
      </c>
      <c r="E59" s="840" t="n">
        <v>2018</v>
      </c>
      <c r="F59" s="967" t="n">
        <v>2019</v>
      </c>
      <c r="G59" s="967" t="n">
        <v>2020</v>
      </c>
      <c r="H59" s="967" t="n">
        <v>2021</v>
      </c>
      <c r="I59" s="967" t="n">
        <v>2022</v>
      </c>
      <c r="J59" s="1031" t="n">
        <v>2023</v>
      </c>
      <c r="K59" s="1033" t="n">
        <v>2024</v>
      </c>
      <c r="L59" s="1047" t="n">
        <v>2025</v>
      </c>
      <c r="M59" s="1028" t="n">
        <v>2026</v>
      </c>
      <c r="N59" s="1033" t="n">
        <v>2027</v>
      </c>
      <c r="O59" s="1047" t="n">
        <v>2028</v>
      </c>
      <c r="P59" s="1028" t="n">
        <v>2029</v>
      </c>
      <c r="Q59" s="1033" t="n">
        <v>2030</v>
      </c>
      <c r="R59" s="1047" t="n">
        <v>2031</v>
      </c>
      <c r="S59" s="1028" t="n">
        <v>2032</v>
      </c>
      <c r="T59" s="1047" t="n">
        <v>2033</v>
      </c>
      <c r="U59" s="1028" t="n">
        <v>2034</v>
      </c>
      <c r="V59" s="1033" t="n">
        <v>2035</v>
      </c>
      <c r="W59" s="1028" t="n">
        <v>2036</v>
      </c>
      <c r="X59" s="1047" t="n">
        <v>2037</v>
      </c>
    </row>
    <row r="60" ht="30.75" customHeight="1">
      <c r="D60" s="936" t="s">
        <v>401</v>
      </c>
      <c r="E60" s="968" t="n">
        <v>1683.5</v>
      </c>
      <c r="F60" s="968" t="n">
        <v>1717.9</v>
      </c>
      <c r="G60" s="968" t="n">
        <v>1609</v>
      </c>
      <c r="H60" s="514" t="n">
        <v>2044.377</v>
      </c>
      <c r="I60" s="626" t="n">
        <v>2632.145</v>
      </c>
      <c r="J60" s="626" t="n">
        <v>2176.4810000000002</v>
      </c>
      <c r="K60" s="626" t="n">
        <v>2426.067</v>
      </c>
      <c r="L60" s="1029" t="n">
        <v>2621.3420000000001</v>
      </c>
      <c r="M60" s="1029" t="n">
        <v>2968.42</v>
      </c>
      <c r="N60" s="1029" t="n">
        <v>3252.893</v>
      </c>
      <c r="O60" s="1029" t="n">
        <v>3355.3890000000001</v>
      </c>
      <c r="P60" s="1029" t="n">
        <v>3454.9960000000001</v>
      </c>
      <c r="Q60" s="1029" t="n">
        <v>3583.7379999999998</v>
      </c>
      <c r="R60" s="1029" t="n">
        <v>3720.614</v>
      </c>
      <c r="S60" s="1029" t="n">
        <v>3869.8490000000002</v>
      </c>
      <c r="T60" s="1029" t="n">
        <v>4036.6990000000001</v>
      </c>
      <c r="U60" s="1029" t="n">
        <v>4220.3469999999998</v>
      </c>
      <c r="V60" s="578" t="n">
        <v>4412.8320000000003</v>
      </c>
    </row>
    <row r="61" ht="30.75" customHeight="1">
      <c r="D61" s="989" t="s">
        <v>1874</v>
      </c>
      <c r="E61" s="1045"/>
      <c r="F61" s="1045"/>
      <c r="G61" s="1045"/>
      <c r="H61" s="800" t="n">
        <f t="shared" ref="H61:U61" si="33">((H60/G60)-1)*100</f>
        <v>27.058856432566802</v>
      </c>
      <c r="I61" s="800" t="n">
        <f t="shared" si="33"/>
        <v>28.750470192141677</v>
      </c>
      <c r="J61" s="800" t="n">
        <f t="shared" si="33"/>
        <v>-17.311508294565826</v>
      </c>
      <c r="K61" s="800" t="n">
        <f t="shared" si="33"/>
        <v>11.46741000725482</v>
      </c>
      <c r="L61" s="800" t="n">
        <f t="shared" si="33"/>
        <v>8.0490357438603333</v>
      </c>
      <c r="M61" s="800" t="n">
        <f t="shared" si="33"/>
        <v>13.240469957754453</v>
      </c>
      <c r="N61" s="800" t="n">
        <f t="shared" si="33"/>
        <v>9.5833136820261178</v>
      </c>
      <c r="O61" s="800" t="n">
        <f t="shared" si="33"/>
        <v>3.1509182749017706</v>
      </c>
      <c r="P61" s="800" t="n">
        <f t="shared" si="33"/>
        <v>2.9685678769287183</v>
      </c>
      <c r="Q61" s="800" t="n">
        <f t="shared" si="33"/>
        <v>3.726256123017202</v>
      </c>
      <c r="R61" s="800" t="n">
        <f t="shared" si="33"/>
        <v>3.8193640271694029</v>
      </c>
      <c r="S61" s="800" t="n">
        <f t="shared" si="33"/>
        <v>4.0110315125406748</v>
      </c>
      <c r="T61" s="800" t="n">
        <f t="shared" si="33"/>
        <v>4.3115377370021468</v>
      </c>
      <c r="U61" s="800" t="n">
        <f t="shared" si="33"/>
        <v>4.5494598433026612</v>
      </c>
      <c r="V61" s="578"/>
    </row>
    <row r="62" ht="16.5" customHeight="1">
      <c r="D62" s="1026" t="s">
        <v>402</v>
      </c>
      <c r="E62" s="1045" t="n">
        <v>1170.7</v>
      </c>
      <c r="F62" s="1045" t="n">
        <v>1243.4000000000001</v>
      </c>
      <c r="G62" s="1045" t="n">
        <v>1310</v>
      </c>
      <c r="H62" s="578" t="n">
        <v>1314.088</v>
      </c>
      <c r="I62" s="393" t="n">
        <v>1483.5260000000001</v>
      </c>
      <c r="J62" s="393" t="n">
        <v>1614.4559999999999</v>
      </c>
      <c r="K62" s="393" t="n">
        <v>1708.9259999999999</v>
      </c>
      <c r="L62" s="393" t="n">
        <v>1758.6220000000001</v>
      </c>
      <c r="M62" s="1032" t="n">
        <v>1840.2550000000001</v>
      </c>
      <c r="N62" s="393" t="n">
        <v>1915.35</v>
      </c>
      <c r="O62" s="393" t="n">
        <v>1989.9770000000001</v>
      </c>
      <c r="P62" s="393" t="n">
        <v>2071.8760000000002</v>
      </c>
      <c r="Q62" s="393" t="n">
        <v>2155.48</v>
      </c>
      <c r="R62" s="393" t="n">
        <v>2241.7910000000002</v>
      </c>
      <c r="S62" s="393" t="n">
        <v>2329.39</v>
      </c>
      <c r="T62" s="393" t="n">
        <v>2418.5300000000002</v>
      </c>
      <c r="U62" s="393" t="n">
        <v>2510.3110000000001</v>
      </c>
      <c r="V62" s="393" t="n">
        <v>2605.1819999999998</v>
      </c>
    </row>
    <row r="63">
      <c r="D63" s="737" t="s">
        <v>403</v>
      </c>
      <c r="E63" s="578" t="n">
        <f>E64+E65</f>
        <v>136.30000000000001</v>
      </c>
      <c r="F63" s="578" t="n">
        <f t="shared" ref="F63:K63" si="34">F64+F65</f>
        <v>170.6</v>
      </c>
      <c r="G63" s="578" t="n">
        <f t="shared" si="34"/>
        <v>156</v>
      </c>
      <c r="H63" s="578" t="n">
        <f t="shared" si="34"/>
        <v>155.25900000000001</v>
      </c>
      <c r="I63" s="578" t="n">
        <f t="shared" si="34"/>
        <v>188</v>
      </c>
      <c r="J63" s="578" t="n">
        <f t="shared" si="34"/>
        <v>156.14000000000001</v>
      </c>
      <c r="K63" s="578" t="n">
        <f t="shared" si="34"/>
        <v>104.566</v>
      </c>
      <c r="L63" s="578" t="n">
        <f>L64+L65</f>
        <v>97.583999999999989</v>
      </c>
      <c r="M63" s="1043" t="n">
        <f>M64+M65</f>
        <v>104.73699999999999</v>
      </c>
      <c r="N63" s="1043" t="n">
        <f t="shared" ref="N63:V63" si="35">N64+N65</f>
        <v>105.59699999999999</v>
      </c>
      <c r="O63" s="1043" t="n">
        <f t="shared" si="35"/>
        <v>105.84200000000001</v>
      </c>
      <c r="P63" s="1043" t="n">
        <f t="shared" si="35"/>
        <v>109.229</v>
      </c>
      <c r="Q63" s="1043" t="n">
        <f t="shared" si="35"/>
        <v>157.536</v>
      </c>
      <c r="R63" s="1043" t="n">
        <f t="shared" si="35"/>
        <v>206.88</v>
      </c>
      <c r="S63" s="1043" t="n">
        <f t="shared" si="35"/>
        <v>222.535</v>
      </c>
      <c r="T63" s="1043" t="n">
        <f t="shared" si="35"/>
        <v>231.29900000000001</v>
      </c>
      <c r="U63" s="1043" t="n">
        <f t="shared" si="35"/>
        <v>240.52500000000003</v>
      </c>
      <c r="V63" s="1043" t="n">
        <f t="shared" si="35"/>
        <v>252.53300000000002</v>
      </c>
      <c r="W63" s="1021"/>
    </row>
    <row r="64">
      <c r="D64" s="867" t="s">
        <v>1811</v>
      </c>
      <c r="E64" s="1045" t="n">
        <v>95</v>
      </c>
      <c r="F64" s="1045" t="n">
        <v>99.8</v>
      </c>
      <c r="G64" s="1045" t="n">
        <v>87</v>
      </c>
      <c r="H64" s="578" t="n">
        <v>75.274000000000001</v>
      </c>
      <c r="I64" s="1044" t="n">
        <v>88</v>
      </c>
      <c r="J64" s="1030" t="n">
        <v>75.802000000000007</v>
      </c>
      <c r="K64" s="578" t="n">
        <v>101.435</v>
      </c>
      <c r="L64" s="578" t="n">
        <v>91.840999999999994</v>
      </c>
      <c r="M64" s="1043" t="n">
        <v>97.257999999999996</v>
      </c>
      <c r="N64" s="578" t="n">
        <v>97.07</v>
      </c>
      <c r="O64" s="578" t="n">
        <v>95.424000000000007</v>
      </c>
      <c r="P64" s="578" t="n">
        <v>96.096000000000004</v>
      </c>
      <c r="Q64" s="578" t="n">
        <v>96.950999999999993</v>
      </c>
      <c r="R64" s="578" t="n">
        <v>95.209000000000003</v>
      </c>
      <c r="S64" s="578" t="n">
        <v>95.295000000000002</v>
      </c>
      <c r="T64" s="578" t="n">
        <v>95.778999999999996</v>
      </c>
      <c r="U64" s="578" t="n">
        <v>95.177000000000007</v>
      </c>
      <c r="V64" s="578" t="n">
        <v>97.59</v>
      </c>
      <c r="W64" s="578" t="n">
        <v>482.79899999999998</v>
      </c>
      <c r="X64" s="578" t="n">
        <v>961.84900000000005</v>
      </c>
    </row>
    <row r="65" ht="16.5" customHeight="1">
      <c r="D65" s="686" t="s">
        <v>1810</v>
      </c>
      <c r="E65" s="1045" t="n">
        <v>41.3</v>
      </c>
      <c r="F65" s="1045" t="n">
        <v>70.8</v>
      </c>
      <c r="G65" s="1045" t="n">
        <v>69</v>
      </c>
      <c r="H65" s="578" t="n">
        <v>79.984999999999999</v>
      </c>
      <c r="I65" s="1044" t="n">
        <v>100</v>
      </c>
      <c r="J65" s="1030" t="n">
        <v>80.338000000000008</v>
      </c>
      <c r="K65" s="578" t="n">
        <v>3.1309999999999998</v>
      </c>
      <c r="L65" s="578" t="n">
        <v>5.7430000000000003</v>
      </c>
      <c r="M65" s="1043" t="n">
        <v>7.4790000000000001</v>
      </c>
      <c r="N65" s="578" t="n">
        <v>8.5269999999999992</v>
      </c>
      <c r="O65" s="578" t="n">
        <v>10.417999999999999</v>
      </c>
      <c r="P65" s="578" t="n">
        <v>13.132999999999999</v>
      </c>
      <c r="Q65" s="578" t="n">
        <v>60.585000000000001</v>
      </c>
      <c r="R65" s="578" t="n">
        <v>111.67100000000001</v>
      </c>
      <c r="S65" s="578" t="n">
        <v>127.24</v>
      </c>
      <c r="T65" s="578" t="n">
        <v>135.52000000000001</v>
      </c>
      <c r="U65" s="578" t="n">
        <v>145.34800000000001</v>
      </c>
      <c r="V65" s="578" t="n">
        <v>154.94300000000001</v>
      </c>
      <c r="W65" s="578" t="n">
        <v>100.142</v>
      </c>
      <c r="X65" s="578" t="n">
        <v>774.86400000000003</v>
      </c>
      <c r="Y65" s="1006"/>
      <c r="Z65" s="1020"/>
    </row>
    <row r="66" ht="16.5" customHeight="1">
      <c r="D66" s="937" t="s">
        <v>80</v>
      </c>
      <c r="E66" s="969" t="n">
        <v>204.7</v>
      </c>
      <c r="F66" s="969" t="n">
        <v>230.2</v>
      </c>
      <c r="G66" s="969" t="n">
        <v>212</v>
      </c>
      <c r="H66" s="992" t="n">
        <v>371.83100000000002</v>
      </c>
      <c r="I66" s="649" t="n">
        <v>424.86700000000002</v>
      </c>
      <c r="J66" s="649" t="n">
        <v>419.584</v>
      </c>
      <c r="K66" s="649" t="n">
        <v>529.86699999999996</v>
      </c>
      <c r="L66" s="649" t="n">
        <v>523.68100000000004</v>
      </c>
      <c r="M66" s="649" t="n">
        <v>495.14699999999999</v>
      </c>
      <c r="N66" s="649" t="n">
        <v>468.97699999999998</v>
      </c>
      <c r="O66" s="649" t="n">
        <v>462.33800000000002</v>
      </c>
      <c r="P66" s="649" t="n">
        <v>452.81200000000001</v>
      </c>
      <c r="Q66" s="649" t="n">
        <v>450.154</v>
      </c>
      <c r="R66" s="1041" t="n">
        <v>455.77699999999999</v>
      </c>
      <c r="S66" s="1041" t="n">
        <v>467.89699999999999</v>
      </c>
      <c r="T66" s="1041" t="n">
        <v>493.13400000000001</v>
      </c>
      <c r="U66" s="1041" t="n">
        <v>503.37799999999999</v>
      </c>
      <c r="V66" s="1041" t="n">
        <v>517.11500000000001</v>
      </c>
      <c r="W66" s="1019"/>
      <c r="X66" s="1006"/>
      <c r="Y66" s="1006"/>
      <c r="Z66" s="1020"/>
    </row>
    <row r="67" ht="16.5" customHeight="1">
      <c r="J67" s="177"/>
      <c r="K67" s="177"/>
      <c r="L67" s="177"/>
      <c r="M67" s="177"/>
      <c r="N67" s="177"/>
    </row>
    <row r="68">
      <c r="D68" s="782" t="s">
        <v>404</v>
      </c>
      <c r="E68" s="840" t="n">
        <v>2018</v>
      </c>
      <c r="F68" s="889" t="n">
        <v>2019</v>
      </c>
      <c r="G68" s="889" t="n">
        <v>2020</v>
      </c>
      <c r="H68" s="930" t="n">
        <v>2021</v>
      </c>
      <c r="I68" s="889" t="n">
        <v>2022</v>
      </c>
      <c r="J68" s="930" t="n">
        <v>2023</v>
      </c>
      <c r="K68" s="1024" t="n">
        <v>2024</v>
      </c>
      <c r="L68" s="1024" t="n">
        <v>2025</v>
      </c>
      <c r="M68" s="1028" t="n">
        <v>2026</v>
      </c>
      <c r="O68" s="680" t="s">
        <v>405</v>
      </c>
    </row>
    <row r="69" ht="14.9" customHeight="1">
      <c r="D69" s="998" t="s">
        <v>401</v>
      </c>
      <c r="E69" s="457" t="n">
        <v>1622</v>
      </c>
      <c r="F69" s="457" t="n">
        <v>1687</v>
      </c>
      <c r="G69" s="1049" t="n">
        <f t="shared" ref="G69:M72" si="36">G36</f>
        <v>85.8</v>
      </c>
      <c r="H69" s="1049" t="n">
        <f t="shared" si="36"/>
        <v>102.77499999999999</v>
      </c>
      <c r="I69" s="1049" t="n">
        <f t="shared" si="36"/>
        <v>109.6</v>
      </c>
      <c r="J69" s="1041" t="n">
        <f t="shared" si="36"/>
        <v>90.626586909155847</v>
      </c>
      <c r="K69" s="1041" t="n">
        <f t="shared" si="36"/>
        <v>101.01910920560987</v>
      </c>
      <c r="L69" s="1041" t="n">
        <f t="shared" si="36"/>
        <v>109.1501734136987</v>
      </c>
      <c r="M69" s="1062" t="n">
        <f t="shared" si="36"/>
        <v>123.60216933337637</v>
      </c>
    </row>
    <row r="70">
      <c r="D70" s="1018" t="s">
        <v>406</v>
      </c>
      <c r="E70" s="286" t="n">
        <v>1332</v>
      </c>
      <c r="F70" s="286" t="n">
        <v>1388</v>
      </c>
      <c r="G70" s="1041" t="n">
        <f t="shared" si="36"/>
        <v>50.325000000000003</v>
      </c>
      <c r="H70" s="1041" t="n">
        <f t="shared" si="36"/>
        <v>58.274999999999999</v>
      </c>
      <c r="I70" s="1041" t="n">
        <f t="shared" si="36"/>
        <v>74.55</v>
      </c>
      <c r="J70" s="1041" t="n">
        <f t="shared" si="36"/>
        <v>81.129481249401749</v>
      </c>
      <c r="K70" s="1041" t="n">
        <f t="shared" si="36"/>
        <v>85.876778229704087</v>
      </c>
      <c r="L70" s="1041" t="n">
        <f t="shared" si="36"/>
        <v>88.374096645424473</v>
      </c>
      <c r="M70" s="1062" t="n">
        <f t="shared" si="36"/>
        <v>92.476309987152234</v>
      </c>
      <c r="N70" s="1004"/>
    </row>
    <row r="71">
      <c r="D71" s="1018" t="s">
        <v>79</v>
      </c>
      <c r="E71" s="286" t="n">
        <v>150</v>
      </c>
      <c r="F71" s="286" t="n">
        <v>175</v>
      </c>
      <c r="G71" s="1041" t="n">
        <f t="shared" si="36"/>
        <v>19</v>
      </c>
      <c r="H71" s="1041" t="n">
        <f t="shared" si="36"/>
        <v>18.450000000000003</v>
      </c>
      <c r="I71" s="1041" t="n">
        <f t="shared" si="36"/>
        <v>19.824999999999999</v>
      </c>
      <c r="J71" s="1041" t="n">
        <f t="shared" si="36"/>
        <v>16.465295212765959</v>
      </c>
      <c r="K71" s="1041" t="n">
        <f t="shared" si="36"/>
        <v>11.026707180851064</v>
      </c>
      <c r="L71" s="1041" t="n">
        <f t="shared" si="36"/>
        <v>10.290440425531914</v>
      </c>
      <c r="M71" s="1062" t="n">
        <f t="shared" si="36"/>
        <v>11.044739494680851</v>
      </c>
      <c r="N71" s="1004"/>
    </row>
    <row r="72">
      <c r="D72" s="982" t="s">
        <v>187</v>
      </c>
      <c r="E72" s="734" t="n">
        <v>208</v>
      </c>
      <c r="F72" s="734" t="n">
        <v>219</v>
      </c>
      <c r="G72" s="1050" t="n">
        <f t="shared" si="36"/>
        <v>30.125</v>
      </c>
      <c r="H72" s="1050" t="n">
        <f t="shared" si="36"/>
        <v>33.375</v>
      </c>
      <c r="I72" s="1050" t="n">
        <f t="shared" si="36"/>
        <v>38.924999999999997</v>
      </c>
      <c r="J72" s="1050" t="n">
        <f t="shared" si="36"/>
        <v>38.440987885620672</v>
      </c>
      <c r="K72" s="1050" t="n">
        <f t="shared" si="36"/>
        <v>48.544775129628796</v>
      </c>
      <c r="L72" s="1050" t="n">
        <f t="shared" si="36"/>
        <v>47.978032949134679</v>
      </c>
      <c r="M72" s="1072" t="n">
        <f t="shared" si="36"/>
        <v>45.363836153431549</v>
      </c>
      <c r="O72" s="137" t="s">
        <v>799</v>
      </c>
      <c r="P72" s="137" t="s">
        <v>799</v>
      </c>
      <c r="Q72" s="137" t="s">
        <v>799</v>
      </c>
      <c r="R72" s="137" t="s">
        <v>799</v>
      </c>
      <c r="S72" s="137" t="s">
        <v>799</v>
      </c>
      <c r="T72" s="137" t="s">
        <v>799</v>
      </c>
      <c r="U72" s="137" t="s">
        <v>799</v>
      </c>
      <c r="V72" s="138" t="s">
        <v>799</v>
      </c>
    </row>
    <row r="73" ht="14.9" customHeight="1">
      <c r="D73" s="414"/>
      <c r="E73" s="286"/>
      <c r="F73" s="286"/>
      <c r="G73" s="286"/>
      <c r="P73" s="139" t="n">
        <v>2022</v>
      </c>
      <c r="Q73" s="140" t="n">
        <v>2022</v>
      </c>
      <c r="R73" s="140" t="n">
        <v>2022</v>
      </c>
      <c r="S73" s="141" t="n">
        <v>2022</v>
      </c>
    </row>
    <row r="74" ht="17.25" customHeight="1">
      <c r="D74" s="383" t="s">
        <v>408</v>
      </c>
      <c r="E74" s="286"/>
      <c r="F74" s="286"/>
      <c r="G74" s="286"/>
      <c r="P74" s="222" t="s">
        <v>800</v>
      </c>
      <c r="Q74" s="222" t="s">
        <v>801</v>
      </c>
      <c r="R74" s="222" t="s">
        <v>802</v>
      </c>
      <c r="S74" s="222" t="s">
        <v>803</v>
      </c>
      <c r="T74" s="134" t="s">
        <v>814</v>
      </c>
    </row>
    <row r="75" ht="30" customHeight="1">
      <c r="D75" s="1057" t="s">
        <v>409</v>
      </c>
      <c r="E75" s="889" t="n">
        <v>2018</v>
      </c>
      <c r="F75" s="889" t="n">
        <v>2019</v>
      </c>
      <c r="G75" s="889" t="n">
        <v>2020</v>
      </c>
      <c r="H75" s="930" t="n">
        <v>2021</v>
      </c>
      <c r="I75" s="889" t="n">
        <v>2022</v>
      </c>
      <c r="J75" s="889" t="n">
        <v>2023</v>
      </c>
      <c r="K75" s="1048" t="n">
        <v>2024</v>
      </c>
      <c r="L75" s="1048" t="n">
        <v>2025</v>
      </c>
      <c r="M75" s="1028" t="n">
        <v>2026</v>
      </c>
      <c r="O75" s="69" t="s">
        <v>407</v>
      </c>
      <c r="P75" s="226" t="n">
        <v>2973</v>
      </c>
      <c r="Q75" s="226" t="n">
        <v>3062.8</v>
      </c>
      <c r="R75" s="226" t="n">
        <v>3085.2</v>
      </c>
      <c r="S75" s="966" t="n">
        <v>2106.1999999999998</v>
      </c>
      <c r="T75" s="226" t="n">
        <v>3123.2</v>
      </c>
    </row>
    <row r="76">
      <c r="D76" s="998" t="s">
        <v>401</v>
      </c>
      <c r="E76" s="1058" t="n">
        <f t="shared" ref="E76:M76" si="37">E69/E60</f>
        <v>0.96346896346896349</v>
      </c>
      <c r="F76" s="1058" t="n">
        <f t="shared" si="37"/>
        <v>0.98201292275452579</v>
      </c>
      <c r="G76" s="1058" t="n">
        <f t="shared" si="37"/>
        <v>5.3325046612802983E-2</v>
      </c>
      <c r="H76" s="1058" t="n">
        <f t="shared" si="37"/>
        <v>5.0272038865629969E-2</v>
      </c>
      <c r="I76" s="1058" t="n">
        <f t="shared" si="37"/>
        <v>4.1639043441755674E-2</v>
      </c>
      <c r="J76" s="1058" t="n">
        <f t="shared" si="37"/>
        <v>4.1639043441755674E-2</v>
      </c>
      <c r="K76" s="1058" t="n">
        <f t="shared" si="37"/>
        <v>4.1639043441755674E-2</v>
      </c>
      <c r="L76" s="1058" t="n">
        <f t="shared" si="37"/>
        <v>4.1639043441755667E-2</v>
      </c>
      <c r="M76" s="1042" t="n">
        <f t="shared" si="37"/>
        <v>4.1639043441755667E-2</v>
      </c>
      <c r="T76" s="387"/>
    </row>
    <row r="77">
      <c r="D77" s="1018" t="s">
        <v>406</v>
      </c>
      <c r="E77" s="800" t="n">
        <f t="shared" ref="E77:M77" si="38">E70/E62</f>
        <v>1.1377808148970701</v>
      </c>
      <c r="F77" s="800" t="n">
        <f t="shared" si="38"/>
        <v>1.1162940324915553</v>
      </c>
      <c r="G77" s="800" t="n">
        <f t="shared" si="38"/>
        <v>3.841603053435115E-2</v>
      </c>
      <c r="H77" s="800" t="n">
        <f t="shared" si="38"/>
        <v>4.4346345145834985E-2</v>
      </c>
      <c r="I77" s="800" t="n">
        <f t="shared" si="38"/>
        <v>5.0251899865590491E-2</v>
      </c>
      <c r="J77" s="800" t="n">
        <f t="shared" si="38"/>
        <v>5.0251899865590484E-2</v>
      </c>
      <c r="K77" s="800" t="n">
        <f t="shared" si="38"/>
        <v>5.0251899865590491E-2</v>
      </c>
      <c r="L77" s="800" t="n">
        <f t="shared" si="38"/>
        <v>5.0251899865590484E-2</v>
      </c>
      <c r="M77" s="801" t="n">
        <f t="shared" si="38"/>
        <v>5.0251899865590491E-2</v>
      </c>
    </row>
    <row r="78">
      <c r="D78" s="1018" t="s">
        <v>79</v>
      </c>
      <c r="E78" s="800" t="n">
        <f t="shared" ref="E78:M78" si="39">E71/E63</f>
        <v>1.1005135730007336</v>
      </c>
      <c r="F78" s="800" t="n">
        <f t="shared" si="39"/>
        <v>1.0257913247362251</v>
      </c>
      <c r="G78" s="800" t="n">
        <f t="shared" si="39"/>
        <v>0.12179487179487179</v>
      </c>
      <c r="H78" s="800" t="n">
        <f t="shared" si="39"/>
        <v>0.11883369080053331</v>
      </c>
      <c r="I78" s="800" t="n">
        <f t="shared" si="39"/>
        <v>0.10545212765957447</v>
      </c>
      <c r="J78" s="800" t="n">
        <f t="shared" si="39"/>
        <v>0.10545212765957447</v>
      </c>
      <c r="K78" s="800" t="n">
        <f t="shared" si="39"/>
        <v>0.10545212765957447</v>
      </c>
      <c r="L78" s="800" t="n">
        <f t="shared" si="39"/>
        <v>0.10545212765957447</v>
      </c>
      <c r="M78" s="801" t="n">
        <f t="shared" si="39"/>
        <v>0.10545212765957447</v>
      </c>
    </row>
    <row r="79">
      <c r="D79" s="982" t="s">
        <v>187</v>
      </c>
      <c r="E79" s="984" t="n">
        <f>E72/E66</f>
        <v>1.0161211529066927</v>
      </c>
      <c r="F79" s="984" t="n">
        <f>F72/F66</f>
        <v>0.95134665508253702</v>
      </c>
      <c r="G79" s="984" t="n">
        <f>G72/G66</f>
        <v>0.14209905660377359</v>
      </c>
      <c r="H79" s="984" t="n">
        <f>H72/H66</f>
        <v>8.9758519327328812E-2</v>
      </c>
      <c r="I79" s="984" t="n">
        <f>I72/I66</f>
        <v>9.161690599646477E-2</v>
      </c>
      <c r="J79" s="984" t="n">
        <f>J72/J64</f>
        <v>0.50712366277434195</v>
      </c>
      <c r="K79" s="984" t="n">
        <f>K72/K64</f>
        <v>0.47858012648128156</v>
      </c>
      <c r="L79" s="984" t="n">
        <f>L72/L64</f>
        <v>0.52240320716384492</v>
      </c>
      <c r="M79" s="1027" t="n">
        <f>M72/M64</f>
        <v>0.46642781214328438</v>
      </c>
    </row>
    <row r="81">
      <c r="D81" s="414"/>
      <c r="E81" s="286"/>
      <c r="F81" s="286"/>
      <c r="G81" s="286"/>
    </row>
    <row r="82">
      <c r="D82" s="289"/>
    </row>
    <row r="83" ht="30" customHeight="1">
      <c r="D83" s="1034" t="s">
        <v>1867</v>
      </c>
      <c r="E83" s="840" t="n">
        <v>2018</v>
      </c>
      <c r="F83" s="967" t="n">
        <v>2019</v>
      </c>
      <c r="G83" s="967" t="n">
        <v>2020</v>
      </c>
      <c r="H83" s="1031" t="n">
        <v>2021</v>
      </c>
      <c r="I83" s="967" t="n">
        <v>2022</v>
      </c>
      <c r="J83" s="967" t="n">
        <v>2023</v>
      </c>
      <c r="K83" s="970" t="n">
        <v>2024</v>
      </c>
      <c r="L83" s="970" t="n">
        <v>2025</v>
      </c>
      <c r="M83" s="1028" t="n">
        <v>2026</v>
      </c>
    </row>
    <row r="84">
      <c r="D84" s="743" t="s">
        <v>1813</v>
      </c>
      <c r="E84" s="514" t="n">
        <v>14016.099999999999</v>
      </c>
      <c r="F84" s="514" t="n">
        <v>14604.2</v>
      </c>
      <c r="G84" s="514" t="n">
        <v>14711.300000000001</v>
      </c>
      <c r="H84" s="1007" t="n">
        <v>21015.3</v>
      </c>
      <c r="I84" s="514" t="n">
        <v>21762.3</v>
      </c>
      <c r="J84" s="514" t="n">
        <v>23112</v>
      </c>
      <c r="K84" s="514" t="n">
        <v>24369</v>
      </c>
      <c r="L84" s="514" t="n">
        <v>25562.2</v>
      </c>
      <c r="M84" s="1029" t="n">
        <v>26815.3</v>
      </c>
      <c r="N84" s="578" t="n">
        <v>28003.5</v>
      </c>
      <c r="O84" s="578" t="n">
        <v>29281.8</v>
      </c>
      <c r="P84" s="578" t="n">
        <v>30603</v>
      </c>
      <c r="Q84" s="578" t="n">
        <v>31928</v>
      </c>
      <c r="R84" s="578" t="n">
        <v>33261.4</v>
      </c>
      <c r="S84" s="578" t="n">
        <v>34629.4</v>
      </c>
      <c r="T84" s="578" t="n">
        <v>36043</v>
      </c>
      <c r="U84" s="578" t="n">
        <v>37506.6</v>
      </c>
      <c r="V84" s="578" t="n">
        <v>39046.400000000001</v>
      </c>
    </row>
    <row r="85">
      <c r="D85" s="1018" t="s">
        <v>411</v>
      </c>
      <c r="E85" s="286" t="n">
        <v>8804</v>
      </c>
      <c r="F85" s="286" t="n">
        <v>9209</v>
      </c>
      <c r="G85" s="578" t="n">
        <v>9300</v>
      </c>
      <c r="H85" s="1056" t="n">
        <v>10074.1</v>
      </c>
      <c r="I85" s="578" t="n">
        <v>10981.9</v>
      </c>
      <c r="J85" s="578" t="n">
        <v>11567.7</v>
      </c>
      <c r="K85" s="578" t="n">
        <v>12251.7</v>
      </c>
      <c r="L85" s="578" t="n">
        <v>12861.2</v>
      </c>
      <c r="M85" s="1043" t="n">
        <v>13479</v>
      </c>
      <c r="N85" s="578" t="n">
        <v>14051.2</v>
      </c>
      <c r="O85" s="578" t="n">
        <v>14645.1</v>
      </c>
      <c r="P85" s="578" t="n">
        <v>15252.3</v>
      </c>
      <c r="Q85" s="578" t="n">
        <v>15861.9</v>
      </c>
      <c r="R85" s="578" t="n">
        <v>16483.3</v>
      </c>
      <c r="S85" s="578" t="n">
        <v>17122.599999999999</v>
      </c>
      <c r="T85" s="578" t="n">
        <v>17774.400000000001</v>
      </c>
      <c r="U85" s="578" t="n">
        <v>18450.599999999999</v>
      </c>
      <c r="V85" s="578" t="n">
        <v>19151.3</v>
      </c>
    </row>
    <row r="86">
      <c r="D86" s="1018" t="s">
        <v>412</v>
      </c>
      <c r="E86" s="286" t="n">
        <v>13844</v>
      </c>
      <c r="F86" s="286" t="n">
        <v>14403</v>
      </c>
      <c r="G86" s="578" t="n">
        <v>14201</v>
      </c>
      <c r="H86" s="1056" t="n">
        <v>15545.1</v>
      </c>
      <c r="I86" s="578" t="n">
        <v>17367.8</v>
      </c>
      <c r="J86" s="578" t="n">
        <v>18557.3</v>
      </c>
      <c r="K86" s="578" t="n">
        <v>19551.5</v>
      </c>
      <c r="L86" s="578" t="n">
        <v>20519.400000000001</v>
      </c>
      <c r="M86" s="1043" t="n">
        <v>21319.200000000001</v>
      </c>
      <c r="N86" s="578" t="n">
        <v>22072.799999999999</v>
      </c>
      <c r="O86" s="578" t="n">
        <v>22860.5</v>
      </c>
      <c r="P86" s="578" t="n">
        <v>23741.7</v>
      </c>
      <c r="Q86" s="578" t="n">
        <v>24698.799999999999</v>
      </c>
      <c r="R86" s="578" t="n">
        <v>25739.1</v>
      </c>
      <c r="S86" s="578" t="n">
        <v>26824.9</v>
      </c>
      <c r="T86" s="578" t="n">
        <v>27957.200000000001</v>
      </c>
      <c r="U86" s="578" t="n">
        <v>29140.3</v>
      </c>
      <c r="V86" s="578" t="n">
        <v>30362.400000000001</v>
      </c>
    </row>
    <row r="87">
      <c r="D87" s="982" t="s">
        <v>1812</v>
      </c>
      <c r="E87" s="992" t="n">
        <v>2335</v>
      </c>
      <c r="F87" s="992" t="n">
        <v>2442</v>
      </c>
      <c r="G87" s="992" t="n">
        <v>2392</v>
      </c>
      <c r="H87" s="971" t="n">
        <v>2796</v>
      </c>
      <c r="I87" s="992" t="n">
        <v>3262.7</v>
      </c>
      <c r="J87" s="992" t="n">
        <v>3457.5</v>
      </c>
      <c r="K87" s="992" t="n">
        <v>3764.8</v>
      </c>
      <c r="L87" s="992" t="n">
        <v>3887.7</v>
      </c>
      <c r="M87" s="1035" t="n">
        <v>3921.8</v>
      </c>
      <c r="N87" s="578" t="n">
        <v>3946.5</v>
      </c>
      <c r="O87" s="578" t="n">
        <v>3943.2</v>
      </c>
      <c r="P87" s="578" t="n">
        <v>3951.3</v>
      </c>
      <c r="Q87" s="578" t="n">
        <v>4036.5</v>
      </c>
      <c r="R87" s="578" t="n">
        <v>4193.8</v>
      </c>
      <c r="S87" s="578" t="n">
        <v>4390.6000000000004</v>
      </c>
      <c r="T87" s="578" t="n">
        <v>4585.7</v>
      </c>
      <c r="U87" s="578" t="n">
        <v>4776.3999999999996</v>
      </c>
      <c r="V87" s="578" t="n">
        <v>4969</v>
      </c>
    </row>
    <row r="89">
      <c r="D89" s="289" t="s">
        <v>413</v>
      </c>
    </row>
    <row r="90">
      <c r="D90" s="782" t="s">
        <v>414</v>
      </c>
      <c r="E90" s="889" t="n">
        <v>2018</v>
      </c>
      <c r="F90" s="967" t="n">
        <v>2019</v>
      </c>
      <c r="G90" s="967" t="n">
        <v>2020</v>
      </c>
      <c r="H90" s="1031" t="n">
        <v>2021</v>
      </c>
      <c r="I90" s="967" t="n">
        <v>2022</v>
      </c>
      <c r="J90" s="967" t="n">
        <v>2023</v>
      </c>
      <c r="K90" s="970" t="n">
        <v>2024</v>
      </c>
      <c r="L90" s="970" t="n">
        <v>2025</v>
      </c>
      <c r="M90" s="1028" t="n">
        <v>2026</v>
      </c>
    </row>
    <row r="91">
      <c r="D91" s="1051" t="s">
        <v>401</v>
      </c>
      <c r="E91" s="1052" t="n">
        <f t="shared" ref="E91:M91" si="40">E60/E84</f>
        <v>0.12011187134794987</v>
      </c>
      <c r="F91" s="1052" t="n">
        <f t="shared" si="40"/>
        <v>0.11763054463784391</v>
      </c>
      <c r="G91" s="1052" t="n">
        <f t="shared" si="40"/>
        <v>0.10937170746297063</v>
      </c>
      <c r="H91" s="1052" t="n">
        <f t="shared" si="40"/>
        <v>9.7280409987009472E-2</v>
      </c>
      <c r="I91" s="1052" t="n">
        <f t="shared" si="40"/>
        <v>0.12094976174393332</v>
      </c>
      <c r="J91" s="1052" t="n">
        <f t="shared" si="40"/>
        <v>9.417103669089652E-2</v>
      </c>
      <c r="K91" s="1052" t="n">
        <f t="shared" si="40"/>
        <v>9.9555459805490576E-2</v>
      </c>
      <c r="L91" s="1052" t="n">
        <f t="shared" si="40"/>
        <v>0.1025475898005649</v>
      </c>
      <c r="M91" s="1052" t="n">
        <f t="shared" si="40"/>
        <v>0.11069874288186222</v>
      </c>
    </row>
    <row r="92">
      <c r="D92" s="1063" t="s">
        <v>402</v>
      </c>
      <c r="E92" s="1014" t="n">
        <f t="shared" ref="E92:M92" si="41">E62/E85</f>
        <v>0.13297364834166289</v>
      </c>
      <c r="F92" s="1014" t="n">
        <f t="shared" si="41"/>
        <v>0.13502008904332718</v>
      </c>
      <c r="G92" s="1014" t="n">
        <f t="shared" si="41"/>
        <v>0.14086021505376345</v>
      </c>
      <c r="H92" s="1014" t="n">
        <f t="shared" si="41"/>
        <v>0.13044222312663165</v>
      </c>
      <c r="I92" s="1014" t="n">
        <f t="shared" si="41"/>
        <v>0.13508828162704087</v>
      </c>
      <c r="J92" s="1014" t="n">
        <f t="shared" si="41"/>
        <v>0.13956586011048003</v>
      </c>
      <c r="K92" s="1014" t="n">
        <f t="shared" si="41"/>
        <v>0.13948480619016135</v>
      </c>
      <c r="L92" s="1014" t="n">
        <f t="shared" si="41"/>
        <v>0.13673856249805616</v>
      </c>
      <c r="M92" s="1014" t="n">
        <f t="shared" si="41"/>
        <v>0.13652756139179464</v>
      </c>
    </row>
    <row r="93">
      <c r="D93" s="1018" t="s">
        <v>415</v>
      </c>
      <c r="E93" s="1014" t="n">
        <f t="shared" ref="E93:M93" si="42">E63/E86</f>
        <v>9.8454203987286912E-3</v>
      </c>
      <c r="F93" s="1014" t="n">
        <f t="shared" si="42"/>
        <v>1.1844754565021176E-2</v>
      </c>
      <c r="G93" s="1014" t="n">
        <f t="shared" si="42"/>
        <v>1.0985141891416098E-2</v>
      </c>
      <c r="H93" s="1014" t="n">
        <f t="shared" si="42"/>
        <v>9.9876488411139216E-3</v>
      </c>
      <c r="I93" s="1014" t="n">
        <f t="shared" si="42"/>
        <v>1.0824629486751345E-2</v>
      </c>
      <c r="J93" s="1014" t="n">
        <f t="shared" si="42"/>
        <v>8.4139395278407976E-3</v>
      </c>
      <c r="K93" s="1014" t="n">
        <f t="shared" si="42"/>
        <v>5.3482341508324172E-3</v>
      </c>
      <c r="L93" s="1014" t="n">
        <f t="shared" si="42"/>
        <v>4.7556946109535356E-3</v>
      </c>
      <c r="M93" s="1014" t="n">
        <f t="shared" si="42"/>
        <v>4.9128016060640172E-3</v>
      </c>
    </row>
    <row r="94">
      <c r="D94" s="1064" t="s">
        <v>80</v>
      </c>
      <c r="E94" s="986" t="n">
        <f t="shared" ref="E94:M94" si="43">E66/E87</f>
        <v>8.7665952890792292E-2</v>
      </c>
      <c r="F94" s="986" t="n">
        <f t="shared" si="43"/>
        <v>9.4266994266994267E-2</v>
      </c>
      <c r="G94" s="986" t="n">
        <f t="shared" si="43"/>
        <v>8.8628762541806017E-2</v>
      </c>
      <c r="H94" s="986" t="n">
        <f t="shared" si="43"/>
        <v>0.13298676680972818</v>
      </c>
      <c r="I94" s="986" t="n">
        <f t="shared" si="43"/>
        <v>0.13021945014864991</v>
      </c>
      <c r="J94" s="986" t="n">
        <f t="shared" si="43"/>
        <v>0.12135473608098336</v>
      </c>
      <c r="K94" s="986" t="n">
        <f t="shared" si="43"/>
        <v>0.14074240331491711</v>
      </c>
      <c r="L94" s="986" t="n">
        <f t="shared" si="43"/>
        <v>0.1347020088998637</v>
      </c>
      <c r="M94" s="986" t="n">
        <f t="shared" si="43"/>
        <v>0.12625503595287876</v>
      </c>
    </row>
    <row r="96">
      <c r="D96" s="289" t="s">
        <v>416</v>
      </c>
    </row>
    <row r="97">
      <c r="D97" s="1068" t="s">
        <v>263</v>
      </c>
    </row>
    <row r="98">
      <c r="D98" s="782" t="s">
        <v>417</v>
      </c>
      <c r="E98" s="889" t="n">
        <v>2018</v>
      </c>
      <c r="F98" s="967" t="n">
        <v>2019</v>
      </c>
      <c r="G98" s="1031" t="n">
        <v>2020</v>
      </c>
      <c r="H98" s="967" t="n">
        <v>2021</v>
      </c>
      <c r="I98" s="967" t="n">
        <v>2022</v>
      </c>
      <c r="J98" s="967" t="n">
        <v>2023</v>
      </c>
      <c r="K98" s="970" t="n">
        <v>2024</v>
      </c>
      <c r="L98" s="970" t="n">
        <v>2025</v>
      </c>
      <c r="M98" s="1028" t="n">
        <v>2026</v>
      </c>
    </row>
    <row r="99" ht="20.25" customHeight="1">
      <c r="D99" s="1051" t="s">
        <v>401</v>
      </c>
      <c r="E99" s="1052" t="n">
        <f t="shared" ref="E99:G102" si="44">E91*E76</f>
        <v>0.11572406018792676</v>
      </c>
      <c r="F99" s="1052" t="n">
        <f t="shared" si="44"/>
        <v>0.11551471494501581</v>
      </c>
      <c r="G99" s="1052" t="n">
        <f t="shared" si="44"/>
        <v>5.8322513985847608E-3</v>
      </c>
      <c r="H99" s="1052" t="n">
        <f>N118</f>
        <v>0.11454282857460282</v>
      </c>
      <c r="I99" s="1052" t="n">
        <f>H99</f>
        <v>0.11454282857460282</v>
      </c>
      <c r="J99" s="1052" t="n">
        <f t="shared" ref="J99" si="45">I99</f>
        <v>0.11454282857460282</v>
      </c>
      <c r="K99" s="1052" t="n">
        <f>J99</f>
        <v>0.11454282857460282</v>
      </c>
      <c r="L99" s="1052" t="n">
        <f>K99</f>
        <v>0.11454282857460282</v>
      </c>
      <c r="M99" s="1053"/>
      <c r="N99" s="1065"/>
      <c r="O99" s="1014"/>
      <c r="P99" s="1014"/>
      <c r="Q99" s="1014"/>
      <c r="R99" s="1014"/>
      <c r="S99" s="1014"/>
      <c r="T99" s="1014"/>
      <c r="U99" s="1014"/>
      <c r="V99" s="1014"/>
      <c r="W99" s="1014"/>
      <c r="X99" s="1014"/>
      <c r="Y99" s="1014"/>
    </row>
    <row r="100" ht="18.75" customHeight="1">
      <c r="D100" s="1063" t="s">
        <v>402</v>
      </c>
      <c r="E100" s="1014" t="n">
        <f t="shared" si="44"/>
        <v>0.15129486597001363</v>
      </c>
      <c r="F100" s="1014" t="n">
        <f t="shared" si="44"/>
        <v>0.15072211966554458</v>
      </c>
      <c r="G100" s="1014" t="n">
        <f t="shared" si="44"/>
        <v>5.4112903225806462E-3</v>
      </c>
      <c r="H100" s="1014" t="n">
        <f>N120</f>
        <v>9.1078935077066797E-2</v>
      </c>
      <c r="I100" s="1014" t="n">
        <f>H100</f>
        <v>9.1078935077066797E-2</v>
      </c>
      <c r="J100" s="1014" t="n">
        <f>I100</f>
        <v>9.1078935077066797E-2</v>
      </c>
      <c r="K100" s="1014" t="n">
        <f t="shared" ref="K100:L100" si="46">J100</f>
        <v>9.1078935077066797E-2</v>
      </c>
      <c r="L100" s="1014" t="n">
        <f t="shared" si="46"/>
        <v>9.1078935077066797E-2</v>
      </c>
      <c r="M100" s="1054"/>
      <c r="N100" s="1065"/>
      <c r="O100" s="1014"/>
      <c r="P100" s="1014"/>
      <c r="Q100" s="1014"/>
      <c r="R100" s="1014"/>
      <c r="S100" s="1014"/>
      <c r="T100" s="1014"/>
      <c r="U100" s="1014"/>
      <c r="V100" s="1014"/>
      <c r="W100" s="1014"/>
      <c r="X100" s="1014"/>
      <c r="Y100" s="1014"/>
    </row>
    <row r="101" ht="19.399999999999999" customHeight="1">
      <c r="D101" s="1018" t="s">
        <v>79</v>
      </c>
      <c r="E101" s="1014" t="n">
        <f t="shared" si="44"/>
        <v>1.0835018780699219E-2</v>
      </c>
      <c r="F101" s="1014" t="n">
        <f t="shared" si="44"/>
        <v>1.2150246476428523E-2</v>
      </c>
      <c r="G101" s="1014" t="n">
        <f t="shared" si="44"/>
        <v>1.337933948313499E-3</v>
      </c>
      <c r="H101" s="1014" t="n">
        <f>N121</f>
        <v>2.3846352152616657E-2</v>
      </c>
      <c r="I101" s="1014" t="n">
        <f>AVERAGE($F78:$G78)*I93</f>
        <v>6.2110976907796675E-3</v>
      </c>
      <c r="J101" s="1014" t="n">
        <f>AVERAGE($F78:$G78)*J93</f>
        <v>4.8278604302987374E-3</v>
      </c>
      <c r="K101" s="1014" t="n">
        <f>J101</f>
        <v>4.8278604302987374E-3</v>
      </c>
      <c r="L101" s="1014" t="n">
        <f>K101</f>
        <v>4.8278604302987374E-3</v>
      </c>
      <c r="M101" s="1054"/>
      <c r="N101" s="1065"/>
      <c r="O101" s="1014"/>
      <c r="P101" s="1014"/>
      <c r="Q101" s="1014"/>
      <c r="R101" s="1014"/>
      <c r="S101" s="1014"/>
      <c r="T101" s="1014"/>
      <c r="U101" s="1014"/>
      <c r="V101" s="1014"/>
      <c r="W101" s="1014"/>
      <c r="X101" s="1014"/>
      <c r="Y101" s="1014"/>
    </row>
    <row r="102" ht="19.399999999999999" customHeight="1">
      <c r="D102" s="1064" t="s">
        <v>80</v>
      </c>
      <c r="E102" s="986" t="n">
        <f t="shared" si="44"/>
        <v>8.9079229122055667E-2</v>
      </c>
      <c r="F102" s="986" t="n">
        <f t="shared" si="44"/>
        <v>8.9680589680589687E-2</v>
      </c>
      <c r="G102" s="986" t="n">
        <f t="shared" si="44"/>
        <v>1.2594063545150502E-2</v>
      </c>
      <c r="H102" s="986" t="n">
        <f>M122</f>
        <v>0.30680728667305851</v>
      </c>
      <c r="I102" s="986" t="n">
        <f>N122</f>
        <v>0.30591497227356745</v>
      </c>
      <c r="J102" s="986" t="n">
        <f>I102</f>
        <v>0.30591497227356745</v>
      </c>
      <c r="K102" s="986" t="n">
        <f>J102</f>
        <v>0.30591497227356745</v>
      </c>
      <c r="L102" s="986" t="n">
        <f>K102</f>
        <v>0.30591497227356745</v>
      </c>
      <c r="M102" s="1055"/>
      <c r="N102" s="1065"/>
      <c r="O102" s="1014"/>
      <c r="P102" s="1014"/>
      <c r="Q102" s="1014"/>
      <c r="R102" s="1014"/>
      <c r="S102" s="1014"/>
      <c r="T102" s="1014"/>
      <c r="U102" s="1014"/>
      <c r="V102" s="1014"/>
      <c r="W102" s="1014"/>
      <c r="X102" s="1014"/>
      <c r="Y102" s="1014"/>
    </row>
    <row r="103">
      <c r="E103" s="874"/>
      <c r="F103" s="874"/>
      <c r="G103" s="874"/>
      <c r="H103" s="874"/>
      <c r="I103" s="874"/>
      <c r="J103" s="874"/>
      <c r="K103" s="874"/>
      <c r="L103" s="874"/>
    </row>
    <row r="104">
      <c r="D104" s="1067" t="s">
        <v>276</v>
      </c>
      <c r="E104" s="1014"/>
      <c r="F104" s="1014"/>
      <c r="G104" s="1014"/>
      <c r="H104" s="1014"/>
      <c r="I104" s="1014"/>
      <c r="J104" s="1014"/>
      <c r="K104" s="1014"/>
      <c r="L104" s="1014"/>
      <c r="M104" s="1014"/>
      <c r="N104" s="1014"/>
      <c r="O104" s="1014"/>
      <c r="P104" s="1014"/>
      <c r="Q104" s="1014"/>
      <c r="R104" s="1014"/>
      <c r="S104" s="1014"/>
      <c r="T104" s="1014"/>
      <c r="U104" s="1014"/>
      <c r="V104" s="1014"/>
      <c r="W104" s="1014"/>
      <c r="X104" s="1014"/>
      <c r="Y104" s="1014"/>
    </row>
    <row r="105">
      <c r="D105" s="840" t="s">
        <v>1868</v>
      </c>
      <c r="E105" s="926"/>
      <c r="F105" s="254" t="n">
        <v>2019</v>
      </c>
      <c r="G105" s="441"/>
      <c r="H105" s="256"/>
      <c r="I105" s="254" t="n">
        <v>2020</v>
      </c>
      <c r="J105" s="441"/>
      <c r="K105" s="441"/>
      <c r="L105" s="256"/>
      <c r="M105" s="254" t="n">
        <v>2021</v>
      </c>
      <c r="N105" s="441"/>
      <c r="O105" s="441"/>
      <c r="P105" s="441"/>
      <c r="Q105" s="254" t="n">
        <v>2022</v>
      </c>
      <c r="R105" s="255"/>
      <c r="S105" s="255"/>
      <c r="T105" s="256"/>
      <c r="U105" s="298"/>
      <c r="V105" s="298" t="n">
        <v>2023</v>
      </c>
      <c r="W105" s="304"/>
      <c r="X105" s="300"/>
      <c r="Y105" s="305"/>
      <c r="Z105" s="304" t="n">
        <v>2024</v>
      </c>
      <c r="AA105" s="304"/>
      <c r="AB105" s="301"/>
      <c r="AC105" s="261" t="n">
        <v>2025</v>
      </c>
      <c r="AD105" s="262"/>
      <c r="AE105" s="262"/>
      <c r="AF105" s="263"/>
      <c r="AG105" s="261" t="n">
        <v>2026</v>
      </c>
      <c r="AH105" s="262"/>
      <c r="AI105" s="262"/>
      <c r="AJ105" s="263"/>
      <c r="AK105" s="261" t="n">
        <v>2027</v>
      </c>
      <c r="AL105" s="262"/>
      <c r="AM105" s="262"/>
      <c r="AN105" s="263"/>
    </row>
    <row r="106">
      <c r="D106" s="927"/>
      <c r="E106" s="928"/>
      <c r="F106" s="274" t="s">
        <v>195</v>
      </c>
      <c r="G106" s="275" t="s">
        <v>171</v>
      </c>
      <c r="H106" s="276" t="s">
        <v>193</v>
      </c>
      <c r="I106" s="274" t="s">
        <v>194</v>
      </c>
      <c r="J106" s="275" t="s">
        <v>195</v>
      </c>
      <c r="K106" s="275" t="s">
        <v>171</v>
      </c>
      <c r="L106" s="276" t="s">
        <v>193</v>
      </c>
      <c r="M106" s="274" t="s">
        <v>194</v>
      </c>
      <c r="N106" s="275" t="s">
        <v>195</v>
      </c>
      <c r="O106" s="275" t="s">
        <v>171</v>
      </c>
      <c r="P106" s="275" t="s">
        <v>193</v>
      </c>
      <c r="Q106" s="274" t="s">
        <v>194</v>
      </c>
      <c r="R106" s="275" t="s">
        <v>195</v>
      </c>
      <c r="S106" s="275" t="s">
        <v>171</v>
      </c>
      <c r="T106" s="276" t="s">
        <v>193</v>
      </c>
      <c r="U106" s="275" t="s">
        <v>194</v>
      </c>
      <c r="V106" s="294" t="s">
        <v>195</v>
      </c>
      <c r="W106" s="294" t="s">
        <v>171</v>
      </c>
      <c r="X106" s="292" t="s">
        <v>193</v>
      </c>
      <c r="Y106" s="293" t="s">
        <v>194</v>
      </c>
      <c r="Z106" s="295" t="s">
        <v>195</v>
      </c>
      <c r="AA106" s="294" t="s">
        <v>171</v>
      </c>
      <c r="AB106" s="291" t="s">
        <v>193</v>
      </c>
      <c r="AC106" s="296" t="s">
        <v>194</v>
      </c>
      <c r="AD106" s="290" t="s">
        <v>195</v>
      </c>
      <c r="AE106" s="291" t="s">
        <v>171</v>
      </c>
      <c r="AF106" s="291" t="s">
        <v>193</v>
      </c>
      <c r="AG106" s="296" t="s">
        <v>194</v>
      </c>
      <c r="AH106" s="290" t="s">
        <v>195</v>
      </c>
      <c r="AI106" s="291" t="s">
        <v>171</v>
      </c>
      <c r="AJ106" s="297" t="s">
        <v>193</v>
      </c>
      <c r="AK106" s="296" t="s">
        <v>194</v>
      </c>
      <c r="AL106" s="290" t="s">
        <v>195</v>
      </c>
      <c r="AM106" s="291" t="s">
        <v>171</v>
      </c>
      <c r="AN106" s="297" t="s">
        <v>193</v>
      </c>
    </row>
    <row r="107">
      <c r="D107" s="1070" t="s">
        <v>410</v>
      </c>
      <c r="E107" s="972"/>
      <c r="F107" s="514" t="n">
        <f t="shared" ref="F107:AN107" si="47">F108+F109</f>
        <v>0</v>
      </c>
      <c r="G107" s="514" t="n">
        <f t="shared" si="47"/>
        <v>0</v>
      </c>
      <c r="H107" s="514" t="n">
        <f t="shared" si="47"/>
        <v>0</v>
      </c>
      <c r="I107" s="514" t="n">
        <f t="shared" si="47"/>
        <v>15134.800000000001</v>
      </c>
      <c r="J107" s="514" t="n">
        <f t="shared" si="47"/>
        <v>14265.5</v>
      </c>
      <c r="K107" s="514" t="n">
        <f t="shared" si="47"/>
        <v>14943.5</v>
      </c>
      <c r="L107" s="514" t="n">
        <f t="shared" si="47"/>
        <v>15319.300000000001</v>
      </c>
      <c r="M107" s="514" t="n">
        <f t="shared" si="47"/>
        <v>15399.800000000001</v>
      </c>
      <c r="N107" s="514" t="n">
        <f t="shared" si="47"/>
        <v>15959.6</v>
      </c>
      <c r="O107" s="514" t="n">
        <f t="shared" si="47"/>
        <v>16325.6</v>
      </c>
      <c r="P107" s="514" t="n">
        <f t="shared" si="47"/>
        <v>16677.3</v>
      </c>
      <c r="Q107" s="514" t="n">
        <f t="shared" si="47"/>
        <v>16874</v>
      </c>
      <c r="R107" s="514" t="n">
        <f t="shared" si="47"/>
        <v>17129</v>
      </c>
      <c r="S107" s="514" t="n">
        <f t="shared" si="47"/>
        <v>17573.3</v>
      </c>
      <c r="T107" s="1082" t="n">
        <f t="shared" si="47"/>
        <v>17787.8</v>
      </c>
      <c r="U107" s="514" t="n">
        <f t="shared" si="47"/>
        <v>18108.900000000001</v>
      </c>
      <c r="V107" s="514" t="n">
        <f t="shared" si="47"/>
        <v>18368.099999999999</v>
      </c>
      <c r="W107" s="514" t="n">
        <f>W108+W109</f>
        <v>18609.7</v>
      </c>
      <c r="X107" s="514" t="n">
        <f t="shared" si="47"/>
        <v>18858.199999999997</v>
      </c>
      <c r="Y107" s="514" t="n">
        <f t="shared" si="47"/>
        <v>19208.2</v>
      </c>
      <c r="Z107" s="514" t="n">
        <f t="shared" si="47"/>
        <v>19348.900000000001</v>
      </c>
      <c r="AA107" s="514" t="n">
        <f>AA108+AA109</f>
        <v>19461.599999999999</v>
      </c>
      <c r="AB107" s="975" t="n">
        <f t="shared" si="47"/>
        <v>19750.7</v>
      </c>
      <c r="AC107" s="975" t="n">
        <f t="shared" si="47"/>
        <v>20062.900000000001</v>
      </c>
      <c r="AD107" s="975" t="n">
        <f t="shared" si="47"/>
        <v>20347.099999999999</v>
      </c>
      <c r="AE107" s="975" t="n">
        <f t="shared" si="47"/>
        <v>20591.8</v>
      </c>
      <c r="AF107" s="975" t="n">
        <f t="shared" si="47"/>
        <v>20843.599999999999</v>
      </c>
      <c r="AG107" s="975" t="n">
        <f t="shared" si="47"/>
        <v>21079</v>
      </c>
      <c r="AH107" s="974" t="n">
        <f t="shared" si="47"/>
        <v>21305.200000000001</v>
      </c>
      <c r="AI107" s="974" t="n">
        <f t="shared" si="47"/>
        <v>21531.199999999997</v>
      </c>
      <c r="AJ107" s="974" t="n">
        <f t="shared" si="47"/>
        <v>21754.199999999997</v>
      </c>
      <c r="AK107" s="974" t="n">
        <f t="shared" si="47"/>
        <v>21986.5</v>
      </c>
      <c r="AL107" s="974" t="n">
        <f t="shared" si="47"/>
        <v>22217.4</v>
      </c>
      <c r="AM107" s="974" t="n">
        <f t="shared" si="47"/>
        <v>22453.9</v>
      </c>
      <c r="AN107" s="974" t="n">
        <f t="shared" si="47"/>
        <v>22696.2</v>
      </c>
    </row>
    <row r="108">
      <c r="D108" s="867" t="s">
        <v>411</v>
      </c>
      <c r="E108" s="778"/>
      <c r="F108" s="578"/>
      <c r="G108" s="578"/>
      <c r="H108" s="578"/>
      <c r="I108" s="387" t="n">
        <v>9624.7000000000007</v>
      </c>
      <c r="J108" s="610" t="n">
        <v>8995.7000000000007</v>
      </c>
      <c r="K108" s="610" t="n">
        <v>9425.4</v>
      </c>
      <c r="L108" s="610" t="n">
        <v>9783.7000000000007</v>
      </c>
      <c r="M108" s="610" t="n">
        <v>9878.7000000000007</v>
      </c>
      <c r="N108" s="610" t="n">
        <v>10170</v>
      </c>
      <c r="O108" s="610" t="n">
        <v>10447.700000000001</v>
      </c>
      <c r="P108" s="610" t="n">
        <v>10754.1</v>
      </c>
      <c r="Q108" s="610" t="n">
        <v>10892.8</v>
      </c>
      <c r="R108" s="610" t="n">
        <v>10995.9</v>
      </c>
      <c r="S108" s="610" t="n">
        <v>11278.9</v>
      </c>
      <c r="T108" s="610" t="n">
        <v>11325</v>
      </c>
      <c r="U108" s="610" t="n">
        <v>11480.7</v>
      </c>
      <c r="V108" s="610" t="n">
        <v>11641</v>
      </c>
      <c r="W108" s="610" t="n">
        <v>11824</v>
      </c>
      <c r="X108" s="610" t="n">
        <v>11955.3</v>
      </c>
      <c r="Y108" s="610" t="n">
        <v>12251</v>
      </c>
      <c r="Z108" s="610" t="n">
        <v>12343</v>
      </c>
      <c r="AA108" s="610" t="n">
        <v>12457.6</v>
      </c>
      <c r="AB108" s="860" t="n">
        <v>12613.1</v>
      </c>
      <c r="AC108" s="860" t="n">
        <v>12784.3</v>
      </c>
      <c r="AD108" s="860" t="n">
        <v>12944.6</v>
      </c>
      <c r="AE108" s="860" t="n">
        <v>13103</v>
      </c>
      <c r="AF108" s="860" t="n">
        <v>13259.9</v>
      </c>
      <c r="AG108" s="860" t="n">
        <v>13408.7</v>
      </c>
      <c r="AH108" s="380" t="n">
        <v>13552.4</v>
      </c>
      <c r="AI108" s="380" t="n">
        <v>13694.8</v>
      </c>
      <c r="AJ108" s="380" t="n">
        <v>13834.8</v>
      </c>
      <c r="AK108" t="n">
        <v>13978</v>
      </c>
      <c r="AL108" t="n">
        <v>14122.6</v>
      </c>
      <c r="AM108" t="n">
        <v>14269.5</v>
      </c>
      <c r="AN108" t="n">
        <v>14417.7</v>
      </c>
      <c r="AO108" t="n">
        <v>14568.8</v>
      </c>
      <c r="AP108" t="n">
        <v>14720.6</v>
      </c>
      <c r="AQ108" t="n">
        <v>14873.1</v>
      </c>
      <c r="AR108" t="n">
        <v>15023</v>
      </c>
      <c r="AS108" t="n">
        <v>15175.6</v>
      </c>
      <c r="AT108" t="n">
        <v>15328.8</v>
      </c>
      <c r="AU108" t="n">
        <v>15482.1</v>
      </c>
      <c r="AV108" t="n">
        <v>15630.6</v>
      </c>
      <c r="AW108" t="n">
        <v>15784.3</v>
      </c>
      <c r="AX108" t="n">
        <v>15938.8</v>
      </c>
      <c r="AY108" t="n">
        <v>16094.2</v>
      </c>
      <c r="AZ108" t="n">
        <v>16245.7</v>
      </c>
      <c r="BA108" t="n">
        <v>16403.3</v>
      </c>
      <c r="BB108" t="n">
        <v>16562.099999999999</v>
      </c>
      <c r="BC108" t="n">
        <v>16722.099999999999</v>
      </c>
      <c r="BD108" t="n">
        <v>16878.099999999999</v>
      </c>
      <c r="BE108" t="n">
        <v>17040.8</v>
      </c>
      <c r="BF108" t="n">
        <v>17203.900000000001</v>
      </c>
      <c r="BG108" t="n">
        <v>17367.599999999999</v>
      </c>
      <c r="BH108" t="n">
        <v>17525.2</v>
      </c>
      <c r="BI108" t="n">
        <v>17689.599999999999</v>
      </c>
      <c r="BJ108" t="n">
        <v>17856.900000000001</v>
      </c>
      <c r="BK108" t="n">
        <v>18026</v>
      </c>
      <c r="BL108" t="n">
        <v>18191.8</v>
      </c>
      <c r="BM108" t="n">
        <v>18363.7</v>
      </c>
      <c r="BN108" t="n">
        <v>18536.5</v>
      </c>
      <c r="BO108" t="n">
        <v>18710.3</v>
      </c>
      <c r="BP108" t="n">
        <v>18885.3</v>
      </c>
      <c r="BQ108" t="n">
        <v>19061.5</v>
      </c>
      <c r="BR108" t="n">
        <v>19239.3</v>
      </c>
      <c r="BS108" t="n">
        <v>19419.2</v>
      </c>
      <c r="BT108" t="n">
        <v>19601.3</v>
      </c>
    </row>
    <row r="109">
      <c r="D109" s="418" t="s">
        <v>798</v>
      </c>
      <c r="E109" s="741"/>
      <c r="F109" s="578"/>
      <c r="G109" s="578"/>
      <c r="H109" s="578"/>
      <c r="I109" s="610" t="n">
        <v>5510.1</v>
      </c>
      <c r="J109" s="610" t="n">
        <v>5269.8</v>
      </c>
      <c r="K109" s="610" t="n">
        <v>5518.1</v>
      </c>
      <c r="L109" s="610" t="n">
        <v>5535.6</v>
      </c>
      <c r="M109" s="610" t="n">
        <v>5521.1</v>
      </c>
      <c r="N109" s="610" t="n">
        <v>5789.6</v>
      </c>
      <c r="O109" s="610" t="n">
        <v>5877.9</v>
      </c>
      <c r="P109" s="610" t="n">
        <v>5923.2</v>
      </c>
      <c r="Q109" s="610" t="n">
        <v>5981.2</v>
      </c>
      <c r="R109" s="610" t="n">
        <v>6133.1</v>
      </c>
      <c r="S109" s="610" t="n">
        <v>6294.4</v>
      </c>
      <c r="T109" s="610" t="n">
        <v>6462.8</v>
      </c>
      <c r="U109" s="610" t="n">
        <v>6628.2</v>
      </c>
      <c r="V109" s="610" t="n">
        <v>6727.1</v>
      </c>
      <c r="W109" s="610" t="n">
        <v>6785.7</v>
      </c>
      <c r="X109" s="610" t="n">
        <v>6902.9</v>
      </c>
      <c r="Y109" s="610" t="n">
        <v>6957.2</v>
      </c>
      <c r="Z109" s="610" t="n">
        <v>7005.9</v>
      </c>
      <c r="AA109" s="610" t="n">
        <v>7004</v>
      </c>
      <c r="AB109" s="860" t="n">
        <v>7137.6</v>
      </c>
      <c r="AC109" s="860" t="n">
        <v>7278.6</v>
      </c>
      <c r="AD109" s="860" t="n">
        <v>7402.5</v>
      </c>
      <c r="AE109" s="860" t="n">
        <v>7488.8</v>
      </c>
      <c r="AF109" s="860" t="n">
        <v>7583.7</v>
      </c>
      <c r="AG109" s="860" t="n">
        <v>7670.3</v>
      </c>
      <c r="AH109" s="380" t="n">
        <v>7752.8</v>
      </c>
      <c r="AI109" s="380" t="n">
        <v>7836.4</v>
      </c>
      <c r="AJ109" s="380" t="n">
        <v>7919.4</v>
      </c>
      <c r="AK109" t="n">
        <v>8008.5</v>
      </c>
      <c r="AL109" t="n">
        <v>8094.8</v>
      </c>
      <c r="AM109" t="n">
        <v>8184.4</v>
      </c>
      <c r="AN109" t="n">
        <v>8278.5</v>
      </c>
      <c r="AO109" t="n">
        <v>8381</v>
      </c>
      <c r="AP109" t="n">
        <v>8484.2999999999993</v>
      </c>
      <c r="AQ109" t="n">
        <v>8587.9</v>
      </c>
      <c r="AR109" t="n">
        <v>8689.6</v>
      </c>
      <c r="AS109" t="n">
        <v>8790</v>
      </c>
      <c r="AT109" t="n">
        <v>8887.1</v>
      </c>
      <c r="AU109" t="n">
        <v>8983.2000000000007</v>
      </c>
      <c r="AV109" t="n">
        <v>9079.1</v>
      </c>
      <c r="AW109" t="n">
        <v>9175.2999999999993</v>
      </c>
      <c r="AX109" t="n">
        <v>9270.2999999999993</v>
      </c>
      <c r="AY109" t="n">
        <v>9364.2999999999993</v>
      </c>
      <c r="AZ109" t="n">
        <v>9459.7999999999993</v>
      </c>
      <c r="BA109" t="n">
        <v>9539.6</v>
      </c>
      <c r="BB109" t="n">
        <v>9624.2000000000007</v>
      </c>
      <c r="BC109" t="n">
        <v>9707.2999999999993</v>
      </c>
      <c r="BD109" t="n">
        <v>9809.1</v>
      </c>
      <c r="BE109" t="n">
        <v>9898.9</v>
      </c>
      <c r="BF109" t="n">
        <v>9994.7999999999993</v>
      </c>
      <c r="BG109" t="n">
        <v>10090.700000000001</v>
      </c>
      <c r="BH109" t="n">
        <v>10185.200000000001</v>
      </c>
      <c r="BI109" t="n">
        <v>10278.9</v>
      </c>
      <c r="BJ109" t="n">
        <v>10371</v>
      </c>
      <c r="BK109" t="n">
        <v>10463</v>
      </c>
      <c r="BL109" t="n">
        <v>10568.7</v>
      </c>
      <c r="BM109" t="n">
        <v>10678.3</v>
      </c>
      <c r="BN109" t="n">
        <v>10787.6</v>
      </c>
      <c r="BO109" t="n">
        <v>10896.9</v>
      </c>
      <c r="BP109" t="n">
        <v>11005</v>
      </c>
      <c r="BQ109" t="n">
        <v>11113.9</v>
      </c>
      <c r="BR109" t="n">
        <v>11223.1</v>
      </c>
      <c r="BS109" t="n">
        <v>11332.5</v>
      </c>
      <c r="BT109" t="n">
        <v>11442.4</v>
      </c>
    </row>
    <row r="110">
      <c r="D110" s="418" t="s">
        <v>412</v>
      </c>
      <c r="E110" s="741"/>
      <c r="F110" s="578"/>
      <c r="G110" s="578"/>
      <c r="H110" s="578"/>
      <c r="I110" s="610" t="n">
        <v>14440.2</v>
      </c>
      <c r="J110" s="610" t="n">
        <v>13049.8</v>
      </c>
      <c r="K110" s="610" t="n">
        <v>14388.7</v>
      </c>
      <c r="L110" s="610" t="n">
        <v>14586</v>
      </c>
      <c r="M110" s="610" t="n">
        <v>15217.7</v>
      </c>
      <c r="N110" s="610" t="n">
        <v>15950.9</v>
      </c>
      <c r="O110" s="610" t="n">
        <v>16285.1</v>
      </c>
      <c r="P110" s="610" t="n">
        <v>16718.2</v>
      </c>
      <c r="Q110" s="610" t="n">
        <v>17175.099999999999</v>
      </c>
      <c r="R110" s="610" t="n">
        <v>17603.8</v>
      </c>
      <c r="S110" s="610" t="n">
        <v>17876.2</v>
      </c>
      <c r="T110" s="610" t="n">
        <v>18108.3</v>
      </c>
      <c r="U110" s="610" t="n">
        <v>18506.2</v>
      </c>
      <c r="V110" s="610" t="n">
        <v>18685.7</v>
      </c>
      <c r="W110" s="610" t="n">
        <v>18929</v>
      </c>
      <c r="X110" s="610" t="n">
        <v>19170.2</v>
      </c>
      <c r="Y110" s="610" t="n">
        <v>19424.8</v>
      </c>
      <c r="Z110" s="610" t="n">
        <v>19682.7</v>
      </c>
      <c r="AA110" s="610" t="n">
        <v>19928.2</v>
      </c>
      <c r="AB110" s="860" t="n">
        <v>20185.7</v>
      </c>
      <c r="AC110" s="860" t="n">
        <v>20403.099999999999</v>
      </c>
      <c r="AD110" s="860" t="n">
        <v>20642.2</v>
      </c>
      <c r="AE110" s="860" t="n">
        <v>20846.8</v>
      </c>
      <c r="AF110" s="860" t="n">
        <v>21044.3</v>
      </c>
      <c r="AG110" s="860" t="n">
        <v>21224.400000000001</v>
      </c>
      <c r="AH110" s="380" t="n">
        <v>21419</v>
      </c>
      <c r="AI110" s="380" t="n">
        <v>21589.1</v>
      </c>
      <c r="AJ110" s="380" t="n">
        <v>21781.8</v>
      </c>
      <c r="AK110" t="n">
        <v>21986.799999999999</v>
      </c>
      <c r="AL110" t="n">
        <v>22169.7</v>
      </c>
      <c r="AM110" t="n">
        <v>22353.1</v>
      </c>
      <c r="AN110" t="n">
        <v>22549.7</v>
      </c>
      <c r="AO110" t="n">
        <v>22756.3</v>
      </c>
      <c r="AP110" t="n">
        <v>22960.5</v>
      </c>
      <c r="AQ110" t="n">
        <v>23175.7</v>
      </c>
      <c r="AR110" t="n">
        <v>23394.799999999999</v>
      </c>
      <c r="AS110" t="n">
        <v>23623.8</v>
      </c>
      <c r="AT110" t="n">
        <v>23858.3</v>
      </c>
      <c r="AU110" t="n">
        <v>24089.9</v>
      </c>
      <c r="AV110" t="n">
        <v>24324.3</v>
      </c>
      <c r="AW110" t="n">
        <v>24567.4</v>
      </c>
      <c r="AX110" t="n">
        <v>24824.5</v>
      </c>
      <c r="AY110" t="n">
        <v>25079.200000000001</v>
      </c>
      <c r="AZ110" t="n">
        <v>25340.7</v>
      </c>
      <c r="BA110" t="n">
        <v>25603</v>
      </c>
      <c r="BB110" t="n">
        <v>25871.9</v>
      </c>
      <c r="BC110" t="n">
        <v>26140.7</v>
      </c>
      <c r="BD110" t="n">
        <v>26411.5</v>
      </c>
      <c r="BE110" t="n">
        <v>26684.9</v>
      </c>
      <c r="BF110" t="n">
        <v>26961.599999999999</v>
      </c>
      <c r="BG110" t="n">
        <v>27241.4</v>
      </c>
      <c r="BH110" t="n">
        <v>27524.400000000001</v>
      </c>
      <c r="BI110" t="n">
        <v>27809.7</v>
      </c>
      <c r="BJ110" t="n">
        <v>28100.3</v>
      </c>
      <c r="BK110" t="n">
        <v>28394.3</v>
      </c>
      <c r="BL110" t="n">
        <v>28690.400000000001</v>
      </c>
      <c r="BM110" t="n">
        <v>28988.400000000001</v>
      </c>
      <c r="BN110" t="n">
        <v>29289</v>
      </c>
      <c r="BO110" t="n">
        <v>29593.3</v>
      </c>
      <c r="BP110" t="n">
        <v>29899.7</v>
      </c>
      <c r="BQ110" t="n">
        <v>30207</v>
      </c>
      <c r="BR110" t="n">
        <v>30516</v>
      </c>
      <c r="BS110" t="n">
        <v>30827</v>
      </c>
      <c r="BT110" t="n">
        <v>31138.6</v>
      </c>
    </row>
    <row r="111">
      <c r="D111" s="888" t="s">
        <v>1815</v>
      </c>
      <c r="E111" s="752"/>
      <c r="F111" s="752"/>
      <c r="G111" s="752"/>
      <c r="H111" s="992"/>
      <c r="I111" s="976" t="n">
        <v>1736.3</v>
      </c>
      <c r="J111" s="976" t="n">
        <v>1597.1</v>
      </c>
      <c r="K111" s="976" t="n">
        <v>2041.1</v>
      </c>
      <c r="L111" s="976" t="n">
        <v>1947.4</v>
      </c>
      <c r="M111" s="976" t="n">
        <v>2280.4</v>
      </c>
      <c r="N111" s="976" t="n">
        <v>2580</v>
      </c>
      <c r="O111" s="976" t="n">
        <v>2541.1</v>
      </c>
      <c r="P111" s="976" t="n">
        <v>2555</v>
      </c>
      <c r="Q111" s="976" t="n">
        <v>2738.7</v>
      </c>
      <c r="R111" s="976" t="n">
        <v>2876.9</v>
      </c>
      <c r="S111" s="976" t="n">
        <v>2950.7</v>
      </c>
      <c r="T111" s="976" t="n">
        <v>2921.1</v>
      </c>
      <c r="U111" s="976" t="n">
        <v>2941.2</v>
      </c>
      <c r="V111" s="976" t="n">
        <v>2953.4</v>
      </c>
      <c r="W111" s="976" t="n">
        <v>3079.7</v>
      </c>
      <c r="X111" s="976" t="n">
        <v>3253.6</v>
      </c>
      <c r="Y111" s="976" t="n">
        <v>3186.2</v>
      </c>
      <c r="Z111" s="976" t="n">
        <v>3337.4</v>
      </c>
      <c r="AA111" s="976" t="n">
        <v>3365.5</v>
      </c>
      <c r="AB111" s="977" t="n">
        <v>3380.3</v>
      </c>
      <c r="AC111" s="977" t="n">
        <v>3389.3</v>
      </c>
      <c r="AD111" s="977" t="n">
        <v>3387.9</v>
      </c>
      <c r="AE111" s="977" t="n">
        <v>3390.8</v>
      </c>
      <c r="AF111" s="977" t="n">
        <v>3389.1</v>
      </c>
      <c r="AG111" s="977" t="n">
        <v>3393.2</v>
      </c>
      <c r="AH111" s="380" t="n">
        <v>3399.9</v>
      </c>
      <c r="AI111" s="380" t="n">
        <v>3396.5</v>
      </c>
      <c r="AJ111" s="380" t="n">
        <v>3400.6</v>
      </c>
      <c r="AK111" t="n">
        <v>3394.1</v>
      </c>
      <c r="AL111" t="n">
        <v>3381.6</v>
      </c>
      <c r="AM111" t="n">
        <v>3366.9</v>
      </c>
      <c r="AN111" t="n">
        <v>3369.6</v>
      </c>
      <c r="AO111" t="n">
        <v>3361.6</v>
      </c>
      <c r="AP111" t="n">
        <v>3346.4</v>
      </c>
      <c r="AQ111" t="n">
        <v>3335.2</v>
      </c>
      <c r="AR111" t="n">
        <v>3336.1</v>
      </c>
      <c r="AS111" t="n">
        <v>3337.1</v>
      </c>
      <c r="AT111" t="n">
        <v>3344.5</v>
      </c>
      <c r="AU111" t="n">
        <v>3352.2</v>
      </c>
      <c r="AV111" t="n">
        <v>3375.5</v>
      </c>
      <c r="AW111" t="n">
        <v>3396.4</v>
      </c>
      <c r="AX111" t="n">
        <v>3426.8</v>
      </c>
      <c r="AY111" t="n">
        <v>3446.4</v>
      </c>
      <c r="AZ111" t="n">
        <v>3483.8</v>
      </c>
      <c r="BA111" t="n">
        <v>3528.1</v>
      </c>
      <c r="BB111" t="n">
        <v>3572.6</v>
      </c>
      <c r="BC111" t="n">
        <v>3617.2</v>
      </c>
      <c r="BD111" t="n">
        <v>3662.1</v>
      </c>
      <c r="BE111" t="n">
        <v>3706</v>
      </c>
      <c r="BF111" t="n">
        <v>3748</v>
      </c>
      <c r="BG111" t="n">
        <v>3786.8</v>
      </c>
      <c r="BH111" t="n">
        <v>3835.5</v>
      </c>
      <c r="BI111" t="n">
        <v>3873</v>
      </c>
      <c r="BJ111" t="n">
        <v>3914.5</v>
      </c>
      <c r="BK111" t="n">
        <v>3953.1</v>
      </c>
      <c r="BL111" t="n">
        <v>4000.1</v>
      </c>
      <c r="BM111" t="n">
        <v>4037.5</v>
      </c>
      <c r="BN111" t="n">
        <v>4076.8</v>
      </c>
      <c r="BO111" t="n">
        <v>4113.6000000000004</v>
      </c>
      <c r="BP111" t="n">
        <v>4158.3999999999996</v>
      </c>
      <c r="BQ111" t="n">
        <v>4198.7</v>
      </c>
      <c r="BR111" t="n">
        <v>4242.1000000000004</v>
      </c>
      <c r="BS111" t="n">
        <v>4282.6000000000004</v>
      </c>
      <c r="BT111" t="n">
        <v>4332.1000000000004</v>
      </c>
    </row>
    <row r="112" ht="18.75" customHeight="1"/>
    <row r="113">
      <c r="D113" s="1071"/>
      <c r="E113" s="778"/>
      <c r="F113" s="778"/>
      <c r="G113" s="778"/>
      <c r="H113" s="578"/>
      <c r="I113" s="578"/>
      <c r="J113" s="578"/>
      <c r="K113" s="578"/>
      <c r="L113" s="578"/>
      <c r="M113" s="578"/>
      <c r="N113" s="578"/>
      <c r="O113" s="578"/>
      <c r="P113" s="578"/>
      <c r="Q113" s="578"/>
      <c r="R113" s="578"/>
      <c r="S113" s="578"/>
      <c r="T113" s="578"/>
      <c r="U113" s="578"/>
      <c r="V113" s="578"/>
      <c r="W113" s="578"/>
      <c r="X113" s="578"/>
      <c r="Y113" s="578"/>
      <c r="Z113" s="1046"/>
      <c r="AA113" s="578"/>
      <c r="AB113" s="578"/>
      <c r="AC113" s="578"/>
    </row>
    <row r="114">
      <c r="D114" s="680"/>
      <c r="AC114" s="78"/>
    </row>
    <row r="115">
      <c r="D115" s="840" t="s">
        <v>418</v>
      </c>
      <c r="E115" s="926"/>
      <c r="F115" s="254" t="n">
        <v>2019</v>
      </c>
      <c r="G115" s="441"/>
      <c r="H115" s="256"/>
      <c r="I115" s="441" t="n">
        <v>2020</v>
      </c>
      <c r="J115" s="441"/>
      <c r="K115" s="441"/>
      <c r="L115" s="256"/>
      <c r="M115" s="254" t="n">
        <v>2021</v>
      </c>
      <c r="N115" s="441"/>
      <c r="O115" s="441"/>
      <c r="P115" s="441"/>
      <c r="Q115" s="254" t="n">
        <v>2022</v>
      </c>
      <c r="R115" s="255"/>
      <c r="S115" s="255"/>
      <c r="T115" s="256"/>
      <c r="U115" s="298"/>
      <c r="V115" s="298" t="n">
        <v>2023</v>
      </c>
      <c r="W115" s="304"/>
      <c r="X115" s="300"/>
      <c r="Y115" s="254" t="n">
        <v>2024</v>
      </c>
      <c r="Z115" s="441"/>
      <c r="AA115" s="441"/>
      <c r="AB115" s="256"/>
      <c r="AC115" s="261" t="n">
        <v>2025</v>
      </c>
      <c r="AD115" s="262"/>
      <c r="AE115" s="262"/>
      <c r="AF115" s="263"/>
      <c r="AG115" s="261" t="n">
        <v>2026</v>
      </c>
      <c r="AH115" s="262"/>
      <c r="AI115" s="262"/>
      <c r="AJ115" s="263"/>
      <c r="AK115" s="261" t="n">
        <v>2027</v>
      </c>
      <c r="AL115" s="262"/>
      <c r="AM115" s="262"/>
      <c r="AN115" s="263"/>
    </row>
    <row r="116">
      <c r="D116" s="927"/>
      <c r="E116" s="928"/>
      <c r="F116" s="274" t="s">
        <v>195</v>
      </c>
      <c r="G116" s="275" t="s">
        <v>171</v>
      </c>
      <c r="H116" s="276" t="s">
        <v>193</v>
      </c>
      <c r="I116" s="275" t="s">
        <v>194</v>
      </c>
      <c r="J116" s="275" t="s">
        <v>195</v>
      </c>
      <c r="K116" s="275" t="s">
        <v>171</v>
      </c>
      <c r="L116" s="276" t="s">
        <v>193</v>
      </c>
      <c r="M116" s="274" t="s">
        <v>194</v>
      </c>
      <c r="N116" s="275" t="s">
        <v>195</v>
      </c>
      <c r="O116" s="275" t="s">
        <v>171</v>
      </c>
      <c r="P116" s="275" t="s">
        <v>193</v>
      </c>
      <c r="Q116" s="274" t="s">
        <v>194</v>
      </c>
      <c r="R116" s="275" t="s">
        <v>195</v>
      </c>
      <c r="S116" s="275" t="s">
        <v>171</v>
      </c>
      <c r="T116" s="276" t="s">
        <v>193</v>
      </c>
      <c r="U116" s="274" t="s">
        <v>194</v>
      </c>
      <c r="V116" s="294" t="s">
        <v>195</v>
      </c>
      <c r="W116" s="294" t="s">
        <v>171</v>
      </c>
      <c r="X116" s="292" t="s">
        <v>193</v>
      </c>
      <c r="Y116" s="293" t="s">
        <v>194</v>
      </c>
      <c r="Z116" s="295" t="s">
        <v>195</v>
      </c>
      <c r="AA116" s="294" t="s">
        <v>171</v>
      </c>
      <c r="AB116" s="294" t="s">
        <v>193</v>
      </c>
      <c r="AC116" s="293" t="s">
        <v>194</v>
      </c>
      <c r="AD116" s="290" t="s">
        <v>195</v>
      </c>
      <c r="AE116" s="291" t="s">
        <v>171</v>
      </c>
      <c r="AF116" s="291" t="s">
        <v>193</v>
      </c>
      <c r="AG116" s="296" t="s">
        <v>194</v>
      </c>
      <c r="AH116" s="290" t="s">
        <v>195</v>
      </c>
      <c r="AI116" s="291" t="s">
        <v>171</v>
      </c>
      <c r="AJ116" s="297" t="s">
        <v>193</v>
      </c>
      <c r="AK116" s="296" t="s">
        <v>194</v>
      </c>
      <c r="AL116" s="290" t="s">
        <v>195</v>
      </c>
      <c r="AM116" s="291" t="s">
        <v>171</v>
      </c>
      <c r="AN116" s="297" t="s">
        <v>193</v>
      </c>
    </row>
    <row r="117">
      <c r="D117" s="923" t="s">
        <v>419</v>
      </c>
      <c r="E117" s="924"/>
      <c r="F117" s="405"/>
      <c r="G117" s="457"/>
      <c r="H117" s="457"/>
      <c r="I117" s="457"/>
      <c r="J117" s="457"/>
      <c r="K117" s="457"/>
      <c r="L117" s="457"/>
      <c r="M117" s="457"/>
      <c r="N117" s="457"/>
      <c r="O117" s="457"/>
      <c r="P117" s="457"/>
      <c r="Q117" s="457"/>
      <c r="R117" s="457"/>
      <c r="S117" s="457"/>
      <c r="T117" s="428"/>
      <c r="U117" s="457"/>
      <c r="V117" s="457"/>
      <c r="W117" s="428"/>
      <c r="X117" s="428"/>
      <c r="Y117" s="428"/>
      <c r="Z117" s="428"/>
      <c r="AA117" s="428"/>
      <c r="AB117" s="428"/>
      <c r="AC117" s="457"/>
    </row>
    <row r="118">
      <c r="D118" s="686" t="s">
        <v>392</v>
      </c>
      <c r="F118" s="993"/>
      <c r="G118" s="1014"/>
      <c r="H118" s="1014" t="n">
        <f t="shared" ref="H118:AD118" si="48">H10/H125</f>
        <v>0.10519692965899081</v>
      </c>
      <c r="I118" s="1014" t="n">
        <f t="shared" si="48"/>
        <v>0.10517859349894944</v>
      </c>
      <c r="J118" s="1014" t="n">
        <f t="shared" si="48"/>
        <v>0.10505173463177114</v>
      </c>
      <c r="K118" s="1014" t="n">
        <f t="shared" si="48"/>
        <v>0.10547715857450372</v>
      </c>
      <c r="L118" s="1014" t="n">
        <f t="shared" si="48"/>
        <v>0.11656013945380592</v>
      </c>
      <c r="M118" s="1014" t="n">
        <f t="shared" si="48"/>
        <v>0.11689497716894978</v>
      </c>
      <c r="N118" s="1014" t="n">
        <f t="shared" si="48"/>
        <v>0.11454282857460282</v>
      </c>
      <c r="O118" s="1014" t="n">
        <f t="shared" si="48"/>
        <v>0.11247596667378765</v>
      </c>
      <c r="P118" s="1014" t="n">
        <f t="shared" si="48"/>
        <v>0.10912698412698413</v>
      </c>
      <c r="Q118" s="1014" t="n">
        <f t="shared" si="48"/>
        <v>0.10852791878172589</v>
      </c>
      <c r="R118" s="1014" t="n">
        <f t="shared" si="48"/>
        <v>0.10978142616951836</v>
      </c>
      <c r="S118" s="1012" t="n">
        <f t="shared" si="48"/>
        <v>0.11095169775227164</v>
      </c>
      <c r="T118" s="1012" t="n">
        <f t="shared" si="48"/>
        <v>0.11295963701673126</v>
      </c>
      <c r="U118" s="1012" t="n">
        <f t="shared" si="48"/>
        <v>0.11615785554728221</v>
      </c>
      <c r="V118" s="1012" t="n">
        <f t="shared" si="48"/>
        <v>0.11775921554385325</v>
      </c>
      <c r="W118" s="1012" t="n">
        <f t="shared" si="48"/>
        <v>0.11792031445417187</v>
      </c>
      <c r="X118" s="1012" t="n">
        <f t="shared" si="48"/>
        <v>0.11772557394554191</v>
      </c>
      <c r="Y118" s="1012" t="n">
        <f t="shared" si="48"/>
        <v>8.330398027474463E-2</v>
      </c>
      <c r="Z118" s="1012" t="n">
        <f t="shared" si="48"/>
        <v>0.10773977886346105</v>
      </c>
      <c r="AA118" s="1012" t="n">
        <f t="shared" si="48"/>
        <v>0.10872102718025679</v>
      </c>
      <c r="AB118" s="1012" t="n">
        <f t="shared" si="48"/>
        <v>0.10814766628720117</v>
      </c>
      <c r="AC118" s="1012" t="n">
        <f t="shared" si="48"/>
        <v>0.11046511627906977</v>
      </c>
      <c r="AD118" s="1012" t="n">
        <f t="shared" si="48"/>
        <v>0.11253894080996885</v>
      </c>
      <c r="AE118" s="1013" t="n">
        <f t="shared" ref="AE118:AF118" si="49">AD118+AE119</f>
        <v>0.11253894080996885</v>
      </c>
      <c r="AF118" s="1013" t="n">
        <f t="shared" si="49"/>
        <v>0.11253894080996885</v>
      </c>
      <c r="AG118" s="1013" t="n">
        <f>AF118+AG119</f>
        <v>0.11253894080996885</v>
      </c>
      <c r="AH118" s="1013" t="n">
        <f t="shared" ref="AH118:AN118" si="50">AG118+AH119</f>
        <v>0.11253894080996885</v>
      </c>
      <c r="AI118" s="1013" t="n">
        <f t="shared" si="50"/>
        <v>0.11253894080996885</v>
      </c>
      <c r="AJ118" s="1013" t="n">
        <f t="shared" si="50"/>
        <v>0.11253894080996885</v>
      </c>
      <c r="AK118" s="1013" t="n">
        <f t="shared" si="50"/>
        <v>0.11253894080996885</v>
      </c>
      <c r="AL118" s="1013" t="n">
        <f t="shared" si="50"/>
        <v>0.11253894080996885</v>
      </c>
      <c r="AM118" s="1013" t="n">
        <f t="shared" si="50"/>
        <v>0.11253894080996885</v>
      </c>
      <c r="AN118" s="1013" t="n">
        <f t="shared" si="50"/>
        <v>0.11253894080996885</v>
      </c>
    </row>
    <row r="119">
      <c r="D119" s="686" t="s">
        <v>795</v>
      </c>
      <c r="F119" s="993"/>
      <c r="G119" s="1014"/>
      <c r="H119" s="1014"/>
      <c r="I119" s="1014"/>
      <c r="J119" s="1014"/>
      <c r="K119" s="1014"/>
      <c r="L119" s="1014"/>
      <c r="M119" s="1014"/>
      <c r="N119" s="1014"/>
      <c r="O119" s="1014"/>
      <c r="P119" s="1014"/>
      <c r="Q119" s="1014"/>
      <c r="R119" s="1014"/>
      <c r="S119" s="1012"/>
      <c r="T119" s="1012"/>
      <c r="U119" s="1012"/>
      <c r="V119" s="1012"/>
      <c r="W119" s="1014"/>
      <c r="X119" s="1014"/>
      <c r="Y119" s="1013"/>
      <c r="Z119" s="1013"/>
      <c r="AA119" s="1013"/>
      <c r="AB119" s="1013"/>
      <c r="AC119" s="1013"/>
      <c r="AD119" s="1013"/>
      <c r="AE119" s="1013"/>
      <c r="AF119" s="1013"/>
      <c r="AG119" s="1013"/>
      <c r="AH119" s="1013"/>
      <c r="AI119" s="1013"/>
      <c r="AJ119" s="1013"/>
      <c r="AK119" s="1013"/>
      <c r="AL119" s="1013"/>
      <c r="AM119" s="1013"/>
      <c r="AN119" s="1013"/>
    </row>
    <row r="120">
      <c r="D120" s="686" t="s">
        <v>393</v>
      </c>
      <c r="F120" s="993"/>
      <c r="G120" s="1014"/>
      <c r="H120" s="1014" t="n">
        <f t="shared" ref="H120:AD120" si="51">H13/H130</f>
        <v>8.6941279579316397E-2</v>
      </c>
      <c r="I120" s="1014" t="n">
        <f t="shared" si="51"/>
        <v>8.6492074431426605E-2</v>
      </c>
      <c r="J120" s="1014" t="n">
        <f t="shared" si="51"/>
        <v>8.5767663043478271E-2</v>
      </c>
      <c r="K120" s="1014" t="n">
        <f t="shared" si="51"/>
        <v>8.5227272727272735E-2</v>
      </c>
      <c r="L120" s="1014" t="n">
        <f t="shared" si="51"/>
        <v>9.2643492320129334E-2</v>
      </c>
      <c r="M120" s="1014" t="n">
        <f t="shared" si="51"/>
        <v>9.1846446700507609E-2</v>
      </c>
      <c r="N120" s="1014" t="n">
        <f t="shared" si="51"/>
        <v>9.1078935077066797E-2</v>
      </c>
      <c r="O120" s="1014" t="n">
        <f t="shared" si="51"/>
        <v>8.9457831325301204E-2</v>
      </c>
      <c r="P120" s="1014" t="n">
        <f t="shared" si="51"/>
        <v>0.10637986537898743</v>
      </c>
      <c r="Q120" s="1014" t="n">
        <f t="shared" si="51"/>
        <v>0.10539845758354754</v>
      </c>
      <c r="R120" s="1014" t="n">
        <f t="shared" si="51"/>
        <v>0.10485897793912313</v>
      </c>
      <c r="S120" s="1012" t="n">
        <f t="shared" si="51"/>
        <v>0.1041610008158825</v>
      </c>
      <c r="T120" s="1012" t="n">
        <f t="shared" si="51"/>
        <v>0.10973001871157444</v>
      </c>
      <c r="U120" s="1012" t="n">
        <f t="shared" si="51"/>
        <v>0.10923820723899125</v>
      </c>
      <c r="V120" s="1012" t="n">
        <f t="shared" si="51"/>
        <v>0.10878447395301327</v>
      </c>
      <c r="W120" s="1012" t="n">
        <f t="shared" si="51"/>
        <v>0.10776025236593061</v>
      </c>
      <c r="X120" s="1012" t="n">
        <f t="shared" si="51"/>
        <v>0.10921717171717171</v>
      </c>
      <c r="Y120" s="1012" t="n">
        <f t="shared" si="51"/>
        <v>0.10844577711144428</v>
      </c>
      <c r="Z120" s="1012" t="n">
        <f t="shared" si="51"/>
        <v>0.10775599659077073</v>
      </c>
      <c r="AA120" s="1012" t="n">
        <f t="shared" si="51"/>
        <v>0.10699929061243793</v>
      </c>
      <c r="AB120" s="1012" t="n">
        <f t="shared" si="51"/>
        <v>0.11190175599678642</v>
      </c>
      <c r="AC120" s="1012" t="n">
        <f t="shared" si="51"/>
        <v>0.11119856082752418</v>
      </c>
      <c r="AD120" s="1012" t="n">
        <f t="shared" si="51"/>
        <v>0.11073197578425976</v>
      </c>
      <c r="AE120" s="1013" t="n">
        <f t="shared" ref="AE120:AJ121" si="52">AD120</f>
        <v>0.11073197578425976</v>
      </c>
      <c r="AF120" s="1013" t="n">
        <f t="shared" si="52"/>
        <v>0.11073197578425976</v>
      </c>
      <c r="AG120" s="1013" t="n">
        <f t="shared" si="52"/>
        <v>0.11073197578425976</v>
      </c>
      <c r="AH120" s="1013" t="n">
        <f t="shared" si="52"/>
        <v>0.11073197578425976</v>
      </c>
      <c r="AI120" s="1013" t="n">
        <f t="shared" si="52"/>
        <v>0.11073197578425976</v>
      </c>
      <c r="AJ120" s="1013" t="n">
        <f>AI120</f>
        <v>0.11073197578425976</v>
      </c>
      <c r="AK120" s="1013" t="n">
        <f t="shared" ref="AK120:AN121" si="53">AJ120</f>
        <v>0.11073197578425976</v>
      </c>
      <c r="AL120" s="1013" t="n">
        <f t="shared" si="53"/>
        <v>0.11073197578425976</v>
      </c>
      <c r="AM120" s="1013" t="n">
        <f t="shared" si="53"/>
        <v>0.11073197578425976</v>
      </c>
      <c r="AN120" s="1013" t="n">
        <f t="shared" si="53"/>
        <v>0.11073197578425976</v>
      </c>
    </row>
    <row r="121">
      <c r="D121" s="686" t="s">
        <v>394</v>
      </c>
      <c r="F121" s="993"/>
      <c r="G121" s="1014"/>
      <c r="H121" s="1014" t="n">
        <f t="shared" ref="H121:AD121" si="54">H15/H131</f>
        <v>2.8563015312131922E-2</v>
      </c>
      <c r="I121" s="1014" t="n">
        <f t="shared" si="54"/>
        <v>2.6976341604154644E-2</v>
      </c>
      <c r="J121" s="1014" t="n">
        <f t="shared" si="54"/>
        <v>2.6785714285714284E-2</v>
      </c>
      <c r="K121" s="1014" t="n">
        <f t="shared" si="54"/>
        <v>2.6326728557572395E-2</v>
      </c>
      <c r="L121" s="1014" t="n">
        <f t="shared" si="54"/>
        <v>2.449587224252267E-2</v>
      </c>
      <c r="M121" s="1014" t="n">
        <f t="shared" si="54"/>
        <v>2.4161605492474255E-2</v>
      </c>
      <c r="N121" s="1014" t="n">
        <f t="shared" si="54"/>
        <v>2.3846352152616657E-2</v>
      </c>
      <c r="O121" s="1014" t="n">
        <f t="shared" si="54"/>
        <v>2.3610243597751407E-2</v>
      </c>
      <c r="P121" s="1014" t="n">
        <f t="shared" si="54"/>
        <v>2.3636363636363636E-2</v>
      </c>
      <c r="Q121" s="1014" t="n">
        <f t="shared" si="54"/>
        <v>2.367638310529447E-2</v>
      </c>
      <c r="R121" s="1014" t="n">
        <f t="shared" si="54"/>
        <v>2.3052741879147749E-2</v>
      </c>
      <c r="S121" s="1012" t="n">
        <f t="shared" si="54"/>
        <v>2.3000343288705798E-2</v>
      </c>
      <c r="T121" s="1012" t="n">
        <f t="shared" si="54"/>
        <v>2.2199798183652874E-2</v>
      </c>
      <c r="U121" s="1012" t="n">
        <f t="shared" si="54"/>
        <v>2.1838331160365061E-2</v>
      </c>
      <c r="V121" s="1012" t="n">
        <f t="shared" si="54"/>
        <v>2.1278837037817338E-2</v>
      </c>
      <c r="W121" s="1012" t="n">
        <f t="shared" si="54"/>
        <v>2.1061411740173078E-2</v>
      </c>
      <c r="X121" s="1012" t="n">
        <f t="shared" si="54"/>
        <v>2.0097442143727159E-2</v>
      </c>
      <c r="Y121" s="1012" t="n">
        <f t="shared" si="54"/>
        <v>2.1112865035516966E-2</v>
      </c>
      <c r="Z121" s="1012" t="n">
        <f t="shared" si="54"/>
        <v>2.2249809014514892E-2</v>
      </c>
      <c r="AA121" s="1012" t="n">
        <f t="shared" si="54"/>
        <v>2.2207768072848914E-2</v>
      </c>
      <c r="AB121" s="1012" t="n">
        <f t="shared" si="54"/>
        <v>1.8740427065501396E-2</v>
      </c>
      <c r="AC121" s="1012" t="n">
        <f t="shared" si="54"/>
        <v>1.8946436476316952E-2</v>
      </c>
      <c r="AD121" s="1012" t="n">
        <f t="shared" si="54"/>
        <v>1.8639972385226095E-2</v>
      </c>
      <c r="AE121" s="1013" t="n">
        <f t="shared" si="52"/>
        <v>1.8639972385226095E-2</v>
      </c>
      <c r="AF121" s="1013" t="n">
        <f t="shared" si="52"/>
        <v>1.8639972385226095E-2</v>
      </c>
      <c r="AG121" s="1013" t="n">
        <f t="shared" si="52"/>
        <v>1.8639972385226095E-2</v>
      </c>
      <c r="AH121" s="1013" t="n">
        <f t="shared" si="52"/>
        <v>1.8639972385226095E-2</v>
      </c>
      <c r="AI121" s="1013" t="n">
        <f t="shared" si="52"/>
        <v>1.8639972385226095E-2</v>
      </c>
      <c r="AJ121" s="1013" t="n">
        <f t="shared" si="52"/>
        <v>1.8639972385226095E-2</v>
      </c>
      <c r="AK121" s="1013" t="n">
        <f t="shared" si="53"/>
        <v>1.8639972385226095E-2</v>
      </c>
      <c r="AL121" s="1013" t="n">
        <f t="shared" si="53"/>
        <v>1.8639972385226095E-2</v>
      </c>
      <c r="AM121" s="1013" t="n">
        <f t="shared" si="53"/>
        <v>1.8639972385226095E-2</v>
      </c>
      <c r="AN121" s="1013" t="n">
        <f t="shared" si="53"/>
        <v>1.8639972385226095E-2</v>
      </c>
    </row>
    <row r="122">
      <c r="D122" s="569" t="s">
        <v>395</v>
      </c>
      <c r="F122" s="993"/>
      <c r="G122" s="1014"/>
      <c r="H122" s="1014" t="n">
        <f t="shared" ref="H122:AD122" si="55">H19/H132</f>
        <v>0.33557800224466894</v>
      </c>
      <c r="I122" s="1014" t="n">
        <f t="shared" si="55"/>
        <v>0.33810572687224671</v>
      </c>
      <c r="J122" s="1014" t="n">
        <f t="shared" si="55"/>
        <v>0.31803628601921025</v>
      </c>
      <c r="K122" s="1014" t="n">
        <f t="shared" si="55"/>
        <v>0.30840163934426235</v>
      </c>
      <c r="L122" s="1014" t="n">
        <f t="shared" si="55"/>
        <v>0.30963972736124634</v>
      </c>
      <c r="M122" s="1014" t="n">
        <f t="shared" si="55"/>
        <v>0.30680728667305851</v>
      </c>
      <c r="N122" s="1014" t="n">
        <f t="shared" si="55"/>
        <v>0.30591497227356745</v>
      </c>
      <c r="O122" s="1014" t="n">
        <f t="shared" si="55"/>
        <v>0.31688311688311688</v>
      </c>
      <c r="P122" s="1014" t="n">
        <f t="shared" si="55"/>
        <v>0.32479338842975203</v>
      </c>
      <c r="Q122" s="1014" t="n">
        <f t="shared" si="55"/>
        <v>0.33617747440273038</v>
      </c>
      <c r="R122" s="1012" t="n">
        <f t="shared" si="55"/>
        <v>0.32246998284734135</v>
      </c>
      <c r="S122" s="1012" t="n">
        <f t="shared" si="55"/>
        <v>0.33081444164567592</v>
      </c>
      <c r="T122" s="1012" t="n">
        <f t="shared" si="55"/>
        <v>0.33663366336633666</v>
      </c>
      <c r="U122" s="1012" t="n">
        <f t="shared" si="55"/>
        <v>0.35469314079422382</v>
      </c>
      <c r="V122" s="1012" t="n">
        <f t="shared" si="55"/>
        <v>0.40540540540540543</v>
      </c>
      <c r="W122" s="1012" t="n">
        <f t="shared" si="55"/>
        <v>0.36705202312138729</v>
      </c>
      <c r="X122" s="1012" t="n">
        <f t="shared" si="55"/>
        <v>0.30317613089509143</v>
      </c>
      <c r="Y122" s="1012" t="n">
        <f t="shared" si="55"/>
        <v>0.29584775086505194</v>
      </c>
      <c r="Z122" s="1012" t="n">
        <f t="shared" si="55"/>
        <v>0.31905465288035451</v>
      </c>
      <c r="AA122" s="1012" t="n">
        <f t="shared" si="55"/>
        <v>0.30915492957746477</v>
      </c>
      <c r="AB122" s="1012" t="n">
        <f t="shared" si="55"/>
        <v>0.31363922061596483</v>
      </c>
      <c r="AC122" s="1012" t="n">
        <f t="shared" si="55"/>
        <v>0.31289910600255427</v>
      </c>
      <c r="AD122" s="1012" t="n">
        <f t="shared" si="55"/>
        <v>0.30618686868686867</v>
      </c>
      <c r="AE122" s="1013" t="n">
        <f t="shared" ref="AE122:AN122" si="56">AD122+AE123</f>
        <v>0.30618686868686867</v>
      </c>
      <c r="AF122" s="1013" t="n">
        <f t="shared" si="56"/>
        <v>0.30618686868686867</v>
      </c>
      <c r="AG122" s="1013" t="n">
        <f t="shared" si="56"/>
        <v>0.30618686868686867</v>
      </c>
      <c r="AH122" s="1013" t="n">
        <f t="shared" si="56"/>
        <v>0.30618686868686867</v>
      </c>
      <c r="AI122" s="1013" t="n">
        <f t="shared" si="56"/>
        <v>0.30618686868686867</v>
      </c>
      <c r="AJ122" s="1013" t="n">
        <f t="shared" si="56"/>
        <v>0.30618686868686867</v>
      </c>
      <c r="AK122" s="1013" t="n">
        <f t="shared" si="56"/>
        <v>0.30618686868686867</v>
      </c>
      <c r="AL122" s="1013" t="n">
        <f t="shared" si="56"/>
        <v>0.30618686868686867</v>
      </c>
      <c r="AM122" s="1013" t="n">
        <f t="shared" si="56"/>
        <v>0.30618686868686867</v>
      </c>
      <c r="AN122" s="1013" t="n">
        <f t="shared" si="56"/>
        <v>0.30618686868686867</v>
      </c>
    </row>
    <row r="123">
      <c r="D123" s="569" t="s">
        <v>1648</v>
      </c>
      <c r="F123" s="993"/>
      <c r="G123" s="1014"/>
      <c r="H123" s="1014"/>
      <c r="I123" s="1014"/>
      <c r="J123" s="1014"/>
      <c r="K123" s="1014"/>
      <c r="L123" s="1014"/>
      <c r="M123" s="1014"/>
      <c r="N123" s="1014"/>
      <c r="O123" s="1014"/>
      <c r="P123" s="1014"/>
      <c r="Q123" s="1014"/>
      <c r="R123" s="1014"/>
      <c r="S123" s="1014"/>
      <c r="T123" s="1014"/>
      <c r="U123" s="1014" t="n">
        <v>-1.2E-2</v>
      </c>
      <c r="V123" s="1014"/>
      <c r="W123" s="1014"/>
      <c r="X123" s="1014"/>
      <c r="Y123" s="1013"/>
      <c r="Z123" s="1013"/>
      <c r="AA123" s="1013"/>
      <c r="AB123" s="1013"/>
      <c r="AC123" s="1013"/>
      <c r="AD123" s="1013"/>
      <c r="AE123" s="1013"/>
      <c r="AF123" s="1013"/>
      <c r="AG123" s="1013"/>
      <c r="AH123" s="1013"/>
      <c r="AI123" s="1013"/>
      <c r="AJ123" s="1013"/>
      <c r="AK123" s="1013"/>
      <c r="AL123" s="1013"/>
      <c r="AM123" s="1013"/>
      <c r="AN123" s="1013"/>
    </row>
    <row r="124">
      <c r="D124" s="429" t="s">
        <v>420</v>
      </c>
      <c r="F124" s="419"/>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row>
    <row r="125" ht="14.9" customHeight="1">
      <c r="D125" s="867" t="s">
        <v>421</v>
      </c>
      <c r="F125" s="987" t="n">
        <f>SUM(F126:F129)</f>
        <v>772.6</v>
      </c>
      <c r="G125" s="578" t="n">
        <f t="shared" ref="G125:Z125" si="57">SUM(G126:G129)</f>
        <v>776.4</v>
      </c>
      <c r="H125" s="578" t="n">
        <f t="shared" si="57"/>
        <v>794.69999999999993</v>
      </c>
      <c r="I125" s="578" t="n">
        <f t="shared" si="57"/>
        <v>809.1</v>
      </c>
      <c r="J125" s="578" t="n">
        <f t="shared" si="57"/>
        <v>821.5</v>
      </c>
      <c r="K125" s="578" t="n">
        <f t="shared" si="57"/>
        <v>836.19999999999993</v>
      </c>
      <c r="L125" s="578" t="n">
        <f t="shared" si="57"/>
        <v>860.5</v>
      </c>
      <c r="M125" s="578" t="n">
        <f t="shared" si="57"/>
        <v>876</v>
      </c>
      <c r="N125" s="578" t="n">
        <f t="shared" si="57"/>
        <v>900.09999999999991</v>
      </c>
      <c r="O125" s="578" t="n">
        <f t="shared" si="57"/>
        <v>936.2</v>
      </c>
      <c r="P125" s="578" t="n">
        <f t="shared" si="57"/>
        <v>957.6</v>
      </c>
      <c r="Q125" s="578" t="n">
        <f t="shared" si="57"/>
        <v>985</v>
      </c>
      <c r="R125" s="578" t="n">
        <f t="shared" si="57"/>
        <v>1011.0999999999999</v>
      </c>
      <c r="S125" s="490" t="n">
        <f t="shared" si="57"/>
        <v>1045.5</v>
      </c>
      <c r="T125" s="490" t="n">
        <f t="shared" si="57"/>
        <v>1057.9000000000001</v>
      </c>
      <c r="U125" s="490" t="n">
        <f t="shared" si="57"/>
        <v>1074.3999999999999</v>
      </c>
      <c r="V125" s="490" t="n">
        <f t="shared" si="57"/>
        <v>1101.4000000000001</v>
      </c>
      <c r="W125" s="490" t="n">
        <f t="shared" si="57"/>
        <v>1119.4000000000001</v>
      </c>
      <c r="X125" s="490" t="n">
        <f t="shared" si="57"/>
        <v>1123.8000000000002</v>
      </c>
      <c r="Y125" s="490" t="n">
        <f t="shared" si="57"/>
        <v>1135.5999999999999</v>
      </c>
      <c r="Z125" s="490" t="n">
        <f t="shared" si="57"/>
        <v>1166.7</v>
      </c>
      <c r="AA125" s="490" t="n">
        <f>SUM(AA126:AA129)</f>
        <v>1199.4000000000001</v>
      </c>
      <c r="AB125" s="490" t="n">
        <f>SUM(AB126:AB129)</f>
        <v>1229.8</v>
      </c>
      <c r="AC125" s="490" t="n">
        <f>SUM(AC126:AC129)</f>
        <v>1255.5999999999999</v>
      </c>
      <c r="AD125" s="490" t="n">
        <f>SUM(AD126:AD129)</f>
        <v>1284</v>
      </c>
      <c r="AE125" s="257"/>
      <c r="AF125" s="257"/>
      <c r="AG125" s="257"/>
      <c r="AH125" s="257"/>
      <c r="AI125" s="257"/>
      <c r="AJ125" s="257"/>
      <c r="AK125" s="257"/>
      <c r="AL125" s="257"/>
      <c r="AM125" s="257"/>
      <c r="AN125" s="257"/>
    </row>
    <row r="126">
      <c r="D126" s="1066" t="s">
        <v>695</v>
      </c>
      <c r="E126" s="289" t="s">
        <v>691</v>
      </c>
      <c r="F126" s="987" t="n">
        <f>'Haver Pivoted'!D81</f>
        <v>555.70000000000005</v>
      </c>
      <c r="G126" s="578" t="n">
        <f>'Haver Pivoted'!E81</f>
        <v>556.29999999999995</v>
      </c>
      <c r="H126" s="578" t="n">
        <f>'Haver Pivoted'!F81</f>
        <v>570.5</v>
      </c>
      <c r="I126" s="578" t="n">
        <f>'Haver Pivoted'!G81</f>
        <v>580.4</v>
      </c>
      <c r="J126" s="578" t="n">
        <f>'Haver Pivoted'!H81</f>
        <v>588.79999999999995</v>
      </c>
      <c r="K126" s="578" t="n">
        <f>'Haver Pivoted'!I81</f>
        <v>598.4</v>
      </c>
      <c r="L126" s="578" t="n">
        <f>'Haver Pivoted'!J81</f>
        <v>618.5</v>
      </c>
      <c r="M126" s="578" t="n">
        <f>'Haver Pivoted'!K81</f>
        <v>630.4</v>
      </c>
      <c r="N126" s="578" t="n">
        <f>'Haver Pivoted'!L81</f>
        <v>642.29999999999995</v>
      </c>
      <c r="O126" s="578" t="n">
        <f>'Haver Pivoted'!M81</f>
        <v>664</v>
      </c>
      <c r="P126" s="578" t="n">
        <f>'Haver Pivoted'!N81</f>
        <v>683.4</v>
      </c>
      <c r="Q126" s="578" t="n">
        <f>'Haver Pivoted'!O81</f>
        <v>700.2</v>
      </c>
      <c r="R126" s="578" t="n">
        <f>'Haver Pivoted'!P81</f>
        <v>716.2</v>
      </c>
      <c r="S126" s="490" t="n">
        <f>'Haver Pivoted'!Q81</f>
        <v>735.4</v>
      </c>
      <c r="T126" s="490" t="n">
        <f>'Haver Pivoted'!R81</f>
        <v>748.2</v>
      </c>
      <c r="U126" s="490" t="n">
        <f>'Haver Pivoted'!S81</f>
        <v>765.3</v>
      </c>
      <c r="V126" s="490" t="n">
        <f>'Haver Pivoted'!T81</f>
        <v>783.2</v>
      </c>
      <c r="W126" s="490" t="n">
        <f>'Haver Pivoted'!U81</f>
        <v>792.5</v>
      </c>
      <c r="X126" s="490" t="n">
        <f>'Haver Pivoted'!V81</f>
        <v>792</v>
      </c>
      <c r="Y126" s="490" t="n">
        <f>'Haver Pivoted'!W81</f>
        <v>800.4</v>
      </c>
      <c r="Z126" s="490" t="n">
        <f>'Haver Pivoted'!X81</f>
        <v>821.3</v>
      </c>
      <c r="AA126" s="490" t="n">
        <f>'Haver Pivoted'!Y81</f>
        <v>845.8</v>
      </c>
      <c r="AB126" s="490" t="n">
        <f>'Haver Pivoted'!Z81</f>
        <v>871.3</v>
      </c>
      <c r="AC126" s="490" t="n">
        <f>'Haver Pivoted'!AA81</f>
        <v>889.4</v>
      </c>
      <c r="AD126" s="490" t="n">
        <f>'Haver Pivoted'!AB81</f>
        <v>908.5</v>
      </c>
      <c r="AE126" s="257"/>
      <c r="AF126" s="257"/>
      <c r="AG126" s="257"/>
      <c r="AH126" s="257"/>
      <c r="AI126" s="257"/>
      <c r="AJ126" s="257"/>
      <c r="AK126" s="257"/>
      <c r="AL126" s="257"/>
      <c r="AM126" s="257"/>
      <c r="AN126" s="257"/>
    </row>
    <row r="127">
      <c r="D127" s="1066" t="s">
        <v>422</v>
      </c>
      <c r="E127" s="289" t="s">
        <v>692</v>
      </c>
      <c r="F127" s="987" t="n">
        <f>'Haver Pivoted'!D82</f>
        <v>78.5</v>
      </c>
      <c r="G127" s="578" t="n">
        <f>'Haver Pivoted'!E82</f>
        <v>78.900000000000006</v>
      </c>
      <c r="H127" s="578" t="n">
        <f>'Haver Pivoted'!F82</f>
        <v>80.3</v>
      </c>
      <c r="I127" s="578" t="n">
        <f>'Haver Pivoted'!G82</f>
        <v>82.8</v>
      </c>
      <c r="J127" s="578" t="n">
        <f>'Haver Pivoted'!H82</f>
        <v>84.6</v>
      </c>
      <c r="K127" s="578" t="n">
        <f>'Haver Pivoted'!I82</f>
        <v>87.9</v>
      </c>
      <c r="L127" s="578" t="n">
        <f>'Haver Pivoted'!J82</f>
        <v>87.9</v>
      </c>
      <c r="M127" s="578" t="n">
        <f>'Haver Pivoted'!K82</f>
        <v>91.3</v>
      </c>
      <c r="N127" s="578" t="n">
        <f>'Haver Pivoted'!L82</f>
        <v>95.5</v>
      </c>
      <c r="O127" s="578" t="n">
        <f>'Haver Pivoted'!M82</f>
        <v>105.6</v>
      </c>
      <c r="P127" s="578" t="n">
        <f>'Haver Pivoted'!N82</f>
        <v>104.1</v>
      </c>
      <c r="Q127" s="578" t="n">
        <f>'Haver Pivoted'!O82</f>
        <v>109.9</v>
      </c>
      <c r="R127" s="578" t="n">
        <f>'Haver Pivoted'!P82</f>
        <v>113.8</v>
      </c>
      <c r="S127" s="490" t="n">
        <f>'Haver Pivoted'!Q82</f>
        <v>122.2</v>
      </c>
      <c r="T127" s="490" t="n">
        <f>'Haver Pivoted'!R82</f>
        <v>115.7</v>
      </c>
      <c r="U127" s="490" t="n">
        <f>'Haver Pivoted'!S82</f>
        <v>108.6</v>
      </c>
      <c r="V127" s="490" t="n">
        <f>'Haver Pivoted'!T82</f>
        <v>111</v>
      </c>
      <c r="W127" s="490" t="n">
        <f>'Haver Pivoted'!U82</f>
        <v>113.5</v>
      </c>
      <c r="X127" s="490" t="n">
        <f>'Haver Pivoted'!V82</f>
        <v>112.7</v>
      </c>
      <c r="Y127" s="490" t="n">
        <f>'Haver Pivoted'!W82</f>
        <v>114.3</v>
      </c>
      <c r="Z127" s="490" t="n">
        <f>'Haver Pivoted'!X82</f>
        <v>120.7</v>
      </c>
      <c r="AA127" s="490" t="n">
        <f>'Haver Pivoted'!Y82</f>
        <v>125.2</v>
      </c>
      <c r="AB127" s="490" t="n">
        <f>'Haver Pivoted'!Z82</f>
        <v>126.4</v>
      </c>
      <c r="AC127" s="490" t="n">
        <f>'Haver Pivoted'!AA82</f>
        <v>128.6</v>
      </c>
      <c r="AD127" s="490" t="n">
        <f>'Haver Pivoted'!AB82</f>
        <v>132.69999999999999</v>
      </c>
      <c r="AE127" s="257"/>
      <c r="AF127" s="257"/>
      <c r="AG127" s="257"/>
      <c r="AH127" s="257"/>
      <c r="AI127" s="257"/>
      <c r="AJ127" s="257"/>
      <c r="AK127" s="257"/>
      <c r="AL127" s="257"/>
      <c r="AM127" s="257"/>
      <c r="AN127" s="257"/>
    </row>
    <row r="128">
      <c r="D128" s="1066" t="s">
        <v>423</v>
      </c>
      <c r="E128" s="289" t="s">
        <v>698</v>
      </c>
      <c r="F128" s="987" t="n">
        <f>'Haver Pivoted'!D83</f>
        <v>20.9</v>
      </c>
      <c r="G128" s="578" t="n">
        <f>'Haver Pivoted'!E83</f>
        <v>21.2</v>
      </c>
      <c r="H128" s="578" t="n">
        <f>'Haver Pivoted'!F83</f>
        <v>21.1</v>
      </c>
      <c r="I128" s="578" t="n">
        <f>'Haver Pivoted'!G83</f>
        <v>21.7</v>
      </c>
      <c r="J128" s="578" t="n">
        <f>'Haver Pivoted'!H83</f>
        <v>22</v>
      </c>
      <c r="K128" s="578" t="n">
        <f>'Haver Pivoted'!I83</f>
        <v>22.5</v>
      </c>
      <c r="L128" s="578" t="n">
        <f>'Haver Pivoted'!J83</f>
        <v>23.1</v>
      </c>
      <c r="M128" s="578" t="n">
        <f>'Haver Pivoted'!K83</f>
        <v>20.2</v>
      </c>
      <c r="N128" s="578" t="n">
        <f>'Haver Pivoted'!L83</f>
        <v>23.9</v>
      </c>
      <c r="O128" s="578" t="n">
        <f>'Haver Pivoted'!M83</f>
        <v>23.8</v>
      </c>
      <c r="P128" s="578" t="n">
        <f>'Haver Pivoted'!N83</f>
        <v>23.5</v>
      </c>
      <c r="Q128" s="578" t="n">
        <f>'Haver Pivoted'!O83</f>
        <v>23.3</v>
      </c>
      <c r="R128" s="578" t="n">
        <f>'Haver Pivoted'!P83</f>
        <v>22.3</v>
      </c>
      <c r="S128" s="490" t="n">
        <f>'Haver Pivoted'!Q83</f>
        <v>23.3</v>
      </c>
      <c r="T128" s="490" t="n">
        <f>'Haver Pivoted'!R83</f>
        <v>23.5</v>
      </c>
      <c r="U128" s="490" t="n">
        <f>'Haver Pivoted'!S83</f>
        <v>22.9</v>
      </c>
      <c r="V128" s="490" t="n">
        <f>'Haver Pivoted'!T83</f>
        <v>23.3</v>
      </c>
      <c r="W128" s="490" t="n">
        <f>'Haver Pivoted'!U83</f>
        <v>23</v>
      </c>
      <c r="X128" s="490" t="n">
        <f>'Haver Pivoted'!V83</f>
        <v>22.7</v>
      </c>
      <c r="Y128" s="490" t="n">
        <f>'Haver Pivoted'!W83</f>
        <v>22.4</v>
      </c>
      <c r="Z128" s="490" t="n">
        <f>'Haver Pivoted'!X83</f>
        <v>22.2</v>
      </c>
      <c r="AA128" s="490" t="n">
        <f>'Haver Pivoted'!Y83</f>
        <v>21.9</v>
      </c>
      <c r="AB128" s="490" t="n">
        <f>'Haver Pivoted'!Z83</f>
        <v>21.6</v>
      </c>
      <c r="AC128" s="490" t="n">
        <f>'Haver Pivoted'!AA83</f>
        <v>20.5</v>
      </c>
      <c r="AD128" s="490" t="n">
        <f>'Haver Pivoted'!AB83</f>
        <v>20</v>
      </c>
      <c r="AE128" s="257"/>
      <c r="AF128" s="257"/>
      <c r="AG128" s="257"/>
      <c r="AH128" s="257"/>
      <c r="AI128" s="257"/>
      <c r="AJ128" s="257"/>
      <c r="AK128" s="257"/>
      <c r="AL128" s="257"/>
      <c r="AM128" s="257"/>
      <c r="AN128" s="257"/>
    </row>
    <row r="129">
      <c r="D129" s="1066" t="s">
        <v>424</v>
      </c>
      <c r="E129" s="289" t="s">
        <v>694</v>
      </c>
      <c r="F129" s="987" t="n">
        <f>'Haver Pivoted'!D84</f>
        <v>117.5</v>
      </c>
      <c r="G129" s="578" t="n">
        <f>'Haver Pivoted'!E84</f>
        <v>120</v>
      </c>
      <c r="H129" s="578" t="n">
        <f>'Haver Pivoted'!F84</f>
        <v>122.8</v>
      </c>
      <c r="I129" s="578" t="n">
        <f>'Haver Pivoted'!G84</f>
        <v>124.2</v>
      </c>
      <c r="J129" s="578" t="n">
        <f>'Haver Pivoted'!H84</f>
        <v>126.1</v>
      </c>
      <c r="K129" s="578" t="n">
        <f>'Haver Pivoted'!I84</f>
        <v>127.4</v>
      </c>
      <c r="L129" s="578" t="n">
        <f>'Haver Pivoted'!J84</f>
        <v>131</v>
      </c>
      <c r="M129" s="578" t="n">
        <f>'Haver Pivoted'!K84</f>
        <v>134.1</v>
      </c>
      <c r="N129" s="578" t="n">
        <f>'Haver Pivoted'!L84</f>
        <v>138.4</v>
      </c>
      <c r="O129" s="578" t="n">
        <f>'Haver Pivoted'!M84</f>
        <v>142.80000000000001</v>
      </c>
      <c r="P129" s="578" t="n">
        <f>'Haver Pivoted'!N84</f>
        <v>146.6</v>
      </c>
      <c r="Q129" s="578" t="n">
        <f>'Haver Pivoted'!O84</f>
        <v>151.6</v>
      </c>
      <c r="R129" s="578" t="n">
        <f>'Haver Pivoted'!P84</f>
        <v>158.80000000000001</v>
      </c>
      <c r="S129" s="490" t="n">
        <f>'Haver Pivoted'!Q84</f>
        <v>164.6</v>
      </c>
      <c r="T129" s="490" t="n">
        <f>'Haver Pivoted'!R84</f>
        <v>170.5</v>
      </c>
      <c r="U129" s="490" t="n">
        <f>'Haver Pivoted'!S84</f>
        <v>177.6</v>
      </c>
      <c r="V129" s="490" t="n">
        <f>'Haver Pivoted'!T84</f>
        <v>183.9</v>
      </c>
      <c r="W129" s="490" t="n">
        <f>'Haver Pivoted'!U84</f>
        <v>190.4</v>
      </c>
      <c r="X129" s="490" t="n">
        <f>'Haver Pivoted'!V84</f>
        <v>196.4</v>
      </c>
      <c r="Y129" s="490" t="n">
        <f>'Haver Pivoted'!W84</f>
        <v>198.5</v>
      </c>
      <c r="Z129" s="490" t="n">
        <f>'Haver Pivoted'!X84</f>
        <v>202.5</v>
      </c>
      <c r="AA129" s="490" t="n">
        <f>'Haver Pivoted'!Y84</f>
        <v>206.5</v>
      </c>
      <c r="AB129" s="490" t="n">
        <f>'Haver Pivoted'!Z84</f>
        <v>210.5</v>
      </c>
      <c r="AC129" s="490" t="n">
        <f>'Haver Pivoted'!AA84</f>
        <v>217.1</v>
      </c>
      <c r="AD129" s="490" t="n">
        <f>'Haver Pivoted'!AB84</f>
        <v>222.8</v>
      </c>
      <c r="AE129" s="257"/>
      <c r="AF129" s="257"/>
      <c r="AG129" s="257"/>
      <c r="AH129" s="257"/>
      <c r="AI129" s="257"/>
      <c r="AJ129" s="257"/>
      <c r="AK129" s="257"/>
      <c r="AL129" s="257"/>
      <c r="AM129" s="257"/>
      <c r="AN129" s="257"/>
    </row>
    <row r="130">
      <c r="D130" s="867" t="s">
        <v>411</v>
      </c>
      <c r="F130" s="987" t="n">
        <f>F126</f>
        <v>555.70000000000005</v>
      </c>
      <c r="G130" s="578" t="n">
        <f t="shared" ref="G130:AB130" si="58">G126</f>
        <v>556.29999999999995</v>
      </c>
      <c r="H130" s="578" t="n">
        <f t="shared" si="58"/>
        <v>570.5</v>
      </c>
      <c r="I130" s="578" t="n">
        <f t="shared" si="58"/>
        <v>580.4</v>
      </c>
      <c r="J130" s="578" t="n">
        <f t="shared" si="58"/>
        <v>588.79999999999995</v>
      </c>
      <c r="K130" s="578" t="n">
        <f t="shared" si="58"/>
        <v>598.4</v>
      </c>
      <c r="L130" s="578" t="n">
        <f t="shared" si="58"/>
        <v>618.5</v>
      </c>
      <c r="M130" s="578" t="n">
        <f t="shared" si="58"/>
        <v>630.4</v>
      </c>
      <c r="N130" s="578" t="n">
        <f t="shared" si="58"/>
        <v>642.29999999999995</v>
      </c>
      <c r="O130" s="578" t="n">
        <f t="shared" si="58"/>
        <v>664</v>
      </c>
      <c r="P130" s="578" t="n">
        <f t="shared" si="58"/>
        <v>683.4</v>
      </c>
      <c r="Q130" s="578" t="n">
        <f t="shared" si="58"/>
        <v>700.2</v>
      </c>
      <c r="R130" s="578" t="n">
        <f t="shared" si="58"/>
        <v>716.2</v>
      </c>
      <c r="S130" s="490" t="n">
        <f t="shared" si="58"/>
        <v>735.4</v>
      </c>
      <c r="T130" s="490" t="n">
        <f t="shared" si="58"/>
        <v>748.2</v>
      </c>
      <c r="U130" s="490" t="n">
        <f t="shared" si="58"/>
        <v>765.3</v>
      </c>
      <c r="V130" s="490" t="n">
        <f t="shared" si="58"/>
        <v>783.2</v>
      </c>
      <c r="W130" s="490" t="n">
        <f t="shared" si="58"/>
        <v>792.5</v>
      </c>
      <c r="X130" s="490" t="n">
        <f t="shared" si="58"/>
        <v>792</v>
      </c>
      <c r="Y130" s="490" t="n">
        <f t="shared" si="58"/>
        <v>800.4</v>
      </c>
      <c r="Z130" s="490" t="n">
        <f t="shared" si="58"/>
        <v>821.3</v>
      </c>
      <c r="AA130" s="490" t="n">
        <f t="shared" si="58"/>
        <v>845.8</v>
      </c>
      <c r="AB130" s="490" t="n">
        <f t="shared" si="58"/>
        <v>871.3</v>
      </c>
      <c r="AC130" s="490" t="n">
        <f>AC126</f>
        <v>889.4</v>
      </c>
      <c r="AD130" s="490" t="n">
        <f>AD126</f>
        <v>908.5</v>
      </c>
      <c r="AE130" s="257"/>
      <c r="AF130" s="257"/>
      <c r="AG130" s="257"/>
      <c r="AH130" s="257"/>
      <c r="AI130" s="257"/>
      <c r="AJ130" s="257"/>
      <c r="AK130" s="257"/>
      <c r="AL130" s="257"/>
      <c r="AM130" s="257"/>
      <c r="AN130" s="257"/>
    </row>
    <row r="131">
      <c r="D131" s="867" t="s">
        <v>412</v>
      </c>
      <c r="E131" s="289" t="s">
        <v>428</v>
      </c>
      <c r="F131" s="987" t="n">
        <f>'Haver Pivoted'!D5</f>
        <v>653.5</v>
      </c>
      <c r="G131" s="578" t="n">
        <f>'Haver Pivoted'!E5</f>
        <v>660.2</v>
      </c>
      <c r="H131" s="578" t="n">
        <f>'Haver Pivoted'!F5</f>
        <v>679.2</v>
      </c>
      <c r="I131" s="578" t="n">
        <f>'Haver Pivoted'!G5</f>
        <v>693.2</v>
      </c>
      <c r="J131" s="578" t="n">
        <f>'Haver Pivoted'!H5</f>
        <v>705.6</v>
      </c>
      <c r="K131" s="578" t="n">
        <f>'Haver Pivoted'!I5</f>
        <v>721.7</v>
      </c>
      <c r="L131" s="578" t="n">
        <f>'Haver Pivoted'!J5</f>
        <v>738.9</v>
      </c>
      <c r="M131" s="578" t="n">
        <f>'Haver Pivoted'!K5</f>
        <v>757.4</v>
      </c>
      <c r="N131" s="578" t="n">
        <f>'Haver Pivoted'!L5</f>
        <v>775.8</v>
      </c>
      <c r="O131" s="578" t="n">
        <f>'Haver Pivoted'!M5</f>
        <v>800.5</v>
      </c>
      <c r="P131" s="578" t="n">
        <f>'Haver Pivoted'!N5</f>
        <v>825</v>
      </c>
      <c r="Q131" s="578" t="n">
        <f>'Haver Pivoted'!O5</f>
        <v>840.5</v>
      </c>
      <c r="R131" s="578" t="n">
        <f>'Haver Pivoted'!P5</f>
        <v>858.9</v>
      </c>
      <c r="S131" s="490" t="n">
        <f>'Haver Pivoted'!Q5</f>
        <v>873.9</v>
      </c>
      <c r="T131" s="490" t="n">
        <f>'Haver Pivoted'!R5</f>
        <v>891.9</v>
      </c>
      <c r="U131" s="490" t="n">
        <f>'Haver Pivoted'!S5</f>
        <v>920.4</v>
      </c>
      <c r="V131" s="490" t="n">
        <f>'Haver Pivoted'!T5</f>
        <v>949.3</v>
      </c>
      <c r="W131" s="490" t="n">
        <f>'Haver Pivoted'!U5</f>
        <v>959.1</v>
      </c>
      <c r="X131" s="490" t="n">
        <f>'Haver Pivoted'!V5</f>
        <v>985.2</v>
      </c>
      <c r="Y131" s="490" t="n">
        <f>'Haver Pivoted'!W5</f>
        <v>1013.6</v>
      </c>
      <c r="Z131" s="490" t="n">
        <f>'Haver Pivoted'!X5</f>
        <v>1047.2</v>
      </c>
      <c r="AA131" s="490" t="n">
        <f>'Haver Pivoted'!Y5</f>
        <v>1076.2</v>
      </c>
      <c r="AB131" s="490" t="n">
        <f>'Haver Pivoted'!Z5</f>
        <v>1109.9000000000001</v>
      </c>
      <c r="AC131" s="490" t="n">
        <f>'Haver Pivoted'!AA5</f>
        <v>1129.5</v>
      </c>
      <c r="AD131" s="490" t="n">
        <f>'Haver Pivoted'!AB5</f>
        <v>1158.8</v>
      </c>
      <c r="AE131" s="257"/>
      <c r="AF131" s="257"/>
      <c r="AG131" s="257"/>
      <c r="AH131" s="257"/>
      <c r="AI131" s="257"/>
      <c r="AJ131" s="257"/>
      <c r="AK131" s="257"/>
      <c r="AL131" s="257"/>
      <c r="AM131" s="257"/>
      <c r="AN131" s="257"/>
    </row>
    <row r="132">
      <c r="D132" s="867" t="s">
        <v>425</v>
      </c>
      <c r="E132" s="289" t="s">
        <v>693</v>
      </c>
      <c r="F132" s="987" t="n">
        <f>'Haver Pivoted'!D85</f>
        <v>81.099999999999994</v>
      </c>
      <c r="G132" s="578" t="n">
        <f>'Haver Pivoted'!E85</f>
        <v>76.900000000000006</v>
      </c>
      <c r="H132" s="578" t="n">
        <f>'Haver Pivoted'!F85</f>
        <v>89.1</v>
      </c>
      <c r="I132" s="578" t="n">
        <f>'Haver Pivoted'!G85</f>
        <v>90.8</v>
      </c>
      <c r="J132" s="578" t="n">
        <f>'Haver Pivoted'!H85</f>
        <v>93.7</v>
      </c>
      <c r="K132" s="578" t="n">
        <f>'Haver Pivoted'!I85</f>
        <v>97.6</v>
      </c>
      <c r="L132" s="578" t="n">
        <f>'Haver Pivoted'!J85</f>
        <v>102.7</v>
      </c>
      <c r="M132" s="578" t="n">
        <f>'Haver Pivoted'!K85</f>
        <v>104.3</v>
      </c>
      <c r="N132" s="578" t="n">
        <f>'Haver Pivoted'!L85</f>
        <v>108.2</v>
      </c>
      <c r="O132" s="578" t="n">
        <f>'Haver Pivoted'!M85</f>
        <v>115.5</v>
      </c>
      <c r="P132" s="578" t="n">
        <f>'Haver Pivoted'!N85</f>
        <v>121</v>
      </c>
      <c r="Q132" s="578" t="n">
        <f>'Haver Pivoted'!O85</f>
        <v>117.2</v>
      </c>
      <c r="R132" s="490" t="n">
        <f>'Haver Pivoted'!P85</f>
        <v>116.6</v>
      </c>
      <c r="S132" s="490" t="n">
        <f>'Haver Pivoted'!Q85</f>
        <v>119.1</v>
      </c>
      <c r="T132" s="490" t="n">
        <f>'Haver Pivoted'!R85</f>
        <v>111.1</v>
      </c>
      <c r="U132" s="490" t="n">
        <f>'Haver Pivoted'!S85</f>
        <v>110.8</v>
      </c>
      <c r="V132" s="490" t="n">
        <f>'Haver Pivoted'!T85</f>
        <v>107.3</v>
      </c>
      <c r="W132" s="490" t="n">
        <f>'Haver Pivoted'!U85</f>
        <v>103.8</v>
      </c>
      <c r="X132" s="490" t="n">
        <f>'Haver Pivoted'!V85</f>
        <v>103.9</v>
      </c>
      <c r="Y132" s="490" t="n">
        <f>'Haver Pivoted'!W85</f>
        <v>115.6</v>
      </c>
      <c r="Z132" s="490" t="n">
        <f>'Haver Pivoted'!X85</f>
        <v>135.4</v>
      </c>
      <c r="AA132" s="490" t="n">
        <f>'Haver Pivoted'!Y85</f>
        <v>142</v>
      </c>
      <c r="AB132" s="490" t="n">
        <f>'Haver Pivoted'!Z85</f>
        <v>159.1</v>
      </c>
      <c r="AC132" s="490" t="n">
        <f>'Haver Pivoted'!AA85</f>
        <v>156.6</v>
      </c>
      <c r="AD132" s="490" t="n">
        <f>'Haver Pivoted'!AB85</f>
        <v>158.4</v>
      </c>
      <c r="AE132" s="257"/>
      <c r="AF132" s="257"/>
      <c r="AG132" s="257"/>
      <c r="AH132" s="257"/>
      <c r="AI132" s="257"/>
      <c r="AJ132" s="257"/>
      <c r="AK132" s="257"/>
      <c r="AL132" s="257"/>
      <c r="AM132" s="257"/>
      <c r="AN132" s="257"/>
    </row>
    <row r="133">
      <c r="D133" s="429" t="s">
        <v>426</v>
      </c>
      <c r="F133" s="419"/>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286"/>
      <c r="AH133" s="286"/>
      <c r="AI133" s="286"/>
      <c r="AJ133" s="286"/>
      <c r="AK133" s="286"/>
      <c r="AL133" s="286"/>
      <c r="AM133" s="286"/>
      <c r="AN133" s="286"/>
    </row>
    <row r="134">
      <c r="D134" s="1018" t="s">
        <v>396</v>
      </c>
      <c r="F134" s="993" t="n">
        <f t="shared" ref="F134:AD134" si="59">F25/F125</f>
        <v>1.8508930882733626E-2</v>
      </c>
      <c r="G134" s="1014" t="n">
        <f t="shared" si="59"/>
        <v>1.8547140649149925E-2</v>
      </c>
      <c r="H134" s="1014" t="n">
        <f t="shared" si="59"/>
        <v>1.8497546243865612E-2</v>
      </c>
      <c r="I134" s="1014" t="n">
        <f t="shared" si="59"/>
        <v>1.9280682239525396E-2</v>
      </c>
      <c r="J134" s="1014" t="n">
        <f t="shared" si="59"/>
        <v>1.9476567255021303E-2</v>
      </c>
      <c r="K134" s="1014" t="n">
        <f t="shared" si="59"/>
        <v>2.0688830423343699E-2</v>
      </c>
      <c r="L134" s="1014" t="n">
        <f t="shared" si="59"/>
        <v>2.2661243463102849E-2</v>
      </c>
      <c r="M134" s="1014" t="n">
        <f t="shared" si="59"/>
        <v>2.3972602739726026E-2</v>
      </c>
      <c r="N134" s="1014" t="n">
        <f t="shared" si="59"/>
        <v>2.3552938562381959E-2</v>
      </c>
      <c r="O134" s="1014" t="n">
        <f t="shared" si="59"/>
        <v>2.3285622730185859E-2</v>
      </c>
      <c r="P134" s="1014" t="n">
        <f t="shared" si="59"/>
        <v>2.2869674185463658E-2</v>
      </c>
      <c r="Q134" s="1014" t="n">
        <f t="shared" si="59"/>
        <v>2.2639593908629442E-2</v>
      </c>
      <c r="R134" s="1014" t="n">
        <f t="shared" si="59"/>
        <v>2.2846404905548415E-2</v>
      </c>
      <c r="S134" s="1012" t="n">
        <f t="shared" si="59"/>
        <v>2.2955523672883789E-2</v>
      </c>
      <c r="T134" s="1012" t="n">
        <f t="shared" si="59"/>
        <v>2.2024766045940069E-2</v>
      </c>
      <c r="U134" s="990" t="n">
        <f t="shared" si="59"/>
        <v>2.243112434847357E-2</v>
      </c>
      <c r="V134" s="990" t="n">
        <f t="shared" si="59"/>
        <v>2.2879970946068636E-2</v>
      </c>
      <c r="W134" s="990" t="n">
        <f t="shared" si="59"/>
        <v>2.2869394318384847E-2</v>
      </c>
      <c r="X134" s="990" t="n">
        <f t="shared" si="59"/>
        <v>2.286883787150738E-2</v>
      </c>
      <c r="Y134" s="990" t="n">
        <f t="shared" si="59"/>
        <v>2.3335681578020431E-2</v>
      </c>
      <c r="Z134" s="990" t="n">
        <f t="shared" si="59"/>
        <v>2.3313619610868259E-2</v>
      </c>
      <c r="AA134" s="990" t="n">
        <f t="shared" si="59"/>
        <v>2.3511755877938967E-2</v>
      </c>
      <c r="AB134" s="990" t="n">
        <f t="shared" si="59"/>
        <v>2.3987640266710034E-2</v>
      </c>
      <c r="AC134" s="990" t="n">
        <f t="shared" si="59"/>
        <v>2.4370818732080284E-2</v>
      </c>
      <c r="AD134" s="990" t="n">
        <f t="shared" si="59"/>
        <v>2.4610591900311528E-2</v>
      </c>
      <c r="AE134" s="1013" t="n">
        <f t="shared" ref="AE134:AG137" si="60">AD134</f>
        <v>2.4610591900311528E-2</v>
      </c>
      <c r="AF134" s="1013" t="n">
        <f t="shared" si="60"/>
        <v>2.4610591900311528E-2</v>
      </c>
      <c r="AG134" s="1013" t="n">
        <f>AF134</f>
        <v>2.4610591900311528E-2</v>
      </c>
      <c r="AH134" s="1013" t="n">
        <f t="shared" ref="AH134:AN137" si="61">AG134</f>
        <v>2.4610591900311528E-2</v>
      </c>
      <c r="AI134" s="1013" t="n">
        <f t="shared" si="61"/>
        <v>2.4610591900311528E-2</v>
      </c>
      <c r="AJ134" s="1013" t="n">
        <f t="shared" si="61"/>
        <v>2.4610591900311528E-2</v>
      </c>
      <c r="AK134" s="1013" t="n">
        <f t="shared" si="61"/>
        <v>2.4610591900311528E-2</v>
      </c>
      <c r="AL134" s="1013" t="n">
        <f t="shared" si="61"/>
        <v>2.4610591900311528E-2</v>
      </c>
      <c r="AM134" s="1013" t="n">
        <f t="shared" si="61"/>
        <v>2.4610591900311528E-2</v>
      </c>
      <c r="AN134" s="1013" t="n">
        <f t="shared" si="61"/>
        <v>2.4610591900311528E-2</v>
      </c>
    </row>
    <row r="135">
      <c r="D135" s="1018" t="s">
        <v>393</v>
      </c>
      <c r="F135" s="993" t="n">
        <f t="shared" ref="F135:AD135" si="62">F27/F130</f>
        <v>1.9794853338132084E-3</v>
      </c>
      <c r="G135" s="1014" t="n">
        <f t="shared" si="62"/>
        <v>1.9773503505302898E-3</v>
      </c>
      <c r="H135" s="1014" t="n">
        <f t="shared" si="62"/>
        <v>1.9281332164767749E-3</v>
      </c>
      <c r="I135" s="1014" t="n">
        <f t="shared" si="62"/>
        <v>2.0675396278428669E-3</v>
      </c>
      <c r="J135" s="1014" t="n">
        <f t="shared" si="62"/>
        <v>2.0380434782608695E-3</v>
      </c>
      <c r="K135" s="1014" t="n">
        <f t="shared" si="62"/>
        <v>2.0053475935828879E-3</v>
      </c>
      <c r="L135" s="1014" t="n">
        <f t="shared" si="62"/>
        <v>2.1018593371059015E-3</v>
      </c>
      <c r="M135" s="1014" t="n">
        <f t="shared" si="62"/>
        <v>2.0621827411167514E-3</v>
      </c>
      <c r="N135" s="1014" t="n">
        <f t="shared" si="62"/>
        <v>2.0239763350459287E-3</v>
      </c>
      <c r="O135" s="1014" t="n">
        <f t="shared" si="62"/>
        <v>2.1084337349397591E-3</v>
      </c>
      <c r="P135" s="1014" t="n">
        <f t="shared" si="62"/>
        <v>2.048580626280363E-3</v>
      </c>
      <c r="Q135" s="1014" t="n">
        <f t="shared" si="62"/>
        <v>2.1422450728363325E-3</v>
      </c>
      <c r="R135" s="1014" t="n">
        <f t="shared" si="62"/>
        <v>2.0943870427254955E-3</v>
      </c>
      <c r="S135" s="1012" t="n">
        <f t="shared" si="62"/>
        <v>2.1756867011150397E-3</v>
      </c>
      <c r="T135" s="1012" t="n">
        <f t="shared" si="62"/>
        <v>2.1384656508954825E-3</v>
      </c>
      <c r="U135" s="990" t="n">
        <f t="shared" si="62"/>
        <v>2.090683392133804E-3</v>
      </c>
      <c r="V135" s="990" t="n">
        <f t="shared" si="62"/>
        <v>2.1705822267620019E-3</v>
      </c>
      <c r="W135" s="990" t="n">
        <f t="shared" si="62"/>
        <v>2.1451104100946371E-3</v>
      </c>
      <c r="X135" s="990" t="n">
        <f t="shared" si="62"/>
        <v>2.2727272727272726E-3</v>
      </c>
      <c r="Y135" s="990" t="n">
        <f t="shared" si="62"/>
        <v>2.2488755622188908E-3</v>
      </c>
      <c r="Z135" s="990" t="n">
        <f t="shared" si="62"/>
        <v>2.3134055765250214E-3</v>
      </c>
      <c r="AA135" s="990" t="n">
        <f t="shared" si="62"/>
        <v>2.3646252069047056E-3</v>
      </c>
      <c r="AB135" s="990" t="n">
        <f t="shared" si="62"/>
        <v>2.2954206358315162E-3</v>
      </c>
      <c r="AC135" s="990" t="n">
        <f t="shared" si="62"/>
        <v>2.3611423431526874E-3</v>
      </c>
      <c r="AD135" s="990" t="n">
        <f t="shared" si="62"/>
        <v>2.4215740231150248E-3</v>
      </c>
      <c r="AE135" s="1013" t="n">
        <f t="shared" si="60"/>
        <v>2.4215740231150248E-3</v>
      </c>
      <c r="AF135" s="1013" t="n">
        <f t="shared" si="60"/>
        <v>2.4215740231150248E-3</v>
      </c>
      <c r="AG135" s="1013" t="n">
        <f>AF135</f>
        <v>2.4215740231150248E-3</v>
      </c>
      <c r="AH135" s="1013" t="n">
        <f t="shared" si="61"/>
        <v>2.4215740231150248E-3</v>
      </c>
      <c r="AI135" s="1013" t="n">
        <f t="shared" si="61"/>
        <v>2.4215740231150248E-3</v>
      </c>
      <c r="AJ135" s="1013" t="n">
        <f t="shared" si="61"/>
        <v>2.4215740231150248E-3</v>
      </c>
      <c r="AK135" s="1013" t="n">
        <f t="shared" si="61"/>
        <v>2.4215740231150248E-3</v>
      </c>
      <c r="AL135" s="1013" t="n">
        <f t="shared" si="61"/>
        <v>2.4215740231150248E-3</v>
      </c>
      <c r="AM135" s="1013" t="n">
        <f t="shared" si="61"/>
        <v>2.4215740231150248E-3</v>
      </c>
      <c r="AN135" s="1013" t="n">
        <f t="shared" si="61"/>
        <v>2.4215740231150248E-3</v>
      </c>
    </row>
    <row r="136">
      <c r="D136" s="1018" t="s">
        <v>394</v>
      </c>
      <c r="F136" s="993" t="n">
        <f t="shared" ref="F136:AD136" si="63">F28/F131</f>
        <v>0.11369548584544759</v>
      </c>
      <c r="G136" s="1014" t="n">
        <f t="shared" si="63"/>
        <v>0.11511663132384126</v>
      </c>
      <c r="H136" s="1014" t="n">
        <f t="shared" si="63"/>
        <v>0.11528268551236748</v>
      </c>
      <c r="I136" s="1014" t="n">
        <f t="shared" si="63"/>
        <v>0.11569532602423542</v>
      </c>
      <c r="J136" s="1014" t="n">
        <f t="shared" si="63"/>
        <v>0.1173469387755102</v>
      </c>
      <c r="K136" s="1014" t="n">
        <f t="shared" si="63"/>
        <v>0.11736178467507274</v>
      </c>
      <c r="L136" s="1014" t="n">
        <f t="shared" si="63"/>
        <v>0.1169305724725944</v>
      </c>
      <c r="M136" s="1014" t="n">
        <f t="shared" si="63"/>
        <v>0.11684710852917878</v>
      </c>
      <c r="N136" s="1014" t="n">
        <f t="shared" si="63"/>
        <v>0.11652487754575923</v>
      </c>
      <c r="O136" s="1014" t="n">
        <f t="shared" si="63"/>
        <v>0.1155527795128045</v>
      </c>
      <c r="P136" s="1014" t="n">
        <f t="shared" si="63"/>
        <v>0.11527272727272726</v>
      </c>
      <c r="Q136" s="1014" t="n">
        <f t="shared" si="63"/>
        <v>0.11457465794170137</v>
      </c>
      <c r="R136" s="1014" t="n">
        <f t="shared" si="63"/>
        <v>0.11491442542787286</v>
      </c>
      <c r="S136" s="1012" t="n">
        <f t="shared" si="63"/>
        <v>0.11397185032612427</v>
      </c>
      <c r="T136" s="1012" t="n">
        <f t="shared" si="63"/>
        <v>0.11324139477519901</v>
      </c>
      <c r="U136" s="990" t="n">
        <f t="shared" si="63"/>
        <v>0.11299435028248588</v>
      </c>
      <c r="V136" s="990" t="n">
        <f t="shared" si="63"/>
        <v>0.11250395027915307</v>
      </c>
      <c r="W136" s="990" t="n">
        <f t="shared" si="63"/>
        <v>0.11208424564696069</v>
      </c>
      <c r="X136" s="990" t="n">
        <f t="shared" si="63"/>
        <v>0.11063743402354852</v>
      </c>
      <c r="Y136" s="990" t="n">
        <f t="shared" si="63"/>
        <v>0.11020126282557222</v>
      </c>
      <c r="Z136" s="990" t="n">
        <f t="shared" si="63"/>
        <v>0.10972116119174943</v>
      </c>
      <c r="AA136" s="990" t="n">
        <f t="shared" si="63"/>
        <v>0.10899461066716223</v>
      </c>
      <c r="AB136" s="990" t="n">
        <f t="shared" si="63"/>
        <v>0.10892873231822686</v>
      </c>
      <c r="AC136" s="990" t="n">
        <f t="shared" si="63"/>
        <v>0.10934041611332448</v>
      </c>
      <c r="AD136" s="990" t="n">
        <f t="shared" si="63"/>
        <v>0.10873317224715223</v>
      </c>
      <c r="AE136" s="1013" t="n">
        <f t="shared" si="60"/>
        <v>0.10873317224715223</v>
      </c>
      <c r="AF136" s="1013" t="n">
        <f t="shared" si="60"/>
        <v>0.10873317224715223</v>
      </c>
      <c r="AG136" s="1013" t="n">
        <f t="shared" si="60"/>
        <v>0.10873317224715223</v>
      </c>
      <c r="AH136" s="1013" t="n">
        <f t="shared" si="61"/>
        <v>0.10873317224715223</v>
      </c>
      <c r="AI136" s="1013" t="n">
        <f t="shared" si="61"/>
        <v>0.10873317224715223</v>
      </c>
      <c r="AJ136" s="1013" t="n">
        <f t="shared" si="61"/>
        <v>0.10873317224715223</v>
      </c>
      <c r="AK136" s="1013" t="n">
        <f t="shared" si="61"/>
        <v>0.10873317224715223</v>
      </c>
      <c r="AL136" s="1013" t="n">
        <f t="shared" si="61"/>
        <v>0.10873317224715223</v>
      </c>
      <c r="AM136" s="1013" t="n">
        <f t="shared" si="61"/>
        <v>0.10873317224715223</v>
      </c>
      <c r="AN136" s="1013" t="n">
        <f t="shared" si="61"/>
        <v>0.10873317224715223</v>
      </c>
    </row>
    <row r="137">
      <c r="D137" s="982" t="s">
        <v>427</v>
      </c>
      <c r="E137" s="506"/>
      <c r="F137" s="985" t="n">
        <f t="shared" ref="F137:AD137" si="64">F29/F132</f>
        <v>4.6855733662145502E-2</v>
      </c>
      <c r="G137" s="986" t="n">
        <f t="shared" si="64"/>
        <v>4.6814044213263975E-2</v>
      </c>
      <c r="H137" s="986" t="n">
        <f t="shared" si="64"/>
        <v>4.6015712682379348E-2</v>
      </c>
      <c r="I137" s="986" t="n">
        <f t="shared" si="64"/>
        <v>4.6255506607929521E-2</v>
      </c>
      <c r="J137" s="986" t="n">
        <f t="shared" si="64"/>
        <v>4.6958377801494131E-2</v>
      </c>
      <c r="K137" s="986" t="n">
        <f t="shared" si="64"/>
        <v>4.6106557377049183E-2</v>
      </c>
      <c r="L137" s="986" t="n">
        <f t="shared" si="64"/>
        <v>4.8685491723466402E-2</v>
      </c>
      <c r="M137" s="986" t="n">
        <f t="shared" si="64"/>
        <v>4.793863854266539E-2</v>
      </c>
      <c r="N137" s="986" t="n">
        <f t="shared" si="64"/>
        <v>4.8059149722735672E-2</v>
      </c>
      <c r="O137" s="986" t="n">
        <f t="shared" si="64"/>
        <v>4.9350649350649353E-2</v>
      </c>
      <c r="P137" s="986" t="n">
        <f t="shared" si="64"/>
        <v>4.9586776859504134E-2</v>
      </c>
      <c r="Q137" s="986" t="n">
        <f t="shared" si="64"/>
        <v>5.2047781569965867E-2</v>
      </c>
      <c r="R137" s="991" t="n">
        <f t="shared" si="64"/>
        <v>5.060034305317325E-2</v>
      </c>
      <c r="S137" s="991" t="n">
        <f t="shared" si="64"/>
        <v>5.1217464315701088E-2</v>
      </c>
      <c r="T137" s="1083" t="n">
        <f t="shared" si="64"/>
        <v>5.6705670567056707E-2</v>
      </c>
      <c r="U137" s="1015" t="n">
        <f t="shared" si="64"/>
        <v>5.9566787003610108E-2</v>
      </c>
      <c r="V137" s="1015" t="n">
        <f t="shared" si="64"/>
        <v>6.8033550792171479E-2</v>
      </c>
      <c r="W137" s="1015" t="n">
        <f t="shared" si="64"/>
        <v>6.2620423892100194E-2</v>
      </c>
      <c r="X137" s="1015" t="n">
        <f t="shared" si="64"/>
        <v>5.871029836381135E-2</v>
      </c>
      <c r="Y137" s="1015" t="n">
        <f t="shared" si="64"/>
        <v>5.7093425605536333E-2</v>
      </c>
      <c r="Z137" s="1015" t="n">
        <f t="shared" si="64"/>
        <v>6.0561299852289502E-2</v>
      </c>
      <c r="AA137" s="1015" t="n">
        <f t="shared" si="64"/>
        <v>5.9154929577464793E-2</v>
      </c>
      <c r="AB137" s="1015" t="n">
        <f t="shared" si="64"/>
        <v>6.0967944688874919E-2</v>
      </c>
      <c r="AC137" s="1015" t="n">
        <f t="shared" si="64"/>
        <v>6.1302681992337162E-2</v>
      </c>
      <c r="AD137" s="1015" t="n">
        <f t="shared" si="64"/>
        <v>6.1237373737373729E-2</v>
      </c>
      <c r="AE137" s="1013" t="n">
        <f t="shared" si="60"/>
        <v>6.1237373737373729E-2</v>
      </c>
      <c r="AF137" s="1013" t="n">
        <f>AE137</f>
        <v>6.1237373737373729E-2</v>
      </c>
      <c r="AG137" s="1013" t="n">
        <f>AF137</f>
        <v>6.1237373737373729E-2</v>
      </c>
      <c r="AH137" s="1013" t="n">
        <f t="shared" si="61"/>
        <v>6.1237373737373729E-2</v>
      </c>
      <c r="AI137" s="1013" t="n">
        <f t="shared" si="61"/>
        <v>6.1237373737373729E-2</v>
      </c>
      <c r="AJ137" s="1013" t="n">
        <f t="shared" si="61"/>
        <v>6.1237373737373729E-2</v>
      </c>
      <c r="AK137" s="1013" t="n">
        <f t="shared" si="61"/>
        <v>6.1237373737373729E-2</v>
      </c>
      <c r="AL137" s="1013" t="n">
        <f t="shared" si="61"/>
        <v>6.1237373737373729E-2</v>
      </c>
      <c r="AM137" s="1013" t="n">
        <f t="shared" si="61"/>
        <v>6.1237373737373729E-2</v>
      </c>
      <c r="AN137" s="1013" t="n">
        <f t="shared" si="61"/>
        <v>6.1237373737373729E-2</v>
      </c>
    </row>
    <row r="141">
      <c r="D141" s="925" t="s">
        <v>1603</v>
      </c>
      <c r="E141" s="925"/>
      <c r="F141" s="925"/>
      <c r="G141" s="925"/>
      <c r="H141" s="925"/>
      <c r="I141" s="925"/>
      <c r="J141" s="925"/>
      <c r="K141" s="925"/>
      <c r="L141" s="925"/>
      <c r="M141" s="925"/>
      <c r="N141" s="925"/>
      <c r="O141" s="925"/>
      <c r="P141" s="925"/>
      <c r="Q141" s="925"/>
      <c r="R141" s="925"/>
      <c r="S141" s="925"/>
      <c r="T141" s="925"/>
      <c r="U141" s="925"/>
      <c r="V141" s="925"/>
      <c r="W141" s="925"/>
      <c r="X141" s="925"/>
      <c r="Y141" s="925"/>
      <c r="Z141" s="925"/>
      <c r="AA141" s="925"/>
      <c r="AB141" s="925"/>
      <c r="AC141" s="925"/>
    </row>
    <row r="142">
      <c r="D142" s="964" t="s">
        <v>1596</v>
      </c>
      <c r="E142" s="307"/>
      <c r="F142" s="428"/>
      <c r="G142" s="428"/>
      <c r="H142" s="428"/>
      <c r="I142" s="428"/>
      <c r="J142" s="428"/>
      <c r="K142" s="428"/>
      <c r="L142" s="428"/>
      <c r="M142" s="428"/>
      <c r="N142" s="428"/>
      <c r="O142" s="428"/>
      <c r="P142" s="428"/>
      <c r="Q142" s="428"/>
      <c r="R142" s="428"/>
      <c r="S142" s="988"/>
      <c r="T142" s="428"/>
      <c r="U142" s="262"/>
      <c r="V142" s="262"/>
      <c r="W142" s="262"/>
      <c r="X142" s="262"/>
      <c r="Y142" s="262"/>
      <c r="Z142" s="262"/>
      <c r="AA142" s="262"/>
      <c r="AB142" s="262"/>
      <c r="AC142" s="263"/>
    </row>
    <row r="143">
      <c r="D143" s="1084" t="s">
        <v>421</v>
      </c>
      <c r="E143" s="1085"/>
      <c r="F143" s="1086"/>
      <c r="G143" s="1086" t="n">
        <f>(G125/F125)^4-1</f>
        <v>1.9819452474615584E-2</v>
      </c>
      <c r="H143" s="1086" t="n">
        <f t="shared" ref="H143:S143" si="65">(H125/G125)^4-1</f>
        <v>9.7667347087389E-2</v>
      </c>
      <c r="I143" s="1086" t="n">
        <f t="shared" si="65"/>
        <v>7.447410311087399E-2</v>
      </c>
      <c r="J143" s="1086" t="n">
        <f t="shared" si="65"/>
        <v>6.2726392755988236E-2</v>
      </c>
      <c r="K143" s="1086" t="n">
        <f t="shared" si="65"/>
        <v>7.3520597918602881E-2</v>
      </c>
      <c r="L143" s="1086" t="n">
        <f t="shared" si="65"/>
        <v>0.12140592348491053</v>
      </c>
      <c r="M143" s="1086" t="n">
        <f t="shared" si="65"/>
        <v>7.4021378239168989E-2</v>
      </c>
      <c r="N143" s="1086" t="n">
        <f t="shared" si="65"/>
        <v>0.11467079400881275</v>
      </c>
      <c r="O143" s="1086" t="n">
        <f t="shared" si="65"/>
        <v>0.17033852247824122</v>
      </c>
      <c r="P143" s="1086" t="n">
        <f t="shared" si="65"/>
        <v>9.4616530537030563E-2</v>
      </c>
      <c r="Q143" s="1086" t="n">
        <f t="shared" si="65"/>
        <v>0.11945946437398502</v>
      </c>
      <c r="R143" s="1086" t="n">
        <f t="shared" si="65"/>
        <v>0.1102774507276707</v>
      </c>
      <c r="S143" s="1086" t="n">
        <f t="shared" si="65"/>
        <v>0.1431933962691927</v>
      </c>
      <c r="T143" s="1087"/>
      <c r="U143" s="257"/>
      <c r="V143" s="257"/>
      <c r="W143" s="257"/>
      <c r="X143" s="257"/>
      <c r="Y143" s="257"/>
      <c r="Z143" s="257"/>
      <c r="AA143" s="257"/>
      <c r="AB143" s="257"/>
      <c r="AC143" s="258"/>
    </row>
    <row r="144">
      <c r="D144" s="1088" t="s">
        <v>695</v>
      </c>
      <c r="E144" s="1089"/>
      <c r="F144" s="1086"/>
      <c r="G144" s="1086" t="n">
        <f t="shared" ref="G144:S150" si="66">(G126/F126)^4-1</f>
        <v>4.3258768904848033E-3</v>
      </c>
      <c r="H144" s="1086" t="n">
        <f t="shared" si="66"/>
        <v>0.10607953065575026</v>
      </c>
      <c r="I144" s="1086" t="n">
        <f t="shared" si="66"/>
        <v>7.1240590076086407E-2</v>
      </c>
      <c r="J144" s="1086" t="n">
        <f t="shared" si="66"/>
        <v>5.9160047112997161E-2</v>
      </c>
      <c r="K144" s="1086" t="n">
        <f t="shared" si="66"/>
        <v>6.6829789372859993E-2</v>
      </c>
      <c r="L144" s="1086" t="n">
        <f t="shared" si="66"/>
        <v>0.1412807088966026</v>
      </c>
      <c r="M144" s="1086" t="n">
        <f t="shared" si="66"/>
        <v>7.9210102366282786E-2</v>
      </c>
      <c r="N144" s="1086" t="n">
        <f t="shared" si="66"/>
        <v>7.7672672309721857E-2</v>
      </c>
      <c r="O144" s="1086" t="n">
        <f t="shared" si="66"/>
        <v>0.1421433866634163</v>
      </c>
      <c r="P144" s="1086" t="n">
        <f t="shared" si="66"/>
        <v>0.12208971165852778</v>
      </c>
      <c r="Q144" s="1086" t="n">
        <f t="shared" si="66"/>
        <v>0.10201759315913739</v>
      </c>
      <c r="R144" s="1086" t="n">
        <f t="shared" si="66"/>
        <v>9.4583358317817057E-2</v>
      </c>
      <c r="S144" s="1086" t="n">
        <f t="shared" si="66"/>
        <v>0.11162226148593901</v>
      </c>
      <c r="T144" s="1087"/>
      <c r="U144" s="257"/>
      <c r="V144" s="257"/>
      <c r="W144" s="257"/>
      <c r="X144" s="257"/>
      <c r="Y144" s="257"/>
      <c r="Z144" s="257"/>
      <c r="AA144" s="257"/>
      <c r="AB144" s="257"/>
      <c r="AC144" s="258"/>
    </row>
    <row r="145">
      <c r="D145" s="1088" t="s">
        <v>422</v>
      </c>
      <c r="E145" s="1089"/>
      <c r="F145" s="1086"/>
      <c r="G145" s="1086" t="n">
        <f t="shared" si="66"/>
        <v>2.0538482745883879E-2</v>
      </c>
      <c r="H145" s="1086" t="n">
        <f t="shared" si="66"/>
        <v>7.2887457596561012E-2</v>
      </c>
      <c r="I145" s="1086" t="n">
        <f t="shared" si="66"/>
        <v>0.13047032365448508</v>
      </c>
      <c r="J145" s="1086" t="n">
        <f t="shared" si="66"/>
        <v>8.9833378597131475E-2</v>
      </c>
      <c r="K145" s="1086" t="n">
        <f t="shared" si="66"/>
        <v>0.16539740883967635</v>
      </c>
      <c r="L145" s="1086" t="n">
        <f t="shared" si="66"/>
        <v>0</v>
      </c>
      <c r="M145" s="1086" t="n">
        <f t="shared" si="66"/>
        <v>0.16393200381813466</v>
      </c>
      <c r="N145" s="1086" t="n">
        <f t="shared" si="66"/>
        <v>0.19709984948606518</v>
      </c>
      <c r="O145" s="1086" t="n">
        <f t="shared" si="66"/>
        <v>0.49500342101130212</v>
      </c>
      <c r="P145" s="1086" t="n">
        <f t="shared" si="66"/>
        <v>-5.5618990592052331E-2</v>
      </c>
      <c r="Q145" s="1086" t="n">
        <f t="shared" si="66"/>
        <v>0.24218949353117258</v>
      </c>
      <c r="R145" s="1086" t="n">
        <f t="shared" si="66"/>
        <v>0.14968344714447679</v>
      </c>
      <c r="S145" s="1086" t="n">
        <f t="shared" si="66"/>
        <v>0.32958398514689935</v>
      </c>
      <c r="T145" s="1087"/>
      <c r="U145" s="257"/>
      <c r="V145" s="257"/>
      <c r="W145" s="257"/>
      <c r="X145" s="257"/>
      <c r="Y145" s="257"/>
      <c r="Z145" s="257"/>
      <c r="AA145" s="257"/>
      <c r="AB145" s="257"/>
      <c r="AC145" s="258"/>
    </row>
    <row r="146">
      <c r="D146" s="1088" t="s">
        <v>423</v>
      </c>
      <c r="E146" s="1089"/>
      <c r="F146" s="1086"/>
      <c r="G146" s="1086" t="n">
        <f t="shared" si="66"/>
        <v>5.866437583307671E-2</v>
      </c>
      <c r="H146" s="1086" t="n">
        <f t="shared" si="66"/>
        <v>-1.8734844376882553E-2</v>
      </c>
      <c r="I146" s="1086" t="n">
        <f t="shared" si="66"/>
        <v>0.11868834699553221</v>
      </c>
      <c r="J146" s="1086" t="n">
        <f t="shared" si="66"/>
        <v>5.6456909596710458E-2</v>
      </c>
      <c r="K146" s="1086" t="n">
        <f t="shared" si="66"/>
        <v>9.4055488439997337E-2</v>
      </c>
      <c r="L146" s="1086" t="n">
        <f t="shared" si="66"/>
        <v>0.11100969086419821</v>
      </c>
      <c r="M146" s="1086" t="n">
        <f t="shared" si="66"/>
        <v>-0.4152670621505663</v>
      </c>
      <c r="N146" s="1086" t="n">
        <f t="shared" si="66"/>
        <v>0.9596843573810554</v>
      </c>
      <c r="O146" s="1086" t="n">
        <f t="shared" si="66"/>
        <v>-1.6631654188389078E-2</v>
      </c>
      <c r="P146" s="1086" t="n">
        <f t="shared" si="66"/>
        <v>-4.9474831430140087E-2</v>
      </c>
      <c r="Q146" s="1086" t="n">
        <f t="shared" si="66"/>
        <v>-3.3610427894774197E-2</v>
      </c>
      <c r="R146" s="1086" t="n">
        <f t="shared" si="66"/>
        <v>-0.16093468626419427</v>
      </c>
      <c r="S146" s="1086" t="n">
        <f t="shared" si="66"/>
        <v>0.19180233484763853</v>
      </c>
      <c r="T146" s="1087"/>
      <c r="U146" s="257"/>
      <c r="V146" s="257"/>
      <c r="W146" s="257"/>
      <c r="X146" s="257"/>
      <c r="Y146" s="257"/>
      <c r="Z146" s="257"/>
      <c r="AA146" s="257"/>
      <c r="AB146" s="257"/>
      <c r="AC146" s="258"/>
    </row>
    <row r="147">
      <c r="D147" s="1088" t="s">
        <v>424</v>
      </c>
      <c r="E147" s="1089"/>
      <c r="F147" s="1086"/>
      <c r="G147" s="1086" t="n">
        <f t="shared" si="66"/>
        <v>8.7861276177684244E-2</v>
      </c>
      <c r="H147" s="1086" t="n">
        <f t="shared" si="66"/>
        <v>9.6651111234567377E-2</v>
      </c>
      <c r="I147" s="1086" t="n">
        <f t="shared" si="66"/>
        <v>4.6388399071754405E-2</v>
      </c>
      <c r="J147" s="1086" t="n">
        <f t="shared" si="66"/>
        <v>6.2610157283911283E-2</v>
      </c>
      <c r="K147" s="1086" t="n">
        <f t="shared" si="66"/>
        <v>4.1879194749137039E-2</v>
      </c>
      <c r="L147" s="1086" t="n">
        <f t="shared" si="66"/>
        <v>0.11791162058418192</v>
      </c>
      <c r="M147" s="1086" t="n">
        <f t="shared" si="66"/>
        <v>9.806975294944098E-2</v>
      </c>
      <c r="N147" s="1086" t="n">
        <f t="shared" si="66"/>
        <v>0.13456465285166885</v>
      </c>
      <c r="O147" s="1086" t="n">
        <f t="shared" si="66"/>
        <v>0.1333615354756954</v>
      </c>
      <c r="P147" s="1086" t="n">
        <f t="shared" si="66"/>
        <v>0.11076721159823499</v>
      </c>
      <c r="Q147" s="1086" t="n">
        <f t="shared" si="66"/>
        <v>0.14356518197767132</v>
      </c>
      <c r="R147" s="1086" t="n">
        <f t="shared" si="66"/>
        <v>0.20394095190904471</v>
      </c>
      <c r="S147" s="1086" t="n">
        <f t="shared" si="66"/>
        <v>0.15429637328860335</v>
      </c>
      <c r="T147" s="1087"/>
      <c r="U147" s="257"/>
      <c r="V147" s="257"/>
      <c r="W147" s="257"/>
      <c r="X147" s="257"/>
      <c r="Y147" s="257"/>
      <c r="Z147" s="257"/>
      <c r="AA147" s="257"/>
      <c r="AB147" s="257"/>
      <c r="AC147" s="258"/>
    </row>
    <row r="148">
      <c r="D148" s="1084" t="s">
        <v>411</v>
      </c>
      <c r="E148" s="1085"/>
      <c r="F148" s="1086"/>
      <c r="G148" s="1086" t="n">
        <f t="shared" si="66"/>
        <v>4.3258768904848033E-3</v>
      </c>
      <c r="H148" s="1086" t="n">
        <f t="shared" si="66"/>
        <v>0.10607953065575026</v>
      </c>
      <c r="I148" s="1086" t="n">
        <f t="shared" si="66"/>
        <v>7.1240590076086407E-2</v>
      </c>
      <c r="J148" s="1086" t="n">
        <f t="shared" si="66"/>
        <v>5.9160047112997161E-2</v>
      </c>
      <c r="K148" s="1086" t="n">
        <f t="shared" si="66"/>
        <v>6.6829789372859993E-2</v>
      </c>
      <c r="L148" s="1086" t="n">
        <f t="shared" si="66"/>
        <v>0.1412807088966026</v>
      </c>
      <c r="M148" s="1086" t="n">
        <f t="shared" si="66"/>
        <v>7.9210102366282786E-2</v>
      </c>
      <c r="N148" s="1086" t="n">
        <f t="shared" si="66"/>
        <v>7.7672672309721857E-2</v>
      </c>
      <c r="O148" s="1086" t="n">
        <f t="shared" si="66"/>
        <v>0.1421433866634163</v>
      </c>
      <c r="P148" s="1086" t="n">
        <f t="shared" si="66"/>
        <v>0.12208971165852778</v>
      </c>
      <c r="Q148" s="1086" t="n">
        <f t="shared" si="66"/>
        <v>0.10201759315913739</v>
      </c>
      <c r="R148" s="1086" t="n">
        <f t="shared" si="66"/>
        <v>9.4583358317817057E-2</v>
      </c>
      <c r="S148" s="1086" t="n">
        <f t="shared" si="66"/>
        <v>0.11162226148593901</v>
      </c>
      <c r="T148" s="1087"/>
      <c r="U148" s="257"/>
      <c r="V148" s="257"/>
      <c r="W148" s="257"/>
      <c r="X148" s="257"/>
      <c r="Y148" s="257"/>
      <c r="Z148" s="257"/>
      <c r="AA148" s="257"/>
      <c r="AB148" s="257"/>
      <c r="AC148" s="258"/>
    </row>
    <row r="149">
      <c r="D149" s="1084" t="s">
        <v>412</v>
      </c>
      <c r="E149" s="1089"/>
      <c r="F149" s="1086"/>
      <c r="G149" s="1086" t="n">
        <f t="shared" si="66"/>
        <v>4.1644949079531424E-2</v>
      </c>
      <c r="H149" s="1086" t="n">
        <f t="shared" si="66"/>
        <v>0.12018210104811855</v>
      </c>
      <c r="I149" s="1086" t="n">
        <f t="shared" si="66"/>
        <v>8.5034399802850436E-2</v>
      </c>
      <c r="J149" s="1086" t="n">
        <f t="shared" si="66"/>
        <v>7.3495114585425014E-2</v>
      </c>
      <c r="K149" s="1086" t="n">
        <f t="shared" si="66"/>
        <v>9.4441449714524506E-2</v>
      </c>
      <c r="L149" s="1086" t="n">
        <f t="shared" si="66"/>
        <v>9.8792901364545216E-2</v>
      </c>
      <c r="M149" s="1086" t="n">
        <f t="shared" si="66"/>
        <v>0.10397321600147036</v>
      </c>
      <c r="N149" s="1086" t="n">
        <f t="shared" si="66"/>
        <v>0.10077332789042059</v>
      </c>
      <c r="O149" s="1086" t="n">
        <f t="shared" si="66"/>
        <v>0.13356451924853907</v>
      </c>
      <c r="P149" s="1086" t="n">
        <f t="shared" si="66"/>
        <v>0.12815935537300449</v>
      </c>
      <c r="Q149" s="1086" t="n">
        <f t="shared" si="66"/>
        <v>7.729607339726674E-2</v>
      </c>
      <c r="R149" s="1086" t="n">
        <f t="shared" si="66"/>
        <v>9.0484607738740674E-2</v>
      </c>
      <c r="S149" s="1086" t="n">
        <f t="shared" si="66"/>
        <v>7.1708182148294775E-2</v>
      </c>
      <c r="T149" s="1087"/>
      <c r="U149" s="257"/>
      <c r="V149" s="257"/>
      <c r="W149" s="257"/>
      <c r="X149" s="257"/>
      <c r="Y149" s="257"/>
      <c r="Z149" s="257"/>
      <c r="AA149" s="257"/>
      <c r="AB149" s="257"/>
      <c r="AC149" s="258"/>
    </row>
    <row r="150">
      <c r="D150" s="1090" t="s">
        <v>425</v>
      </c>
      <c r="E150" s="961"/>
      <c r="F150" s="962"/>
      <c r="G150" s="962" t="n">
        <f t="shared" si="66"/>
        <v>-0.19160812032622498</v>
      </c>
      <c r="H150" s="962" t="n">
        <f t="shared" si="66"/>
        <v>0.80221025642482569</v>
      </c>
      <c r="I150" s="962" t="n">
        <f t="shared" si="66"/>
        <v>7.8530864603973294E-2</v>
      </c>
      <c r="J150" s="962" t="n">
        <f t="shared" si="66"/>
        <v>0.13400500009253435</v>
      </c>
      <c r="K150" s="962" t="n">
        <f t="shared" si="66"/>
        <v>0.17717466612987209</v>
      </c>
      <c r="L150" s="962" t="n">
        <f t="shared" si="66"/>
        <v>0.22597751113391862</v>
      </c>
      <c r="M150" s="962" t="n">
        <f t="shared" si="66"/>
        <v>6.3788912030787515E-2</v>
      </c>
      <c r="N150" s="962" t="n">
        <f t="shared" si="66"/>
        <v>0.15816866163187426</v>
      </c>
      <c r="O150" s="962" t="n">
        <f t="shared" si="66"/>
        <v>0.29843105417770377</v>
      </c>
      <c r="P150" s="962" t="n">
        <f t="shared" si="66"/>
        <v>0.20451869334279449</v>
      </c>
      <c r="Q150" s="962" t="n">
        <f t="shared" si="66"/>
        <v>-0.11982512865608763</v>
      </c>
      <c r="R150" s="962" t="n">
        <f t="shared" si="66"/>
        <v>-2.0321098860971332E-2</v>
      </c>
      <c r="S150" s="962" t="n">
        <f t="shared" si="66"/>
        <v>8.8561184222190725E-2</v>
      </c>
      <c r="T150" s="963"/>
      <c r="U150" s="291"/>
      <c r="V150" s="291"/>
      <c r="W150" s="291"/>
      <c r="X150" s="291"/>
      <c r="Y150" s="291"/>
      <c r="Z150" s="291"/>
      <c r="AA150" s="291"/>
      <c r="AB150" s="291"/>
      <c r="AC150" s="297"/>
    </row>
    <row r="153" ht="14.9" customHeight="1"/>
  </sheetData>
  <mergeCells count="44">
    <mergeCell ref="D1:AC1"/>
    <mergeCell ref="D2:AC3"/>
    <mergeCell ref="D5:E7"/>
    <mergeCell ref="F5:AB5"/>
    <mergeCell ref="AC5:AN5"/>
    <mergeCell ref="F6:H6"/>
    <mergeCell ref="I6:L6"/>
    <mergeCell ref="M6:P6"/>
    <mergeCell ref="Q6:T6"/>
    <mergeCell ref="U6:X6"/>
    <mergeCell ref="AC6:AF6"/>
    <mergeCell ref="AG6:AJ6"/>
    <mergeCell ref="AK6:AN6"/>
    <mergeCell ref="D35:F35"/>
    <mergeCell ref="F47:V47"/>
    <mergeCell ref="W47:AH47"/>
    <mergeCell ref="AG48:AJ48"/>
    <mergeCell ref="O72:V72"/>
    <mergeCell ref="AC48:AF48"/>
    <mergeCell ref="F48:H48"/>
    <mergeCell ref="I48:L48"/>
    <mergeCell ref="M48:P48"/>
    <mergeCell ref="Q48:T48"/>
    <mergeCell ref="Y48:AB48"/>
    <mergeCell ref="P73:S73"/>
    <mergeCell ref="D105:E106"/>
    <mergeCell ref="F105:H105"/>
    <mergeCell ref="I105:L105"/>
    <mergeCell ref="M105:P105"/>
    <mergeCell ref="Q105:T105"/>
    <mergeCell ref="D117:E117"/>
    <mergeCell ref="D141:AC141"/>
    <mergeCell ref="AK105:AN105"/>
    <mergeCell ref="D115:E116"/>
    <mergeCell ref="F115:H115"/>
    <mergeCell ref="I115:L115"/>
    <mergeCell ref="M115:P115"/>
    <mergeCell ref="Q115:T115"/>
    <mergeCell ref="Y115:AB115"/>
    <mergeCell ref="AC115:AF115"/>
    <mergeCell ref="AG115:AJ115"/>
    <mergeCell ref="AK115:AN115"/>
    <mergeCell ref="AC105:AF105"/>
    <mergeCell ref="AG105:AJ105"/>
  </mergeCells>
  <pageMargins left="0.7" right="0.7" top="0.75" bottom="0.75" header="0.3" footer="0.3"/>
  <pageSetup orientation="portrait"/>
  <drawing r:id="rId1"/>
  <legacyDrawing r:id="rIdvml"/>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RowHeight="15.0" baseColWidth="10" outlineLevelRow="1"/>
  <cols>
    <col min="2" max="2" width="71.1796875" hidden="0" customWidth="1"/>
    <col min="4" max="4" width="12.1796875" hidden="0" customWidth="1"/>
    <col min="5" max="5" width="12.1796875" hidden="0" customWidth="1"/>
    <col min="6" max="6" width="12.1796875" hidden="0" customWidth="1"/>
    <col min="7" max="7" width="10.453125" hidden="0" customWidth="1"/>
    <col min="8" max="8" width="12.1796875" hidden="0" customWidth="1"/>
    <col min="9" max="9" width="12" hidden="0" customWidth="1"/>
    <col min="10" max="10" width="13.26953125" hidden="0" customWidth="1"/>
    <col min="11" max="11" width="13.26953125" hidden="0" customWidth="1"/>
    <col min="12" max="12" width="13.26953125" hidden="0" customWidth="1"/>
    <col min="13" max="13" width="13.26953125" hidden="0" customWidth="1"/>
    <col min="14" max="14" width="13.26953125" hidden="0" customWidth="1"/>
    <col min="15" max="15" width="13.26953125" hidden="0" customWidth="1"/>
    <col min="16" max="16" width="13.26953125" hidden="0" customWidth="1"/>
    <col min="17" max="17" width="13.26953125" hidden="0" customWidth="1"/>
    <col min="18" max="18" width="13.26953125" hidden="0" customWidth="1"/>
    <col min="19" max="19" width="13.26953125" hidden="0" customWidth="1"/>
    <col min="20" max="20" width="13.26953125" hidden="0" customWidth="1"/>
    <col min="21" max="21" width="13.26953125" hidden="0" customWidth="1"/>
    <col min="22" max="22" width="13.26953125" hidden="0" customWidth="1"/>
    <col min="23" max="23" width="13.26953125" hidden="0" customWidth="1"/>
    <col min="24" max="24" width="13.26953125" hidden="0" customWidth="1"/>
    <col min="25" max="25" width="13.26953125" hidden="0" customWidth="1"/>
    <col min="26" max="26" width="13.26953125" hidden="0" customWidth="1"/>
    <col min="27" max="27" width="13.26953125" hidden="0" customWidth="1"/>
    <col min="28" max="28" width="13.26953125" hidden="0" customWidth="1"/>
    <col min="29" max="29" width="13.26953125" hidden="0" customWidth="1"/>
  </cols>
  <sheetData>
    <row r="1" ht="18" customHeight="1">
      <c r="B1" s="842" t="s">
        <v>375</v>
      </c>
      <c r="C1" s="842"/>
      <c r="D1" s="842"/>
      <c r="E1" s="842"/>
      <c r="F1" s="842"/>
      <c r="G1" s="842"/>
      <c r="H1" s="842"/>
      <c r="I1" s="842"/>
      <c r="J1" s="842"/>
      <c r="K1" s="842"/>
      <c r="L1" s="842"/>
      <c r="M1" s="842"/>
      <c r="N1" s="842"/>
      <c r="O1" s="842"/>
      <c r="P1" s="842"/>
      <c r="Q1" s="842"/>
      <c r="R1" s="842"/>
      <c r="S1" s="842"/>
      <c r="T1" s="842"/>
      <c r="U1" s="842"/>
      <c r="V1" s="842"/>
      <c r="W1" s="842"/>
      <c r="X1" s="842"/>
      <c r="Y1" s="842"/>
      <c r="Z1" s="842"/>
      <c r="AA1" s="842"/>
      <c r="AB1" s="842"/>
      <c r="AC1" s="842"/>
    </row>
    <row r="2" ht="34.5" customHeight="1" outlineLevel="1" hidden="1">
      <c r="B2" s="377" t="s">
        <v>766</v>
      </c>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row>
    <row r="3" ht="3" customHeight="1" outlineLevel="1" hidden="1">
      <c r="B3" s="267"/>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row>
    <row r="4" ht="10.4" customHeight="1" outlineLevel="1" hidden="1">
      <c r="B4" s="267"/>
      <c r="C4" s="267"/>
      <c r="D4" s="267"/>
      <c r="E4" s="267"/>
      <c r="F4" s="267"/>
      <c r="G4" s="267"/>
      <c r="H4" s="267"/>
      <c r="I4" s="267"/>
      <c r="J4" s="267"/>
      <c r="K4" s="267"/>
      <c r="L4" s="267"/>
      <c r="M4" s="267"/>
      <c r="N4" s="267"/>
      <c r="O4" s="267"/>
      <c r="P4" s="267"/>
      <c r="Q4" s="267"/>
      <c r="R4" s="267"/>
      <c r="S4" s="267"/>
      <c r="T4" s="267"/>
      <c r="U4" s="267"/>
      <c r="V4" s="267"/>
      <c r="W4" s="267"/>
      <c r="X4" s="267"/>
      <c r="Y4" s="267"/>
      <c r="Z4" s="267"/>
      <c r="AA4" s="267"/>
      <c r="AB4" s="267"/>
      <c r="AC4" s="267"/>
    </row>
    <row r="5" ht="14.25" customHeight="1" outlineLevel="1" hidden="1">
      <c r="B5" s="267"/>
      <c r="C5" s="267"/>
      <c r="D5" s="267"/>
      <c r="E5" s="267"/>
      <c r="F5" s="267"/>
      <c r="G5" s="267"/>
      <c r="H5" s="267"/>
      <c r="I5" s="267"/>
      <c r="J5" s="267"/>
      <c r="K5" s="267"/>
      <c r="L5" s="267"/>
      <c r="M5" s="267"/>
      <c r="N5" s="267"/>
      <c r="O5" s="267"/>
      <c r="P5" s="267"/>
      <c r="Q5" s="267"/>
      <c r="R5" s="267"/>
      <c r="S5" s="267"/>
      <c r="T5" s="267"/>
      <c r="U5" s="267"/>
      <c r="V5" s="267"/>
      <c r="W5" s="267"/>
      <c r="X5" s="267"/>
      <c r="Y5" s="267"/>
      <c r="Z5" s="267"/>
      <c r="AA5" s="267"/>
      <c r="AB5" s="267"/>
      <c r="AC5" s="267"/>
    </row>
    <row r="6" ht="14.25" customHeight="1" outlineLevel="1" hidden="1">
      <c r="B6" s="267"/>
      <c r="C6" s="267"/>
      <c r="D6" s="267"/>
      <c r="E6" s="267"/>
      <c r="F6" s="267"/>
      <c r="G6" s="267"/>
      <c r="H6" s="267"/>
      <c r="I6" s="267"/>
      <c r="J6" s="267"/>
      <c r="K6" s="267"/>
      <c r="L6" s="267"/>
      <c r="M6" s="267"/>
      <c r="N6" s="267"/>
      <c r="O6" s="267"/>
      <c r="P6" s="267"/>
      <c r="Q6" s="267"/>
      <c r="R6" s="267"/>
      <c r="S6" s="267"/>
      <c r="T6" s="267"/>
      <c r="U6" s="267"/>
      <c r="V6" s="267"/>
      <c r="W6" s="267"/>
      <c r="X6" s="267"/>
      <c r="Y6" s="267"/>
      <c r="Z6" s="267"/>
      <c r="AA6" s="267"/>
      <c r="AB6" s="267"/>
      <c r="AC6" s="267"/>
    </row>
    <row r="7">
      <c r="B7" s="891" t="s">
        <v>244</v>
      </c>
      <c r="C7" s="414"/>
      <c r="D7" s="414"/>
      <c r="E7" s="414"/>
      <c r="F7" s="414"/>
      <c r="G7" s="414"/>
      <c r="H7" s="415"/>
      <c r="I7" s="415"/>
      <c r="J7" s="415"/>
      <c r="K7" s="415"/>
      <c r="L7" s="415"/>
      <c r="M7" s="415"/>
      <c r="N7" s="415"/>
      <c r="O7" s="415"/>
      <c r="P7" s="415"/>
      <c r="Q7" s="415"/>
      <c r="R7" s="415"/>
      <c r="S7" s="415"/>
      <c r="T7" s="415"/>
      <c r="U7" s="415"/>
    </row>
    <row r="8" ht="14.9" customHeight="1">
      <c r="B8" s="876" t="s">
        <v>215</v>
      </c>
      <c r="C8" s="877"/>
      <c r="D8" s="1099" t="s">
        <v>191</v>
      </c>
      <c r="E8" s="1100"/>
      <c r="F8" s="1100"/>
      <c r="G8" s="1100"/>
      <c r="H8" s="1100"/>
      <c r="I8" s="1100"/>
      <c r="J8" s="1100"/>
      <c r="K8" s="1100"/>
      <c r="L8" s="1100"/>
      <c r="M8" s="1100"/>
      <c r="N8" s="1100"/>
      <c r="O8" s="1100"/>
      <c r="P8" s="594"/>
      <c r="Q8" s="594"/>
      <c r="R8" s="594"/>
      <c r="S8" s="594"/>
      <c r="T8" s="594"/>
      <c r="U8" s="594"/>
      <c r="V8" s="273"/>
      <c r="W8" s="251" t="s">
        <v>192</v>
      </c>
      <c r="X8" s="252"/>
      <c r="Y8" s="252"/>
      <c r="Z8" s="252"/>
      <c r="AA8" s="252"/>
      <c r="AB8" s="252"/>
      <c r="AC8" s="253"/>
    </row>
    <row r="9" ht="14.9" customHeight="1">
      <c r="B9" s="878"/>
      <c r="C9" s="879"/>
      <c r="D9" s="254" t="n">
        <v>2018</v>
      </c>
      <c r="E9" s="254" t="n">
        <v>2019</v>
      </c>
      <c r="F9" s="441"/>
      <c r="G9" s="441"/>
      <c r="H9" s="256"/>
      <c r="I9" s="254" t="n">
        <v>2020</v>
      </c>
      <c r="J9" s="441"/>
      <c r="K9" s="441"/>
      <c r="L9" s="441"/>
      <c r="M9" s="254" t="n">
        <v>2021</v>
      </c>
      <c r="N9" s="441"/>
      <c r="O9" s="441"/>
      <c r="P9" s="441"/>
      <c r="Q9" s="254" t="n">
        <v>2022</v>
      </c>
      <c r="R9" s="255"/>
      <c r="S9" s="255"/>
      <c r="T9" s="256"/>
      <c r="U9" s="298"/>
      <c r="V9" s="298" t="n">
        <v>2023</v>
      </c>
      <c r="W9" s="810"/>
      <c r="X9" s="301"/>
      <c r="Y9" s="261" t="n">
        <v>2024</v>
      </c>
      <c r="Z9" s="262"/>
      <c r="AA9" s="262"/>
      <c r="AB9" s="263"/>
      <c r="AC9" s="443" t="n">
        <v>2025</v>
      </c>
    </row>
    <row r="10">
      <c r="B10" s="878"/>
      <c r="C10" s="879"/>
      <c r="D10" s="274" t="s">
        <v>193</v>
      </c>
      <c r="E10" s="274" t="s">
        <v>194</v>
      </c>
      <c r="F10" s="275" t="s">
        <v>195</v>
      </c>
      <c r="G10" s="275" t="s">
        <v>171</v>
      </c>
      <c r="H10" s="276" t="s">
        <v>193</v>
      </c>
      <c r="I10" s="275" t="s">
        <v>194</v>
      </c>
      <c r="J10" s="275" t="s">
        <v>195</v>
      </c>
      <c r="K10" s="275" t="s">
        <v>171</v>
      </c>
      <c r="L10" s="275" t="s">
        <v>193</v>
      </c>
      <c r="M10" s="274" t="s">
        <v>194</v>
      </c>
      <c r="N10" s="275" t="s">
        <v>195</v>
      </c>
      <c r="O10" s="275" t="s">
        <v>171</v>
      </c>
      <c r="P10" s="275" t="s">
        <v>193</v>
      </c>
      <c r="Q10" s="274" t="s">
        <v>194</v>
      </c>
      <c r="R10" s="275" t="s">
        <v>195</v>
      </c>
      <c r="S10" s="275" t="s">
        <v>171</v>
      </c>
      <c r="T10" s="276" t="s">
        <v>193</v>
      </c>
      <c r="U10" s="275" t="s">
        <v>194</v>
      </c>
      <c r="V10" s="294" t="s">
        <v>195</v>
      </c>
      <c r="W10" s="291" t="s">
        <v>171</v>
      </c>
      <c r="X10" s="297" t="s">
        <v>193</v>
      </c>
      <c r="Y10" s="296" t="s">
        <v>194</v>
      </c>
      <c r="Z10" s="290" t="s">
        <v>195</v>
      </c>
      <c r="AA10" s="291" t="s">
        <v>171</v>
      </c>
      <c r="AB10" s="291" t="s">
        <v>193</v>
      </c>
      <c r="AC10" s="444" t="s">
        <v>194</v>
      </c>
    </row>
    <row r="11" ht="15" customHeight="1">
      <c r="B11" s="840" t="s">
        <v>376</v>
      </c>
      <c r="C11" s="841"/>
      <c r="D11" s="840"/>
      <c r="E11" s="889"/>
      <c r="F11" s="889"/>
      <c r="G11" s="889"/>
      <c r="H11" s="457"/>
      <c r="I11" s="457"/>
      <c r="J11" s="457"/>
      <c r="K11" s="457"/>
      <c r="L11" s="457"/>
      <c r="M11" s="747"/>
      <c r="N11" s="747"/>
      <c r="O11" s="747"/>
      <c r="P11" s="457"/>
      <c r="Q11" s="457"/>
      <c r="R11" s="457"/>
      <c r="S11" s="457"/>
      <c r="T11" s="428"/>
      <c r="U11" s="457"/>
      <c r="V11" s="457"/>
      <c r="W11" s="264"/>
      <c r="X11" s="264"/>
      <c r="Y11" s="264"/>
      <c r="Z11" s="264"/>
      <c r="AA11" s="264"/>
      <c r="AB11" s="264"/>
      <c r="AC11" s="263"/>
    </row>
    <row r="12" ht="17.149999999999999" customHeight="1">
      <c r="A12" t="s">
        <v>1750</v>
      </c>
      <c r="B12" s="1109" t="s">
        <v>377</v>
      </c>
      <c r="C12" s="289" t="s">
        <v>378</v>
      </c>
      <c r="D12" s="764" t="n">
        <f>'Haver Pivoted'!B31</f>
        <v>48.3</v>
      </c>
      <c r="E12" s="657" t="n">
        <f>'Haver Pivoted'!C31</f>
        <v>57.5</v>
      </c>
      <c r="F12" s="657" t="n">
        <f>'Haver Pivoted'!D31</f>
        <v>56.9</v>
      </c>
      <c r="G12" s="657" t="n">
        <f>'Haver Pivoted'!E31</f>
        <v>59.8</v>
      </c>
      <c r="H12" s="657" t="n">
        <f>'Haver Pivoted'!F31</f>
        <v>61</v>
      </c>
      <c r="I12" s="657" t="n">
        <f>'Haver Pivoted'!G31</f>
        <v>67.900000000000006</v>
      </c>
      <c r="J12" s="657" t="n">
        <f>'Haver Pivoted'!H31</f>
        <v>67.2</v>
      </c>
      <c r="K12" s="657" t="n">
        <f>'Haver Pivoted'!I31</f>
        <v>68.2</v>
      </c>
      <c r="L12" s="657" t="n">
        <f>'Haver Pivoted'!J31</f>
        <v>70.2</v>
      </c>
      <c r="M12" s="657" t="n">
        <f>'Haver Pivoted'!K31</f>
        <v>70.2</v>
      </c>
      <c r="N12" s="657" t="n">
        <f>'Haver Pivoted'!L31</f>
        <v>70.3</v>
      </c>
      <c r="O12" s="657" t="n">
        <f>'Haver Pivoted'!M31</f>
        <v>80.599999999999994</v>
      </c>
      <c r="P12" s="657" t="n">
        <f>'Haver Pivoted'!N31</f>
        <v>82.2</v>
      </c>
      <c r="Q12" s="657" t="n">
        <f>'Haver Pivoted'!O31</f>
        <v>83.6</v>
      </c>
      <c r="R12" s="657" t="n">
        <f>'Haver Pivoted'!P31</f>
        <v>85.1</v>
      </c>
      <c r="S12" s="850" t="n">
        <f>'Haver Pivoted'!Q31</f>
        <v>87.3</v>
      </c>
      <c r="T12" s="850" t="n">
        <f>'Haver Pivoted'!R31</f>
        <v>94.1</v>
      </c>
      <c r="U12" s="850" t="n">
        <f>'Haver Pivoted'!S31</f>
        <v>100.7</v>
      </c>
      <c r="V12" s="850" t="n">
        <f>'Haver Pivoted'!T31</f>
        <v>106.4</v>
      </c>
      <c r="W12" s="859" t="n">
        <f t="shared" ref="W12:AC12" si="0">SUM(W14:W39)-W38</f>
        <v>118.48866666666667</v>
      </c>
      <c r="X12" s="859" t="n">
        <f t="shared" si="0"/>
        <v>119.33790476190477</v>
      </c>
      <c r="Y12" s="859" t="n">
        <f t="shared" si="0"/>
        <v>128.27961502857141</v>
      </c>
      <c r="Z12" s="859" t="n">
        <f t="shared" si="0"/>
        <v>130.24628169523808</v>
      </c>
      <c r="AA12" s="859" t="n">
        <f t="shared" si="0"/>
        <v>130.01294836190476</v>
      </c>
      <c r="AB12" s="859" t="n">
        <f t="shared" si="0"/>
        <v>128.83361502857144</v>
      </c>
      <c r="AC12" s="1101" t="n">
        <f t="shared" si="0"/>
        <v>131.06891134323811</v>
      </c>
    </row>
    <row r="13" ht="15.65" customHeight="1">
      <c r="A13" t="s">
        <v>1750</v>
      </c>
      <c r="B13" s="1108" t="s">
        <v>708</v>
      </c>
      <c r="C13" s="289" t="s">
        <v>735</v>
      </c>
      <c r="D13" s="418" t="n">
        <v>30</v>
      </c>
      <c r="E13" s="392" t="n">
        <v>30</v>
      </c>
      <c r="F13" s="392" t="n">
        <v>30</v>
      </c>
      <c r="G13" s="392" t="n">
        <v>30</v>
      </c>
      <c r="H13" s="392" t="n">
        <v>30</v>
      </c>
      <c r="I13" s="392" t="n">
        <v>30</v>
      </c>
      <c r="J13" s="392" t="n">
        <v>30</v>
      </c>
      <c r="K13" s="388" t="n">
        <v>30.2</v>
      </c>
      <c r="L13" s="388" t="n">
        <v>30.2</v>
      </c>
      <c r="M13" s="388" t="n">
        <f>'Haver Pivoted'!K89</f>
        <v>0</v>
      </c>
      <c r="N13" s="388" t="n">
        <f>'Haver Pivoted'!L89</f>
        <v>0</v>
      </c>
      <c r="O13" s="388" t="n">
        <f>'Haver Pivoted'!M89</f>
        <v>0</v>
      </c>
      <c r="P13" s="388" t="n">
        <f>'Haver Pivoted'!N89</f>
        <v>0</v>
      </c>
      <c r="Q13" s="388" t="n">
        <f>'Haver Pivoted'!O89</f>
        <v>0</v>
      </c>
      <c r="R13" s="388" t="n">
        <f>'Haver Pivoted'!P89</f>
        <v>0</v>
      </c>
      <c r="S13" s="388" t="n">
        <f>'Haver Pivoted'!Q89</f>
        <v>0</v>
      </c>
      <c r="T13" s="388" t="n">
        <f>'Haver Pivoted'!R89</f>
        <v>0</v>
      </c>
      <c r="U13" s="859" t="n">
        <v>34</v>
      </c>
      <c r="V13" s="657" t="n">
        <v>34</v>
      </c>
      <c r="W13" s="859" t="n">
        <v>34</v>
      </c>
      <c r="X13" s="859" t="n">
        <v>34</v>
      </c>
      <c r="Y13" s="859" t="n">
        <v>34</v>
      </c>
      <c r="Z13" s="859" t="n">
        <v>34</v>
      </c>
      <c r="AA13" s="859" t="n">
        <v>34</v>
      </c>
      <c r="AB13" s="859" t="n">
        <v>34</v>
      </c>
      <c r="AC13" s="1101" t="n">
        <v>34</v>
      </c>
    </row>
    <row r="14" ht="15" customHeight="1">
      <c r="A14" t="s">
        <v>1747</v>
      </c>
      <c r="B14" s="865" t="s">
        <v>1739</v>
      </c>
      <c r="C14" s="289"/>
      <c r="D14" s="764" t="n">
        <f>'Unemployment Insurance'!D21+'Unemployment Insurance'!D20</f>
        <v>2.9</v>
      </c>
      <c r="E14" s="657" t="n">
        <f>'Unemployment Insurance'!E21+'Unemployment Insurance'!E20</f>
        <v>3.9</v>
      </c>
      <c r="F14" s="657" t="n">
        <f>'Unemployment Insurance'!F21+'Unemployment Insurance'!F20</f>
        <v>4.5999999999999996</v>
      </c>
      <c r="G14" s="657" t="n">
        <f>'Unemployment Insurance'!G21+'Unemployment Insurance'!G20</f>
        <v>5.4</v>
      </c>
      <c r="H14" s="657" t="n">
        <f>'Unemployment Insurance'!H21+'Unemployment Insurance'!H20</f>
        <v>5.7</v>
      </c>
      <c r="I14" s="657" t="n">
        <f>'Unemployment Insurance'!I21+'Unemployment Insurance'!I20</f>
        <v>6.3</v>
      </c>
      <c r="J14" s="657" t="n">
        <f>'Unemployment Insurance'!J21+'Unemployment Insurance'!J20</f>
        <v>6.3</v>
      </c>
      <c r="K14" s="657" t="n">
        <f>'Unemployment Insurance'!K21+'Unemployment Insurance'!K20</f>
        <v>6.3</v>
      </c>
      <c r="L14" s="657" t="n">
        <f>'Unemployment Insurance'!L21+'Unemployment Insurance'!L20</f>
        <v>6.5</v>
      </c>
      <c r="M14" s="657" t="n">
        <f>'Unemployment Insurance'!M21+'Unemployment Insurance'!M20</f>
        <v>6.9</v>
      </c>
      <c r="N14" s="657" t="n">
        <f>'Unemployment Insurance'!N21+'Unemployment Insurance'!N20</f>
        <v>5.8</v>
      </c>
      <c r="O14" s="657" t="n">
        <f>'Unemployment Insurance'!O21+'Unemployment Insurance'!O20</f>
        <v>5</v>
      </c>
      <c r="P14" s="657" t="n">
        <f>'Unemployment Insurance'!P21+'Unemployment Insurance'!P20</f>
        <v>4.5999999999999996</v>
      </c>
      <c r="Q14" s="657" t="n">
        <f>'Unemployment Insurance'!Q21+'Unemployment Insurance'!Q20</f>
        <v>4.5</v>
      </c>
      <c r="R14" s="657" t="n">
        <f>'Unemployment Insurance'!R21+'Unemployment Insurance'!R20</f>
        <v>4.5</v>
      </c>
      <c r="S14" s="657" t="n">
        <f>'Unemployment Insurance'!S21+'Unemployment Insurance'!S20</f>
        <v>4.7</v>
      </c>
      <c r="T14" s="657" t="n">
        <f>'Unemployment Insurance'!T21+'Unemployment Insurance'!T20</f>
        <v>5.8</v>
      </c>
      <c r="U14" s="657" t="n">
        <f>'Unemployment Insurance'!U21+'Unemployment Insurance'!U20</f>
        <v>6.7</v>
      </c>
      <c r="V14" s="1105" t="n">
        <f>V15+V16</f>
        <v>6.8914285714285715</v>
      </c>
      <c r="W14" s="859" t="n">
        <f>'Unemployment Insurance'!W21+'Unemployment Insurance'!W20</f>
        <v>6.8914285714285715</v>
      </c>
      <c r="X14" s="859" t="n">
        <f>'Unemployment Insurance'!X21+'Unemployment Insurance'!X20</f>
        <v>14.2</v>
      </c>
      <c r="Y14" s="859" t="n">
        <f>'Unemployment Insurance'!Y21+'Unemployment Insurance'!Y20</f>
        <v>19.399999999999999</v>
      </c>
      <c r="Z14" s="859" t="n">
        <f>'Unemployment Insurance'!Z21+'Unemployment Insurance'!Z20</f>
        <v>20.2</v>
      </c>
      <c r="AA14" s="859" t="n">
        <f>'Unemployment Insurance'!AA21+'Unemployment Insurance'!AA20</f>
        <v>18.8</v>
      </c>
      <c r="AB14" s="859" t="n">
        <f>'Unemployment Insurance'!AB21+'Unemployment Insurance'!AB20</f>
        <v>17.7</v>
      </c>
      <c r="AC14" s="1101" t="n">
        <f>'Unemployment Insurance'!AC21+'Unemployment Insurance'!AC20</f>
        <v>16.3</v>
      </c>
    </row>
    <row r="15">
      <c r="B15" s="562" t="s">
        <v>136</v>
      </c>
      <c r="C15" s="289"/>
      <c r="D15" s="764"/>
      <c r="E15" s="657"/>
      <c r="F15" s="657"/>
      <c r="G15" s="657"/>
      <c r="H15" s="657"/>
      <c r="I15" s="657"/>
      <c r="J15" s="657"/>
      <c r="K15" s="657"/>
      <c r="L15" s="657"/>
      <c r="M15" s="657"/>
      <c r="N15" s="657"/>
      <c r="O15" s="657"/>
      <c r="P15" s="657"/>
      <c r="Q15" s="657"/>
      <c r="R15" s="657"/>
      <c r="S15" s="657"/>
      <c r="T15" s="657"/>
      <c r="U15" s="657"/>
      <c r="V15" s="657" t="n">
        <f>'Unemployment Insurance'!V20</f>
        <v>0</v>
      </c>
      <c r="W15" s="859"/>
      <c r="X15" s="859"/>
      <c r="Y15" s="859"/>
      <c r="Z15" s="859"/>
      <c r="AA15" s="859"/>
      <c r="AB15" s="859"/>
      <c r="AC15" s="1101"/>
    </row>
    <row r="16">
      <c r="B16" s="562" t="s">
        <v>138</v>
      </c>
      <c r="C16" s="289"/>
      <c r="D16" s="764"/>
      <c r="E16" s="657"/>
      <c r="F16" s="657"/>
      <c r="G16" s="657"/>
      <c r="H16" s="657"/>
      <c r="I16" s="657"/>
      <c r="J16" s="657"/>
      <c r="K16" s="657"/>
      <c r="L16" s="657"/>
      <c r="M16" s="657"/>
      <c r="N16" s="657"/>
      <c r="O16" s="657"/>
      <c r="P16" s="657"/>
      <c r="Q16" s="657"/>
      <c r="R16" s="657"/>
      <c r="S16" s="657"/>
      <c r="T16" s="657"/>
      <c r="U16" s="657"/>
      <c r="V16" s="657" t="n">
        <f>'Unemployment Insurance'!V21</f>
        <v>6.8914285714285715</v>
      </c>
      <c r="W16" s="859"/>
      <c r="X16" s="859"/>
      <c r="Y16" s="859"/>
      <c r="Z16" s="859"/>
      <c r="AA16" s="859"/>
      <c r="AB16" s="859"/>
      <c r="AC16" s="1101"/>
    </row>
    <row r="17" ht="17.899999999999999" customHeight="1">
      <c r="A17" t="s">
        <v>1747</v>
      </c>
      <c r="B17" s="865" t="s">
        <v>46</v>
      </c>
      <c r="C17" s="289"/>
      <c r="D17" s="764" t="n">
        <f>Medicare!D10</f>
        <v>7</v>
      </c>
      <c r="E17" s="657" t="n">
        <f>Medicare!E10</f>
        <v>7.2</v>
      </c>
      <c r="F17" s="657" t="n">
        <f>Medicare!F10</f>
        <v>7.3</v>
      </c>
      <c r="G17" s="657" t="n">
        <f>Medicare!G10</f>
        <v>7.5</v>
      </c>
      <c r="H17" s="657" t="n">
        <f>Medicare!H10</f>
        <v>7.8</v>
      </c>
      <c r="I17" s="657" t="n">
        <f>Medicare!I10</f>
        <v>8</v>
      </c>
      <c r="J17" s="657" t="n">
        <f>Medicare!J10</f>
        <v>8.1</v>
      </c>
      <c r="K17" s="657" t="n">
        <f>Medicare!K10</f>
        <v>8.3000000000000007</v>
      </c>
      <c r="L17" s="657" t="n">
        <f>Medicare!L10</f>
        <v>8.5</v>
      </c>
      <c r="M17" s="657" t="n">
        <f>Medicare!M10</f>
        <v>8.6999999999999993</v>
      </c>
      <c r="N17" s="657" t="n">
        <f>Medicare!N10</f>
        <v>8.9</v>
      </c>
      <c r="O17" s="657" t="n">
        <f>Medicare!O10</f>
        <v>9.1999999999999993</v>
      </c>
      <c r="P17" s="657" t="n">
        <f>Medicare!P10</f>
        <v>9.5</v>
      </c>
      <c r="Q17" s="657" t="n">
        <f>Medicare!Q10</f>
        <v>10</v>
      </c>
      <c r="R17" s="657" t="n">
        <f>Medicare!R10</f>
        <v>10.5</v>
      </c>
      <c r="S17" s="657" t="n">
        <f>Medicare!S10</f>
        <v>11</v>
      </c>
      <c r="T17" s="657" t="n">
        <f>Medicare!T10</f>
        <v>11.7</v>
      </c>
      <c r="U17" s="657" t="n">
        <f>Medicare!U10</f>
        <v>12.4</v>
      </c>
      <c r="V17" s="1105" t="n">
        <f>Medicare!V10</f>
        <v>13.1</v>
      </c>
      <c r="W17" s="859" t="n">
        <f>Medicare!W10</f>
        <v>13.8</v>
      </c>
      <c r="X17" s="859" t="n">
        <f>Medicare!X10</f>
        <v>14.5</v>
      </c>
      <c r="Y17" s="859" t="n">
        <f>Medicare!Y10</f>
        <v>15.2</v>
      </c>
      <c r="Z17" s="859" t="n">
        <f>Medicare!Z10</f>
        <v>16</v>
      </c>
      <c r="AA17" s="859" t="n">
        <f>Medicare!AA10</f>
        <v>16.8</v>
      </c>
      <c r="AB17" s="859" t="n">
        <f>Medicare!AB10</f>
        <v>17.600000000000001</v>
      </c>
      <c r="AC17" s="1101" t="n">
        <f>Medicare!AC10</f>
        <v>18.399999999999999</v>
      </c>
    </row>
    <row r="18" ht="18" customHeight="1">
      <c r="A18" t="s">
        <v>1747</v>
      </c>
      <c r="B18" s="866" t="s">
        <v>379</v>
      </c>
      <c r="C18" s="289"/>
      <c r="D18" s="764"/>
      <c r="E18" s="657"/>
      <c r="F18" s="657"/>
      <c r="G18" s="657"/>
      <c r="H18" s="657" t="n">
        <f>'Rebate Checks (expired)'!H10 +'Rebate Checks (expired)'!H11</f>
        <v>0</v>
      </c>
      <c r="I18" s="657" t="n">
        <f>'Rebate Checks (expired)'!I10 +'Rebate Checks (expired)'!I11</f>
        <v>0</v>
      </c>
      <c r="J18" s="657" t="n">
        <f>'Rebate Checks (expired)'!J10 +'Rebate Checks (expired)'!J11</f>
        <v>0</v>
      </c>
      <c r="K18" s="657" t="n">
        <f>'Rebate Checks (expired)'!K10 +'Rebate Checks (expired)'!K11</f>
        <v>0</v>
      </c>
      <c r="L18" s="657" t="n">
        <f>'Rebate Checks (expired)'!L10 +'Rebate Checks (expired)'!L11</f>
        <v>0</v>
      </c>
      <c r="M18" s="657" t="n">
        <f>'Rebate Checks (expired)'!M10 +'Rebate Checks (expired)'!M11</f>
        <v>0</v>
      </c>
      <c r="N18" s="657" t="n">
        <f>'Rebate Checks (expired)'!N10 +'Rebate Checks (expired)'!N11</f>
        <v>0</v>
      </c>
      <c r="O18" s="657" t="n">
        <f>'Rebate Checks (expired)'!O10 +'Rebate Checks (expired)'!O11</f>
        <v>0</v>
      </c>
      <c r="P18" s="657" t="n">
        <f>'Rebate Checks (expired)'!P10 +'Rebate Checks (expired)'!P11</f>
        <v>0</v>
      </c>
      <c r="Q18" s="657" t="n">
        <f>'Rebate Checks (expired)'!Q10 +'Rebate Checks (expired)'!Q11</f>
        <v>0</v>
      </c>
      <c r="R18" s="657" t="n">
        <f>'Rebate Checks (expired)'!Q10 +'Rebate Checks (expired)'!R11</f>
        <v>0</v>
      </c>
      <c r="S18" s="657" t="n">
        <f>'Rebate Checks (expired)'!S10 +'Rebate Checks (expired)'!S11</f>
        <v>0</v>
      </c>
      <c r="T18" s="657" t="n">
        <f>'Rebate Checks (expired)'!T10 +'Rebate Checks (expired)'!T11</f>
        <v>0</v>
      </c>
      <c r="U18" s="657" t="n">
        <f>'Rebate Checks (expired)'!U10 +'Rebate Checks (expired)'!U11</f>
        <v>0</v>
      </c>
      <c r="V18" s="1105" t="n">
        <f>V19+V20</f>
        <v>0</v>
      </c>
      <c r="W18" s="859" t="n">
        <f>'Rebate Checks (expired)'!W10 +'Rebate Checks (expired)'!W11</f>
        <v>0</v>
      </c>
      <c r="X18" s="859" t="n">
        <f>'Rebate Checks (expired)'!X10 +'Rebate Checks (expired)'!X11</f>
        <v>0</v>
      </c>
      <c r="Y18" s="859" t="n">
        <f>'Rebate Checks (expired)'!Y10 +'Rebate Checks (expired)'!Y11</f>
        <v>0</v>
      </c>
      <c r="Z18" s="859" t="n">
        <f>'Rebate Checks (expired)'!Z10 +'Rebate Checks (expired)'!Z11</f>
        <v>0</v>
      </c>
      <c r="AA18" s="859" t="n">
        <f>'Rebate Checks (expired)'!AA10 +'Rebate Checks (expired)'!AA11</f>
        <v>0</v>
      </c>
      <c r="AB18" s="859" t="n">
        <f>'Rebate Checks (expired)'!AB10 +'Rebate Checks (expired)'!AB11</f>
        <v>0</v>
      </c>
      <c r="AC18" s="1101" t="n">
        <f>'Rebate Checks (expired)'!AC10 +'Rebate Checks (expired)'!AC11</f>
        <v>0</v>
      </c>
    </row>
    <row r="19" ht="18" customHeight="1">
      <c r="B19" s="867" t="s">
        <v>1740</v>
      </c>
      <c r="C19" s="289"/>
      <c r="D19" s="764"/>
      <c r="E19" s="657"/>
      <c r="F19" s="657"/>
      <c r="G19" s="657"/>
      <c r="H19" s="657"/>
      <c r="I19" s="657"/>
      <c r="J19" s="657"/>
      <c r="K19" s="657"/>
      <c r="L19" s="657"/>
      <c r="M19" s="657"/>
      <c r="N19" s="657"/>
      <c r="O19" s="657"/>
      <c r="P19" s="657"/>
      <c r="Q19" s="657"/>
      <c r="R19" s="657"/>
      <c r="S19" s="657"/>
      <c r="T19" s="657"/>
      <c r="U19" s="657"/>
      <c r="V19" s="657" t="n">
        <v>0</v>
      </c>
      <c r="W19" s="859"/>
      <c r="X19" s="859"/>
      <c r="Y19" s="859"/>
      <c r="Z19" s="859"/>
      <c r="AA19" s="859"/>
      <c r="AB19" s="859"/>
      <c r="AC19" s="1101"/>
    </row>
    <row r="20" ht="18" customHeight="1">
      <c r="B20" s="867" t="s">
        <v>1741</v>
      </c>
      <c r="C20" s="289"/>
      <c r="D20" s="764"/>
      <c r="E20" s="657"/>
      <c r="F20" s="657"/>
      <c r="G20" s="657"/>
      <c r="H20" s="657"/>
      <c r="I20" s="657"/>
      <c r="J20" s="657"/>
      <c r="K20" s="657"/>
      <c r="L20" s="657"/>
      <c r="M20" s="657"/>
      <c r="N20" s="657"/>
      <c r="O20" s="657"/>
      <c r="P20" s="657"/>
      <c r="Q20" s="657"/>
      <c r="R20" s="657"/>
      <c r="S20" s="657"/>
      <c r="T20" s="657"/>
      <c r="U20" s="657"/>
      <c r="V20" s="657" t="n">
        <v>0</v>
      </c>
      <c r="W20" s="859"/>
      <c r="X20" s="859"/>
      <c r="Y20" s="859"/>
      <c r="Z20" s="859"/>
      <c r="AA20" s="859"/>
      <c r="AB20" s="859"/>
      <c r="AC20" s="1101"/>
    </row>
    <row r="21" ht="18" customHeight="1">
      <c r="A21" t="s">
        <v>1747</v>
      </c>
      <c r="B21" s="868" t="s">
        <v>40</v>
      </c>
      <c r="C21" s="289"/>
      <c r="D21" s="543" t="n">
        <f>'Provider Relief (expired)'!D11</f>
        <v>0</v>
      </c>
      <c r="E21" s="549" t="n">
        <f>'Provider Relief (expired)'!E11</f>
        <v>0</v>
      </c>
      <c r="F21" s="549" t="n">
        <f>'Provider Relief (expired)'!F11</f>
        <v>0</v>
      </c>
      <c r="G21" s="549" t="n">
        <f>'Provider Relief (expired)'!G11</f>
        <v>0</v>
      </c>
      <c r="H21" s="549" t="n">
        <f>'Provider Relief (expired)'!H11</f>
        <v>0</v>
      </c>
      <c r="I21" s="549" t="n">
        <f>'Provider Relief (expired)'!I11</f>
        <v>0</v>
      </c>
      <c r="J21" s="549" t="n">
        <f>'Provider Relief (expired)'!J11</f>
        <v>0</v>
      </c>
      <c r="K21" s="549" t="n">
        <f>'Provider Relief (expired)'!K11</f>
        <v>0</v>
      </c>
      <c r="L21" s="549" t="n">
        <f>'Provider Relief (expired)'!L11</f>
        <v>0</v>
      </c>
      <c r="M21" s="549" t="n">
        <f>'Provider Relief (expired)'!M11</f>
        <v>0</v>
      </c>
      <c r="N21" s="549" t="n">
        <f>'Provider Relief (expired)'!N11</f>
        <v>0</v>
      </c>
      <c r="O21" s="549" t="n">
        <f>'Provider Relief (expired)'!O11</f>
        <v>0</v>
      </c>
      <c r="P21" s="549" t="n">
        <f>'Provider Relief (expired)'!P11</f>
        <v>0</v>
      </c>
      <c r="Q21" s="549" t="n">
        <f>'Provider Relief (expired)'!Q11</f>
        <v>0</v>
      </c>
      <c r="R21" s="549" t="n">
        <f>'Provider Relief (expired)'!R11</f>
        <v>0</v>
      </c>
      <c r="S21" s="549" t="n">
        <f>'Provider Relief (expired)'!S11</f>
        <v>0</v>
      </c>
      <c r="T21" s="549" t="n">
        <f>'Provider Relief (expired)'!T11</f>
        <v>0</v>
      </c>
      <c r="U21" s="549" t="n">
        <v>0</v>
      </c>
      <c r="V21" s="1105" t="n">
        <v>0</v>
      </c>
      <c r="W21" s="859" t="n">
        <v>0</v>
      </c>
      <c r="X21" s="859" t="n">
        <v>0</v>
      </c>
      <c r="Y21" s="859" t="n">
        <v>0</v>
      </c>
      <c r="Z21" s="859" t="n">
        <v>0</v>
      </c>
      <c r="AA21" s="859" t="n">
        <v>0</v>
      </c>
      <c r="AB21" s="859" t="n">
        <v>0</v>
      </c>
      <c r="AC21" s="1101" t="n">
        <v>0</v>
      </c>
    </row>
    <row r="22" ht="21.65" customHeight="1">
      <c r="B22" s="570" t="s">
        <v>380</v>
      </c>
      <c r="C22" s="289"/>
      <c r="D22" s="764"/>
      <c r="E22" s="657"/>
      <c r="F22" s="657"/>
      <c r="G22" s="657"/>
      <c r="H22" s="657"/>
      <c r="I22" s="657"/>
      <c r="J22" s="657" t="n">
        <f>'PPP (expired)'!J53</f>
        <v>0</v>
      </c>
      <c r="K22" s="657" t="n">
        <f>'PPP (expired)'!K53</f>
        <v>0</v>
      </c>
      <c r="L22" s="657" t="n">
        <f>'PPP (expired)'!L53</f>
        <v>0</v>
      </c>
      <c r="M22" s="657" t="n">
        <f>'PPP (expired)'!M53</f>
        <v>0</v>
      </c>
      <c r="N22" s="657" t="n">
        <f>'PPP (expired)'!N53</f>
        <v>0</v>
      </c>
      <c r="O22" s="657" t="n">
        <f>'PPP (expired)'!O53</f>
        <v>0</v>
      </c>
      <c r="P22" s="657" t="n">
        <f>'PPP (expired)'!P53</f>
        <v>0</v>
      </c>
      <c r="Q22" s="657" t="n">
        <f>'PPP (expired)'!Q53</f>
        <v>0</v>
      </c>
      <c r="R22" s="657" t="n">
        <f>'PPP (expired)'!R53</f>
        <v>0</v>
      </c>
      <c r="S22" s="657" t="n">
        <f>'PPP (expired)'!S53</f>
        <v>0</v>
      </c>
      <c r="T22" s="657" t="n">
        <f>'PPP (expired)'!T53</f>
        <v>0</v>
      </c>
      <c r="U22" s="657" t="n">
        <f>'PPP (expired)'!U53</f>
        <v>0</v>
      </c>
      <c r="V22" s="657" t="n">
        <f>'PPP (expired)'!V53</f>
        <v>0</v>
      </c>
      <c r="W22" s="859" t="n">
        <f>'PPP (expired)'!W53</f>
        <v>0</v>
      </c>
      <c r="X22" s="859" t="n">
        <f>'PPP (expired)'!X53</f>
        <v>0</v>
      </c>
      <c r="Y22" s="859" t="n">
        <f>'PPP (expired)'!Y53</f>
        <v>0</v>
      </c>
      <c r="Z22" s="859" t="n">
        <f>'PPP (expired)'!Z53</f>
        <v>0</v>
      </c>
      <c r="AA22" s="859" t="n">
        <f>'PPP (expired)'!AA53</f>
        <v>0</v>
      </c>
      <c r="AB22" s="859" t="n">
        <f>'PPP (expired)'!AB53</f>
        <v>0</v>
      </c>
      <c r="AC22" s="859" t="n">
        <f>'PPP (expired)'!AC53</f>
        <v>0</v>
      </c>
    </row>
    <row r="23" ht="22.4" customHeight="1">
      <c r="B23" s="570" t="s">
        <v>151</v>
      </c>
      <c r="C23" s="871"/>
      <c r="D23" s="543"/>
      <c r="E23" s="549"/>
      <c r="F23" s="549"/>
      <c r="G23" s="549"/>
      <c r="H23" s="549"/>
      <c r="I23" s="549"/>
      <c r="J23" s="549"/>
      <c r="K23" s="549"/>
      <c r="L23" s="549"/>
      <c r="M23" s="657" t="n">
        <f>'ARP Quarterly'!C4</f>
        <v>0</v>
      </c>
      <c r="N23" s="657" t="n">
        <f>'ARP Quarterly'!D4</f>
        <v>0</v>
      </c>
      <c r="O23" s="657" t="n">
        <f>'ARP Quarterly'!E4</f>
        <v>3.1040000000000418</v>
      </c>
      <c r="P23" s="657" t="n">
        <f>'ARP Quarterly'!F4</f>
        <v>19.719000000000005</v>
      </c>
      <c r="Q23" s="657" t="n">
        <f>'ARP Quarterly'!G4</f>
        <v>19.719000000000005</v>
      </c>
      <c r="R23" s="657" t="n">
        <f>'ARP Quarterly'!H4</f>
        <v>19.719000000000005</v>
      </c>
      <c r="S23" s="657" t="n">
        <f>'ARP Quarterly'!I4</f>
        <v>19.719000000000005</v>
      </c>
      <c r="T23" s="657" t="n">
        <f>'ARP Quarterly'!J4</f>
        <v>1.4159999999999999</v>
      </c>
      <c r="U23" s="657" t="n">
        <f>'ARP Quarterly'!K4</f>
        <v>1.4159999999999999</v>
      </c>
      <c r="V23" s="657" t="n">
        <f>'ARP Quarterly'!L4</f>
        <v>1.4159999999999999</v>
      </c>
      <c r="W23" s="859" t="n">
        <f>'ARP Quarterly'!M4</f>
        <v>1.4159999999999999</v>
      </c>
      <c r="X23" s="859" t="n">
        <f>'ARP Quarterly'!N4</f>
        <v>1.4790000000000001</v>
      </c>
      <c r="Y23" s="859" t="n">
        <f>'ARP Quarterly'!O4</f>
        <v>1.4790000000000001</v>
      </c>
      <c r="Z23" s="859" t="n">
        <f>'ARP Quarterly'!P4</f>
        <v>1.4790000000000001</v>
      </c>
      <c r="AA23" s="859" t="n">
        <f>'ARP Quarterly'!Q4</f>
        <v>1.4790000000000001</v>
      </c>
      <c r="AB23" s="859" t="n">
        <f>'ARP Quarterly'!R4</f>
        <v>1.63</v>
      </c>
      <c r="AC23" s="859" t="n">
        <f>'ARP Quarterly'!S4</f>
        <v>1.63</v>
      </c>
      <c r="AE23" s="871"/>
      <c r="AF23" s="871"/>
      <c r="AG23" s="871"/>
      <c r="AH23" s="871"/>
      <c r="AI23" s="871"/>
      <c r="AJ23" s="871"/>
      <c r="AK23" s="871"/>
      <c r="AL23" s="871"/>
      <c r="AM23" s="871"/>
      <c r="AN23" s="871"/>
      <c r="AO23" s="871"/>
      <c r="AP23" s="871"/>
      <c r="AQ23" s="871"/>
      <c r="AR23" s="871"/>
      <c r="AS23" s="871"/>
      <c r="AT23" s="871"/>
      <c r="AU23" s="871"/>
      <c r="AV23" s="871"/>
      <c r="AW23" s="871"/>
      <c r="AX23" s="871"/>
      <c r="AY23" s="871"/>
      <c r="AZ23" s="871"/>
      <c r="BA23" s="871"/>
      <c r="BB23" s="871"/>
      <c r="BC23" s="871"/>
      <c r="BD23" s="871"/>
      <c r="BE23" s="871"/>
      <c r="BF23" s="871"/>
      <c r="BG23" s="871"/>
      <c r="BH23" s="871"/>
      <c r="BI23" s="871"/>
      <c r="BJ23" s="871"/>
      <c r="BK23" s="871"/>
      <c r="BL23" s="871"/>
      <c r="BM23" s="871"/>
      <c r="BN23" s="871"/>
      <c r="BO23" s="871"/>
      <c r="BP23" s="871"/>
      <c r="BQ23" s="871"/>
      <c r="BR23" s="871"/>
      <c r="BS23" s="871"/>
      <c r="BT23" s="871"/>
      <c r="BU23" s="871"/>
      <c r="BV23" s="871"/>
      <c r="BW23" s="871"/>
      <c r="BX23" s="871"/>
      <c r="BY23" s="871"/>
      <c r="BZ23" s="871"/>
      <c r="CA23" s="871"/>
      <c r="CB23" s="871"/>
      <c r="CC23" s="871"/>
      <c r="CD23" s="871"/>
      <c r="CE23" s="871"/>
      <c r="CF23" s="871"/>
      <c r="CG23" s="871"/>
      <c r="CH23" s="871"/>
      <c r="CI23" s="871"/>
      <c r="CJ23" s="871"/>
      <c r="CK23" s="871"/>
      <c r="CL23" s="871"/>
      <c r="CM23" s="871"/>
      <c r="CN23" s="871"/>
      <c r="CO23" s="871"/>
      <c r="CP23" s="871"/>
      <c r="CQ23" s="871"/>
      <c r="CR23" s="871"/>
      <c r="CS23" s="871"/>
      <c r="CT23" s="871"/>
      <c r="CU23" s="871"/>
      <c r="CV23" s="871"/>
      <c r="CW23" s="871"/>
    </row>
    <row r="24" ht="36.65" customHeight="1">
      <c r="B24" s="401" t="s">
        <v>1332</v>
      </c>
      <c r="C24" s="289"/>
      <c r="D24" s="764" t="n">
        <f>D85</f>
        <v>0</v>
      </c>
      <c r="E24" s="657" t="n">
        <f t="shared" ref="E24:AC24" si="1">E85</f>
        <v>0</v>
      </c>
      <c r="F24" s="657" t="n">
        <f t="shared" si="1"/>
        <v>0</v>
      </c>
      <c r="G24" s="657" t="n">
        <f t="shared" si="1"/>
        <v>0</v>
      </c>
      <c r="H24" s="657" t="n">
        <f t="shared" si="1"/>
        <v>0</v>
      </c>
      <c r="I24" s="657" t="n">
        <f t="shared" si="1"/>
        <v>0.23799999999999999</v>
      </c>
      <c r="J24" s="657" t="n">
        <f t="shared" si="1"/>
        <v>0.33799999999999986</v>
      </c>
      <c r="K24" s="657" t="n">
        <f t="shared" si="1"/>
        <v>0.51</v>
      </c>
      <c r="L24" s="657" t="n">
        <f t="shared" si="1"/>
        <v>0.47</v>
      </c>
      <c r="M24" s="657" t="n">
        <f t="shared" si="1"/>
        <v>0.46199999999999997</v>
      </c>
      <c r="N24" s="657" t="n">
        <f t="shared" si="1"/>
        <v>0.746</v>
      </c>
      <c r="O24" s="657" t="n">
        <f t="shared" si="1"/>
        <v>0.79400000000000004</v>
      </c>
      <c r="P24" s="657" t="n">
        <f t="shared" si="1"/>
        <v>0.79400000000000004</v>
      </c>
      <c r="Q24" s="657" t="n">
        <f t="shared" si="1"/>
        <v>0.78200000000000003</v>
      </c>
      <c r="R24" s="657" t="n">
        <f t="shared" si="1"/>
        <v>0.88600000000000012</v>
      </c>
      <c r="S24" s="657" t="n">
        <f t="shared" si="1"/>
        <v>0.92599999999999971</v>
      </c>
      <c r="T24" s="657" t="n">
        <f t="shared" si="1"/>
        <v>1.702</v>
      </c>
      <c r="U24" s="657" t="n">
        <f t="shared" si="1"/>
        <v>1.798</v>
      </c>
      <c r="V24" s="657" t="n">
        <f t="shared" si="1"/>
        <v>2.258</v>
      </c>
      <c r="W24" s="859" t="n">
        <f t="shared" si="1"/>
        <v>2.258</v>
      </c>
      <c r="X24" s="859" t="n">
        <f t="shared" si="1"/>
        <v>2.258</v>
      </c>
      <c r="Y24" s="859" t="n">
        <f t="shared" si="1"/>
        <v>2.258</v>
      </c>
      <c r="Z24" s="859" t="n">
        <f t="shared" si="1"/>
        <v>2.258</v>
      </c>
      <c r="AA24" s="859" t="n">
        <f t="shared" si="1"/>
        <v>2.258</v>
      </c>
      <c r="AB24" s="859" t="n">
        <f t="shared" si="1"/>
        <v>2.258</v>
      </c>
      <c r="AC24" s="859" t="n">
        <f t="shared" si="1"/>
        <v>2.258</v>
      </c>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89"/>
      <c r="BK24" s="289"/>
      <c r="BL24" s="289"/>
      <c r="BM24" s="289"/>
      <c r="BN24" s="289"/>
      <c r="BO24" s="289"/>
      <c r="BP24" s="289"/>
      <c r="BQ24" s="289"/>
      <c r="BR24" s="289"/>
      <c r="BS24" s="289"/>
      <c r="BT24" s="289"/>
      <c r="BU24" s="289"/>
      <c r="BV24" s="289"/>
      <c r="BW24" s="289"/>
      <c r="BX24" s="289"/>
      <c r="BY24" s="289"/>
      <c r="BZ24" s="289"/>
      <c r="CA24" s="289"/>
      <c r="CB24" s="289"/>
      <c r="CC24" s="289"/>
      <c r="CD24" s="289"/>
      <c r="CE24" s="289"/>
      <c r="CF24" s="289"/>
      <c r="CG24" s="289"/>
      <c r="CH24" s="289"/>
      <c r="CI24" s="289"/>
      <c r="CJ24" s="289"/>
      <c r="CK24" s="289"/>
      <c r="CL24" s="289"/>
      <c r="CM24" s="289"/>
      <c r="CN24" s="289"/>
      <c r="CO24" s="289"/>
      <c r="CP24" s="289"/>
      <c r="CQ24" s="289"/>
      <c r="CR24" s="289"/>
      <c r="CS24" s="289"/>
      <c r="CT24" s="289"/>
      <c r="CU24" s="289"/>
      <c r="CV24" s="289"/>
    </row>
    <row r="25" ht="17.149999999999999" customHeight="1">
      <c r="A25" t="s">
        <v>1750</v>
      </c>
      <c r="B25" s="1109" t="s">
        <v>377</v>
      </c>
      <c r="C25" s="289" t="s">
        <v>378</v>
      </c>
      <c r="D25" s="657" t="n">
        <f>'Haver Pivoted'!B31</f>
        <v>48.3</v>
      </c>
      <c r="E25" s="657" t="n">
        <f>'Haver Pivoted'!C31</f>
        <v>57.5</v>
      </c>
      <c r="F25" s="657" t="n">
        <f>'Haver Pivoted'!D31</f>
        <v>56.9</v>
      </c>
      <c r="G25" s="657" t="n">
        <f>'Haver Pivoted'!E31</f>
        <v>59.8</v>
      </c>
      <c r="H25" s="657" t="n">
        <f>'Haver Pivoted'!F31</f>
        <v>61</v>
      </c>
      <c r="I25" s="657" t="n">
        <f>'Haver Pivoted'!G31</f>
        <v>67.900000000000006</v>
      </c>
      <c r="J25" s="657" t="n">
        <f>'Haver Pivoted'!H31</f>
        <v>67.2</v>
      </c>
      <c r="K25" s="657" t="n">
        <f>'Haver Pivoted'!I31</f>
        <v>68.2</v>
      </c>
      <c r="L25" s="657" t="n">
        <f>'Haver Pivoted'!J31</f>
        <v>70.2</v>
      </c>
      <c r="M25" s="657" t="n">
        <f>'Haver Pivoted'!K31</f>
        <v>70.2</v>
      </c>
      <c r="N25" s="657" t="n">
        <f>'Haver Pivoted'!L31</f>
        <v>70.3</v>
      </c>
      <c r="O25" s="657" t="n">
        <f>'Haver Pivoted'!M31</f>
        <v>80.599999999999994</v>
      </c>
      <c r="P25" s="657" t="n">
        <f>'Haver Pivoted'!N31</f>
        <v>82.2</v>
      </c>
      <c r="Q25" s="657" t="n">
        <f>'Haver Pivoted'!O31</f>
        <v>83.6</v>
      </c>
      <c r="R25" s="657" t="n">
        <f>'Haver Pivoted'!P31</f>
        <v>85.1</v>
      </c>
      <c r="S25" s="657" t="n">
        <f>'Haver Pivoted'!Q31</f>
        <v>87.3</v>
      </c>
      <c r="T25" s="657" t="n">
        <f>'Haver Pivoted'!R31</f>
        <v>94.1</v>
      </c>
      <c r="U25" s="657" t="n">
        <f>'Haver Pivoted'!S31</f>
        <v>100.7</v>
      </c>
      <c r="V25" s="657" t="n">
        <f>'Haver Pivoted'!T31</f>
        <v>106.4</v>
      </c>
      <c r="W25" s="859"/>
      <c r="X25" s="859"/>
      <c r="Y25" s="859"/>
      <c r="Z25" s="859"/>
      <c r="AA25" s="859"/>
      <c r="AB25" s="859"/>
      <c r="AC25" s="859"/>
    </row>
    <row r="26" ht="17.149999999999999" customHeight="1">
      <c r="B26" s="414" t="s">
        <v>1749</v>
      </c>
      <c r="C26" s="289"/>
      <c r="D26" s="657" t="n">
        <f>D27+D28</f>
        <v>39.9</v>
      </c>
      <c r="E26" s="657" t="n">
        <f t="shared" ref="E26:V26" si="2">E27+E28</f>
        <v>41.1</v>
      </c>
      <c r="F26" s="657" t="n">
        <f t="shared" si="2"/>
        <v>41.9</v>
      </c>
      <c r="G26" s="657" t="n">
        <f t="shared" si="2"/>
        <v>42.9</v>
      </c>
      <c r="H26" s="657" t="n">
        <f t="shared" si="2"/>
        <v>43.5</v>
      </c>
      <c r="I26" s="657" t="n">
        <f t="shared" si="2"/>
        <v>44.537999999999997</v>
      </c>
      <c r="J26" s="657" t="n">
        <f t="shared" si="2"/>
        <v>44.738</v>
      </c>
      <c r="K26" s="657" t="n">
        <f t="shared" si="2"/>
        <v>45.309999999999995</v>
      </c>
      <c r="L26" s="657" t="n">
        <f t="shared" si="2"/>
        <v>45.67</v>
      </c>
      <c r="M26" s="657" t="n">
        <f>M27+M28</f>
        <v>16.062000000000001</v>
      </c>
      <c r="N26" s="657" t="n">
        <f t="shared" si="2"/>
        <v>15.446</v>
      </c>
      <c r="O26" s="657" t="n">
        <f t="shared" si="2"/>
        <v>18.098000000000042</v>
      </c>
      <c r="P26" s="657" t="n">
        <f t="shared" si="2"/>
        <v>34.613000000000007</v>
      </c>
      <c r="Q26" s="657" t="n">
        <f t="shared" si="2"/>
        <v>35.001000000000005</v>
      </c>
      <c r="R26" s="657" t="n">
        <f t="shared" si="2"/>
        <v>35.605000000000004</v>
      </c>
      <c r="S26" s="657" t="n">
        <f t="shared" si="2"/>
        <v>36.344999999999999</v>
      </c>
      <c r="T26" s="657" t="n">
        <f t="shared" si="2"/>
        <v>20.617999999999999</v>
      </c>
      <c r="U26" s="657" t="n">
        <f t="shared" si="2"/>
        <v>56.314</v>
      </c>
      <c r="V26" s="657" t="n">
        <f t="shared" si="2"/>
        <v>57.665428571428571</v>
      </c>
      <c r="W26" s="859" t="n">
        <f>W27+W28</f>
        <v>3.6739999999999999</v>
      </c>
      <c r="X26" s="859" t="n">
        <f t="shared" ref="X26" si="3">X27+X28</f>
        <v>3.7370000000000001</v>
      </c>
      <c r="Y26" s="859" t="n">
        <f t="shared" ref="Y26" si="4">Y27+Y28</f>
        <v>3.7370000000000001</v>
      </c>
      <c r="Z26" s="859" t="n">
        <f t="shared" ref="Z26" si="5">Z27+Z28</f>
        <v>3.7370000000000001</v>
      </c>
      <c r="AA26" s="859" t="n">
        <f t="shared" ref="AA26" si="6">AA27+AA28</f>
        <v>3.7370000000000001</v>
      </c>
      <c r="AB26" s="859" t="n">
        <f t="shared" ref="AB26" si="7">AB27+AB28</f>
        <v>3.8879999999999999</v>
      </c>
      <c r="AC26" s="859" t="n">
        <f t="shared" ref="AC26" si="8">AC27+AC28</f>
        <v>3.8879999999999999</v>
      </c>
    </row>
    <row r="27" ht="17.149999999999999" customHeight="1">
      <c r="B27" s="562" t="s">
        <v>1748</v>
      </c>
      <c r="C27" s="289"/>
      <c r="D27" s="764" t="n">
        <f t="shared" ref="D27:V27" si="9">D13+D14+D17</f>
        <v>39.9</v>
      </c>
      <c r="E27" s="657" t="n">
        <f t="shared" si="9"/>
        <v>41.1</v>
      </c>
      <c r="F27" s="657" t="n">
        <f t="shared" si="9"/>
        <v>41.9</v>
      </c>
      <c r="G27" s="657" t="n">
        <f t="shared" si="9"/>
        <v>42.9</v>
      </c>
      <c r="H27" s="657" t="n">
        <f t="shared" si="9"/>
        <v>43.5</v>
      </c>
      <c r="I27" s="657" t="n">
        <f t="shared" si="9"/>
        <v>44.3</v>
      </c>
      <c r="J27" s="657" t="n">
        <f t="shared" si="9"/>
        <v>44.4</v>
      </c>
      <c r="K27" s="657" t="n">
        <f t="shared" si="9"/>
        <v>44.8</v>
      </c>
      <c r="L27" s="657" t="n">
        <f t="shared" si="9"/>
        <v>45.2</v>
      </c>
      <c r="M27" s="657" t="n">
        <f t="shared" si="9"/>
        <v>15.6</v>
      </c>
      <c r="N27" s="657" t="n">
        <f t="shared" si="9"/>
        <v>14.7</v>
      </c>
      <c r="O27" s="657" t="n">
        <f t="shared" si="9"/>
        <v>14.2</v>
      </c>
      <c r="P27" s="657" t="n">
        <f t="shared" si="9"/>
        <v>14.1</v>
      </c>
      <c r="Q27" s="657" t="n">
        <f t="shared" si="9"/>
        <v>14.5</v>
      </c>
      <c r="R27" s="657" t="n">
        <f t="shared" si="9"/>
        <v>15</v>
      </c>
      <c r="S27" s="657" t="n">
        <f t="shared" si="9"/>
        <v>15.7</v>
      </c>
      <c r="T27" s="657" t="n">
        <f t="shared" si="9"/>
        <v>17.5</v>
      </c>
      <c r="U27" s="657" t="n">
        <f t="shared" si="9"/>
        <v>53.1</v>
      </c>
      <c r="V27" s="657" t="n">
        <f t="shared" si="9"/>
        <v>53.991428571428571</v>
      </c>
      <c r="W27" s="859"/>
      <c r="X27" s="859"/>
      <c r="Y27" s="859"/>
      <c r="Z27" s="859"/>
      <c r="AA27" s="859"/>
      <c r="AB27" s="859"/>
      <c r="AC27" s="1101"/>
    </row>
    <row r="28" ht="28.5" customHeight="1">
      <c r="B28" s="562" t="s">
        <v>1745</v>
      </c>
      <c r="C28" s="289"/>
      <c r="D28" s="543" t="n">
        <f t="shared" ref="D28:AC28" si="10">D18+D23+D24+D22</f>
        <v>0</v>
      </c>
      <c r="E28" s="549" t="n">
        <f t="shared" si="10"/>
        <v>0</v>
      </c>
      <c r="F28" s="549" t="n">
        <f t="shared" si="10"/>
        <v>0</v>
      </c>
      <c r="G28" s="549" t="n">
        <f t="shared" si="10"/>
        <v>0</v>
      </c>
      <c r="H28" s="549" t="n">
        <f t="shared" si="10"/>
        <v>0</v>
      </c>
      <c r="I28" s="549" t="n">
        <f t="shared" si="10"/>
        <v>0.23799999999999999</v>
      </c>
      <c r="J28" s="549" t="n">
        <f t="shared" si="10"/>
        <v>0.33799999999999986</v>
      </c>
      <c r="K28" s="549" t="n">
        <f t="shared" si="10"/>
        <v>0.51</v>
      </c>
      <c r="L28" s="549" t="n">
        <f t="shared" si="10"/>
        <v>0.47</v>
      </c>
      <c r="M28" s="549" t="n">
        <f t="shared" si="10"/>
        <v>0.46199999999999997</v>
      </c>
      <c r="N28" s="549" t="n">
        <f t="shared" si="10"/>
        <v>0.746</v>
      </c>
      <c r="O28" s="549" t="n">
        <f t="shared" si="10"/>
        <v>3.8980000000000419</v>
      </c>
      <c r="P28" s="549" t="n">
        <f t="shared" si="10"/>
        <v>20.513000000000005</v>
      </c>
      <c r="Q28" s="549" t="n">
        <f t="shared" si="10"/>
        <v>20.501000000000005</v>
      </c>
      <c r="R28" s="549" t="n">
        <f t="shared" si="10"/>
        <v>20.605000000000004</v>
      </c>
      <c r="S28" s="549" t="n">
        <f t="shared" si="10"/>
        <v>20.645000000000003</v>
      </c>
      <c r="T28" s="549" t="n">
        <f t="shared" si="10"/>
        <v>3.1179999999999999</v>
      </c>
      <c r="U28" s="549" t="n">
        <f t="shared" si="10"/>
        <v>3.214</v>
      </c>
      <c r="V28" s="549" t="n">
        <f t="shared" si="10"/>
        <v>3.6739999999999999</v>
      </c>
      <c r="W28" s="497" t="n">
        <f t="shared" si="10"/>
        <v>3.6739999999999999</v>
      </c>
      <c r="X28" s="497" t="n">
        <f t="shared" si="10"/>
        <v>3.7370000000000001</v>
      </c>
      <c r="Y28" s="497" t="n">
        <f t="shared" si="10"/>
        <v>3.7370000000000001</v>
      </c>
      <c r="Z28" s="497" t="n">
        <f t="shared" si="10"/>
        <v>3.7370000000000001</v>
      </c>
      <c r="AA28" s="497" t="n">
        <f t="shared" si="10"/>
        <v>3.7370000000000001</v>
      </c>
      <c r="AB28" s="497" t="n">
        <f t="shared" si="10"/>
        <v>3.8879999999999999</v>
      </c>
      <c r="AC28" s="497" t="n">
        <f t="shared" si="10"/>
        <v>3.8879999999999999</v>
      </c>
    </row>
    <row r="29">
      <c r="B29" s="570" t="s">
        <v>1751</v>
      </c>
      <c r="C29" s="289"/>
      <c r="D29" s="549" t="n">
        <f>D25-D26</f>
        <v>8.3999999999999986</v>
      </c>
      <c r="E29" s="549" t="n">
        <f t="shared" ref="E29:V29" si="11">E25-E26</f>
        <v>16.399999999999999</v>
      </c>
      <c r="F29" s="549" t="n">
        <f t="shared" si="11"/>
        <v>15</v>
      </c>
      <c r="G29" s="549" t="n">
        <f t="shared" si="11"/>
        <v>16.899999999999999</v>
      </c>
      <c r="H29" s="549" t="n">
        <f t="shared" si="11"/>
        <v>17.5</v>
      </c>
      <c r="I29" s="549" t="n">
        <f t="shared" si="11"/>
        <v>23.362000000000009</v>
      </c>
      <c r="J29" s="549" t="n">
        <f t="shared" si="11"/>
        <v>22.462000000000003</v>
      </c>
      <c r="K29" s="549" t="n">
        <f t="shared" si="11"/>
        <v>22.890000000000008</v>
      </c>
      <c r="L29" s="549" t="n">
        <f t="shared" si="11"/>
        <v>24.53</v>
      </c>
      <c r="M29" s="549" t="n">
        <f t="shared" si="11"/>
        <v>54.138000000000005</v>
      </c>
      <c r="N29" s="549" t="n">
        <f t="shared" si="11"/>
        <v>54.853999999999999</v>
      </c>
      <c r="O29" s="549" t="n">
        <f t="shared" si="11"/>
        <v>62.501999999999953</v>
      </c>
      <c r="P29" s="549" t="n">
        <f t="shared" si="11"/>
        <v>47.586999999999996</v>
      </c>
      <c r="Q29" s="549" t="n">
        <f t="shared" si="11"/>
        <v>48.59899999999999</v>
      </c>
      <c r="R29" s="549" t="n">
        <f t="shared" si="11"/>
        <v>49.49499999999999</v>
      </c>
      <c r="S29" s="549" t="n">
        <f t="shared" si="11"/>
        <v>50.954999999999998</v>
      </c>
      <c r="T29" s="549" t="n">
        <f t="shared" si="11"/>
        <v>73.481999999999999</v>
      </c>
      <c r="U29" s="549" t="n">
        <f t="shared" si="11"/>
        <v>44.386000000000003</v>
      </c>
      <c r="V29" s="549" t="n">
        <f t="shared" si="11"/>
        <v>48.734571428571435</v>
      </c>
      <c r="W29" s="497"/>
      <c r="X29" s="497"/>
      <c r="Y29" s="497"/>
      <c r="Z29" s="497"/>
      <c r="AA29" s="497"/>
      <c r="AB29" s="497"/>
      <c r="AC29" s="497"/>
    </row>
    <row r="30" ht="18" customHeight="1">
      <c r="B30" s="431" t="s">
        <v>1742</v>
      </c>
      <c r="C30" s="289"/>
      <c r="D30" s="418"/>
      <c r="E30" s="392"/>
      <c r="F30" s="392"/>
      <c r="G30" s="392"/>
      <c r="H30" s="392"/>
      <c r="I30" s="392"/>
      <c r="J30" s="392"/>
      <c r="K30" s="392"/>
      <c r="L30" s="392"/>
      <c r="M30" s="392"/>
      <c r="N30" s="392"/>
      <c r="O30" s="392"/>
      <c r="P30" s="392"/>
      <c r="Q30" s="392"/>
      <c r="R30" s="392"/>
      <c r="S30" s="392"/>
      <c r="T30" s="392"/>
      <c r="U30" s="392"/>
      <c r="V30" s="657"/>
      <c r="W30" s="859"/>
      <c r="X30" s="859"/>
      <c r="Y30" s="859"/>
      <c r="Z30" s="859"/>
      <c r="AA30" s="859"/>
      <c r="AB30" s="859"/>
      <c r="AC30" s="1101"/>
    </row>
    <row r="31" ht="18" customHeight="1">
      <c r="B31" s="431" t="s">
        <v>1743</v>
      </c>
      <c r="C31" s="289"/>
      <c r="D31" s="418"/>
      <c r="E31" s="392"/>
      <c r="F31" s="392"/>
      <c r="G31" s="392"/>
      <c r="H31" s="392"/>
      <c r="I31" s="392"/>
      <c r="J31" s="392"/>
      <c r="K31" s="392"/>
      <c r="L31" s="392"/>
      <c r="M31" s="392"/>
      <c r="N31" s="392"/>
      <c r="O31" s="392"/>
      <c r="P31" s="392"/>
      <c r="Q31" s="392"/>
      <c r="R31" s="392"/>
      <c r="S31" s="392"/>
      <c r="T31" s="392"/>
      <c r="U31" s="392"/>
      <c r="V31" s="657"/>
      <c r="W31" s="859"/>
      <c r="X31" s="859"/>
      <c r="Y31" s="859"/>
      <c r="Z31" s="859"/>
      <c r="AA31" s="859"/>
      <c r="AB31" s="859"/>
      <c r="AC31" s="1101"/>
    </row>
    <row r="32" ht="20.149999999999999" customHeight="1">
      <c r="B32" s="416" t="s">
        <v>382</v>
      </c>
      <c r="C32" s="412"/>
      <c r="D32" s="896"/>
      <c r="E32" s="811"/>
      <c r="F32" s="811"/>
      <c r="G32" s="811"/>
      <c r="H32" s="738"/>
      <c r="I32" s="738"/>
      <c r="J32" s="738"/>
      <c r="K32" s="738"/>
      <c r="L32" s="738"/>
      <c r="M32" s="738" t="n">
        <f>'ARP Quarterly'!C5</f>
        <v>0</v>
      </c>
      <c r="N32" s="738" t="n">
        <f>'ARP Quarterly'!D5</f>
        <v>33.921840000000024</v>
      </c>
      <c r="O32" s="738" t="n">
        <f>'ARP Quarterly'!E5</f>
        <v>44.966160000000031</v>
      </c>
      <c r="P32" s="738" t="n">
        <f>'ARP Quarterly'!F5</f>
        <v>52.756999999999998</v>
      </c>
      <c r="Q32" s="738" t="n">
        <f>'ARP Quarterly'!G5</f>
        <v>52.756999999999998</v>
      </c>
      <c r="R32" s="738" t="n">
        <f>'ARP Quarterly'!H5</f>
        <v>52.756999999999998</v>
      </c>
      <c r="S32" s="738" t="n">
        <f>'ARP Quarterly'!I5</f>
        <v>52.756999999999998</v>
      </c>
      <c r="T32" s="738" t="n">
        <v>30</v>
      </c>
      <c r="U32" s="738" t="n">
        <f>'ARP Quarterly'!K5</f>
        <v>12</v>
      </c>
      <c r="V32" s="1106" t="n">
        <f>'ARP Quarterly'!L5</f>
        <v>12</v>
      </c>
      <c r="W32" s="740" t="n">
        <f>'ARP Quarterly'!M5</f>
        <v>12</v>
      </c>
      <c r="X32" s="740" t="n">
        <f>'ARP Quarterly'!N5</f>
        <v>4.2219999999999995</v>
      </c>
      <c r="Y32" s="740" t="n">
        <f>'ARP Quarterly'!O5</f>
        <v>4.2219999999999995</v>
      </c>
      <c r="Z32" s="740" t="n">
        <f>'ARP Quarterly'!P5</f>
        <v>4.2219999999999995</v>
      </c>
      <c r="AA32" s="740" t="n">
        <f>'ARP Quarterly'!Q5</f>
        <v>4.2219999999999995</v>
      </c>
      <c r="AB32" s="740" t="n">
        <f>'ARP Quarterly'!R5</f>
        <v>2.3719999999999999</v>
      </c>
      <c r="AC32" s="1098" t="n">
        <f>'ARP Quarterly'!S5</f>
        <v>2.3719999999999999</v>
      </c>
    </row>
    <row r="33" ht="22.4" customHeight="1">
      <c r="B33" s="401" t="s">
        <v>151</v>
      </c>
      <c r="C33" s="871"/>
      <c r="D33" s="418"/>
      <c r="E33" s="392"/>
      <c r="F33" s="392"/>
      <c r="G33" s="392"/>
      <c r="H33" s="392"/>
      <c r="I33" s="392"/>
      <c r="J33" s="392"/>
      <c r="K33" s="392"/>
      <c r="L33" s="392"/>
      <c r="M33" s="657" t="n">
        <f>'ARP Quarterly'!C4</f>
        <v>0</v>
      </c>
      <c r="N33" s="657" t="n">
        <f>'ARP Quarterly'!D4</f>
        <v>0</v>
      </c>
      <c r="O33" s="657" t="n">
        <f>'ARP Quarterly'!E4</f>
        <v>3.1040000000000418</v>
      </c>
      <c r="P33" s="657" t="n">
        <f>'ARP Quarterly'!F4</f>
        <v>19.719000000000005</v>
      </c>
      <c r="Q33" s="657" t="n">
        <f>'ARP Quarterly'!G4</f>
        <v>19.719000000000005</v>
      </c>
      <c r="R33" s="657" t="n">
        <f>'ARP Quarterly'!H4</f>
        <v>19.719000000000005</v>
      </c>
      <c r="S33" s="657" t="n">
        <f>'ARP Quarterly'!I4</f>
        <v>19.719000000000005</v>
      </c>
      <c r="T33" s="657" t="n">
        <f>'ARP Quarterly'!J4</f>
        <v>1.4159999999999999</v>
      </c>
      <c r="U33" s="657" t="n">
        <f>'ARP Quarterly'!K4</f>
        <v>1.4159999999999999</v>
      </c>
      <c r="V33" s="657" t="n">
        <f>'ARP Quarterly'!L4</f>
        <v>1.4159999999999999</v>
      </c>
      <c r="W33" s="859" t="n">
        <f>'ARP Quarterly'!M4</f>
        <v>1.4159999999999999</v>
      </c>
      <c r="X33" s="859" t="n">
        <f>'ARP Quarterly'!N4</f>
        <v>1.4790000000000001</v>
      </c>
      <c r="Y33" s="859" t="n">
        <f>'ARP Quarterly'!O4</f>
        <v>1.4790000000000001</v>
      </c>
      <c r="Z33" s="859" t="n">
        <f>'ARP Quarterly'!P4</f>
        <v>1.4790000000000001</v>
      </c>
      <c r="AA33" s="859" t="n">
        <f>'ARP Quarterly'!Q4</f>
        <v>1.4790000000000001</v>
      </c>
      <c r="AB33" s="859" t="n">
        <f>'ARP Quarterly'!R4</f>
        <v>1.63</v>
      </c>
      <c r="AC33" s="1101" t="n">
        <f>'ARP Quarterly'!S4</f>
        <v>1.63</v>
      </c>
      <c r="AE33" s="871"/>
      <c r="AF33" s="871"/>
      <c r="AG33" s="871"/>
      <c r="AH33" s="871"/>
      <c r="AI33" s="871"/>
      <c r="AJ33" s="871"/>
      <c r="AK33" s="871"/>
      <c r="AL33" s="871"/>
      <c r="AM33" s="871"/>
      <c r="AN33" s="871"/>
      <c r="AO33" s="871"/>
      <c r="AP33" s="871"/>
      <c r="AQ33" s="871"/>
      <c r="AR33" s="871"/>
      <c r="AS33" s="871"/>
      <c r="AT33" s="871"/>
      <c r="AU33" s="871"/>
      <c r="AV33" s="871"/>
      <c r="AW33" s="871"/>
      <c r="AX33" s="871"/>
      <c r="AY33" s="871"/>
      <c r="AZ33" s="871"/>
      <c r="BA33" s="871"/>
      <c r="BB33" s="871"/>
      <c r="BC33" s="871"/>
      <c r="BD33" s="871"/>
      <c r="BE33" s="871"/>
      <c r="BF33" s="871"/>
      <c r="BG33" s="871"/>
      <c r="BH33" s="871"/>
      <c r="BI33" s="871"/>
      <c r="BJ33" s="871"/>
      <c r="BK33" s="871"/>
      <c r="BL33" s="871"/>
      <c r="BM33" s="871"/>
      <c r="BN33" s="871"/>
      <c r="BO33" s="871"/>
      <c r="BP33" s="871"/>
      <c r="BQ33" s="871"/>
      <c r="BR33" s="871"/>
      <c r="BS33" s="871"/>
      <c r="BT33" s="871"/>
      <c r="BU33" s="871"/>
      <c r="BV33" s="871"/>
      <c r="BW33" s="871"/>
      <c r="BX33" s="871"/>
      <c r="BY33" s="871"/>
      <c r="BZ33" s="871"/>
      <c r="CA33" s="871"/>
      <c r="CB33" s="871"/>
      <c r="CC33" s="871"/>
      <c r="CD33" s="871"/>
      <c r="CE33" s="871"/>
      <c r="CF33" s="871"/>
      <c r="CG33" s="871"/>
      <c r="CH33" s="871"/>
      <c r="CI33" s="871"/>
      <c r="CJ33" s="871"/>
      <c r="CK33" s="871"/>
      <c r="CL33" s="871"/>
      <c r="CM33" s="871"/>
      <c r="CN33" s="871"/>
      <c r="CO33" s="871"/>
      <c r="CP33" s="871"/>
      <c r="CQ33" s="871"/>
      <c r="CR33" s="871"/>
      <c r="CS33" s="871"/>
      <c r="CT33" s="871"/>
      <c r="CU33" s="871"/>
      <c r="CV33" s="871"/>
      <c r="CW33" s="871"/>
    </row>
    <row r="34" ht="36.65" customHeight="1">
      <c r="B34" s="401" t="s">
        <v>1332</v>
      </c>
      <c r="C34" s="289"/>
      <c r="D34" s="419" t="n">
        <f>D85</f>
        <v>0</v>
      </c>
      <c r="E34" s="286" t="n">
        <f t="shared" ref="E34:AC34" si="12">E85</f>
        <v>0</v>
      </c>
      <c r="F34" s="286" t="n">
        <f t="shared" si="12"/>
        <v>0</v>
      </c>
      <c r="G34" s="286" t="n">
        <f t="shared" si="12"/>
        <v>0</v>
      </c>
      <c r="H34" s="286" t="n">
        <f t="shared" si="12"/>
        <v>0</v>
      </c>
      <c r="I34" s="657" t="n">
        <f t="shared" si="12"/>
        <v>0.23799999999999999</v>
      </c>
      <c r="J34" s="657" t="n">
        <f t="shared" si="12"/>
        <v>0.33799999999999986</v>
      </c>
      <c r="K34" s="657" t="n">
        <f t="shared" si="12"/>
        <v>0.51</v>
      </c>
      <c r="L34" s="657" t="n">
        <f t="shared" si="12"/>
        <v>0.47</v>
      </c>
      <c r="M34" s="657" t="n">
        <f t="shared" si="12"/>
        <v>0.46199999999999997</v>
      </c>
      <c r="N34" s="657" t="n">
        <f t="shared" si="12"/>
        <v>0.746</v>
      </c>
      <c r="O34" s="657" t="n">
        <f t="shared" si="12"/>
        <v>0.79400000000000004</v>
      </c>
      <c r="P34" s="657" t="n">
        <f t="shared" si="12"/>
        <v>0.79400000000000004</v>
      </c>
      <c r="Q34" s="657" t="n">
        <f t="shared" si="12"/>
        <v>0.78200000000000003</v>
      </c>
      <c r="R34" s="657" t="n">
        <f t="shared" si="12"/>
        <v>0.88600000000000012</v>
      </c>
      <c r="S34" s="657" t="n">
        <f t="shared" si="12"/>
        <v>0.92599999999999971</v>
      </c>
      <c r="T34" s="657" t="n">
        <f t="shared" si="12"/>
        <v>1.702</v>
      </c>
      <c r="U34" s="657" t="n">
        <f t="shared" si="12"/>
        <v>1.798</v>
      </c>
      <c r="V34" s="657" t="n">
        <f>V85</f>
        <v>2.258</v>
      </c>
      <c r="W34" s="859" t="n">
        <f>W85</f>
        <v>2.258</v>
      </c>
      <c r="X34" s="859" t="n">
        <f t="shared" si="12"/>
        <v>2.258</v>
      </c>
      <c r="Y34" s="859" t="n">
        <f t="shared" si="12"/>
        <v>2.258</v>
      </c>
      <c r="Z34" s="859" t="n">
        <f t="shared" si="12"/>
        <v>2.258</v>
      </c>
      <c r="AA34" s="859" t="n">
        <f t="shared" si="12"/>
        <v>2.258</v>
      </c>
      <c r="AB34" s="859" t="n">
        <f t="shared" si="12"/>
        <v>2.258</v>
      </c>
      <c r="AC34" s="1101" t="n">
        <f t="shared" si="12"/>
        <v>2.258</v>
      </c>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89"/>
      <c r="BK34" s="289"/>
      <c r="BL34" s="289"/>
      <c r="BM34" s="289"/>
      <c r="BN34" s="289"/>
      <c r="BO34" s="289"/>
      <c r="BP34" s="289"/>
      <c r="BQ34" s="289"/>
      <c r="BR34" s="289"/>
      <c r="BS34" s="289"/>
      <c r="BT34" s="289"/>
      <c r="BU34" s="289"/>
      <c r="BV34" s="289"/>
      <c r="BW34" s="289"/>
      <c r="BX34" s="289"/>
      <c r="BY34" s="289"/>
      <c r="BZ34" s="289"/>
      <c r="CA34" s="289"/>
      <c r="CB34" s="289"/>
      <c r="CC34" s="289"/>
      <c r="CD34" s="289"/>
      <c r="CE34" s="289"/>
      <c r="CF34" s="289"/>
      <c r="CG34" s="289"/>
      <c r="CH34" s="289"/>
      <c r="CI34" s="289"/>
      <c r="CJ34" s="289"/>
      <c r="CK34" s="289"/>
      <c r="CL34" s="289"/>
      <c r="CM34" s="289"/>
      <c r="CN34" s="289"/>
      <c r="CO34" s="289"/>
      <c r="CP34" s="289"/>
      <c r="CQ34" s="289"/>
      <c r="CR34" s="289"/>
      <c r="CS34" s="289"/>
      <c r="CT34" s="289"/>
      <c r="CU34" s="289"/>
      <c r="CV34" s="289"/>
    </row>
    <row r="35" ht="15.65" customHeight="1">
      <c r="B35" s="1107" t="s">
        <v>708</v>
      </c>
      <c r="C35" s="289" t="s">
        <v>735</v>
      </c>
      <c r="D35" s="418" t="n">
        <v>30</v>
      </c>
      <c r="E35" s="392" t="n">
        <v>30</v>
      </c>
      <c r="F35" s="392" t="n">
        <v>30</v>
      </c>
      <c r="G35" s="392" t="n">
        <v>30</v>
      </c>
      <c r="H35" s="392" t="n">
        <v>30</v>
      </c>
      <c r="I35" s="392" t="n">
        <v>30</v>
      </c>
      <c r="J35" s="392" t="n">
        <v>30</v>
      </c>
      <c r="K35" s="388" t="n">
        <v>30.2</v>
      </c>
      <c r="L35" s="388" t="n">
        <v>30.2</v>
      </c>
      <c r="M35" s="388" t="n">
        <f>'Haver Pivoted'!K89</f>
        <v>0</v>
      </c>
      <c r="N35" s="388" t="n">
        <f>'Haver Pivoted'!L89</f>
        <v>0</v>
      </c>
      <c r="O35" s="388" t="n">
        <f>'Haver Pivoted'!M89</f>
        <v>0</v>
      </c>
      <c r="P35" s="388" t="n">
        <f>'Haver Pivoted'!N89</f>
        <v>0</v>
      </c>
      <c r="Q35" s="388" t="n">
        <f>'Haver Pivoted'!O89</f>
        <v>0</v>
      </c>
      <c r="R35" s="388" t="n">
        <f>'Haver Pivoted'!P89</f>
        <v>0</v>
      </c>
      <c r="S35" s="615" t="n">
        <f>'Haver Pivoted'!Q89</f>
        <v>0</v>
      </c>
      <c r="T35" s="615" t="n">
        <f>'Haver Pivoted'!R89</f>
        <v>0</v>
      </c>
      <c r="U35" s="859" t="n">
        <v>34</v>
      </c>
      <c r="V35" s="657" t="n">
        <v>34</v>
      </c>
      <c r="W35" s="859" t="n">
        <v>34</v>
      </c>
      <c r="X35" s="859" t="n">
        <v>34</v>
      </c>
      <c r="Y35" s="859" t="n">
        <v>34</v>
      </c>
      <c r="Z35" s="859" t="n">
        <v>34</v>
      </c>
      <c r="AA35" s="859" t="n">
        <v>34</v>
      </c>
      <c r="AB35" s="859" t="n">
        <v>34</v>
      </c>
      <c r="AC35" s="1101" t="n">
        <v>34</v>
      </c>
    </row>
    <row r="36" ht="21.65" customHeight="1">
      <c r="B36" s="401" t="s">
        <v>380</v>
      </c>
      <c r="C36" s="289"/>
      <c r="D36" s="419"/>
      <c r="E36" s="286"/>
      <c r="F36" s="286"/>
      <c r="G36" s="286"/>
      <c r="H36" s="657"/>
      <c r="I36" s="657"/>
      <c r="J36" s="657" t="n">
        <f>'PPP (expired)'!J53</f>
        <v>0</v>
      </c>
      <c r="K36" s="657" t="n">
        <f>'PPP (expired)'!K53</f>
        <v>0</v>
      </c>
      <c r="L36" s="657" t="n">
        <f>'PPP (expired)'!L53</f>
        <v>0</v>
      </c>
      <c r="M36" s="657" t="n">
        <f>'PPP (expired)'!M53</f>
        <v>0</v>
      </c>
      <c r="N36" s="657" t="n">
        <f>'PPP (expired)'!N53</f>
        <v>0</v>
      </c>
      <c r="O36" s="657" t="n">
        <f>'PPP (expired)'!O53</f>
        <v>0</v>
      </c>
      <c r="P36" s="657" t="n">
        <f>'PPP (expired)'!P53</f>
        <v>0</v>
      </c>
      <c r="Q36" s="657" t="n">
        <f>'PPP (expired)'!Q53</f>
        <v>0</v>
      </c>
      <c r="R36" s="657" t="n">
        <f>'PPP (expired)'!Q61</f>
        <v>0</v>
      </c>
      <c r="S36" s="657" t="n">
        <f>'PPP (expired)'!S53</f>
        <v>0</v>
      </c>
      <c r="T36" s="657" t="n">
        <f>'PPP (expired)'!T53</f>
        <v>0</v>
      </c>
      <c r="U36" s="657" t="n">
        <f>'PPP (expired)'!U53</f>
        <v>0</v>
      </c>
      <c r="V36" s="657" t="n">
        <f>'PPP (expired)'!V53</f>
        <v>0</v>
      </c>
      <c r="W36" s="859" t="n">
        <f>'PPP (expired)'!W53</f>
        <v>0</v>
      </c>
      <c r="X36" s="859" t="n">
        <f>'PPP (expired)'!X53</f>
        <v>0</v>
      </c>
      <c r="Y36" s="859" t="n">
        <f>'PPP (expired)'!Y53</f>
        <v>0</v>
      </c>
      <c r="Z36" s="859" t="n">
        <f>'PPP (expired)'!Z53</f>
        <v>0</v>
      </c>
      <c r="AA36" s="859" t="n">
        <f>'PPP (expired)'!AA53</f>
        <v>0</v>
      </c>
      <c r="AB36" s="859" t="n">
        <f>'PPP (expired)'!AB53</f>
        <v>0</v>
      </c>
      <c r="AC36" s="1101" t="n">
        <f>'PPP (expired)'!AC53</f>
        <v>0</v>
      </c>
    </row>
    <row r="37" ht="21.65" customHeight="1">
      <c r="B37" s="431" t="s">
        <v>709</v>
      </c>
      <c r="C37" s="289"/>
      <c r="D37" s="764" t="n">
        <f t="shared" ref="D37:AC37" si="13">D109</f>
        <v>0</v>
      </c>
      <c r="E37" s="657" t="n">
        <f t="shared" si="13"/>
        <v>0</v>
      </c>
      <c r="F37" s="657" t="n">
        <f t="shared" si="13"/>
        <v>0</v>
      </c>
      <c r="G37" s="657" t="n">
        <f t="shared" si="13"/>
        <v>0</v>
      </c>
      <c r="H37" s="657" t="n">
        <f t="shared" si="13"/>
        <v>0</v>
      </c>
      <c r="I37" s="657" t="n">
        <f t="shared" si="13"/>
        <v>-0.23799999999999955</v>
      </c>
      <c r="J37" s="657" t="n">
        <f t="shared" si="13"/>
        <v>-1.5046666666666724</v>
      </c>
      <c r="K37" s="657" t="n">
        <f t="shared" si="13"/>
        <v>-1.4433333333333351</v>
      </c>
      <c r="L37" s="657" t="n">
        <f t="shared" si="13"/>
        <v>-0.17000000000000881</v>
      </c>
      <c r="M37" s="657" t="n">
        <f t="shared" si="13"/>
        <v>28.60733333333333</v>
      </c>
      <c r="N37" s="657" t="n">
        <f t="shared" si="13"/>
        <v>-4.9651733333333752</v>
      </c>
      <c r="O37" s="657" t="n">
        <f t="shared" si="13"/>
        <v>-8.7281600000000878</v>
      </c>
      <c r="P37" s="657" t="n">
        <f t="shared" si="13"/>
        <v>-31.800666666666665</v>
      </c>
      <c r="Q37" s="657" t="n">
        <f t="shared" si="13"/>
        <v>-34.175253333333345</v>
      </c>
      <c r="R37" s="657" t="n">
        <f t="shared" si="13"/>
        <v>-33.645920000000011</v>
      </c>
      <c r="S37" s="657" t="n">
        <f t="shared" si="13"/>
        <v>-32.552586666666684</v>
      </c>
      <c r="T37" s="657" t="n">
        <f t="shared" si="13"/>
        <v>12.364746666666647</v>
      </c>
      <c r="U37" s="1104" t="n">
        <f t="shared" si="13"/>
        <v>-3.662288000000018</v>
      </c>
      <c r="V37" s="657" t="n">
        <f>V109</f>
        <v>0.31961676190474719</v>
      </c>
      <c r="W37" s="859" t="n">
        <f t="shared" si="13"/>
        <v>0.31961676190474719</v>
      </c>
      <c r="X37" s="859" t="n">
        <f t="shared" si="13"/>
        <v>0.31961676190474719</v>
      </c>
      <c r="Y37" s="859" t="n">
        <f t="shared" si="13"/>
        <v>0.31961676190474719</v>
      </c>
      <c r="Z37" s="859" t="n">
        <f t="shared" si="13"/>
        <v>0.31961676190474719</v>
      </c>
      <c r="AA37" s="859" t="n">
        <f t="shared" si="13"/>
        <v>0.31961676190474719</v>
      </c>
      <c r="AB37" s="859" t="n">
        <f t="shared" si="13"/>
        <v>0.31961676190474719</v>
      </c>
      <c r="AC37" s="1101" t="n">
        <f t="shared" si="13"/>
        <v>0.31961676190474719</v>
      </c>
    </row>
    <row r="38" ht="21" customHeight="1">
      <c r="B38" s="416" t="s">
        <v>706</v>
      </c>
      <c r="C38" s="412"/>
      <c r="D38" s="896" t="n">
        <f t="shared" ref="D38:AC38" si="14">D33+D21</f>
        <v>0</v>
      </c>
      <c r="E38" s="811" t="n">
        <f t="shared" si="14"/>
        <v>0</v>
      </c>
      <c r="F38" s="811" t="n">
        <f t="shared" si="14"/>
        <v>0</v>
      </c>
      <c r="G38" s="811" t="n">
        <f t="shared" si="14"/>
        <v>0</v>
      </c>
      <c r="H38" s="811" t="n">
        <f t="shared" si="14"/>
        <v>0</v>
      </c>
      <c r="I38" s="811" t="n">
        <f t="shared" si="14"/>
        <v>0</v>
      </c>
      <c r="J38" s="811" t="n">
        <f t="shared" si="14"/>
        <v>0</v>
      </c>
      <c r="K38" s="811" t="n">
        <f t="shared" si="14"/>
        <v>0</v>
      </c>
      <c r="L38" s="811" t="n">
        <f t="shared" si="14"/>
        <v>0</v>
      </c>
      <c r="M38" s="811" t="n">
        <f t="shared" si="14"/>
        <v>0</v>
      </c>
      <c r="N38" s="811" t="n">
        <f t="shared" si="14"/>
        <v>0</v>
      </c>
      <c r="O38" s="811" t="n">
        <f t="shared" si="14"/>
        <v>3.1040000000000418</v>
      </c>
      <c r="P38" s="738" t="n">
        <f t="shared" si="14"/>
        <v>19.719000000000005</v>
      </c>
      <c r="Q38" s="811" t="n">
        <f t="shared" si="14"/>
        <v>19.719000000000005</v>
      </c>
      <c r="R38" s="811" t="n">
        <f t="shared" si="14"/>
        <v>19.719000000000005</v>
      </c>
      <c r="S38" s="811" t="n">
        <f t="shared" si="14"/>
        <v>19.719000000000005</v>
      </c>
      <c r="T38" s="738" t="n">
        <f t="shared" si="14"/>
        <v>1.4159999999999999</v>
      </c>
      <c r="U38" s="738" t="n">
        <f t="shared" si="14"/>
        <v>1.4159999999999999</v>
      </c>
      <c r="V38" s="1106" t="n">
        <f t="shared" si="14"/>
        <v>1.4159999999999999</v>
      </c>
      <c r="W38" s="740" t="n">
        <f t="shared" si="14"/>
        <v>1.4159999999999999</v>
      </c>
      <c r="X38" s="740" t="n">
        <f t="shared" si="14"/>
        <v>1.4790000000000001</v>
      </c>
      <c r="Y38" s="740" t="n">
        <f t="shared" si="14"/>
        <v>1.4790000000000001</v>
      </c>
      <c r="Z38" s="740" t="n">
        <f t="shared" si="14"/>
        <v>1.4790000000000001</v>
      </c>
      <c r="AA38" s="740" t="n">
        <f t="shared" si="14"/>
        <v>1.4790000000000001</v>
      </c>
      <c r="AB38" s="740" t="n">
        <f t="shared" si="14"/>
        <v>1.63</v>
      </c>
      <c r="AC38" s="740" t="n">
        <f t="shared" si="14"/>
        <v>1.63</v>
      </c>
    </row>
    <row r="39" ht="44.9" customHeight="1">
      <c r="B39" s="401" t="s">
        <v>713</v>
      </c>
      <c r="C39" s="289"/>
      <c r="D39" s="764" t="n">
        <f t="shared" ref="D39:AC39" si="15">D101</f>
        <v>8.3999999999999986</v>
      </c>
      <c r="E39" s="657" t="n">
        <f t="shared" si="15"/>
        <v>16.399999999999999</v>
      </c>
      <c r="F39" s="657" t="n">
        <f t="shared" si="15"/>
        <v>15</v>
      </c>
      <c r="G39" s="657" t="n">
        <f t="shared" si="15"/>
        <v>16.899999999999999</v>
      </c>
      <c r="H39" s="657" t="n">
        <f t="shared" si="15"/>
        <v>17.5</v>
      </c>
      <c r="I39" s="657" t="n">
        <f t="shared" si="15"/>
        <v>23.600000000000009</v>
      </c>
      <c r="J39" s="657" t="n">
        <f t="shared" si="15"/>
        <v>23.966666666666676</v>
      </c>
      <c r="K39" s="657" t="n">
        <f t="shared" si="15"/>
        <v>24.333333333333343</v>
      </c>
      <c r="L39" s="657" t="n">
        <f t="shared" si="15"/>
        <v>24.70000000000001</v>
      </c>
      <c r="M39" s="657" t="n">
        <f t="shared" si="15"/>
        <v>25.530666666666676</v>
      </c>
      <c r="N39" s="657" t="n">
        <f t="shared" si="15"/>
        <v>25.897333333333343</v>
      </c>
      <c r="O39" s="657" t="n">
        <f t="shared" si="15"/>
        <v>26.26400000000001</v>
      </c>
      <c r="P39" s="657" t="n">
        <f t="shared" si="15"/>
        <v>26.630666666666677</v>
      </c>
      <c r="Q39" s="657" t="n">
        <f t="shared" si="15"/>
        <v>30.017253333333343</v>
      </c>
      <c r="R39" s="657" t="n">
        <f t="shared" si="15"/>
        <v>30.38392000000001</v>
      </c>
      <c r="S39" s="657" t="n">
        <f t="shared" si="15"/>
        <v>30.750586666666678</v>
      </c>
      <c r="T39" s="657" t="n">
        <f t="shared" si="15"/>
        <v>31.117253333333345</v>
      </c>
      <c r="U39" s="657" t="n">
        <f t="shared" si="15"/>
        <v>36.048288000000014</v>
      </c>
      <c r="V39" s="657" t="n">
        <f t="shared" si="15"/>
        <v>36.414954666666681</v>
      </c>
      <c r="W39" s="859" t="n">
        <f t="shared" si="15"/>
        <v>36.781621333333348</v>
      </c>
      <c r="X39" s="859" t="n">
        <f t="shared" si="15"/>
        <v>37.148288000000015</v>
      </c>
      <c r="Y39" s="859" t="n">
        <f t="shared" si="15"/>
        <v>40.189998266666684</v>
      </c>
      <c r="Z39" s="859" t="n">
        <f t="shared" si="15"/>
        <v>40.556664933333352</v>
      </c>
      <c r="AA39" s="859" t="n">
        <f t="shared" si="15"/>
        <v>40.923331600000019</v>
      </c>
      <c r="AB39" s="859" t="n">
        <f t="shared" si="15"/>
        <v>41.289998266666686</v>
      </c>
      <c r="AC39" s="1101" t="n">
        <f t="shared" si="15"/>
        <v>44.12529458133335</v>
      </c>
    </row>
    <row r="40" ht="44.9" customHeight="1">
      <c r="B40" s="571" t="s">
        <v>1085</v>
      </c>
      <c r="D40" s="764"/>
      <c r="E40" s="657"/>
      <c r="F40" s="657"/>
      <c r="G40" s="657"/>
      <c r="H40" s="657"/>
      <c r="I40" s="657"/>
      <c r="J40" s="657"/>
      <c r="K40" s="657"/>
      <c r="L40" s="657"/>
      <c r="M40" s="657"/>
      <c r="N40" s="657"/>
      <c r="O40" s="657"/>
      <c r="P40" s="657"/>
      <c r="Q40" s="657"/>
      <c r="R40" s="657"/>
      <c r="S40" s="893" t="n">
        <f>'IRA and CHIPS'!E191</f>
        <v>-0.622</v>
      </c>
      <c r="T40" s="893" t="n">
        <f>'IRA and CHIPS'!F191</f>
        <v>21.89</v>
      </c>
      <c r="U40" s="893" t="n">
        <f>'IRA and CHIPS'!G191</f>
        <v>21.89</v>
      </c>
      <c r="V40" s="893" t="n">
        <f>'IRA and CHIPS'!H191</f>
        <v>21.89</v>
      </c>
      <c r="W40" s="894" t="n">
        <f>'IRA and CHIPS'!I191</f>
        <v>21.89</v>
      </c>
      <c r="X40" s="894" t="n">
        <f>'IRA and CHIPS'!J191</f>
        <v>15.439</v>
      </c>
      <c r="Y40" s="894" t="n">
        <f>'IRA and CHIPS'!K191</f>
        <v>15.439</v>
      </c>
      <c r="Z40" s="894" t="n">
        <f>'IRA and CHIPS'!L191</f>
        <v>15.439</v>
      </c>
      <c r="AA40" s="894" t="n">
        <f>'IRA and CHIPS'!M191</f>
        <v>15.439</v>
      </c>
      <c r="AB40" s="894" t="n">
        <f>'IRA and CHIPS'!N191</f>
        <v>16.966999999999999</v>
      </c>
      <c r="AC40" s="1110" t="n">
        <f>'IRA and CHIPS'!O191</f>
        <v>16.966999999999999</v>
      </c>
    </row>
    <row r="41" ht="31.4" customHeight="1">
      <c r="B41" s="753" t="s">
        <v>710</v>
      </c>
      <c r="C41" s="412"/>
      <c r="D41" s="738" t="n">
        <f t="shared" ref="D41:R41" si="16">D39+SUM(D34:D37)+D40</f>
        <v>38.4</v>
      </c>
      <c r="E41" s="738" t="n">
        <f t="shared" si="16"/>
        <v>46.4</v>
      </c>
      <c r="F41" s="738" t="n">
        <f t="shared" si="16"/>
        <v>45</v>
      </c>
      <c r="G41" s="738" t="n">
        <f t="shared" si="16"/>
        <v>46.9</v>
      </c>
      <c r="H41" s="738" t="n">
        <f t="shared" si="16"/>
        <v>47.5</v>
      </c>
      <c r="I41" s="738" t="n">
        <f t="shared" si="16"/>
        <v>53.600000000000009</v>
      </c>
      <c r="J41" s="738" t="n">
        <f t="shared" si="16"/>
        <v>52.800000000000004</v>
      </c>
      <c r="K41" s="738" t="n">
        <f t="shared" si="16"/>
        <v>53.600000000000009</v>
      </c>
      <c r="L41" s="738" t="n">
        <f t="shared" si="16"/>
        <v>55.2</v>
      </c>
      <c r="M41" s="738" t="n">
        <f t="shared" si="16"/>
        <v>54.600000000000009</v>
      </c>
      <c r="N41" s="738" t="n">
        <f t="shared" si="16"/>
        <v>21.67815999999997</v>
      </c>
      <c r="O41" s="738" t="n">
        <f t="shared" si="16"/>
        <v>18.329839999999923</v>
      </c>
      <c r="P41" s="738" t="n">
        <f t="shared" si="16"/>
        <v>-4.375999999999987</v>
      </c>
      <c r="Q41" s="738" t="n">
        <f t="shared" si="16"/>
        <v>-3.3760000000000048</v>
      </c>
      <c r="R41" s="738" t="n">
        <f t="shared" si="16"/>
        <v>-2.3759999999999977</v>
      </c>
      <c r="S41" s="738" t="n">
        <f>S39+SUM(S34:S37)+S40</f>
        <v>-1.4980000000000082</v>
      </c>
      <c r="T41" s="900" t="n">
        <f>T39+SUM(T34:T37)+T40</f>
        <v>67.073999999999984</v>
      </c>
      <c r="U41" s="900" t="n">
        <f>U39+SUM(U34:U37)+U40</f>
        <v>90.073999999999998</v>
      </c>
      <c r="V41" s="1106" t="n">
        <f>V39+SUM(V34:V37)+V40</f>
        <v>94.882571428571438</v>
      </c>
      <c r="W41" s="740" t="n">
        <f t="shared" ref="W41:AC41" si="17">W39+SUM(W34:W37)+W40</f>
        <v>95.249238095238098</v>
      </c>
      <c r="X41" s="740" t="n">
        <f t="shared" si="17"/>
        <v>89.164904761904751</v>
      </c>
      <c r="Y41" s="740" t="n">
        <f t="shared" si="17"/>
        <v>92.206615028571434</v>
      </c>
      <c r="Z41" s="740" t="n">
        <f t="shared" si="17"/>
        <v>92.573281695238109</v>
      </c>
      <c r="AA41" s="740" t="n">
        <f t="shared" si="17"/>
        <v>92.939948361904754</v>
      </c>
      <c r="AB41" s="740" t="n">
        <f t="shared" si="17"/>
        <v>94.834615028571434</v>
      </c>
      <c r="AC41" s="740" t="n">
        <f t="shared" si="17"/>
        <v>97.669911343238098</v>
      </c>
    </row>
    <row r="42" ht="31.4" customHeight="1">
      <c r="B42" s="753"/>
      <c r="C42" s="412"/>
      <c r="D42" s="738"/>
      <c r="E42" s="738"/>
      <c r="F42" s="738"/>
      <c r="G42" s="738"/>
      <c r="H42" s="738"/>
      <c r="I42" s="738"/>
      <c r="J42" s="738"/>
      <c r="K42" s="738"/>
      <c r="L42" s="738"/>
      <c r="M42" s="738"/>
      <c r="N42" s="738"/>
      <c r="O42" s="738"/>
      <c r="P42" s="738"/>
      <c r="Q42" s="738"/>
      <c r="R42" s="738"/>
      <c r="S42" s="738"/>
      <c r="T42" s="738"/>
      <c r="U42" s="738"/>
      <c r="V42" s="738" t="n">
        <f>V12-SUM(V14,V17,V18,V21,V32,V33,V34,V35)+V40</f>
        <v>58.624571428571429</v>
      </c>
      <c r="W42" s="740"/>
      <c r="X42" s="740"/>
      <c r="Y42" s="740"/>
      <c r="Z42" s="740"/>
      <c r="AA42" s="740"/>
      <c r="AB42" s="740"/>
      <c r="AC42" s="740"/>
    </row>
    <row r="43" ht="31.4" customHeight="1">
      <c r="B43" s="840" t="s">
        <v>383</v>
      </c>
      <c r="C43" s="841"/>
      <c r="D43" s="749"/>
      <c r="E43" s="750"/>
      <c r="F43" s="750"/>
      <c r="G43" s="750"/>
      <c r="H43" s="750"/>
      <c r="I43" s="750"/>
      <c r="J43" s="750"/>
      <c r="K43" s="750"/>
      <c r="L43" s="750"/>
      <c r="M43" s="750"/>
      <c r="N43" s="750"/>
      <c r="O43" s="750"/>
      <c r="P43" s="750"/>
      <c r="Q43" s="750"/>
      <c r="R43" s="750"/>
      <c r="S43" s="750"/>
      <c r="T43" s="738"/>
      <c r="U43" s="750"/>
      <c r="V43" s="738" t="n">
        <f>V39+V37</f>
        <v>36.734571428571428</v>
      </c>
      <c r="W43" s="740"/>
      <c r="X43" s="740"/>
      <c r="Y43" s="740"/>
      <c r="Z43" s="740"/>
      <c r="AA43" s="740"/>
      <c r="AB43" s="740"/>
      <c r="AC43" s="1098"/>
    </row>
    <row r="44">
      <c r="B44" s="431" t="s">
        <v>715</v>
      </c>
      <c r="C44" s="289" t="s">
        <v>384</v>
      </c>
      <c r="D44" s="419" t="n">
        <f>'Haver Pivoted'!B37</f>
        <v>14.7</v>
      </c>
      <c r="E44" s="286" t="n">
        <f>'Haver Pivoted'!C37</f>
        <v>15.6</v>
      </c>
      <c r="F44" s="286" t="n">
        <f>'Haver Pivoted'!D37</f>
        <v>16.600000000000001</v>
      </c>
      <c r="G44" s="286" t="n">
        <f>'Haver Pivoted'!E37</f>
        <v>17.5</v>
      </c>
      <c r="H44" s="286" t="n">
        <f>'Haver Pivoted'!F37</f>
        <v>18.3</v>
      </c>
      <c r="I44" s="286" t="n">
        <f>'Haver Pivoted'!G37</f>
        <v>19.100000000000001</v>
      </c>
      <c r="J44" s="286" t="n">
        <f>'Haver Pivoted'!H37</f>
        <v>19.600000000000001</v>
      </c>
      <c r="K44" s="286" t="n">
        <f>'Haver Pivoted'!I37</f>
        <v>20.3</v>
      </c>
      <c r="L44" s="286" t="n">
        <f>'Haver Pivoted'!J37</f>
        <v>21.2</v>
      </c>
      <c r="M44" s="286" t="n">
        <f>'Haver Pivoted'!K37</f>
        <v>21.6</v>
      </c>
      <c r="N44" s="286" t="n">
        <f>'Haver Pivoted'!L37</f>
        <v>22.5</v>
      </c>
      <c r="O44" s="286" t="n">
        <f>'Haver Pivoted'!M37</f>
        <v>22.5</v>
      </c>
      <c r="P44" s="286" t="n">
        <f>'Haver Pivoted'!N37</f>
        <v>23.2</v>
      </c>
      <c r="Q44" s="286" t="n">
        <f>'Haver Pivoted'!O37</f>
        <v>24</v>
      </c>
      <c r="R44" s="286" t="n">
        <f>'Haver Pivoted'!P37</f>
        <v>24.2</v>
      </c>
      <c r="S44" s="809" t="n">
        <f>'Haver Pivoted'!Q37</f>
        <v>25</v>
      </c>
      <c r="T44" s="809" t="n">
        <f>'Haver Pivoted'!R37</f>
        <v>23.4</v>
      </c>
      <c r="U44" s="809" t="n">
        <f>'Haver Pivoted'!S37</f>
        <v>24.7</v>
      </c>
      <c r="V44" s="809" t="n">
        <f>'Haver Pivoted'!T37</f>
        <v>25.9</v>
      </c>
      <c r="W44" s="433"/>
      <c r="X44" s="433"/>
      <c r="Y44" s="433"/>
      <c r="Z44" s="433"/>
      <c r="AA44" s="433"/>
      <c r="AB44" s="433"/>
      <c r="AC44" s="960"/>
    </row>
    <row r="45">
      <c r="B45" s="737" t="s">
        <v>142</v>
      </c>
      <c r="C45" s="289"/>
      <c r="D45" s="764" t="n">
        <f>Medicaid!D26</f>
        <v>5</v>
      </c>
      <c r="E45" s="657" t="n">
        <f>Medicaid!E26</f>
        <v>5.3</v>
      </c>
      <c r="F45" s="657" t="n">
        <f>Medicaid!F26</f>
        <v>5.6</v>
      </c>
      <c r="G45" s="657" t="n">
        <f>Medicaid!G26</f>
        <v>5.9</v>
      </c>
      <c r="H45" s="657" t="n">
        <f>Medicaid!H26</f>
        <v>6.2</v>
      </c>
      <c r="I45" s="657" t="n">
        <f>Medicaid!I26</f>
        <v>6.6</v>
      </c>
      <c r="J45" s="657" t="n">
        <f>Medicaid!J26</f>
        <v>6.9</v>
      </c>
      <c r="K45" s="657" t="n">
        <f>Medicaid!K26</f>
        <v>7.3</v>
      </c>
      <c r="L45" s="657" t="n">
        <f>Medicaid!L26</f>
        <v>7.8</v>
      </c>
      <c r="M45" s="657" t="n">
        <f>Medicaid!M26</f>
        <v>8</v>
      </c>
      <c r="N45" s="657" t="n">
        <f>Medicaid!N26</f>
        <v>8.6</v>
      </c>
      <c r="O45" s="657" t="n">
        <f>Medicaid!O26</f>
        <v>8.5</v>
      </c>
      <c r="P45" s="657" t="n">
        <f>Medicaid!P26</f>
        <v>9</v>
      </c>
      <c r="Q45" s="657" t="n">
        <f>Medicaid!Q26</f>
        <v>9.6</v>
      </c>
      <c r="R45" s="657" t="n">
        <f>Medicaid!R26</f>
        <v>9.6999999999999993</v>
      </c>
      <c r="S45" s="809" t="n">
        <f>Medicaid!S26</f>
        <v>10.1</v>
      </c>
      <c r="T45" s="657" t="n">
        <f>Medicaid!T26</f>
        <v>10.199999999999999</v>
      </c>
      <c r="U45" s="657" t="n">
        <f>Medicaid!U26</f>
        <v>11.1</v>
      </c>
      <c r="V45" s="657" t="n">
        <f>Medicaid!V26</f>
        <v>11.4</v>
      </c>
      <c r="W45" s="859" t="n">
        <f>Medicaid!W26</f>
        <v>12</v>
      </c>
      <c r="X45" s="859" t="n">
        <f>Medicaid!X26</f>
        <v>13.3</v>
      </c>
      <c r="Y45" s="859" t="n">
        <f>Medicaid!Y26</f>
        <v>13.8</v>
      </c>
      <c r="Z45" s="859" t="n">
        <f>Medicaid!Z26</f>
        <v>13.8</v>
      </c>
      <c r="AA45" s="859" t="n">
        <f>Medicaid!AA26</f>
        <v>14.6</v>
      </c>
      <c r="AB45" s="859" t="n">
        <f>Medicaid!AB26</f>
        <v>15.2</v>
      </c>
      <c r="AC45" s="1101" t="n">
        <f>Medicaid!AC26</f>
        <v>14.9</v>
      </c>
    </row>
    <row r="46" ht="14.9" customHeight="1">
      <c r="B46" s="753" t="s">
        <v>716</v>
      </c>
      <c r="C46" s="412"/>
      <c r="D46" s="763" t="n">
        <f>D44-D45</f>
        <v>9.6999999999999993</v>
      </c>
      <c r="E46" s="738" t="n">
        <f t="shared" ref="E46:O46" si="18">E44-E45</f>
        <v>10.3</v>
      </c>
      <c r="F46" s="738" t="n">
        <f t="shared" si="18"/>
        <v>11.000000000000002</v>
      </c>
      <c r="G46" s="738" t="n">
        <f t="shared" si="18"/>
        <v>11.6</v>
      </c>
      <c r="H46" s="738" t="n">
        <f t="shared" si="18"/>
        <v>12.100000000000001</v>
      </c>
      <c r="I46" s="738" t="n">
        <f t="shared" si="18"/>
        <v>12.500000000000002</v>
      </c>
      <c r="J46" s="738" t="n">
        <f t="shared" si="18"/>
        <v>12.700000000000001</v>
      </c>
      <c r="K46" s="738" t="n">
        <f t="shared" si="18"/>
        <v>13</v>
      </c>
      <c r="L46" s="738" t="n">
        <f t="shared" si="18"/>
        <v>13.399999999999999</v>
      </c>
      <c r="M46" s="738" t="n">
        <f t="shared" si="18"/>
        <v>13.600000000000001</v>
      </c>
      <c r="N46" s="738" t="n">
        <f t="shared" si="18"/>
        <v>13.9</v>
      </c>
      <c r="O46" s="738" t="n">
        <f t="shared" si="18"/>
        <v>14</v>
      </c>
      <c r="P46" s="738" t="n">
        <f>P44-P45</f>
        <v>14.2</v>
      </c>
      <c r="Q46" s="738" t="n">
        <f>Q44-Q45</f>
        <v>14.4</v>
      </c>
      <c r="R46" s="738" t="n">
        <f>R44-R45</f>
        <v>14.5</v>
      </c>
      <c r="S46" s="809" t="n">
        <f>S44-S45</f>
        <v>14.9</v>
      </c>
      <c r="T46" s="809" t="n">
        <f>T44-T45</f>
        <v>13.2</v>
      </c>
      <c r="U46" s="738" t="n">
        <f>T46*(1+AVERAGE($F$48:$I$48))+U47</f>
        <v>-56.144395866938552</v>
      </c>
      <c r="V46" s="1106" t="n">
        <f>U46*(1+AVERAGE($F$48:$I$48))+V47</f>
        <v>-58.932918441075152</v>
      </c>
      <c r="W46" s="740" t="n">
        <f t="shared" ref="W46:AC46" si="19">V46*(1+AVERAGE($F$48:$I$48))</f>
        <v>-61.859938509510165</v>
      </c>
      <c r="X46" s="740" t="n">
        <f t="shared" si="19"/>
        <v>-64.932334824492131</v>
      </c>
      <c r="Y46" s="740" t="n">
        <f t="shared" si="19"/>
        <v>-68.157327785118412</v>
      </c>
      <c r="Z46" s="740" t="n">
        <f t="shared" si="19"/>
        <v>-71.542496405902327</v>
      </c>
      <c r="AA46" s="740" t="n">
        <f t="shared" si="19"/>
        <v>-75.09579612811774</v>
      </c>
      <c r="AB46" s="740" t="n">
        <f t="shared" si="19"/>
        <v>-78.825577515779401</v>
      </c>
      <c r="AC46" s="1098" t="n">
        <f t="shared" si="19"/>
        <v>-82.740605880196114</v>
      </c>
    </row>
    <row r="47" ht="14.9" customHeight="1">
      <c r="B47" s="753" t="s">
        <v>1593</v>
      </c>
      <c r="C47" s="412"/>
      <c r="D47" s="763"/>
      <c r="E47" s="738"/>
      <c r="F47" s="738"/>
      <c r="G47" s="738"/>
      <c r="H47" s="738"/>
      <c r="I47" s="738"/>
      <c r="J47" s="738"/>
      <c r="K47" s="738"/>
      <c r="L47" s="738"/>
      <c r="M47" s="738"/>
      <c r="N47" s="738"/>
      <c r="O47" s="738"/>
      <c r="P47" s="738"/>
      <c r="Q47" s="738"/>
      <c r="R47" s="738"/>
      <c r="S47" s="809"/>
      <c r="T47" s="738"/>
      <c r="U47" s="738" t="n">
        <v>-70</v>
      </c>
      <c r="V47" s="738"/>
      <c r="W47" s="740"/>
      <c r="X47" s="740"/>
      <c r="Y47" s="740"/>
      <c r="Z47" s="740"/>
      <c r="AA47" s="740"/>
      <c r="AB47" s="740"/>
      <c r="AC47" s="1098"/>
    </row>
    <row r="48">
      <c r="B48" s="895" t="s">
        <v>717</v>
      </c>
      <c r="C48" s="506"/>
      <c r="D48" s="765"/>
      <c r="E48" s="752" t="n">
        <f>E46/D46-1</f>
        <v>6.1855670103093008E-2</v>
      </c>
      <c r="F48" s="752" t="n">
        <f t="shared" ref="F48:N48" si="20">F46/E46-1</f>
        <v>6.7961165048543881E-2</v>
      </c>
      <c r="G48" s="752" t="n">
        <f t="shared" si="20"/>
        <v>5.4545454545454453E-2</v>
      </c>
      <c r="H48" s="752" t="n">
        <f t="shared" si="20"/>
        <v>4.3103448275862322E-2</v>
      </c>
      <c r="I48" s="752" t="n">
        <f t="shared" si="20"/>
        <v>3.3057851239669533E-2</v>
      </c>
      <c r="J48" s="752" t="n">
        <f t="shared" si="20"/>
        <v>1.6000000000000014E-2</v>
      </c>
      <c r="K48" s="752" t="n">
        <f t="shared" si="20"/>
        <v>2.3622047244094446E-2</v>
      </c>
      <c r="L48" s="752" t="n">
        <f t="shared" si="20"/>
        <v>3.076923076923066E-2</v>
      </c>
      <c r="M48" s="752" t="n">
        <f t="shared" si="20"/>
        <v>1.4925373134328623E-2</v>
      </c>
      <c r="N48" s="752" t="n">
        <f t="shared" si="20"/>
        <v>2.2058823529411686E-2</v>
      </c>
      <c r="O48" s="752" t="n">
        <f>O46/N46-1</f>
        <v>7.194244604316502E-3</v>
      </c>
      <c r="P48" s="752" t="n">
        <f t="shared" ref="P48:S48" si="21">P46/O46-1</f>
        <v>1.4285714285714235E-2</v>
      </c>
      <c r="Q48" s="752" t="n">
        <f t="shared" si="21"/>
        <v>1.4084507042253502E-2</v>
      </c>
      <c r="R48" s="752" t="n">
        <f t="shared" si="21"/>
        <v>6.9444444444444198E-3</v>
      </c>
      <c r="S48" s="830" t="n">
        <f t="shared" si="21"/>
        <v>2.7586206896551779E-2</v>
      </c>
      <c r="T48" s="739"/>
      <c r="U48" s="739"/>
      <c r="V48" s="739"/>
      <c r="W48" s="760"/>
      <c r="X48" s="760"/>
      <c r="Y48" s="760"/>
      <c r="Z48" s="760"/>
      <c r="AA48" s="760"/>
      <c r="AB48" s="760"/>
      <c r="AC48" s="1097"/>
    </row>
    <row r="51">
      <c r="B51" s="468"/>
      <c r="C51" s="468"/>
      <c r="U51" s="286"/>
      <c r="V51" s="286"/>
      <c r="W51" s="286"/>
      <c r="X51" s="286"/>
      <c r="Y51" s="286"/>
      <c r="Z51" s="286"/>
      <c r="AA51" s="286"/>
      <c r="AB51" s="286"/>
      <c r="AC51" s="286"/>
    </row>
    <row r="52">
      <c r="B52" s="383"/>
      <c r="C52" s="289"/>
      <c r="U52" s="657"/>
      <c r="V52" s="657" t="n">
        <f>V40+V39+V34+V35+V36+V37</f>
        <v>94.882571428571424</v>
      </c>
      <c r="W52" s="657"/>
      <c r="X52" s="657"/>
      <c r="Y52" s="657"/>
      <c r="Z52" s="657"/>
      <c r="AA52" s="657"/>
      <c r="AB52" s="657"/>
      <c r="AC52" s="657"/>
      <c r="AD52" s="683"/>
      <c r="AE52" s="683"/>
      <c r="AF52" s="683"/>
      <c r="AG52" s="683"/>
      <c r="AH52" s="683"/>
      <c r="AI52" s="683"/>
      <c r="AJ52" s="683"/>
      <c r="AK52" s="683"/>
      <c r="AL52" s="683"/>
      <c r="AM52" s="683"/>
    </row>
    <row r="53">
      <c r="B53" s="383"/>
      <c r="C53" s="289"/>
      <c r="U53" s="286"/>
      <c r="V53" s="286"/>
      <c r="W53" s="286"/>
      <c r="X53" s="286"/>
      <c r="Y53" s="286"/>
      <c r="Z53" s="286"/>
      <c r="AA53" s="286"/>
      <c r="AB53" s="286"/>
      <c r="AC53" s="286"/>
      <c r="AD53" s="683"/>
      <c r="AE53" s="683"/>
      <c r="AF53" s="683"/>
      <c r="AG53" s="683"/>
      <c r="AH53" s="683"/>
      <c r="AI53" s="683"/>
      <c r="AJ53" s="683"/>
      <c r="AK53" s="683"/>
      <c r="AL53" s="683"/>
      <c r="AM53" s="683"/>
    </row>
    <row r="54" ht="28.5" customHeight="1">
      <c r="B54" s="402"/>
      <c r="C54" s="289"/>
      <c r="U54" s="657"/>
      <c r="V54" s="657"/>
      <c r="W54" s="657"/>
      <c r="X54" s="657"/>
      <c r="Y54" s="657"/>
      <c r="Z54" s="657"/>
      <c r="AA54" s="657"/>
      <c r="AB54" s="657"/>
      <c r="AC54" s="657"/>
      <c r="AD54" s="683"/>
      <c r="AE54" s="683"/>
      <c r="AF54" s="683"/>
      <c r="AG54" s="683"/>
      <c r="AH54" s="683"/>
      <c r="AI54" s="683"/>
      <c r="AJ54" s="683"/>
      <c r="AK54" s="683"/>
      <c r="AL54" s="683"/>
      <c r="AM54" s="683"/>
    </row>
    <row r="55">
      <c r="B55" s="402"/>
      <c r="C55" s="289"/>
      <c r="U55" s="657"/>
      <c r="V55" s="657"/>
      <c r="W55" s="657"/>
      <c r="X55" s="657"/>
      <c r="Y55" s="657"/>
      <c r="Z55" s="657"/>
      <c r="AA55" s="657"/>
      <c r="AB55" s="657"/>
      <c r="AC55" s="657"/>
      <c r="AD55" s="683"/>
      <c r="AE55" s="683"/>
      <c r="AF55" s="683"/>
      <c r="AG55" s="683"/>
      <c r="AH55" s="683"/>
      <c r="AI55" s="683"/>
      <c r="AJ55" s="683"/>
      <c r="AK55" s="683"/>
      <c r="AL55" s="683"/>
      <c r="AM55" s="683"/>
    </row>
    <row r="56">
      <c r="B56" s="383"/>
      <c r="C56" s="289"/>
      <c r="U56" s="657"/>
      <c r="V56" s="657"/>
      <c r="W56" s="657"/>
      <c r="X56" s="657"/>
      <c r="Y56" s="657"/>
      <c r="Z56" s="657"/>
      <c r="AA56" s="657"/>
      <c r="AB56" s="657"/>
      <c r="AC56" s="657"/>
      <c r="AD56" s="683"/>
      <c r="AE56" s="683"/>
      <c r="AF56" s="683"/>
      <c r="AG56" s="683"/>
      <c r="AH56" s="683"/>
      <c r="AI56" s="683"/>
      <c r="AJ56" s="683"/>
      <c r="AK56" s="683"/>
      <c r="AL56" s="683"/>
      <c r="AM56" s="683"/>
    </row>
    <row r="57">
      <c r="B57" s="407"/>
      <c r="C57" s="412"/>
      <c r="U57" s="738"/>
      <c r="V57" s="738"/>
      <c r="W57" s="738"/>
      <c r="X57" s="738"/>
      <c r="Y57" s="738"/>
      <c r="Z57" s="738"/>
      <c r="AA57" s="738"/>
      <c r="AB57" s="738"/>
      <c r="AC57" s="738"/>
      <c r="AD57" s="683"/>
      <c r="AE57" s="683"/>
      <c r="AF57" s="683"/>
      <c r="AG57" s="683"/>
      <c r="AH57" s="683"/>
      <c r="AI57" s="683"/>
      <c r="AJ57" s="683"/>
      <c r="AK57" s="683"/>
      <c r="AL57" s="683"/>
      <c r="AM57" s="683"/>
    </row>
    <row r="58">
      <c r="B58" s="402"/>
      <c r="C58" s="871"/>
      <c r="U58" s="657"/>
      <c r="V58" s="657"/>
      <c r="W58" s="657"/>
      <c r="X58" s="657"/>
      <c r="Y58" s="657"/>
      <c r="Z58" s="657"/>
      <c r="AA58" s="657"/>
      <c r="AB58" s="657"/>
      <c r="AC58" s="657"/>
      <c r="AD58" s="683"/>
      <c r="AE58" s="683"/>
      <c r="AF58" s="683"/>
      <c r="AG58" s="683"/>
      <c r="AH58" s="683"/>
      <c r="AI58" s="683"/>
      <c r="AJ58" s="683"/>
      <c r="AK58" s="683"/>
      <c r="AL58" s="683"/>
      <c r="AM58" s="683"/>
    </row>
    <row r="59">
      <c r="B59" s="402"/>
      <c r="C59" s="871"/>
      <c r="U59" s="392"/>
      <c r="V59" s="392"/>
      <c r="W59" s="392"/>
      <c r="X59" s="392"/>
      <c r="Y59" s="392"/>
      <c r="Z59" s="392"/>
      <c r="AA59" s="392"/>
      <c r="AB59" s="392"/>
      <c r="AC59" s="392"/>
      <c r="AD59" s="683"/>
      <c r="AE59" s="683"/>
      <c r="AF59" s="683"/>
      <c r="AG59" s="683"/>
      <c r="AH59" s="683"/>
      <c r="AI59" s="683"/>
      <c r="AJ59" s="683"/>
      <c r="AK59" s="683"/>
      <c r="AL59" s="683"/>
      <c r="AM59" s="683"/>
    </row>
    <row r="60">
      <c r="B60" s="402"/>
      <c r="C60" s="289"/>
      <c r="U60" s="657"/>
      <c r="V60" s="657"/>
      <c r="W60" s="657"/>
      <c r="X60" s="657"/>
      <c r="Y60" s="657"/>
      <c r="Z60" s="657"/>
      <c r="AA60" s="657"/>
      <c r="AB60" s="657"/>
      <c r="AC60" s="657"/>
      <c r="AD60" s="683"/>
      <c r="AE60" s="683"/>
      <c r="AF60" s="683"/>
      <c r="AG60" s="683"/>
      <c r="AH60" s="683"/>
      <c r="AI60" s="683"/>
      <c r="AJ60" s="683"/>
      <c r="AK60" s="683"/>
      <c r="AL60" s="683"/>
      <c r="AM60" s="683"/>
    </row>
    <row r="61">
      <c r="B61" s="402"/>
      <c r="C61" s="289"/>
      <c r="U61" s="657"/>
      <c r="V61" s="657"/>
      <c r="W61" s="657"/>
      <c r="X61" s="657"/>
      <c r="Y61" s="657"/>
      <c r="Z61" s="657"/>
      <c r="AA61" s="657"/>
      <c r="AB61" s="657"/>
      <c r="AC61" s="657"/>
      <c r="AD61" s="683"/>
      <c r="AE61" s="683"/>
      <c r="AF61" s="683"/>
      <c r="AG61" s="683"/>
      <c r="AH61" s="683"/>
      <c r="AI61" s="683"/>
      <c r="AJ61" s="683"/>
      <c r="AK61" s="683"/>
      <c r="AL61" s="683"/>
      <c r="AM61" s="683"/>
    </row>
    <row r="62">
      <c r="B62" s="402"/>
      <c r="C62" s="289"/>
      <c r="U62" s="657"/>
      <c r="V62" s="657"/>
      <c r="W62" s="657"/>
      <c r="X62" s="657"/>
      <c r="Y62" s="657"/>
      <c r="Z62" s="657"/>
      <c r="AA62" s="657"/>
      <c r="AB62" s="657"/>
      <c r="AC62" s="657"/>
      <c r="AD62" s="683"/>
      <c r="AE62" s="683"/>
      <c r="AF62" s="683"/>
      <c r="AG62" s="683"/>
      <c r="AH62" s="683"/>
      <c r="AI62" s="683"/>
      <c r="AJ62" s="683"/>
      <c r="AK62" s="683"/>
      <c r="AL62" s="683"/>
      <c r="AM62" s="683"/>
    </row>
    <row r="63">
      <c r="B63" s="383"/>
      <c r="C63" s="289"/>
      <c r="U63" s="657"/>
      <c r="V63" s="657"/>
      <c r="W63" s="657"/>
      <c r="X63" s="657"/>
      <c r="Y63" s="657"/>
      <c r="Z63" s="657"/>
      <c r="AA63" s="657"/>
      <c r="AB63" s="657"/>
      <c r="AC63" s="657"/>
      <c r="AD63" s="683"/>
      <c r="AE63" s="683"/>
      <c r="AF63" s="683"/>
      <c r="AG63" s="683"/>
      <c r="AH63" s="683"/>
      <c r="AI63" s="683"/>
      <c r="AJ63" s="683"/>
      <c r="AK63" s="683"/>
      <c r="AL63" s="683"/>
      <c r="AM63" s="683"/>
    </row>
    <row r="64">
      <c r="B64" s="407"/>
      <c r="C64" s="412"/>
      <c r="U64" s="811"/>
      <c r="V64" s="811"/>
      <c r="W64" s="811"/>
      <c r="X64" s="811"/>
      <c r="Y64" s="811"/>
      <c r="Z64" s="811"/>
      <c r="AA64" s="811"/>
      <c r="AB64" s="811"/>
      <c r="AC64" s="811"/>
      <c r="AD64" s="683"/>
      <c r="AE64" s="683"/>
      <c r="AF64" s="683"/>
      <c r="AG64" s="683"/>
      <c r="AH64" s="683"/>
      <c r="AI64" s="683"/>
      <c r="AJ64" s="683"/>
      <c r="AK64" s="683"/>
      <c r="AL64" s="683"/>
      <c r="AM64" s="683"/>
    </row>
    <row r="65" ht="28.5" customHeight="1">
      <c r="B65" s="402"/>
      <c r="C65" s="289"/>
      <c r="U65" s="657"/>
      <c r="V65" s="657"/>
      <c r="W65" s="657"/>
      <c r="X65" s="657"/>
      <c r="Y65" s="657"/>
      <c r="Z65" s="657"/>
      <c r="AA65" s="657"/>
      <c r="AB65" s="657"/>
      <c r="AC65" s="657"/>
      <c r="AD65" s="683"/>
      <c r="AE65" s="683"/>
      <c r="AF65" s="683"/>
      <c r="AG65" s="683"/>
      <c r="AH65" s="683"/>
      <c r="AI65" s="683"/>
      <c r="AJ65" s="683"/>
      <c r="AK65" s="683"/>
      <c r="AL65" s="683"/>
      <c r="AM65" s="683"/>
    </row>
    <row r="66">
      <c r="B66" s="528"/>
      <c r="C66" s="78"/>
      <c r="U66" s="893"/>
      <c r="V66" s="893"/>
      <c r="W66" s="893"/>
      <c r="X66" s="893"/>
      <c r="Y66" s="893"/>
      <c r="Z66" s="893"/>
      <c r="AA66" s="893"/>
      <c r="AB66" s="893"/>
      <c r="AC66" s="893"/>
      <c r="AD66" s="683"/>
      <c r="AE66" s="683"/>
      <c r="AF66" s="683"/>
      <c r="AG66" s="683"/>
      <c r="AH66" s="683"/>
      <c r="AI66" s="683"/>
      <c r="AJ66" s="683"/>
      <c r="AK66" s="683"/>
      <c r="AL66" s="683"/>
      <c r="AM66" s="683"/>
    </row>
    <row r="67">
      <c r="B67" s="412"/>
      <c r="C67" s="412"/>
      <c r="U67" s="738"/>
      <c r="V67" s="738"/>
      <c r="W67" s="738"/>
      <c r="X67" s="738"/>
      <c r="Y67" s="738"/>
      <c r="Z67" s="738"/>
      <c r="AA67" s="738"/>
      <c r="AB67" s="738"/>
      <c r="AC67" s="738"/>
      <c r="AD67" s="683"/>
      <c r="AE67" s="683"/>
      <c r="AF67" s="683"/>
      <c r="AG67" s="683"/>
      <c r="AH67" s="683"/>
      <c r="AI67" s="683"/>
      <c r="AJ67" s="683"/>
      <c r="AK67" s="683"/>
      <c r="AL67" s="683"/>
      <c r="AM67" s="683"/>
    </row>
    <row r="68">
      <c r="B68" s="468"/>
      <c r="C68" s="468"/>
      <c r="U68" s="738"/>
      <c r="V68" s="738"/>
      <c r="W68" s="738"/>
      <c r="X68" s="738"/>
      <c r="Y68" s="738"/>
      <c r="Z68" s="738"/>
      <c r="AA68" s="738"/>
      <c r="AB68" s="738"/>
      <c r="AC68" s="738"/>
      <c r="AD68" s="683"/>
      <c r="AE68" s="683"/>
      <c r="AF68" s="683"/>
      <c r="AG68" s="683"/>
      <c r="AH68" s="683"/>
      <c r="AI68" s="683"/>
      <c r="AJ68" s="683"/>
      <c r="AK68" s="683"/>
      <c r="AL68" s="683"/>
      <c r="AM68" s="683"/>
    </row>
    <row r="69">
      <c r="B69" s="383"/>
      <c r="C69" s="289"/>
      <c r="U69" s="289"/>
      <c r="V69" s="289"/>
      <c r="W69" s="289"/>
      <c r="X69" s="289"/>
      <c r="Y69" s="289"/>
      <c r="Z69" s="289"/>
      <c r="AA69" s="289"/>
      <c r="AB69" s="289"/>
      <c r="AC69" s="289"/>
      <c r="AD69" s="683"/>
      <c r="AE69" s="683"/>
      <c r="AF69" s="683"/>
      <c r="AG69" s="683"/>
      <c r="AH69" s="683"/>
      <c r="AI69" s="683"/>
      <c r="AJ69" s="683"/>
      <c r="AK69" s="683"/>
      <c r="AL69" s="683"/>
      <c r="AM69" s="683"/>
    </row>
    <row r="70">
      <c r="B70" s="289"/>
      <c r="C70" s="289"/>
      <c r="U70" s="657"/>
      <c r="V70" s="657"/>
      <c r="W70" s="657"/>
      <c r="X70" s="657"/>
      <c r="Y70" s="657"/>
      <c r="Z70" s="657"/>
      <c r="AA70" s="657"/>
      <c r="AB70" s="657"/>
      <c r="AC70" s="657"/>
      <c r="AD70" s="683"/>
      <c r="AE70" s="683"/>
      <c r="AF70" s="683"/>
      <c r="AG70" s="683"/>
      <c r="AH70" s="683"/>
      <c r="AI70" s="683"/>
      <c r="AJ70" s="683"/>
      <c r="AK70" s="683"/>
      <c r="AL70" s="683"/>
      <c r="AM70" s="683"/>
    </row>
    <row r="71">
      <c r="B71" s="412"/>
      <c r="C71" s="412"/>
      <c r="U71" s="738"/>
      <c r="V71" s="738"/>
      <c r="W71" s="738"/>
      <c r="X71" s="738"/>
      <c r="Y71" s="738"/>
      <c r="Z71" s="738"/>
      <c r="AA71" s="738"/>
      <c r="AB71" s="738"/>
      <c r="AC71" s="738"/>
      <c r="AD71" s="683"/>
      <c r="AE71" s="683"/>
      <c r="AF71" s="683"/>
      <c r="AG71" s="683"/>
      <c r="AH71" s="683"/>
      <c r="AI71" s="683"/>
      <c r="AJ71" s="683"/>
      <c r="AK71" s="683"/>
      <c r="AL71" s="683"/>
      <c r="AM71" s="683"/>
    </row>
    <row r="72">
      <c r="B72" s="412"/>
      <c r="C72" s="412"/>
      <c r="U72" s="738"/>
      <c r="V72" s="738"/>
      <c r="W72" s="738"/>
      <c r="X72" s="738"/>
      <c r="Y72" s="738"/>
      <c r="Z72" s="738"/>
      <c r="AA72" s="738"/>
      <c r="AB72" s="738"/>
      <c r="AC72" s="738"/>
      <c r="AD72" s="683"/>
      <c r="AE72" s="683"/>
      <c r="AF72" s="683"/>
      <c r="AG72" s="683"/>
      <c r="AH72" s="683"/>
      <c r="AI72" s="683"/>
      <c r="AJ72" s="683"/>
      <c r="AK72" s="683"/>
      <c r="AL72" s="683"/>
      <c r="AM72" s="683"/>
    </row>
    <row r="73">
      <c r="B73" s="1103"/>
      <c r="C73" s="289"/>
      <c r="U73" s="657"/>
      <c r="V73" s="657"/>
      <c r="W73" s="657"/>
      <c r="X73" s="657"/>
      <c r="Y73" s="657"/>
      <c r="Z73" s="657"/>
      <c r="AA73" s="657"/>
      <c r="AB73" s="657"/>
      <c r="AC73" s="657"/>
      <c r="AD73" s="683"/>
      <c r="AE73" s="683"/>
      <c r="AF73" s="683"/>
      <c r="AG73" s="683"/>
      <c r="AH73" s="683"/>
      <c r="AI73" s="683"/>
      <c r="AJ73" s="683"/>
      <c r="AK73" s="683"/>
      <c r="AL73" s="683"/>
      <c r="AM73" s="683"/>
    </row>
    <row r="75">
      <c r="U75" s="912"/>
      <c r="V75" s="912"/>
      <c r="W75" s="912"/>
      <c r="X75" s="912"/>
    </row>
    <row r="76">
      <c r="U76" s="912"/>
      <c r="V76" s="912"/>
      <c r="W76" s="912"/>
      <c r="X76" s="912"/>
    </row>
    <row r="77">
      <c r="U77" s="912"/>
      <c r="V77" s="912"/>
      <c r="W77" s="912"/>
      <c r="X77" s="912"/>
    </row>
    <row r="79">
      <c r="P79" s="647"/>
      <c r="Q79" s="647"/>
    </row>
    <row r="80">
      <c r="B80" s="680" t="s">
        <v>263</v>
      </c>
      <c r="D80" s="657"/>
      <c r="E80" s="657"/>
      <c r="F80" s="657"/>
      <c r="G80" s="657"/>
      <c r="H80" s="657"/>
      <c r="I80" s="657"/>
      <c r="J80" s="657"/>
      <c r="K80" s="657"/>
      <c r="L80" s="657"/>
      <c r="M80" s="657"/>
      <c r="N80" s="657"/>
      <c r="O80" s="657"/>
      <c r="P80" s="657"/>
      <c r="Q80" s="657"/>
      <c r="R80" s="657"/>
      <c r="S80" s="657"/>
      <c r="T80" s="657"/>
      <c r="U80" s="657"/>
      <c r="V80" s="657"/>
      <c r="W80" s="657"/>
      <c r="X80" s="657"/>
      <c r="Y80" s="657"/>
      <c r="Z80" s="657"/>
      <c r="AA80" s="657"/>
      <c r="AB80" s="657"/>
      <c r="AC80" s="657"/>
    </row>
    <row r="81" ht="45.75" customHeight="1">
      <c r="B81" s="265" t="s">
        <v>387</v>
      </c>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c r="AA81" s="265"/>
      <c r="AB81" s="265"/>
      <c r="AC81" s="265"/>
    </row>
    <row r="82" ht="14.9" customHeight="1">
      <c r="B82" s="270" t="s">
        <v>388</v>
      </c>
      <c r="C82" s="271"/>
      <c r="D82" s="248" t="s">
        <v>191</v>
      </c>
      <c r="E82" s="249"/>
      <c r="F82" s="249"/>
      <c r="G82" s="249"/>
      <c r="H82" s="249"/>
      <c r="I82" s="249"/>
      <c r="J82" s="249"/>
      <c r="K82" s="249"/>
      <c r="L82" s="249"/>
      <c r="M82" s="249"/>
      <c r="N82" s="249"/>
      <c r="O82" s="249"/>
      <c r="P82" s="249"/>
      <c r="Q82" s="249"/>
      <c r="R82" s="249"/>
      <c r="S82" s="249"/>
      <c r="T82" s="249"/>
      <c r="U82" s="249"/>
      <c r="V82" s="250"/>
      <c r="W82" s="802" t="s">
        <v>192</v>
      </c>
      <c r="X82" s="803"/>
      <c r="Y82" s="803"/>
      <c r="Z82" s="803"/>
      <c r="AA82" s="803"/>
      <c r="AB82" s="803"/>
      <c r="AC82" s="803"/>
      <c r="AD82" s="803"/>
      <c r="AE82" s="803"/>
      <c r="AF82" s="803"/>
      <c r="AG82" s="803"/>
    </row>
    <row r="83">
      <c r="B83" s="270"/>
      <c r="C83" s="271"/>
      <c r="D83" s="254" t="n">
        <v>2018</v>
      </c>
      <c r="E83" s="254" t="n">
        <v>2019</v>
      </c>
      <c r="F83" s="441"/>
      <c r="G83" s="441"/>
      <c r="H83" s="256"/>
      <c r="I83" s="254" t="n">
        <v>2020</v>
      </c>
      <c r="J83" s="441"/>
      <c r="K83" s="441"/>
      <c r="L83" s="441"/>
      <c r="M83" s="254" t="n">
        <v>2021</v>
      </c>
      <c r="N83" s="441"/>
      <c r="O83" s="441"/>
      <c r="P83" s="441"/>
      <c r="Q83" s="254" t="n">
        <v>2022</v>
      </c>
      <c r="R83" s="255"/>
      <c r="S83" s="255"/>
      <c r="T83" s="256"/>
      <c r="U83" s="298"/>
      <c r="V83" s="304" t="n">
        <v>2023</v>
      </c>
      <c r="W83" s="810"/>
      <c r="X83" s="301"/>
      <c r="Y83" s="261" t="n">
        <v>2024</v>
      </c>
      <c r="Z83" s="262"/>
      <c r="AA83" s="262"/>
      <c r="AB83" s="263"/>
      <c r="AC83" s="261" t="n">
        <v>2025</v>
      </c>
      <c r="AD83" s="262"/>
      <c r="AE83" s="262"/>
      <c r="AF83" s="263"/>
      <c r="AG83" s="1102" t="n">
        <v>2026</v>
      </c>
    </row>
    <row r="84">
      <c r="B84" s="272"/>
      <c r="C84" s="273"/>
      <c r="D84" s="274" t="s">
        <v>193</v>
      </c>
      <c r="E84" s="274" t="s">
        <v>194</v>
      </c>
      <c r="F84" s="275" t="s">
        <v>195</v>
      </c>
      <c r="G84" s="275" t="s">
        <v>171</v>
      </c>
      <c r="H84" s="276" t="s">
        <v>193</v>
      </c>
      <c r="I84" s="275" t="s">
        <v>194</v>
      </c>
      <c r="J84" s="275" t="s">
        <v>195</v>
      </c>
      <c r="K84" s="275" t="s">
        <v>171</v>
      </c>
      <c r="L84" s="275" t="s">
        <v>193</v>
      </c>
      <c r="M84" s="274" t="s">
        <v>194</v>
      </c>
      <c r="N84" s="275" t="s">
        <v>195</v>
      </c>
      <c r="O84" s="275" t="s">
        <v>171</v>
      </c>
      <c r="P84" s="275" t="s">
        <v>193</v>
      </c>
      <c r="Q84" s="274" t="s">
        <v>194</v>
      </c>
      <c r="R84" s="275" t="s">
        <v>195</v>
      </c>
      <c r="S84" s="275" t="s">
        <v>171</v>
      </c>
      <c r="T84" s="276" t="s">
        <v>193</v>
      </c>
      <c r="U84" s="275" t="s">
        <v>194</v>
      </c>
      <c r="V84" s="294" t="s">
        <v>195</v>
      </c>
      <c r="W84" s="291" t="s">
        <v>171</v>
      </c>
      <c r="X84" s="297" t="s">
        <v>193</v>
      </c>
      <c r="Y84" s="296" t="s">
        <v>194</v>
      </c>
      <c r="Z84" s="290" t="s">
        <v>195</v>
      </c>
      <c r="AA84" s="291" t="s">
        <v>171</v>
      </c>
      <c r="AB84" s="291" t="s">
        <v>193</v>
      </c>
      <c r="AC84" s="296" t="s">
        <v>194</v>
      </c>
      <c r="AD84" s="290" t="s">
        <v>195</v>
      </c>
      <c r="AE84" s="291" t="s">
        <v>171</v>
      </c>
      <c r="AF84" s="291" t="s">
        <v>193</v>
      </c>
      <c r="AG84" s="296" t="s">
        <v>194</v>
      </c>
    </row>
    <row r="85">
      <c r="B85" s="737" t="s">
        <v>1333</v>
      </c>
      <c r="D85" s="405"/>
      <c r="E85" s="457"/>
      <c r="F85" s="457"/>
      <c r="G85" s="457"/>
      <c r="H85" s="457"/>
      <c r="I85" s="747" t="n">
        <f>(I86-AVERAGE($E86:$H86))</f>
        <v>0.23799999999999999</v>
      </c>
      <c r="J85" s="747" t="n">
        <f t="shared" ref="J85:U85" si="22">(J86-AVERAGE($E86:$H86))</f>
        <v>0.33799999999999986</v>
      </c>
      <c r="K85" s="747" t="n">
        <f t="shared" si="22"/>
        <v>0.51</v>
      </c>
      <c r="L85" s="747" t="n">
        <f t="shared" si="22"/>
        <v>0.47</v>
      </c>
      <c r="M85" s="747" t="n">
        <f t="shared" si="22"/>
        <v>0.46199999999999997</v>
      </c>
      <c r="N85" s="747" t="n">
        <f t="shared" si="22"/>
        <v>0.746</v>
      </c>
      <c r="O85" s="747" t="n">
        <f t="shared" si="22"/>
        <v>0.79400000000000004</v>
      </c>
      <c r="P85" s="747" t="n">
        <f t="shared" si="22"/>
        <v>0.79400000000000004</v>
      </c>
      <c r="Q85" s="747" t="n">
        <f t="shared" si="22"/>
        <v>0.78200000000000003</v>
      </c>
      <c r="R85" s="747" t="n">
        <f t="shared" si="22"/>
        <v>0.88600000000000012</v>
      </c>
      <c r="S85" s="748" t="n">
        <f t="shared" si="22"/>
        <v>0.92599999999999971</v>
      </c>
      <c r="T85" s="854" t="n">
        <f t="shared" si="22"/>
        <v>1.702</v>
      </c>
      <c r="U85" s="748" t="n">
        <f t="shared" si="22"/>
        <v>1.798</v>
      </c>
      <c r="V85" s="748" t="n">
        <f>(V86-AVERAGE($E86:$H86))</f>
        <v>2.258</v>
      </c>
      <c r="W85" s="890" t="n">
        <f>V85</f>
        <v>2.258</v>
      </c>
      <c r="X85" s="890" t="n">
        <f t="shared" ref="X85:AG85" si="23">W85</f>
        <v>2.258</v>
      </c>
      <c r="Y85" s="890" t="n">
        <f t="shared" si="23"/>
        <v>2.258</v>
      </c>
      <c r="Z85" s="890" t="n">
        <f t="shared" si="23"/>
        <v>2.258</v>
      </c>
      <c r="AA85" s="890" t="n">
        <f t="shared" si="23"/>
        <v>2.258</v>
      </c>
      <c r="AB85" s="890" t="n">
        <f t="shared" si="23"/>
        <v>2.258</v>
      </c>
      <c r="AC85" s="911" t="n">
        <f t="shared" si="23"/>
        <v>2.258</v>
      </c>
      <c r="AD85" s="890" t="n">
        <f t="shared" si="23"/>
        <v>2.258</v>
      </c>
      <c r="AE85" s="890" t="n">
        <f t="shared" si="23"/>
        <v>2.258</v>
      </c>
      <c r="AF85" s="890" t="n">
        <f t="shared" si="23"/>
        <v>2.258</v>
      </c>
      <c r="AG85" s="890" t="n">
        <f t="shared" si="23"/>
        <v>2.258</v>
      </c>
    </row>
    <row r="86">
      <c r="B86" s="737" t="s">
        <v>106</v>
      </c>
      <c r="C86" s="289" t="s">
        <v>389</v>
      </c>
      <c r="D86" s="419" t="n">
        <f>'Haver Pivoted'!B66</f>
        <v>0.58399999999999996</v>
      </c>
      <c r="E86" s="286" t="n">
        <f>'Haver Pivoted'!C66</f>
        <v>0.98</v>
      </c>
      <c r="F86" s="286" t="n">
        <f>'Haver Pivoted'!D66</f>
        <v>1.256</v>
      </c>
      <c r="G86" s="286" t="n">
        <f>'Haver Pivoted'!E66</f>
        <v>1.5920000000000001</v>
      </c>
      <c r="H86" s="286" t="n">
        <f>'Haver Pivoted'!F66</f>
        <v>1.62</v>
      </c>
      <c r="I86" s="286" t="n">
        <f>'Haver Pivoted'!G66</f>
        <v>1.6</v>
      </c>
      <c r="J86" s="286" t="n">
        <f>'Haver Pivoted'!H66</f>
        <v>1.7</v>
      </c>
      <c r="K86" s="286" t="n">
        <f>'Haver Pivoted'!I66</f>
        <v>1.8720000000000001</v>
      </c>
      <c r="L86" s="286" t="n">
        <f>'Haver Pivoted'!J66</f>
        <v>1.8320000000000001</v>
      </c>
      <c r="M86" s="286" t="n">
        <f>'Haver Pivoted'!K66</f>
        <v>1.8240000000000001</v>
      </c>
      <c r="N86" s="286" t="n">
        <f>'Haver Pivoted'!L66</f>
        <v>2.1080000000000001</v>
      </c>
      <c r="O86" s="286" t="n">
        <f>'Haver Pivoted'!M66</f>
        <v>2.1560000000000001</v>
      </c>
      <c r="P86" s="286" t="n">
        <f>'Haver Pivoted'!N66</f>
        <v>2.1560000000000001</v>
      </c>
      <c r="Q86" s="286" t="n">
        <f>'Haver Pivoted'!O66</f>
        <v>2.1440000000000001</v>
      </c>
      <c r="R86" s="286" t="n">
        <f>'Haver Pivoted'!P66</f>
        <v>2.2480000000000002</v>
      </c>
      <c r="S86" s="275" t="n">
        <f>'Haver Pivoted'!Q66</f>
        <v>2.2879999999999998</v>
      </c>
      <c r="T86" s="275" t="n">
        <f>'Haver Pivoted'!R66</f>
        <v>3.0640000000000001</v>
      </c>
      <c r="U86" s="275" t="n">
        <f>'Haver Pivoted'!S66</f>
        <v>3.16</v>
      </c>
      <c r="V86" s="275" t="n">
        <f>'Haver Pivoted'!T66</f>
        <v>3.62</v>
      </c>
      <c r="W86" s="257"/>
      <c r="X86" s="257"/>
      <c r="Y86" s="257"/>
      <c r="Z86" s="257"/>
      <c r="AA86" s="257"/>
      <c r="AB86" s="257"/>
      <c r="AC86" s="257"/>
      <c r="AD86" s="380"/>
      <c r="AE86" s="380"/>
      <c r="AF86" s="380"/>
      <c r="AG86" s="380"/>
    </row>
    <row r="87" ht="29.15" customHeight="1">
      <c r="B87" s="736" t="s">
        <v>390</v>
      </c>
      <c r="C87" s="506"/>
      <c r="D87" s="888"/>
      <c r="E87" s="734"/>
      <c r="F87" s="734"/>
      <c r="G87" s="734"/>
      <c r="H87" s="734"/>
      <c r="I87" s="734"/>
      <c r="J87" s="734" t="n">
        <f t="shared" ref="J87:V87" si="24">J86-$H86</f>
        <v>7.9999999999999849E-2</v>
      </c>
      <c r="K87" s="734" t="n">
        <f t="shared" si="24"/>
        <v>0.252</v>
      </c>
      <c r="L87" s="734" t="n">
        <f t="shared" si="24"/>
        <v>0.21199999999999997</v>
      </c>
      <c r="M87" s="734" t="n">
        <f t="shared" si="24"/>
        <v>0.20399999999999996</v>
      </c>
      <c r="N87" s="734" t="n">
        <f>N86-$H86</f>
        <v>0.48799999999999999</v>
      </c>
      <c r="O87" s="734" t="n">
        <f>O86-$H86</f>
        <v>0.53600000000000003</v>
      </c>
      <c r="P87" s="734" t="n">
        <f t="shared" si="24"/>
        <v>0.53600000000000003</v>
      </c>
      <c r="Q87" s="734" t="n">
        <f t="shared" si="24"/>
        <v>0.52400000000000002</v>
      </c>
      <c r="R87" s="734" t="n">
        <f t="shared" si="24"/>
        <v>0.62800000000000011</v>
      </c>
      <c r="S87" s="294" t="n">
        <f t="shared" si="24"/>
        <v>0.66799999999999971</v>
      </c>
      <c r="T87" s="294" t="n">
        <f t="shared" si="24"/>
        <v>1.444</v>
      </c>
      <c r="U87" s="294" t="n">
        <f t="shared" si="24"/>
        <v>1.54</v>
      </c>
      <c r="V87" s="294" t="n">
        <f t="shared" si="24"/>
        <v>2</v>
      </c>
      <c r="W87" s="291"/>
      <c r="X87" s="291"/>
      <c r="Y87" s="291"/>
      <c r="Z87" s="291"/>
      <c r="AA87" s="291"/>
      <c r="AB87" s="291"/>
      <c r="AC87" s="291"/>
      <c r="AD87" s="380"/>
      <c r="AE87" s="380"/>
      <c r="AF87" s="380"/>
      <c r="AG87" s="380"/>
    </row>
    <row r="88" ht="29.15" customHeight="1">
      <c r="B88" s="289"/>
      <c r="C88" s="289"/>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row>
    <row r="89" ht="29.15" customHeight="1">
      <c r="B89" s="289"/>
      <c r="C89" s="289"/>
      <c r="D89" s="286"/>
      <c r="E89" s="286"/>
      <c r="F89" s="286"/>
      <c r="G89" s="286"/>
      <c r="H89" s="286"/>
      <c r="I89" s="286"/>
      <c r="J89" s="286"/>
      <c r="K89" s="286"/>
      <c r="L89" s="286"/>
      <c r="M89" s="286"/>
      <c r="N89" s="286"/>
      <c r="O89" s="286"/>
      <c r="P89" s="286"/>
      <c r="Q89" s="286"/>
      <c r="R89" s="286"/>
      <c r="S89" s="286"/>
      <c r="T89" s="286"/>
      <c r="U89" s="286"/>
      <c r="V89" s="286"/>
      <c r="W89" s="286"/>
      <c r="X89" s="286"/>
      <c r="Y89" s="286"/>
      <c r="Z89" s="286"/>
      <c r="AA89" s="286"/>
      <c r="AB89" s="286"/>
      <c r="AC89" s="286"/>
    </row>
    <row r="90" ht="29.15" customHeight="1">
      <c r="B90" s="289"/>
      <c r="C90" s="289"/>
      <c r="D90" s="286"/>
      <c r="E90" s="286"/>
      <c r="F90" s="286"/>
      <c r="G90" s="286"/>
      <c r="H90" s="286"/>
      <c r="I90" s="286"/>
      <c r="J90" s="286"/>
      <c r="K90" s="286"/>
      <c r="L90" s="286"/>
      <c r="M90" s="286"/>
      <c r="N90" s="286"/>
      <c r="O90" s="286"/>
      <c r="P90" s="286"/>
      <c r="Q90" s="286"/>
      <c r="R90" s="286"/>
      <c r="S90" s="286"/>
      <c r="T90" s="286"/>
      <c r="U90" s="286"/>
      <c r="V90" s="286"/>
      <c r="W90" s="286"/>
      <c r="X90" s="286"/>
      <c r="Y90" s="286"/>
      <c r="Z90" s="286"/>
      <c r="AA90" s="286"/>
      <c r="AB90" s="286"/>
      <c r="AC90" s="286"/>
    </row>
    <row r="91" ht="35.9" customHeight="1"/>
    <row r="92">
      <c r="B92" s="680" t="s">
        <v>276</v>
      </c>
    </row>
    <row r="93">
      <c r="B93" s="836" t="s">
        <v>714</v>
      </c>
      <c r="C93" s="837"/>
      <c r="D93" s="272" t="s">
        <v>191</v>
      </c>
      <c r="E93" s="594"/>
      <c r="F93" s="594"/>
      <c r="G93" s="594"/>
      <c r="H93" s="594"/>
      <c r="I93" s="594"/>
      <c r="J93" s="594"/>
      <c r="K93" s="594"/>
      <c r="L93" s="594"/>
      <c r="M93" s="594"/>
      <c r="N93" s="594"/>
      <c r="O93" s="594"/>
      <c r="P93" s="594"/>
      <c r="Q93" s="594"/>
      <c r="R93" s="594"/>
      <c r="S93" s="594"/>
      <c r="T93" s="594"/>
      <c r="U93" s="594"/>
      <c r="V93" s="273"/>
      <c r="W93" s="802" t="s">
        <v>192</v>
      </c>
      <c r="X93" s="803"/>
      <c r="Y93" s="803"/>
      <c r="Z93" s="803"/>
      <c r="AA93" s="803"/>
      <c r="AB93" s="803"/>
      <c r="AC93" s="803"/>
      <c r="AD93" s="803"/>
      <c r="AE93" s="803"/>
      <c r="AF93" s="803"/>
      <c r="AG93" s="803"/>
    </row>
    <row r="94">
      <c r="B94" s="838"/>
      <c r="C94" s="839"/>
      <c r="D94" s="254" t="n">
        <v>2018</v>
      </c>
      <c r="E94" s="254" t="n">
        <v>2019</v>
      </c>
      <c r="F94" s="441"/>
      <c r="G94" s="441"/>
      <c r="H94" s="256"/>
      <c r="I94" s="254" t="n">
        <v>2020</v>
      </c>
      <c r="J94" s="441"/>
      <c r="K94" s="441"/>
      <c r="L94" s="441"/>
      <c r="M94" s="254" t="n">
        <v>2021</v>
      </c>
      <c r="N94" s="441"/>
      <c r="O94" s="441"/>
      <c r="P94" s="441"/>
      <c r="Q94" s="254" t="n">
        <v>2022</v>
      </c>
      <c r="R94" s="255"/>
      <c r="S94" s="255"/>
      <c r="T94" s="256"/>
      <c r="U94" s="298"/>
      <c r="V94" s="304" t="n">
        <v>2023</v>
      </c>
      <c r="W94" s="810"/>
      <c r="X94" s="301"/>
      <c r="Y94" s="261" t="n">
        <v>2024</v>
      </c>
      <c r="Z94" s="262"/>
      <c r="AA94" s="262"/>
      <c r="AB94" s="263"/>
      <c r="AC94" s="261" t="n">
        <v>2025</v>
      </c>
      <c r="AD94" s="262"/>
      <c r="AE94" s="262"/>
      <c r="AF94" s="263"/>
      <c r="AG94" s="1102" t="n">
        <v>2026</v>
      </c>
    </row>
    <row r="95">
      <c r="B95" s="838"/>
      <c r="C95" s="839"/>
      <c r="D95" s="274" t="s">
        <v>193</v>
      </c>
      <c r="E95" s="274" t="s">
        <v>194</v>
      </c>
      <c r="F95" s="275" t="s">
        <v>195</v>
      </c>
      <c r="G95" s="275" t="s">
        <v>171</v>
      </c>
      <c r="H95" s="276" t="s">
        <v>193</v>
      </c>
      <c r="I95" s="275" t="s">
        <v>194</v>
      </c>
      <c r="J95" s="275" t="s">
        <v>195</v>
      </c>
      <c r="K95" s="275" t="s">
        <v>171</v>
      </c>
      <c r="L95" s="275" t="s">
        <v>193</v>
      </c>
      <c r="M95" s="274" t="s">
        <v>194</v>
      </c>
      <c r="N95" s="275" t="s">
        <v>195</v>
      </c>
      <c r="O95" s="275" t="s">
        <v>171</v>
      </c>
      <c r="P95" s="275" t="s">
        <v>193</v>
      </c>
      <c r="Q95" s="274" t="s">
        <v>194</v>
      </c>
      <c r="R95" s="275" t="s">
        <v>195</v>
      </c>
      <c r="S95" s="275" t="s">
        <v>171</v>
      </c>
      <c r="T95" s="276" t="s">
        <v>193</v>
      </c>
      <c r="U95" s="275" t="s">
        <v>194</v>
      </c>
      <c r="V95" s="294" t="s">
        <v>195</v>
      </c>
      <c r="W95" s="291" t="s">
        <v>171</v>
      </c>
      <c r="X95" s="297" t="s">
        <v>193</v>
      </c>
      <c r="Y95" s="296" t="s">
        <v>194</v>
      </c>
      <c r="Z95" s="290" t="s">
        <v>195</v>
      </c>
      <c r="AA95" s="291" t="s">
        <v>171</v>
      </c>
      <c r="AB95" s="291" t="s">
        <v>193</v>
      </c>
      <c r="AC95" s="296" t="s">
        <v>194</v>
      </c>
      <c r="AD95" s="290" t="s">
        <v>195</v>
      </c>
      <c r="AE95" s="291" t="s">
        <v>171</v>
      </c>
      <c r="AF95" s="291" t="s">
        <v>193</v>
      </c>
      <c r="AG95" s="296" t="s">
        <v>194</v>
      </c>
    </row>
    <row r="96" ht="25.75" customHeight="1">
      <c r="B96" s="870" t="s">
        <v>377</v>
      </c>
      <c r="C96" s="853" t="s">
        <v>378</v>
      </c>
      <c r="D96" s="513" t="n">
        <f>'Haver Pivoted'!B31</f>
        <v>48.3</v>
      </c>
      <c r="E96" s="514" t="n">
        <f>'Haver Pivoted'!C31</f>
        <v>57.5</v>
      </c>
      <c r="F96" s="514" t="n">
        <f>'Haver Pivoted'!D31</f>
        <v>56.9</v>
      </c>
      <c r="G96" s="514" t="n">
        <f>'Haver Pivoted'!E31</f>
        <v>59.8</v>
      </c>
      <c r="H96" s="514" t="n">
        <f>'Haver Pivoted'!F31</f>
        <v>61</v>
      </c>
      <c r="I96" s="514" t="n">
        <f>'Haver Pivoted'!G31</f>
        <v>67.900000000000006</v>
      </c>
      <c r="J96" s="514" t="n">
        <f>'Haver Pivoted'!H31</f>
        <v>67.2</v>
      </c>
      <c r="K96" s="514" t="n">
        <f>'Haver Pivoted'!I31</f>
        <v>68.2</v>
      </c>
      <c r="L96" s="514" t="n">
        <f>'Haver Pivoted'!J31</f>
        <v>70.2</v>
      </c>
      <c r="M96" s="514" t="n">
        <f>'Haver Pivoted'!K31</f>
        <v>70.2</v>
      </c>
      <c r="N96" s="514" t="n">
        <f>'Haver Pivoted'!L31</f>
        <v>70.3</v>
      </c>
      <c r="O96" s="514" t="n">
        <f>'Haver Pivoted'!M31</f>
        <v>80.599999999999994</v>
      </c>
      <c r="P96" s="514" t="n">
        <f>'Haver Pivoted'!N31</f>
        <v>82.2</v>
      </c>
      <c r="Q96" s="514" t="n">
        <f>'Haver Pivoted'!O31</f>
        <v>83.6</v>
      </c>
      <c r="R96" s="514" t="n">
        <f>'Haver Pivoted'!P31</f>
        <v>85.1</v>
      </c>
      <c r="S96" s="515" t="n">
        <f>'Haver Pivoted'!Q31</f>
        <v>87.3</v>
      </c>
      <c r="T96" s="875" t="n">
        <f>'Haver Pivoted'!R31</f>
        <v>94.1</v>
      </c>
      <c r="U96" s="515" t="n">
        <f>'Haver Pivoted'!S31</f>
        <v>100.7</v>
      </c>
      <c r="V96" s="515" t="n">
        <f>'Haver Pivoted'!T31</f>
        <v>106.4</v>
      </c>
      <c r="W96" s="1094"/>
      <c r="X96" s="1094"/>
      <c r="Y96" s="1094"/>
      <c r="Z96" s="1094"/>
      <c r="AA96" s="1094"/>
      <c r="AB96" s="1094"/>
      <c r="AC96" s="892"/>
      <c r="AD96" s="892"/>
      <c r="AE96" s="892"/>
      <c r="AF96" s="892"/>
      <c r="AG96" s="380"/>
    </row>
    <row r="97" ht="25.75" customHeight="1">
      <c r="B97" s="642" t="s">
        <v>1746</v>
      </c>
      <c r="C97" s="289"/>
      <c r="D97" s="887" t="n">
        <f>D98+D99</f>
        <v>39.9</v>
      </c>
      <c r="E97" s="610" t="n">
        <f>E98+E99</f>
        <v>41.1</v>
      </c>
      <c r="F97" s="610" t="n">
        <f>F98+F99</f>
        <v>41.9</v>
      </c>
      <c r="G97" s="610" t="n">
        <f t="shared" ref="G97:N97" si="25">G98+G99</f>
        <v>42.9</v>
      </c>
      <c r="H97" s="610" t="n">
        <f t="shared" si="25"/>
        <v>43.5</v>
      </c>
      <c r="I97" s="610" t="n">
        <f t="shared" si="25"/>
        <v>44.537999999999997</v>
      </c>
      <c r="J97" s="610" t="n">
        <f t="shared" si="25"/>
        <v>44.738</v>
      </c>
      <c r="K97" s="610" t="n">
        <f t="shared" si="25"/>
        <v>45.309999999999995</v>
      </c>
      <c r="L97" s="610" t="n">
        <f t="shared" si="25"/>
        <v>45.67</v>
      </c>
      <c r="M97" s="610" t="n">
        <f t="shared" si="25"/>
        <v>16.062000000000001</v>
      </c>
      <c r="N97" s="610" t="n">
        <f t="shared" si="25"/>
        <v>49.367840000000029</v>
      </c>
      <c r="O97" s="610" t="n">
        <f>O98+O99</f>
        <v>63.064160000000072</v>
      </c>
      <c r="P97" s="610" t="n">
        <f t="shared" ref="P97:R97" si="26">P98+P99</f>
        <v>87.36999999999999</v>
      </c>
      <c r="Q97" s="610" t="n">
        <f t="shared" si="26"/>
        <v>87.757999999999996</v>
      </c>
      <c r="R97" s="610" t="n">
        <f t="shared" si="26"/>
        <v>88.361999999999995</v>
      </c>
      <c r="S97" s="872" t="n">
        <f>S98+S99</f>
        <v>89.102000000000004</v>
      </c>
      <c r="T97" s="872" t="n">
        <f t="shared" ref="T97:U97" si="27">T98+T99</f>
        <v>50.618000000000002</v>
      </c>
      <c r="U97" s="872" t="n">
        <f t="shared" si="27"/>
        <v>68.314000000000007</v>
      </c>
      <c r="V97" s="872" t="n">
        <f>V98+V99</f>
        <v>69.665428571428578</v>
      </c>
      <c r="W97" s="860"/>
      <c r="X97" s="860"/>
      <c r="Y97" s="860"/>
      <c r="Z97" s="860"/>
      <c r="AA97" s="860"/>
      <c r="AB97" s="860"/>
      <c r="AC97" s="860"/>
      <c r="AD97" s="860"/>
      <c r="AE97" s="860"/>
      <c r="AF97" s="860"/>
      <c r="AG97" s="380"/>
    </row>
    <row r="98" ht="25.75" customHeight="1">
      <c r="B98" s="570" t="s">
        <v>1744</v>
      </c>
      <c r="C98" s="289"/>
      <c r="D98" s="887" t="n">
        <f t="shared" ref="D98:V98" si="28">D14+D17+D35</f>
        <v>39.9</v>
      </c>
      <c r="E98" s="887" t="n">
        <f t="shared" si="28"/>
        <v>41.1</v>
      </c>
      <c r="F98" s="610" t="n">
        <f t="shared" si="28"/>
        <v>41.9</v>
      </c>
      <c r="G98" s="610" t="n">
        <f t="shared" si="28"/>
        <v>42.9</v>
      </c>
      <c r="H98" s="610" t="n">
        <f t="shared" si="28"/>
        <v>43.5</v>
      </c>
      <c r="I98" s="610" t="n">
        <f t="shared" si="28"/>
        <v>44.3</v>
      </c>
      <c r="J98" s="610" t="n">
        <f t="shared" si="28"/>
        <v>44.4</v>
      </c>
      <c r="K98" s="610" t="n">
        <f t="shared" si="28"/>
        <v>44.8</v>
      </c>
      <c r="L98" s="610" t="n">
        <f t="shared" si="28"/>
        <v>45.2</v>
      </c>
      <c r="M98" s="610" t="n">
        <f t="shared" si="28"/>
        <v>15.6</v>
      </c>
      <c r="N98" s="610" t="n">
        <f t="shared" si="28"/>
        <v>14.7</v>
      </c>
      <c r="O98" s="610" t="n">
        <f t="shared" si="28"/>
        <v>14.2</v>
      </c>
      <c r="P98" s="610" t="n">
        <f t="shared" si="28"/>
        <v>14.1</v>
      </c>
      <c r="Q98" s="610" t="n">
        <f t="shared" si="28"/>
        <v>14.5</v>
      </c>
      <c r="R98" s="610" t="n">
        <f t="shared" si="28"/>
        <v>15</v>
      </c>
      <c r="S98" s="872" t="n">
        <f t="shared" si="28"/>
        <v>15.7</v>
      </c>
      <c r="T98" s="872" t="n">
        <f t="shared" si="28"/>
        <v>17.5</v>
      </c>
      <c r="U98" s="872" t="n">
        <f t="shared" si="28"/>
        <v>53.1</v>
      </c>
      <c r="V98" s="872" t="n">
        <f t="shared" si="28"/>
        <v>53.991428571428571</v>
      </c>
      <c r="W98" s="860"/>
      <c r="X98" s="860"/>
      <c r="Y98" s="860"/>
      <c r="Z98" s="860"/>
      <c r="AA98" s="860"/>
      <c r="AB98" s="860"/>
      <c r="AC98" s="860"/>
      <c r="AD98" s="860"/>
      <c r="AE98" s="860"/>
      <c r="AF98" s="860"/>
      <c r="AG98" s="860"/>
    </row>
    <row r="99" ht="36" customHeight="1">
      <c r="B99" s="570" t="s">
        <v>1745</v>
      </c>
      <c r="C99" s="289"/>
      <c r="D99" s="610" t="n">
        <f t="shared" ref="D99:AG99" si="29">D18+D21+D32+D33+D34+D36</f>
        <v>0</v>
      </c>
      <c r="E99" s="610" t="n">
        <f t="shared" si="29"/>
        <v>0</v>
      </c>
      <c r="F99" s="610" t="n">
        <f t="shared" si="29"/>
        <v>0</v>
      </c>
      <c r="G99" s="610" t="n">
        <f t="shared" si="29"/>
        <v>0</v>
      </c>
      <c r="H99" s="610" t="n">
        <f t="shared" si="29"/>
        <v>0</v>
      </c>
      <c r="I99" s="610" t="n">
        <f t="shared" si="29"/>
        <v>0.23799999999999999</v>
      </c>
      <c r="J99" s="610" t="n">
        <f t="shared" si="29"/>
        <v>0.33799999999999986</v>
      </c>
      <c r="K99" s="610" t="n">
        <f t="shared" si="29"/>
        <v>0.51</v>
      </c>
      <c r="L99" s="610" t="n">
        <f t="shared" si="29"/>
        <v>0.47</v>
      </c>
      <c r="M99" s="610" t="n">
        <f t="shared" si="29"/>
        <v>0.46199999999999997</v>
      </c>
      <c r="N99" s="610" t="n">
        <f t="shared" si="29"/>
        <v>34.667840000000027</v>
      </c>
      <c r="O99" s="610" t="n">
        <f t="shared" si="29"/>
        <v>48.864160000000069</v>
      </c>
      <c r="P99" s="610" t="n">
        <f t="shared" si="29"/>
        <v>73.27</v>
      </c>
      <c r="Q99" s="610" t="n">
        <f t="shared" si="29"/>
        <v>73.257999999999996</v>
      </c>
      <c r="R99" s="610" t="n">
        <f t="shared" si="29"/>
        <v>73.361999999999995</v>
      </c>
      <c r="S99" s="872" t="n">
        <f t="shared" si="29"/>
        <v>73.402000000000001</v>
      </c>
      <c r="T99" s="872" t="n">
        <f t="shared" si="29"/>
        <v>33.118000000000002</v>
      </c>
      <c r="U99" s="872" t="n">
        <f t="shared" si="29"/>
        <v>15.214</v>
      </c>
      <c r="V99" s="872" t="n">
        <f t="shared" si="29"/>
        <v>15.673999999999999</v>
      </c>
      <c r="W99" s="860" t="n">
        <f t="shared" si="29"/>
        <v>15.673999999999999</v>
      </c>
      <c r="X99" s="860" t="n">
        <f t="shared" si="29"/>
        <v>7.9589999999999996</v>
      </c>
      <c r="Y99" s="860" t="n">
        <f t="shared" si="29"/>
        <v>7.9589999999999996</v>
      </c>
      <c r="Z99" s="860" t="n">
        <f t="shared" si="29"/>
        <v>7.9589999999999996</v>
      </c>
      <c r="AA99" s="860" t="n">
        <f t="shared" si="29"/>
        <v>7.9589999999999996</v>
      </c>
      <c r="AB99" s="860" t="n">
        <f t="shared" si="29"/>
        <v>6.26</v>
      </c>
      <c r="AC99" s="860" t="n">
        <f t="shared" si="29"/>
        <v>6.26</v>
      </c>
      <c r="AD99" s="860" t="n">
        <f t="shared" si="29"/>
        <v>0</v>
      </c>
      <c r="AE99" s="860" t="n">
        <f t="shared" si="29"/>
        <v>0</v>
      </c>
      <c r="AF99" s="860" t="n">
        <f t="shared" si="29"/>
        <v>0</v>
      </c>
      <c r="AG99" s="860" t="n">
        <f t="shared" si="29"/>
        <v>0</v>
      </c>
    </row>
    <row r="100" ht="25.75" customHeight="1">
      <c r="B100" s="642" t="s">
        <v>711</v>
      </c>
      <c r="C100" s="289"/>
      <c r="D100" s="887" t="n">
        <f>D96-D97</f>
        <v>8.3999999999999986</v>
      </c>
      <c r="E100" s="610" t="n">
        <f t="shared" ref="E100:T100" si="30">E96-E97</f>
        <v>16.399999999999999</v>
      </c>
      <c r="F100" s="610" t="n">
        <f t="shared" si="30"/>
        <v>15</v>
      </c>
      <c r="G100" s="610" t="n">
        <f t="shared" si="30"/>
        <v>16.899999999999999</v>
      </c>
      <c r="H100" s="610" t="n">
        <f t="shared" si="30"/>
        <v>17.5</v>
      </c>
      <c r="I100" s="610" t="n">
        <f t="shared" si="30"/>
        <v>23.362000000000009</v>
      </c>
      <c r="J100" s="610" t="n">
        <f t="shared" si="30"/>
        <v>22.462000000000003</v>
      </c>
      <c r="K100" s="610" t="n">
        <f t="shared" si="30"/>
        <v>22.890000000000008</v>
      </c>
      <c r="L100" s="610" t="n">
        <f t="shared" si="30"/>
        <v>24.53</v>
      </c>
      <c r="M100" s="610" t="n">
        <f t="shared" si="30"/>
        <v>54.138000000000005</v>
      </c>
      <c r="N100" s="610" t="n">
        <f t="shared" si="30"/>
        <v>20.932159999999968</v>
      </c>
      <c r="O100" s="610" t="n">
        <f t="shared" si="30"/>
        <v>17.535839999999922</v>
      </c>
      <c r="P100" s="610" t="n">
        <f t="shared" si="30"/>
        <v>-5.1699999999999875</v>
      </c>
      <c r="Q100" s="610" t="n">
        <f t="shared" si="30"/>
        <v>-4.1580000000000013</v>
      </c>
      <c r="R100" s="610" t="n">
        <f t="shared" si="30"/>
        <v>-3.2620000000000005</v>
      </c>
      <c r="S100" s="872" t="n">
        <f t="shared" si="30"/>
        <v>-1.8020000000000067</v>
      </c>
      <c r="T100" s="872" t="n">
        <f t="shared" si="30"/>
        <v>43.481999999999992</v>
      </c>
      <c r="U100" s="872" t="n">
        <f>U96-U97</f>
        <v>32.385999999999996</v>
      </c>
      <c r="V100" s="872" t="n">
        <f>V96-V97</f>
        <v>36.734571428571428</v>
      </c>
      <c r="W100" s="860"/>
      <c r="X100" s="860"/>
      <c r="Y100" s="860"/>
      <c r="Z100" s="860"/>
      <c r="AA100" s="860"/>
      <c r="AB100" s="860"/>
      <c r="AC100" s="860"/>
      <c r="AD100" s="860"/>
      <c r="AE100" s="860"/>
      <c r="AF100" s="860"/>
      <c r="AG100" s="380"/>
    </row>
    <row r="101" ht="20.5" customHeight="1">
      <c r="B101" s="901" t="s">
        <v>712</v>
      </c>
      <c r="C101" s="902"/>
      <c r="D101" s="906" t="n">
        <f t="shared" ref="D101:I101" si="31">D12-D14-D17-D35</f>
        <v>8.3999999999999986</v>
      </c>
      <c r="E101" s="897" t="n">
        <f t="shared" si="31"/>
        <v>16.399999999999999</v>
      </c>
      <c r="F101" s="897" t="n">
        <f t="shared" si="31"/>
        <v>15</v>
      </c>
      <c r="G101" s="897" t="n">
        <f t="shared" si="31"/>
        <v>16.899999999999999</v>
      </c>
      <c r="H101" s="897" t="n">
        <f t="shared" si="31"/>
        <v>17.5</v>
      </c>
      <c r="I101" s="897" t="n">
        <f t="shared" si="31"/>
        <v>23.600000000000009</v>
      </c>
      <c r="J101" s="907" t="n">
        <f>I101+($H$101-$E$101)/3</f>
        <v>23.966666666666676</v>
      </c>
      <c r="K101" s="907" t="n">
        <f>J101+($H$101-$E$101)/3</f>
        <v>24.333333333333343</v>
      </c>
      <c r="L101" s="907" t="n">
        <f>K101+($H$101-$E$101)/3</f>
        <v>24.70000000000001</v>
      </c>
      <c r="M101" s="908" t="n">
        <f>L101+($H$101-$E$101)/3 +(M105-L105)</f>
        <v>25.530666666666676</v>
      </c>
      <c r="N101" s="907" t="n">
        <f>M101+($H$101-$E$101)/3</f>
        <v>25.897333333333343</v>
      </c>
      <c r="O101" s="907" t="n">
        <f>N101+($H$101-$E$101)/3</f>
        <v>26.26400000000001</v>
      </c>
      <c r="P101" s="907" t="n">
        <f>O101+($H$101-$E$101)/3</f>
        <v>26.630666666666677</v>
      </c>
      <c r="Q101" s="908" t="n">
        <f>P101+($H$101-$E$101)/3 + 0.06*Q105</f>
        <v>30.017253333333343</v>
      </c>
      <c r="R101" s="907" t="n">
        <f>Q101+($H$101-$E$101)/3</f>
        <v>30.38392000000001</v>
      </c>
      <c r="S101" s="907" t="n">
        <f>R101+($H$101-$E$101)/3</f>
        <v>30.750586666666678</v>
      </c>
      <c r="T101" s="907" t="n">
        <f>S101+($H$101-$E$101)/3</f>
        <v>31.117253333333345</v>
      </c>
      <c r="U101" s="907" t="n">
        <f>T101+U102</f>
        <v>36.048288000000014</v>
      </c>
      <c r="V101" s="907" t="n">
        <f>U101+V102</f>
        <v>36.414954666666681</v>
      </c>
      <c r="W101" s="903" t="n">
        <f t="shared" ref="W101:AF101" si="32">V101+W102</f>
        <v>36.781621333333348</v>
      </c>
      <c r="X101" s="903" t="n">
        <f t="shared" si="32"/>
        <v>37.148288000000015</v>
      </c>
      <c r="Y101" s="903" t="n">
        <f t="shared" si="32"/>
        <v>40.189998266666684</v>
      </c>
      <c r="Z101" s="903" t="n">
        <f t="shared" si="32"/>
        <v>40.556664933333352</v>
      </c>
      <c r="AA101" s="903" t="n">
        <f t="shared" si="32"/>
        <v>40.923331600000019</v>
      </c>
      <c r="AB101" s="903" t="n">
        <f t="shared" si="32"/>
        <v>41.289998266666686</v>
      </c>
      <c r="AC101" s="903" t="n">
        <f t="shared" si="32"/>
        <v>44.12529458133335</v>
      </c>
      <c r="AD101" s="903" t="n">
        <f t="shared" si="32"/>
        <v>44.491961248000017</v>
      </c>
      <c r="AE101" s="903" t="n">
        <f t="shared" si="32"/>
        <v>44.858627914666684</v>
      </c>
      <c r="AF101" s="903" t="n">
        <f t="shared" si="32"/>
        <v>45.225294581333351</v>
      </c>
      <c r="AG101" s="380"/>
    </row>
    <row r="102" ht="20.5" customHeight="1">
      <c r="B102" s="904" t="s">
        <v>1705</v>
      </c>
      <c r="C102" s="289"/>
      <c r="D102" s="887"/>
      <c r="E102" s="610"/>
      <c r="F102" s="610"/>
      <c r="G102" s="610"/>
      <c r="H102" s="610"/>
      <c r="I102" s="610"/>
      <c r="J102" s="899"/>
      <c r="K102" s="899"/>
      <c r="L102" s="899"/>
      <c r="M102" s="909"/>
      <c r="N102" s="899"/>
      <c r="O102" s="899"/>
      <c r="P102" s="899"/>
      <c r="Q102" s="909"/>
      <c r="R102" s="899"/>
      <c r="S102" s="899"/>
      <c r="T102" s="899"/>
      <c r="U102" s="899" t="n">
        <f>U103+U104</f>
        <v>4.9310346666666671</v>
      </c>
      <c r="V102" s="899" t="n">
        <f>V103+V104</f>
        <v>0.36666666666666714</v>
      </c>
      <c r="W102" s="860" t="n">
        <f t="shared" ref="W102:AF102" si="33">W103+W108*W105</f>
        <v>0.36666666666666714</v>
      </c>
      <c r="X102" s="860" t="n">
        <f t="shared" si="33"/>
        <v>0.36666666666666714</v>
      </c>
      <c r="Y102" s="860" t="n">
        <f t="shared" si="33"/>
        <v>3.0417102666666671</v>
      </c>
      <c r="Z102" s="860" t="n">
        <f t="shared" si="33"/>
        <v>0.36666666666666714</v>
      </c>
      <c r="AA102" s="860" t="n">
        <f t="shared" si="33"/>
        <v>0.36666666666666714</v>
      </c>
      <c r="AB102" s="860" t="n">
        <f t="shared" si="33"/>
        <v>0.36666666666666714</v>
      </c>
      <c r="AC102" s="860" t="n">
        <f t="shared" si="33"/>
        <v>2.8352963146666674</v>
      </c>
      <c r="AD102" s="860" t="n">
        <f t="shared" si="33"/>
        <v>0.36666666666666714</v>
      </c>
      <c r="AE102" s="860" t="n">
        <f t="shared" si="33"/>
        <v>0.36666666666666714</v>
      </c>
      <c r="AF102" s="860" t="n">
        <f t="shared" si="33"/>
        <v>0.36666666666666714</v>
      </c>
      <c r="AG102" s="380"/>
    </row>
    <row r="103" ht="28.4" customHeight="1">
      <c r="B103" s="905" t="s">
        <v>1702</v>
      </c>
      <c r="C103" s="289"/>
      <c r="D103" s="887"/>
      <c r="E103" s="610"/>
      <c r="F103" s="610"/>
      <c r="G103" s="610"/>
      <c r="H103" s="610"/>
      <c r="I103" s="610"/>
      <c r="J103" s="899"/>
      <c r="K103" s="899"/>
      <c r="L103" s="899"/>
      <c r="M103" s="909"/>
      <c r="N103" s="899"/>
      <c r="O103" s="899"/>
      <c r="P103" s="899"/>
      <c r="Q103" s="909"/>
      <c r="R103" s="899"/>
      <c r="S103" s="899"/>
      <c r="T103" s="899"/>
      <c r="U103" s="899" t="n">
        <f>($H$101-$E$101)/3</f>
        <v>0.36666666666666714</v>
      </c>
      <c r="V103" s="899" t="n">
        <f>($H$101-$E$101)/3</f>
        <v>0.36666666666666714</v>
      </c>
      <c r="W103" s="860" t="n">
        <f t="shared" ref="W103:AF103" si="34">V103</f>
        <v>0.36666666666666714</v>
      </c>
      <c r="X103" s="860" t="n">
        <f t="shared" si="34"/>
        <v>0.36666666666666714</v>
      </c>
      <c r="Y103" s="860" t="n">
        <f t="shared" si="34"/>
        <v>0.36666666666666714</v>
      </c>
      <c r="Z103" s="860" t="n">
        <f t="shared" si="34"/>
        <v>0.36666666666666714</v>
      </c>
      <c r="AA103" s="860" t="n">
        <f t="shared" si="34"/>
        <v>0.36666666666666714</v>
      </c>
      <c r="AB103" s="860" t="n">
        <f t="shared" si="34"/>
        <v>0.36666666666666714</v>
      </c>
      <c r="AC103" s="860" t="n">
        <f t="shared" si="34"/>
        <v>0.36666666666666714</v>
      </c>
      <c r="AD103" s="860" t="n">
        <f t="shared" si="34"/>
        <v>0.36666666666666714</v>
      </c>
      <c r="AE103" s="860" t="n">
        <f t="shared" si="34"/>
        <v>0.36666666666666714</v>
      </c>
      <c r="AF103" s="860" t="n">
        <f t="shared" si="34"/>
        <v>0.36666666666666714</v>
      </c>
      <c r="AG103" s="380"/>
    </row>
    <row r="104" ht="30.65" customHeight="1">
      <c r="B104" s="880" t="s">
        <v>1703</v>
      </c>
      <c r="C104" s="881"/>
      <c r="D104" s="882"/>
      <c r="E104" s="863"/>
      <c r="F104" s="863"/>
      <c r="G104" s="863"/>
      <c r="H104" s="863"/>
      <c r="I104" s="863"/>
      <c r="J104" s="883"/>
      <c r="K104" s="883"/>
      <c r="L104" s="883"/>
      <c r="M104" s="884"/>
      <c r="N104" s="883"/>
      <c r="O104" s="883"/>
      <c r="P104" s="883"/>
      <c r="Q104" s="884"/>
      <c r="R104" s="883"/>
      <c r="S104" s="883"/>
      <c r="T104" s="883"/>
      <c r="U104" s="883" t="n">
        <f>U108*T105</f>
        <v>4.564368</v>
      </c>
      <c r="V104" s="883" t="n">
        <f>V108*U105</f>
        <v>0</v>
      </c>
      <c r="W104" s="910" t="n">
        <f t="shared" ref="W104:AF104" si="35">W108*V105</f>
        <v>0</v>
      </c>
      <c r="X104" s="910" t="n">
        <f t="shared" si="35"/>
        <v>0</v>
      </c>
      <c r="Y104" s="910" t="n">
        <f>Y108*X105</f>
        <v>2.3641199999999998</v>
      </c>
      <c r="Z104" s="910" t="n">
        <f t="shared" si="35"/>
        <v>0</v>
      </c>
      <c r="AA104" s="910" t="n">
        <f t="shared" si="35"/>
        <v>0</v>
      </c>
      <c r="AB104" s="910" t="n">
        <f t="shared" si="35"/>
        <v>0</v>
      </c>
      <c r="AC104" s="910" t="n">
        <f t="shared" si="35"/>
        <v>2.2633624000000001</v>
      </c>
      <c r="AD104" s="910" t="n">
        <f t="shared" si="35"/>
        <v>0</v>
      </c>
      <c r="AE104" s="910" t="n">
        <f t="shared" si="35"/>
        <v>0</v>
      </c>
      <c r="AF104" s="910" t="n">
        <f t="shared" si="35"/>
        <v>0</v>
      </c>
      <c r="AG104" s="380"/>
    </row>
    <row r="105" ht="17.5" customHeight="1">
      <c r="B105" s="737" t="s">
        <v>385</v>
      </c>
      <c r="C105" s="289" t="s">
        <v>386</v>
      </c>
      <c r="D105" s="887" t="n">
        <f>'Haver Pivoted'!B88/1000</f>
        <v>27.088000000000001</v>
      </c>
      <c r="E105" s="610" t="n">
        <f>'Haver Pivoted'!C88/1000</f>
        <v>34.148000000000003</v>
      </c>
      <c r="F105" s="610" t="n">
        <f>'Haver Pivoted'!D88/1000</f>
        <v>31.952000000000002</v>
      </c>
      <c r="G105" s="610" t="n">
        <f>'Haver Pivoted'!E88/1000</f>
        <v>32.332000000000001</v>
      </c>
      <c r="H105" s="610" t="n">
        <f>'Haver Pivoted'!F88/1000</f>
        <v>32.82</v>
      </c>
      <c r="I105" s="610" t="n">
        <f>'Haver Pivoted'!G88/1000</f>
        <v>38.700000000000003</v>
      </c>
      <c r="J105" s="610" t="n">
        <f>'Haver Pivoted'!H88/1000</f>
        <v>37.216000000000001</v>
      </c>
      <c r="K105" s="610" t="n">
        <f>'Haver Pivoted'!I88/1000</f>
        <v>37.731999999999999</v>
      </c>
      <c r="L105" s="610" t="n">
        <f>'Haver Pivoted'!J88/1000</f>
        <v>38.283999999999999</v>
      </c>
      <c r="M105" s="610" t="n">
        <f>'Haver Pivoted'!K88/1000</f>
        <v>38.747999999999998</v>
      </c>
      <c r="N105" s="610" t="n">
        <f>'Haver Pivoted'!L88/1000</f>
        <v>39.283999999999999</v>
      </c>
      <c r="O105" s="610" t="n">
        <f>'Haver Pivoted'!M88/1000</f>
        <v>47.475999999999999</v>
      </c>
      <c r="P105" s="610" t="n">
        <f>'Haver Pivoted'!N88/1000</f>
        <v>49.095999999999997</v>
      </c>
      <c r="Q105" s="610" t="n">
        <f>'Haver Pivoted'!O88/1000</f>
        <v>50.332000000000001</v>
      </c>
      <c r="R105" s="610" t="n">
        <f>'Haver Pivoted'!P88/1000</f>
        <v>51.216000000000001</v>
      </c>
      <c r="S105" s="872" t="n">
        <f>'Haver Pivoted'!Q88/1000</f>
        <v>52.015999999999998</v>
      </c>
      <c r="T105" s="872" t="n">
        <f>'Haver Pivoted'!R88/1000</f>
        <v>52.463999999999999</v>
      </c>
      <c r="U105" s="872" t="n">
        <f>'Haver Pivoted'!S88/1000</f>
        <v>56.915999999999997</v>
      </c>
      <c r="V105" s="872" t="n">
        <f>'Haver Pivoted'!T88/1000</f>
        <v>59.804000000000002</v>
      </c>
      <c r="W105" s="860" t="n">
        <f t="shared" ref="W105:AF105" si="36">V105+W106</f>
        <v>70.804000000000002</v>
      </c>
      <c r="X105" s="860" t="n">
        <f t="shared" si="36"/>
        <v>78.804000000000002</v>
      </c>
      <c r="Y105" s="860" t="n">
        <f t="shared" si="36"/>
        <v>89.168120000000002</v>
      </c>
      <c r="Z105" s="860" t="n">
        <f t="shared" si="36"/>
        <v>97.168120000000002</v>
      </c>
      <c r="AA105" s="860" t="n">
        <f t="shared" si="36"/>
        <v>105.16812</v>
      </c>
      <c r="AB105" s="860" t="n">
        <f t="shared" si="36"/>
        <v>113.16812</v>
      </c>
      <c r="AC105" s="860" t="n">
        <f t="shared" si="36"/>
        <v>123.43148240000001</v>
      </c>
      <c r="AD105" s="860" t="n">
        <f t="shared" si="36"/>
        <v>132.43148239999999</v>
      </c>
      <c r="AE105" s="860" t="n">
        <f t="shared" si="36"/>
        <v>142.43148239999999</v>
      </c>
      <c r="AF105" s="860" t="n">
        <f t="shared" si="36"/>
        <v>153.43148239999999</v>
      </c>
      <c r="AG105" s="380"/>
    </row>
    <row r="106" ht="17.5" customHeight="1">
      <c r="B106" s="570" t="s">
        <v>1704</v>
      </c>
      <c r="C106" s="289"/>
      <c r="D106" s="887"/>
      <c r="E106" s="610"/>
      <c r="F106" s="610"/>
      <c r="G106" s="610"/>
      <c r="H106" s="610"/>
      <c r="I106" s="610"/>
      <c r="J106" s="610"/>
      <c r="K106" s="610"/>
      <c r="L106" s="610"/>
      <c r="M106" s="610"/>
      <c r="N106" s="610"/>
      <c r="O106" s="610"/>
      <c r="P106" s="610"/>
      <c r="Q106" s="610"/>
      <c r="R106" s="610"/>
      <c r="S106" s="872"/>
      <c r="T106" s="872"/>
      <c r="U106" s="872" t="n">
        <f>U104+U107</f>
        <v>12.564368</v>
      </c>
      <c r="V106" s="872" t="n">
        <f>V104+V107</f>
        <v>8</v>
      </c>
      <c r="W106" s="860" t="n">
        <f t="shared" ref="W106:AF106" si="37">W104+W107</f>
        <v>11</v>
      </c>
      <c r="X106" s="860" t="n">
        <f t="shared" si="37"/>
        <v>8</v>
      </c>
      <c r="Y106" s="860" t="n">
        <f>Y104+Y107</f>
        <v>10.36412</v>
      </c>
      <c r="Z106" s="860" t="n">
        <f t="shared" si="37"/>
        <v>8</v>
      </c>
      <c r="AA106" s="860" t="n">
        <f t="shared" si="37"/>
        <v>8</v>
      </c>
      <c r="AB106" s="860" t="n">
        <f t="shared" si="37"/>
        <v>8</v>
      </c>
      <c r="AC106" s="860" t="n">
        <f t="shared" si="37"/>
        <v>10.2633624</v>
      </c>
      <c r="AD106" s="860" t="n">
        <f t="shared" si="37"/>
        <v>9</v>
      </c>
      <c r="AE106" s="860" t="n">
        <f t="shared" si="37"/>
        <v>10</v>
      </c>
      <c r="AF106" s="860" t="n">
        <f t="shared" si="37"/>
        <v>11</v>
      </c>
      <c r="AG106" s="380"/>
    </row>
    <row r="107" ht="17.5" customHeight="1">
      <c r="B107" s="562" t="s">
        <v>1707</v>
      </c>
      <c r="C107" s="289"/>
      <c r="D107" s="887"/>
      <c r="E107" s="610"/>
      <c r="F107" s="610"/>
      <c r="G107" s="610"/>
      <c r="H107" s="610"/>
      <c r="I107" s="610"/>
      <c r="J107" s="610"/>
      <c r="K107" s="610"/>
      <c r="L107" s="610"/>
      <c r="M107" s="610"/>
      <c r="N107" s="610"/>
      <c r="O107" s="610"/>
      <c r="P107" s="610"/>
      <c r="Q107" s="610"/>
      <c r="R107" s="610"/>
      <c r="S107" s="872"/>
      <c r="T107" s="872"/>
      <c r="U107" s="872" t="n">
        <v>8</v>
      </c>
      <c r="V107" s="872" t="n">
        <v>8</v>
      </c>
      <c r="W107" s="860" t="n">
        <v>11</v>
      </c>
      <c r="X107" s="860" t="n">
        <v>8</v>
      </c>
      <c r="Y107" s="860" t="n">
        <v>8</v>
      </c>
      <c r="Z107" s="860" t="n">
        <v>8</v>
      </c>
      <c r="AA107" s="860" t="n">
        <v>8</v>
      </c>
      <c r="AB107" s="860" t="n">
        <v>8</v>
      </c>
      <c r="AC107" s="860" t="n">
        <v>8</v>
      </c>
      <c r="AD107" s="860" t="n">
        <v>9</v>
      </c>
      <c r="AE107" s="860" t="n">
        <v>10</v>
      </c>
      <c r="AF107" s="860" t="n">
        <v>11</v>
      </c>
      <c r="AG107" s="380"/>
    </row>
    <row r="108" ht="39" customHeight="1">
      <c r="B108" s="562" t="s">
        <v>1708</v>
      </c>
      <c r="C108" s="289"/>
      <c r="D108" s="887"/>
      <c r="E108" s="610"/>
      <c r="F108" s="610"/>
      <c r="G108" s="610"/>
      <c r="H108" s="610"/>
      <c r="I108" s="863"/>
      <c r="J108" s="863"/>
      <c r="K108" s="863"/>
      <c r="L108" s="863"/>
      <c r="M108" s="863"/>
      <c r="N108" s="863"/>
      <c r="O108" s="863"/>
      <c r="P108" s="863"/>
      <c r="Q108" s="863"/>
      <c r="R108" s="863"/>
      <c r="S108" s="885"/>
      <c r="T108" s="885"/>
      <c r="U108" s="873" t="n">
        <v>8.6999999999999994E-2</v>
      </c>
      <c r="V108" s="864" t="n">
        <v>0</v>
      </c>
      <c r="W108" s="886" t="n">
        <v>0</v>
      </c>
      <c r="X108" s="886" t="n">
        <v>0</v>
      </c>
      <c r="Y108" s="886" t="n">
        <v>0.03</v>
      </c>
      <c r="Z108" s="886" t="n">
        <v>0</v>
      </c>
      <c r="AA108" s="886" t="n">
        <v>0</v>
      </c>
      <c r="AB108" s="886" t="n">
        <v>0</v>
      </c>
      <c r="AC108" s="886" t="n">
        <v>0.02</v>
      </c>
      <c r="AD108" s="886" t="n">
        <v>0</v>
      </c>
      <c r="AE108" s="886" t="n">
        <v>0</v>
      </c>
      <c r="AF108" s="886" t="n">
        <v>0</v>
      </c>
      <c r="AG108" s="380"/>
    </row>
    <row r="109" ht="49.75" customHeight="1">
      <c r="B109" s="642" t="s">
        <v>1331</v>
      </c>
      <c r="C109" s="289"/>
      <c r="D109" s="887" t="n">
        <f t="shared" ref="D109:T109" si="38">D100-D101</f>
        <v>0</v>
      </c>
      <c r="E109" s="610" t="n">
        <f t="shared" si="38"/>
        <v>0</v>
      </c>
      <c r="F109" s="610" t="n">
        <f t="shared" si="38"/>
        <v>0</v>
      </c>
      <c r="G109" s="610" t="n">
        <f t="shared" si="38"/>
        <v>0</v>
      </c>
      <c r="H109" s="610" t="n">
        <f t="shared" si="38"/>
        <v>0</v>
      </c>
      <c r="I109" s="610" t="n">
        <f t="shared" si="38"/>
        <v>-0.23799999999999955</v>
      </c>
      <c r="J109" s="610" t="n">
        <f t="shared" si="38"/>
        <v>-1.5046666666666724</v>
      </c>
      <c r="K109" s="610" t="n">
        <f t="shared" si="38"/>
        <v>-1.4433333333333351</v>
      </c>
      <c r="L109" s="610" t="n">
        <f t="shared" si="38"/>
        <v>-0.17000000000000881</v>
      </c>
      <c r="M109" s="610" t="n">
        <f t="shared" si="38"/>
        <v>28.60733333333333</v>
      </c>
      <c r="N109" s="610" t="n">
        <f t="shared" si="38"/>
        <v>-4.9651733333333752</v>
      </c>
      <c r="O109" s="610" t="n">
        <f t="shared" si="38"/>
        <v>-8.7281600000000878</v>
      </c>
      <c r="P109" s="610" t="n">
        <f t="shared" si="38"/>
        <v>-31.800666666666665</v>
      </c>
      <c r="Q109" s="610" t="n">
        <f t="shared" si="38"/>
        <v>-34.175253333333345</v>
      </c>
      <c r="R109" s="610" t="n">
        <f t="shared" si="38"/>
        <v>-33.645920000000011</v>
      </c>
      <c r="S109" s="872" t="n">
        <f t="shared" si="38"/>
        <v>-32.552586666666684</v>
      </c>
      <c r="T109" s="872" t="n">
        <f t="shared" si="38"/>
        <v>12.364746666666647</v>
      </c>
      <c r="U109" s="872" t="n">
        <f>U100-U101</f>
        <v>-3.662288000000018</v>
      </c>
      <c r="V109" s="872" t="n">
        <f>V100-V101</f>
        <v>0.31961676190474719</v>
      </c>
      <c r="W109" s="860" t="n">
        <f t="shared" ref="W109:AF109" si="39">V109</f>
        <v>0.31961676190474719</v>
      </c>
      <c r="X109" s="860" t="n">
        <f t="shared" si="39"/>
        <v>0.31961676190474719</v>
      </c>
      <c r="Y109" s="860" t="n">
        <f t="shared" si="39"/>
        <v>0.31961676190474719</v>
      </c>
      <c r="Z109" s="860" t="n">
        <f t="shared" si="39"/>
        <v>0.31961676190474719</v>
      </c>
      <c r="AA109" s="860" t="n">
        <f t="shared" si="39"/>
        <v>0.31961676190474719</v>
      </c>
      <c r="AB109" s="860" t="n">
        <f t="shared" si="39"/>
        <v>0.31961676190474719</v>
      </c>
      <c r="AC109" s="860" t="n">
        <f t="shared" si="39"/>
        <v>0.31961676190474719</v>
      </c>
      <c r="AD109" s="860" t="n">
        <f t="shared" si="39"/>
        <v>0.31961676190474719</v>
      </c>
      <c r="AE109" s="860" t="n">
        <f t="shared" si="39"/>
        <v>0.31961676190474719</v>
      </c>
      <c r="AF109" s="860" t="n">
        <f t="shared" si="39"/>
        <v>0.31961676190474719</v>
      </c>
      <c r="AG109" s="380"/>
    </row>
    <row r="110" ht="29.5" customHeight="1">
      <c r="B110" s="427"/>
      <c r="C110" s="289"/>
      <c r="D110" s="387"/>
      <c r="E110" s="387"/>
      <c r="F110" s="387"/>
      <c r="G110" s="387"/>
      <c r="H110" s="387"/>
      <c r="I110" s="387"/>
      <c r="J110" s="387"/>
      <c r="K110" s="387"/>
      <c r="L110" s="387"/>
      <c r="M110" s="387"/>
      <c r="N110" s="387"/>
      <c r="O110" s="387"/>
      <c r="P110" s="387"/>
      <c r="Q110" s="387"/>
      <c r="R110" s="387"/>
      <c r="S110" s="387"/>
      <c r="T110" s="387"/>
      <c r="U110" s="387"/>
      <c r="V110" s="387"/>
      <c r="W110" s="387"/>
      <c r="X110" s="387"/>
      <c r="Y110" s="387"/>
      <c r="Z110" s="387"/>
      <c r="AA110" s="387"/>
      <c r="AB110" s="387"/>
      <c r="AC110" s="387"/>
    </row>
    <row r="111" ht="16.75" customHeight="1">
      <c r="B111" s="289"/>
      <c r="C111" s="289"/>
      <c r="S111" s="657"/>
      <c r="T111" s="657"/>
      <c r="U111" s="289"/>
      <c r="V111" s="289"/>
      <c r="W111" s="289"/>
      <c r="X111" s="289"/>
      <c r="Y111" s="289"/>
      <c r="Z111" s="289"/>
      <c r="AA111" s="289"/>
      <c r="AB111" s="289"/>
      <c r="AC111" s="289"/>
    </row>
    <row r="112" ht="16.75" customHeight="1">
      <c r="B112" s="289"/>
      <c r="C112" s="289"/>
      <c r="S112" s="387"/>
      <c r="T112" s="387"/>
      <c r="U112" s="289"/>
      <c r="V112" s="289"/>
      <c r="W112" s="289"/>
      <c r="X112" s="289"/>
      <c r="Y112" s="289"/>
      <c r="Z112" s="289"/>
      <c r="AA112" s="289"/>
      <c r="AB112" s="289"/>
      <c r="AC112" s="289"/>
    </row>
    <row r="113" ht="16.75" customHeight="1">
      <c r="B113" s="289"/>
      <c r="C113" s="289"/>
      <c r="S113" s="387"/>
      <c r="T113" s="387"/>
      <c r="U113" s="289"/>
      <c r="V113" s="289"/>
      <c r="W113" s="289"/>
      <c r="X113" s="289"/>
      <c r="Y113" s="289"/>
      <c r="Z113" s="289"/>
      <c r="AA113" s="289"/>
      <c r="AB113" s="289"/>
      <c r="AC113" s="289"/>
    </row>
    <row r="114" ht="16.75" customHeight="1">
      <c r="B114" s="289"/>
      <c r="C114" s="289"/>
      <c r="S114" s="387"/>
      <c r="T114" s="387"/>
      <c r="U114" s="610"/>
      <c r="V114" s="610"/>
      <c r="W114" s="610"/>
      <c r="X114" s="610"/>
      <c r="Y114" s="610"/>
      <c r="Z114" s="610"/>
      <c r="AA114" s="610"/>
      <c r="AB114" s="610"/>
      <c r="AC114" s="610"/>
      <c r="AD114" s="683"/>
    </row>
    <row r="115" ht="16.75" customHeight="1">
      <c r="B115" s="383"/>
      <c r="C115" s="289"/>
      <c r="S115" s="387"/>
      <c r="T115" s="387"/>
      <c r="U115" s="387"/>
      <c r="V115" s="387"/>
      <c r="W115" s="387"/>
      <c r="X115" s="387"/>
      <c r="Y115" s="387"/>
      <c r="Z115" s="387"/>
      <c r="AA115" s="387"/>
      <c r="AB115" s="387"/>
      <c r="AC115" s="387"/>
      <c r="AD115" s="683"/>
    </row>
    <row r="116" ht="16.75" customHeight="1">
      <c r="B116" s="383"/>
      <c r="C116" s="289"/>
      <c r="S116" s="387"/>
      <c r="T116" s="387"/>
      <c r="U116" s="387"/>
      <c r="V116" s="387"/>
      <c r="W116" s="387"/>
      <c r="X116" s="387"/>
      <c r="Y116" s="387"/>
      <c r="Z116" s="387"/>
      <c r="AA116" s="387"/>
      <c r="AB116" s="387"/>
      <c r="AC116" s="387"/>
      <c r="AD116" s="683"/>
    </row>
    <row r="117" ht="16.75" customHeight="1">
      <c r="B117" s="383"/>
      <c r="C117" s="289"/>
      <c r="S117" s="387"/>
      <c r="T117" s="387"/>
      <c r="U117" s="387"/>
      <c r="V117" s="387"/>
      <c r="W117" s="387"/>
      <c r="X117" s="387"/>
      <c r="Y117" s="387"/>
      <c r="Z117" s="387"/>
      <c r="AA117" s="387"/>
      <c r="AB117" s="387"/>
      <c r="AC117" s="387"/>
      <c r="AD117" s="683"/>
    </row>
    <row r="118" ht="16.75" customHeight="1">
      <c r="B118" s="289"/>
      <c r="C118" s="289"/>
      <c r="S118" s="289"/>
      <c r="T118" s="289"/>
      <c r="U118" s="610"/>
      <c r="V118" s="610"/>
      <c r="W118" s="610"/>
      <c r="X118" s="610"/>
      <c r="Y118" s="610"/>
      <c r="Z118" s="610"/>
      <c r="AA118" s="610"/>
      <c r="AB118" s="610"/>
      <c r="AC118" s="610"/>
      <c r="AD118" s="683"/>
    </row>
    <row r="119" ht="16.75" customHeight="1">
      <c r="B119" s="383"/>
      <c r="C119" s="289"/>
      <c r="S119" s="289"/>
      <c r="T119" s="289"/>
      <c r="U119" s="610"/>
      <c r="V119" s="610"/>
      <c r="W119" s="610"/>
      <c r="X119" s="610"/>
      <c r="Y119" s="610"/>
      <c r="Z119" s="610"/>
      <c r="AA119" s="610"/>
      <c r="AB119" s="610"/>
      <c r="AC119" s="610"/>
      <c r="AD119" s="683"/>
    </row>
    <row r="120" ht="16.75" customHeight="1">
      <c r="B120" s="383"/>
      <c r="C120" s="289"/>
      <c r="S120" s="289"/>
      <c r="T120" s="289"/>
      <c r="U120" s="387"/>
      <c r="V120" s="387"/>
      <c r="W120" s="387"/>
      <c r="X120" s="387"/>
      <c r="Y120" s="387"/>
      <c r="Z120" s="387"/>
      <c r="AA120" s="387"/>
      <c r="AB120" s="387"/>
      <c r="AC120" s="387"/>
      <c r="AD120" s="683"/>
    </row>
    <row r="121" ht="16.75" customHeight="1">
      <c r="B121" s="383"/>
      <c r="C121" s="289"/>
      <c r="S121" s="289"/>
      <c r="T121" s="289"/>
      <c r="U121" s="874"/>
      <c r="V121" s="874"/>
      <c r="W121" s="874"/>
      <c r="X121" s="874"/>
      <c r="Y121" s="874"/>
      <c r="Z121" s="874"/>
      <c r="AA121" s="874"/>
      <c r="AB121" s="874"/>
      <c r="AC121" s="874"/>
      <c r="AD121" s="683"/>
    </row>
    <row r="122" ht="16.75" customHeight="1">
      <c r="B122" s="289"/>
      <c r="C122" s="289"/>
      <c r="S122" s="387"/>
      <c r="T122" s="387"/>
      <c r="U122" s="387"/>
      <c r="V122" s="387"/>
      <c r="W122" s="387"/>
      <c r="X122" s="387"/>
      <c r="Y122" s="387"/>
      <c r="Z122" s="387"/>
      <c r="AA122" s="387"/>
      <c r="AB122" s="387"/>
      <c r="AC122" s="387"/>
      <c r="AD122" s="683"/>
    </row>
    <row r="123" ht="22.5" customHeight="1">
      <c r="B123" s="427"/>
      <c r="C123" s="289"/>
      <c r="D123" s="387"/>
      <c r="E123" s="387"/>
      <c r="F123" s="387"/>
      <c r="G123" s="387"/>
      <c r="H123" s="387"/>
      <c r="I123" s="387"/>
      <c r="J123" s="387"/>
      <c r="K123" s="387"/>
      <c r="L123" s="387"/>
      <c r="M123" s="387"/>
      <c r="N123" s="387"/>
      <c r="O123" s="387"/>
      <c r="P123" s="387"/>
      <c r="Q123" s="387"/>
      <c r="R123" s="387"/>
      <c r="S123" s="387"/>
      <c r="T123" s="387"/>
      <c r="U123" s="387"/>
      <c r="V123" s="387"/>
      <c r="W123" s="387"/>
      <c r="X123" s="387"/>
      <c r="Y123" s="387"/>
      <c r="Z123" s="387"/>
      <c r="AA123" s="387"/>
      <c r="AB123" s="387"/>
      <c r="AC123" s="387"/>
    </row>
    <row r="124" ht="22.5" customHeight="1">
      <c r="B124" s="427"/>
      <c r="C124" s="289"/>
      <c r="D124" s="387"/>
      <c r="E124" s="387"/>
      <c r="F124" s="387"/>
      <c r="G124" s="387"/>
      <c r="H124" s="387"/>
      <c r="I124" s="387"/>
      <c r="J124" s="387"/>
      <c r="K124" s="387"/>
      <c r="L124" s="387"/>
      <c r="M124" s="387"/>
      <c r="N124" s="387"/>
      <c r="O124" s="387"/>
      <c r="P124" s="387"/>
      <c r="Q124" s="387"/>
      <c r="R124" s="387"/>
      <c r="S124" s="387"/>
      <c r="T124" s="387"/>
      <c r="U124" s="387"/>
      <c r="V124" s="387"/>
      <c r="W124" s="387"/>
      <c r="X124" s="387"/>
      <c r="Y124" s="387"/>
      <c r="Z124" s="387"/>
      <c r="AA124" s="387"/>
      <c r="AB124" s="387"/>
      <c r="AC124" s="387"/>
    </row>
    <row r="125" ht="38.5" customHeight="1">
      <c r="B125" s="651"/>
      <c r="C125" s="769" t="n">
        <v>2022</v>
      </c>
      <c r="D125" s="1095" t="n">
        <v>2023</v>
      </c>
      <c r="E125" s="1095" t="n">
        <v>2024</v>
      </c>
      <c r="F125" s="1096" t="n">
        <v>2025</v>
      </c>
      <c r="G125" s="387" t="n">
        <v>2026</v>
      </c>
      <c r="H125" s="387"/>
      <c r="I125" s="387"/>
      <c r="J125" s="387"/>
      <c r="K125" s="387"/>
      <c r="L125" s="387"/>
      <c r="M125" s="387"/>
      <c r="N125" s="387"/>
      <c r="O125" s="387"/>
      <c r="P125" s="387"/>
      <c r="Q125" s="387"/>
      <c r="R125" s="387"/>
      <c r="S125" s="387"/>
      <c r="T125" s="387"/>
      <c r="U125" s="387"/>
      <c r="V125" s="387"/>
      <c r="W125" s="387"/>
      <c r="X125" s="387"/>
      <c r="Y125" s="387"/>
      <c r="Z125" s="387"/>
      <c r="AA125" s="387"/>
      <c r="AB125" s="387"/>
      <c r="AC125" s="387"/>
    </row>
    <row r="126" ht="38.5" customHeight="1">
      <c r="B126" s="690" t="s">
        <v>1701</v>
      </c>
      <c r="C126" s="415" t="n">
        <v>1212.4870000000001</v>
      </c>
      <c r="D126" s="415" t="n">
        <v>1344.7529999999999</v>
      </c>
      <c r="E126" s="415" t="n">
        <v>1456.7</v>
      </c>
      <c r="F126" s="415" t="n">
        <v>1553.5309999999999</v>
      </c>
      <c r="G126" s="415" t="n">
        <v>1643.9870000000001</v>
      </c>
      <c r="H126" s="387"/>
      <c r="I126" s="387"/>
      <c r="J126" s="387"/>
      <c r="K126" s="387"/>
      <c r="L126" s="387"/>
      <c r="M126" s="387"/>
      <c r="N126" s="387"/>
      <c r="O126" s="387"/>
      <c r="P126" s="387"/>
      <c r="Q126" s="387"/>
      <c r="R126" s="387"/>
      <c r="S126" s="387"/>
      <c r="T126" s="387"/>
      <c r="U126" s="387"/>
      <c r="V126" s="387"/>
      <c r="W126" s="387"/>
      <c r="X126" s="387"/>
      <c r="Y126" s="387"/>
      <c r="Z126" s="387"/>
      <c r="AA126" s="387"/>
      <c r="AB126" s="387"/>
      <c r="AC126" s="387"/>
    </row>
    <row r="127" ht="69" customHeight="1">
      <c r="B127" s="427"/>
      <c r="C127" s="289"/>
      <c r="D127" s="387"/>
      <c r="E127" s="387"/>
      <c r="F127" s="387"/>
      <c r="G127" s="387"/>
      <c r="H127" s="387"/>
      <c r="I127" s="387"/>
      <c r="J127" s="387"/>
      <c r="K127" s="387"/>
      <c r="L127" s="387"/>
      <c r="M127" s="387"/>
      <c r="N127" s="387"/>
      <c r="O127" s="387"/>
      <c r="P127" s="387"/>
      <c r="Q127" s="387"/>
      <c r="R127" s="387"/>
      <c r="S127" s="387"/>
      <c r="T127" s="387"/>
      <c r="U127" s="387"/>
      <c r="V127" s="387"/>
      <c r="W127" s="387"/>
      <c r="X127" s="387"/>
      <c r="Y127" s="387"/>
      <c r="Z127" s="387"/>
      <c r="AA127" s="387"/>
      <c r="AB127" s="387"/>
      <c r="AC127" s="387"/>
    </row>
    <row r="128">
      <c r="B128" s="86" t="s">
        <v>1330</v>
      </c>
      <c r="D128" s="289"/>
      <c r="E128" s="289"/>
      <c r="F128" s="289"/>
      <c r="G128" s="289"/>
      <c r="H128" s="289"/>
      <c r="I128" s="289"/>
      <c r="J128" s="289"/>
      <c r="K128" s="289"/>
      <c r="L128" s="289"/>
      <c r="M128" s="387"/>
      <c r="N128" s="387"/>
      <c r="O128" s="387"/>
      <c r="P128" s="289"/>
    </row>
    <row r="129">
      <c r="B129" s="743" t="s">
        <v>718</v>
      </c>
      <c r="C129" s="579"/>
      <c r="D129" s="1115" t="n">
        <v>2021</v>
      </c>
      <c r="E129" s="1115" t="n">
        <v>2022</v>
      </c>
      <c r="F129" s="1115" t="n">
        <v>2023</v>
      </c>
      <c r="G129" s="1116" t="n">
        <v>2024</v>
      </c>
      <c r="R129" s="683"/>
    </row>
    <row r="130">
      <c r="B130" s="799" t="s">
        <v>719</v>
      </c>
      <c r="C130" s="1093"/>
      <c r="D130" s="1111" t="n">
        <v>3605.8330000000001</v>
      </c>
      <c r="E130" s="1111" t="n">
        <v>2900</v>
      </c>
      <c r="F130" s="1111" t="n">
        <f>E130*1.02</f>
        <v>2958</v>
      </c>
      <c r="G130" s="1112" t="n">
        <f>F130*1.06</f>
        <v>3135.48</v>
      </c>
    </row>
    <row r="131">
      <c r="B131" s="799" t="s">
        <v>722</v>
      </c>
      <c r="C131" s="1113"/>
      <c r="D131" s="959" t="n">
        <f>AVERAGE(Medicare!L10:O10)</f>
        <v>8.8249999999999993</v>
      </c>
      <c r="E131" s="959" t="n">
        <f>AVERAGE(Medicare!P10:S10)</f>
        <v>10.25</v>
      </c>
      <c r="F131" s="959" t="n">
        <f>AVERAGE(Medicare!T10:W10)</f>
        <v>12.75</v>
      </c>
      <c r="G131" s="1091" t="n">
        <f>AVERAGE(Medicare!X10:AA10)</f>
        <v>15.625</v>
      </c>
    </row>
    <row r="132" ht="13.4" customHeight="1">
      <c r="B132" s="799" t="s">
        <v>720</v>
      </c>
      <c r="C132" s="1113"/>
      <c r="D132" s="959" t="n">
        <f>D130-D131</f>
        <v>3597.0080000000003</v>
      </c>
      <c r="E132" s="959" t="n">
        <f t="shared" ref="E132:G132" si="40">E130-E131</f>
        <v>2889.75</v>
      </c>
      <c r="F132" s="959" t="n">
        <f t="shared" si="40"/>
        <v>2945.25</v>
      </c>
      <c r="G132" s="1091" t="n">
        <f t="shared" si="40"/>
        <v>3119.855</v>
      </c>
    </row>
    <row r="133">
      <c r="B133" s="799" t="s">
        <v>723</v>
      </c>
      <c r="C133" s="1113"/>
      <c r="D133" s="959" t="n">
        <f>AVERAGE(L12:O12)</f>
        <v>72.824999999999989</v>
      </c>
      <c r="E133" s="959" t="n">
        <f>AVERAGE(P12:S12)</f>
        <v>84.55</v>
      </c>
      <c r="F133" s="959" t="n">
        <f>AVERAGE(T12:W12)</f>
        <v>104.92216666666668</v>
      </c>
      <c r="G133" s="1091" t="n">
        <f>AVERAGE(X12:AA12)</f>
        <v>126.96918746190475</v>
      </c>
    </row>
    <row r="134">
      <c r="B134" s="799" t="s">
        <v>722</v>
      </c>
      <c r="C134" s="1113"/>
      <c r="D134" s="959" t="n">
        <f>AVERAGE(Medicare!L10:O10)</f>
        <v>8.8249999999999993</v>
      </c>
      <c r="E134" s="959" t="n">
        <f>AVERAGE(Medicare!P10:S10)</f>
        <v>10.25</v>
      </c>
      <c r="F134" s="959" t="n">
        <f>AVERAGE(Medicare!T10:W10)</f>
        <v>12.75</v>
      </c>
      <c r="G134" s="1091" t="n">
        <f>AVERAGE(Medicare!X10:AA10)</f>
        <v>15.625</v>
      </c>
    </row>
    <row r="135">
      <c r="B135" s="799" t="s">
        <v>442</v>
      </c>
      <c r="C135" s="1113"/>
      <c r="D135" s="959" t="n">
        <f>AVERAGE(L39:O39)</f>
        <v>25.59800000000001</v>
      </c>
      <c r="E135" s="959" t="n">
        <f>AVERAGE(P39:S39)</f>
        <v>29.445606666666677</v>
      </c>
      <c r="F135" s="959" t="n">
        <f>AVERAGE(T39:W39)</f>
        <v>35.09052933333335</v>
      </c>
      <c r="G135" s="1091" t="n">
        <f>AVERAGE(X39:AA39)</f>
        <v>39.704570700000019</v>
      </c>
    </row>
    <row r="136" ht="27.65" customHeight="1">
      <c r="B136" s="1114" t="s">
        <v>721</v>
      </c>
      <c r="C136" s="736"/>
      <c r="D136" s="791"/>
      <c r="E136" s="1117" t="n">
        <v>1.157</v>
      </c>
      <c r="F136" s="1117" t="n">
        <v>1.0109999999999999</v>
      </c>
      <c r="G136" s="1092" t="n">
        <v>1.0529999999999999</v>
      </c>
    </row>
    <row r="137">
      <c r="B137" s="289" t="s">
        <v>724</v>
      </c>
      <c r="D137" s="1118" t="n">
        <f>D133-D130</f>
        <v>-3533.0080000000003</v>
      </c>
      <c r="E137" s="1118" t="n">
        <f>E133-E130</f>
        <v>-2815.45</v>
      </c>
      <c r="F137" s="1118" t="n">
        <f>F133-F130</f>
        <v>-2853.0778333333333</v>
      </c>
      <c r="G137" s="1118" t="n">
        <f t="shared" ref="G137" si="41">G133-G130</f>
        <v>-3008.5108125380953</v>
      </c>
    </row>
    <row r="139">
      <c r="B139" t="s">
        <v>719</v>
      </c>
      <c r="D139" t="n">
        <v>3605.8330000000001</v>
      </c>
      <c r="E139" t="n">
        <v>2832.5949999999998</v>
      </c>
      <c r="F139" t="n">
        <v>2833.72</v>
      </c>
      <c r="G139" t="n">
        <v>2976.7339999999999</v>
      </c>
    </row>
  </sheetData>
  <mergeCells count="3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 ref="B82:C84"/>
    <mergeCell ref="D82:V82"/>
    <mergeCell ref="W82:AG82"/>
    <mergeCell ref="E83:H83"/>
    <mergeCell ref="I83:L83"/>
    <mergeCell ref="M83:P83"/>
    <mergeCell ref="Q83:T83"/>
    <mergeCell ref="Y83:AB83"/>
    <mergeCell ref="AC83:AF83"/>
    <mergeCell ref="B93:C95"/>
    <mergeCell ref="D93:V93"/>
    <mergeCell ref="W93:AG93"/>
    <mergeCell ref="E94:H94"/>
    <mergeCell ref="I94:L94"/>
    <mergeCell ref="M94:P94"/>
    <mergeCell ref="Q94:T94"/>
    <mergeCell ref="Y94:AB94"/>
    <mergeCell ref="AC94:AF94"/>
  </mergeCells>
  <pageMargins left="0.7" right="0.7" top="0.75" bottom="0.75" header="0.3" footer="0.3"/>
  <pageSetup paperSize="9" orientation="portrait" horizontalDpi="300" verticalDpi="300"/>
  <drawing r:id="rId1"/>
  <legacyDrawing r:id="rIdvml"/>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workbookViewId="0">
      <selection activeCell="N25" sqref="N25"/>
    </sheetView>
  </sheetViews>
  <sheetFormatPr defaultRowHeight="15.0" baseColWidth="10"/>
  <sheetData>
    <row r="1">
      <c r="M1" s="86" t="s">
        <v>1757</v>
      </c>
      <c r="S1" s="86" t="s">
        <v>1758</v>
      </c>
      <c r="Z1" t="s">
        <v>1789</v>
      </c>
      <c r="AA1" t="s">
        <v>1790</v>
      </c>
    </row>
    <row r="2">
      <c r="M2" t="s">
        <v>1759</v>
      </c>
      <c r="Q2" t="n">
        <v>2952.3</v>
      </c>
      <c r="S2" t="s">
        <v>1759</v>
      </c>
      <c r="X2" t="n">
        <v>2952.3</v>
      </c>
      <c r="Z2" t="n">
        <v>2917.6753774795288</v>
      </c>
      <c r="AA2" s="859" t="n">
        <v>2928.3</v>
      </c>
    </row>
    <row r="3">
      <c r="M3" t="s">
        <v>1760</v>
      </c>
      <c r="P3" t="s">
        <v>1761</v>
      </c>
      <c r="Q3" t="n">
        <v>23.1</v>
      </c>
      <c r="S3" t="s">
        <v>1760</v>
      </c>
      <c r="W3" t="s">
        <v>1761</v>
      </c>
      <c r="X3" t="n">
        <v>23.1</v>
      </c>
      <c r="Z3" t="n">
        <v>22.62857142857143</v>
      </c>
      <c r="AA3" t="n">
        <v>22.62857142857143</v>
      </c>
    </row>
    <row r="4">
      <c r="M4" t="s">
        <v>46</v>
      </c>
      <c r="P4" t="s">
        <v>1761</v>
      </c>
      <c r="Q4" t="n">
        <v>967.3</v>
      </c>
      <c r="S4" t="s">
        <v>46</v>
      </c>
      <c r="W4" t="s">
        <v>1761</v>
      </c>
      <c r="X4" t="n">
        <v>967.3</v>
      </c>
      <c r="Z4" t="n">
        <v>944.50347271762462</v>
      </c>
      <c r="AA4" t="n">
        <v>946.3</v>
      </c>
    </row>
    <row r="5">
      <c r="M5" t="s">
        <v>47</v>
      </c>
      <c r="P5" t="s">
        <v>1761</v>
      </c>
      <c r="Q5" t="n">
        <v>0</v>
      </c>
      <c r="S5" t="s">
        <v>47</v>
      </c>
      <c r="W5" t="s">
        <v>1761</v>
      </c>
      <c r="X5" t="n">
        <v>0</v>
      </c>
      <c r="Z5" t="n">
        <v>0</v>
      </c>
      <c r="AA5" t="n">
        <v>0</v>
      </c>
    </row>
    <row r="6">
      <c r="M6" t="s">
        <v>1762</v>
      </c>
      <c r="P6" t="s">
        <v>1761</v>
      </c>
      <c r="Q6" t="n">
        <v>0</v>
      </c>
      <c r="S6" t="s">
        <v>1762</v>
      </c>
      <c r="W6" t="s">
        <v>1761</v>
      </c>
      <c r="X6" t="n">
        <v>0</v>
      </c>
      <c r="Z6" t="n">
        <v>0</v>
      </c>
      <c r="AA6" t="n">
        <v>0</v>
      </c>
    </row>
    <row r="7">
      <c r="Q7" t="n">
        <f>Q2-SUM(Q3:Q6)</f>
        <v>1961.9</v>
      </c>
      <c r="X7" t="n">
        <f>X2-SUM(X3:X6)</f>
        <v>1961.9</v>
      </c>
      <c r="Z7" t="n">
        <f>Z2-SUM(Z3:Z6)</f>
        <v>1950.5433333333328</v>
      </c>
      <c r="AA7" t="n">
        <f>AA2-SUM(AA3:AA6)</f>
        <v>1959.3714285714289</v>
      </c>
    </row>
    <row r="8">
      <c r="S8" t="s">
        <v>1763</v>
      </c>
      <c r="W8" t="s">
        <v>1761</v>
      </c>
      <c r="X8" t="n">
        <v>34</v>
      </c>
    </row>
    <row r="9">
      <c r="S9" t="s">
        <v>1763</v>
      </c>
      <c r="W9" t="s">
        <v>1764</v>
      </c>
      <c r="X9" t="n">
        <v>34</v>
      </c>
    </row>
    <row r="10">
      <c r="S10" t="s">
        <v>1765</v>
      </c>
      <c r="W10" t="s">
        <v>1761</v>
      </c>
      <c r="X10" t="n">
        <v>37.700000000000003</v>
      </c>
    </row>
    <row r="11">
      <c r="S11" t="s">
        <v>1765</v>
      </c>
      <c r="W11" t="s">
        <v>1764</v>
      </c>
      <c r="X11" t="n">
        <v>37.700000000000003</v>
      </c>
    </row>
    <row r="12">
      <c r="S12" t="s">
        <v>380</v>
      </c>
      <c r="W12" t="s">
        <v>1761</v>
      </c>
      <c r="X12" t="n">
        <v>0</v>
      </c>
    </row>
    <row r="13">
      <c r="S13" t="s">
        <v>380</v>
      </c>
      <c r="W13" t="s">
        <v>1764</v>
      </c>
      <c r="X13" t="n">
        <v>0</v>
      </c>
    </row>
    <row r="14">
      <c r="S14" t="s">
        <v>1767</v>
      </c>
      <c r="W14" t="s">
        <v>1761</v>
      </c>
      <c r="X14" t="n">
        <v>21.9</v>
      </c>
    </row>
    <row r="15">
      <c r="S15" t="s">
        <v>1767</v>
      </c>
      <c r="W15" t="s">
        <v>1764</v>
      </c>
      <c r="X15" t="n">
        <f>X8-X9+X10-X11+X12-X13+X14</f>
        <v>21.9</v>
      </c>
      <c r="Z15" t="n">
        <v>21.9</v>
      </c>
      <c r="AA15" t="n">
        <v>21.89</v>
      </c>
    </row>
    <row r="16">
      <c r="X16" t="n">
        <f>X7-X8+X9-X10+X11-X12+X13-X14+X15</f>
        <v>1961.9</v>
      </c>
    </row>
    <row r="17">
      <c r="S17" t="s">
        <v>1766</v>
      </c>
      <c r="W17" t="s">
        <v>1761</v>
      </c>
      <c r="X17" t="n">
        <v>12</v>
      </c>
      <c r="Z17" t="n">
        <v>12</v>
      </c>
      <c r="AA17" t="n">
        <v>12</v>
      </c>
    </row>
    <row r="18">
      <c r="S18" t="s">
        <v>151</v>
      </c>
      <c r="W18" t="s">
        <v>1761</v>
      </c>
      <c r="X18" t="n">
        <v>1.4</v>
      </c>
      <c r="Z18" t="n">
        <v>1.4</v>
      </c>
      <c r="AA18" t="n">
        <v>1.4</v>
      </c>
    </row>
    <row r="19">
      <c r="X19" t="n">
        <f>X16-X17-X18</f>
        <v>1948.5</v>
      </c>
      <c r="Z19" t="n">
        <f>Z7-Z17-Z18+Z15</f>
        <v>1959.0433333333328</v>
      </c>
      <c r="AA19" t="n">
        <f>AA7-AA17-AA18+AA15</f>
        <v>1967.8614285714289</v>
      </c>
    </row>
    <row r="21">
      <c r="M21" s="86" t="s">
        <v>1768</v>
      </c>
    </row>
    <row r="22">
      <c r="M22" s="308" t="s">
        <v>88</v>
      </c>
      <c r="N22" s="667"/>
      <c r="O22" s="667"/>
      <c r="P22" s="667"/>
      <c r="Q22" s="667"/>
      <c r="R22" s="667"/>
      <c r="S22" s="667"/>
      <c r="T22" s="667"/>
      <c r="U22" s="667"/>
      <c r="V22" s="667"/>
      <c r="W22" s="307"/>
    </row>
    <row r="23">
      <c r="M23" s="1120" t="s">
        <v>1777</v>
      </c>
      <c r="W23" s="287"/>
    </row>
    <row r="24">
      <c r="M24" s="1120" t="s">
        <v>1776</v>
      </c>
      <c r="N24" s="148"/>
      <c r="O24" s="148"/>
      <c r="P24" s="148"/>
      <c r="Q24" s="148"/>
      <c r="R24" s="148"/>
      <c r="S24" s="148"/>
      <c r="T24" s="148"/>
      <c r="U24" s="148"/>
      <c r="V24" s="148"/>
      <c r="W24" s="1121"/>
      <c r="X24" s="148"/>
      <c r="Y24" s="148"/>
    </row>
    <row r="25">
      <c r="M25" s="1119" t="s">
        <v>136</v>
      </c>
      <c r="W25" s="287"/>
    </row>
    <row r="26">
      <c r="M26" s="1119" t="s">
        <v>138</v>
      </c>
      <c r="W26" s="287"/>
    </row>
    <row r="27">
      <c r="M27" s="1119" t="s">
        <v>47</v>
      </c>
      <c r="W27" s="287"/>
    </row>
    <row r="28">
      <c r="M28" s="1119" t="s">
        <v>147</v>
      </c>
      <c r="W28" s="287"/>
    </row>
    <row r="29">
      <c r="M29" s="1119" t="s">
        <v>1769</v>
      </c>
      <c r="W29" s="287"/>
    </row>
    <row r="30">
      <c r="M30" s="1122" t="s">
        <v>1770</v>
      </c>
      <c r="N30" s="77"/>
      <c r="O30" s="77"/>
      <c r="P30" s="77"/>
      <c r="Q30" s="77"/>
      <c r="R30" s="77"/>
      <c r="S30" s="77"/>
      <c r="T30" s="77"/>
      <c r="U30" s="77"/>
      <c r="V30" s="77"/>
      <c r="W30" s="288"/>
      <c r="X30" t="s">
        <v>1771</v>
      </c>
    </row>
    <row r="31">
      <c r="M31" s="1123" t="s">
        <v>1766</v>
      </c>
      <c r="N31" s="667"/>
      <c r="O31" s="667"/>
      <c r="P31" s="667"/>
      <c r="Q31" s="667"/>
      <c r="R31" s="667"/>
      <c r="S31" s="667"/>
      <c r="T31" s="667"/>
      <c r="U31" s="667"/>
      <c r="V31" s="667"/>
      <c r="W31" s="307"/>
    </row>
    <row r="32">
      <c r="M32" s="1122" t="s">
        <v>151</v>
      </c>
      <c r="N32" s="77"/>
      <c r="O32" s="77"/>
      <c r="P32" s="77"/>
      <c r="Q32" s="77"/>
      <c r="R32" s="77"/>
      <c r="S32" s="77"/>
      <c r="T32" s="77"/>
      <c r="U32" s="77"/>
      <c r="V32" s="77"/>
      <c r="W32" s="288"/>
      <c r="X32" t="s">
        <v>1772</v>
      </c>
    </row>
    <row r="33">
      <c r="M33" s="1123" t="s">
        <v>93</v>
      </c>
      <c r="N33" s="667"/>
      <c r="O33" s="667"/>
      <c r="P33" s="667"/>
      <c r="Q33" s="667"/>
      <c r="R33" s="667"/>
      <c r="S33" s="667"/>
      <c r="T33" s="667"/>
      <c r="U33" s="667"/>
      <c r="V33" s="667"/>
      <c r="W33" s="307"/>
    </row>
    <row r="34">
      <c r="M34" s="1119" t="s">
        <v>94</v>
      </c>
      <c r="W34" s="287"/>
    </row>
    <row r="35">
      <c r="M35" s="1119" t="s">
        <v>1773</v>
      </c>
      <c r="W35" s="287"/>
    </row>
    <row r="36">
      <c r="M36" s="1119" t="s">
        <v>89</v>
      </c>
      <c r="W36" s="287"/>
    </row>
    <row r="37">
      <c r="M37" s="1122" t="s">
        <v>1774</v>
      </c>
      <c r="N37" s="77"/>
      <c r="O37" s="77"/>
      <c r="P37" s="77"/>
      <c r="Q37" s="77"/>
      <c r="R37" s="77"/>
      <c r="S37" s="77"/>
      <c r="T37" s="77"/>
      <c r="U37" s="77"/>
      <c r="V37" s="77"/>
      <c r="W37" s="288"/>
      <c r="X37" t="s">
        <v>1775</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topLeftCell="G1" zoomScale="90" zoomScaleNormal="90" workbookViewId="0">
      <selection activeCell="T29" sqref="T29"/>
    </sheetView>
  </sheetViews>
  <sheetFormatPr defaultRowHeight="15.0" baseColWidth="10"/>
  <cols>
    <col min="1" max="1" width="0" hidden="1" customWidth="1"/>
    <col min="2" max="2" width="0" hidden="1" customWidth="1"/>
    <col min="3" max="3" width="0" hidden="1" customWidth="1"/>
    <col min="4" max="4" width="0" hidden="1" customWidth="1"/>
    <col min="5" max="5" width="0" hidden="1" customWidth="1"/>
    <col min="6" max="6" width="0" hidden="1" customWidth="1"/>
    <col min="8" max="8" width="22.453125" hidden="0" customWidth="1"/>
    <col min="9" max="9" width="11.453125" hidden="0" customWidth="1"/>
    <col min="10" max="10" width="13.1796875" hidden="0" customWidth="1"/>
    <col min="11" max="11" width="11.1796875" hidden="0" customWidth="1"/>
    <col min="12" max="12" width="10.1796875" hidden="0" customWidth="1"/>
    <col min="13" max="13" width="9.453125" hidden="0" customWidth="1"/>
    <col min="14" max="14" width="8.81640625" hidden="0" customWidth="1"/>
    <col min="15" max="15" width="8.81640625" hidden="0" customWidth="1"/>
    <col min="16" max="16" width="11.81640625" hidden="0" customWidth="1"/>
    <col min="17" max="17" width="8.81640625" hidden="0" customWidth="1"/>
    <col min="18" max="18" width="8.81640625" hidden="0" customWidth="1"/>
    <col min="19" max="19" width="9.453125" hidden="0" customWidth="1"/>
  </cols>
  <sheetData>
    <row r="1">
      <c r="H1" s="266" t="s">
        <v>227</v>
      </c>
      <c r="I1" s="266"/>
      <c r="J1" s="266"/>
      <c r="K1" s="266"/>
      <c r="L1" s="266"/>
      <c r="M1" s="266"/>
      <c r="N1" s="266"/>
      <c r="O1" s="266"/>
      <c r="P1" s="266"/>
      <c r="Q1" s="266"/>
      <c r="R1" s="266"/>
      <c r="S1" s="266"/>
    </row>
    <row r="2">
      <c r="H2" s="267" t="s">
        <v>228</v>
      </c>
      <c r="I2" s="267"/>
      <c r="J2" s="267"/>
      <c r="K2" s="267"/>
      <c r="L2" s="267"/>
      <c r="M2" s="267"/>
      <c r="N2" s="267"/>
      <c r="O2" s="267"/>
      <c r="P2" s="267"/>
      <c r="Q2" s="267"/>
      <c r="R2" s="267"/>
      <c r="S2" s="267"/>
    </row>
    <row r="3">
      <c r="H3" s="267"/>
      <c r="I3" s="267"/>
      <c r="J3" s="267"/>
      <c r="K3" s="267"/>
      <c r="L3" s="267"/>
      <c r="M3" s="267"/>
      <c r="N3" s="267"/>
      <c r="O3" s="267"/>
      <c r="P3" s="267"/>
      <c r="Q3" s="267"/>
      <c r="R3" s="267"/>
      <c r="S3" s="267"/>
    </row>
    <row r="4">
      <c r="H4" s="267"/>
      <c r="I4" s="267"/>
      <c r="J4" s="267"/>
      <c r="K4" s="267"/>
      <c r="L4" s="267"/>
      <c r="M4" s="267"/>
      <c r="N4" s="267"/>
      <c r="O4" s="267"/>
      <c r="P4" s="267"/>
      <c r="Q4" s="267"/>
      <c r="R4" s="267"/>
      <c r="S4" s="267"/>
    </row>
    <row r="5" ht="54.75" customHeight="1">
      <c r="H5" s="267"/>
      <c r="I5" s="267"/>
      <c r="J5" s="267"/>
      <c r="K5" s="267"/>
      <c r="L5" s="267"/>
      <c r="M5" s="267"/>
      <c r="N5" s="267"/>
      <c r="O5" s="267"/>
      <c r="P5" s="267"/>
      <c r="Q5" s="267"/>
      <c r="R5" s="267"/>
      <c r="S5" s="267"/>
    </row>
    <row r="6">
      <c r="H6" s="383"/>
      <c r="I6" s="383"/>
      <c r="J6" s="383"/>
      <c r="K6" s="383"/>
      <c r="L6" s="383"/>
      <c r="M6" s="383"/>
      <c r="N6" s="383"/>
      <c r="O6" s="383"/>
      <c r="P6" s="383"/>
      <c r="Q6" s="383"/>
      <c r="R6" s="383"/>
      <c r="S6" s="383"/>
    </row>
    <row r="7">
      <c r="H7" s="1131" t="s">
        <v>229</v>
      </c>
    </row>
    <row r="8" ht="16.399999999999999" customHeight="1"/>
    <row r="9" ht="15.75" customHeight="1">
      <c r="L9" s="254" t="n">
        <v>2020</v>
      </c>
      <c r="M9" s="441"/>
      <c r="N9" s="441"/>
      <c r="O9" s="304" t="n">
        <v>2021</v>
      </c>
      <c r="P9" s="304"/>
      <c r="Q9" s="304"/>
      <c r="R9" s="1144"/>
    </row>
    <row r="10" ht="41.9" customHeight="1">
      <c r="H10" s="1126" t="s">
        <v>230</v>
      </c>
      <c r="I10" s="1126" t="s">
        <v>231</v>
      </c>
      <c r="J10" s="1127" t="s">
        <v>232</v>
      </c>
      <c r="K10" s="392"/>
      <c r="L10" s="1136" t="s">
        <v>195</v>
      </c>
      <c r="M10" s="1137" t="s">
        <v>171</v>
      </c>
      <c r="N10" s="1137" t="s">
        <v>193</v>
      </c>
      <c r="O10" s="1137" t="s">
        <v>194</v>
      </c>
      <c r="P10" s="1137" t="s">
        <v>195</v>
      </c>
      <c r="Q10" s="1137" t="s">
        <v>171</v>
      </c>
      <c r="R10" s="1125" t="s">
        <v>193</v>
      </c>
      <c r="S10" s="383" t="s">
        <v>233</v>
      </c>
      <c r="T10" s="392"/>
      <c r="U10" s="392"/>
      <c r="V10" s="392"/>
    </row>
    <row r="11">
      <c r="H11" s="1128" t="n">
        <v>43934</v>
      </c>
      <c r="I11" s="286" t="n">
        <v>248</v>
      </c>
      <c r="J11" s="735" t="n">
        <f>I11</f>
        <v>248</v>
      </c>
      <c r="K11" s="286"/>
      <c r="L11" s="1141" t="n">
        <f>S11/26*J11</f>
        <v>95.384615384615387</v>
      </c>
      <c r="M11" s="800" t="n">
        <f>13/26*J11</f>
        <v>124</v>
      </c>
      <c r="N11" s="800" t="n">
        <f>J11-SUM(L11:M11)</f>
        <v>28.615384615384613</v>
      </c>
      <c r="O11" s="800"/>
      <c r="P11" s="800"/>
      <c r="Q11" s="800"/>
      <c r="R11" s="775"/>
      <c r="S11" s="286" t="n">
        <v>10</v>
      </c>
      <c r="T11" s="286"/>
      <c r="U11" s="1133"/>
      <c r="V11" s="286"/>
    </row>
    <row r="12">
      <c r="H12" s="1134" t="n">
        <v>43937</v>
      </c>
      <c r="I12" s="286" t="n">
        <v>342</v>
      </c>
      <c r="J12" s="735" t="n">
        <f>I12-I11</f>
        <v>94</v>
      </c>
      <c r="K12" s="286"/>
      <c r="L12" s="1141" t="n">
        <f t="shared" ref="L12:L20" si="0">S12/26*J12</f>
        <v>36.153846153846153</v>
      </c>
      <c r="M12" s="800" t="n">
        <f t="shared" ref="M12:M20" si="1">13/26*J12</f>
        <v>47</v>
      </c>
      <c r="N12" s="800" t="n">
        <f t="shared" ref="N12:N21" si="2">J12-SUM(L12:M12)</f>
        <v>10.84615384615384</v>
      </c>
      <c r="O12" s="800"/>
      <c r="P12" s="800"/>
      <c r="Q12" s="800"/>
      <c r="R12" s="775"/>
      <c r="S12" s="286" t="n">
        <v>10</v>
      </c>
      <c r="T12" s="286"/>
      <c r="U12" s="286"/>
      <c r="V12" s="286"/>
    </row>
    <row r="13">
      <c r="H13" s="1134" t="n">
        <v>43952</v>
      </c>
      <c r="I13" s="286" t="n">
        <v>518</v>
      </c>
      <c r="J13" s="735" t="n">
        <f>I13-I12</f>
        <v>176</v>
      </c>
      <c r="K13" s="286"/>
      <c r="L13" s="1141" t="n">
        <f t="shared" si="0"/>
        <v>54.15384615384616</v>
      </c>
      <c r="M13" s="800" t="n">
        <f t="shared" si="1"/>
        <v>88</v>
      </c>
      <c r="N13" s="800" t="n">
        <f t="shared" si="2"/>
        <v>33.84615384615384</v>
      </c>
      <c r="O13" s="800"/>
      <c r="P13" s="800"/>
      <c r="Q13" s="800"/>
      <c r="R13" s="775"/>
      <c r="S13" s="286" t="n">
        <v>8</v>
      </c>
      <c r="T13" s="286"/>
      <c r="U13" s="286"/>
      <c r="V13" s="286"/>
    </row>
    <row r="14">
      <c r="H14" s="1134" t="n">
        <v>43959</v>
      </c>
      <c r="I14" s="286" t="n">
        <v>531</v>
      </c>
      <c r="J14" s="735" t="n">
        <f t="shared" ref="J14:J45" si="3">I14-I13</f>
        <v>13</v>
      </c>
      <c r="K14" s="286"/>
      <c r="L14" s="1141" t="n">
        <f t="shared" si="0"/>
        <v>3.5</v>
      </c>
      <c r="M14" s="800" t="n">
        <f t="shared" si="1"/>
        <v>6.5</v>
      </c>
      <c r="N14" s="800" t="n">
        <f t="shared" si="2"/>
        <v>3</v>
      </c>
      <c r="O14" s="800"/>
      <c r="P14" s="800"/>
      <c r="Q14" s="800"/>
      <c r="R14" s="775"/>
      <c r="S14" s="286" t="n">
        <f t="shared" ref="S14:S20" si="4">S13-1</f>
        <v>7</v>
      </c>
      <c r="T14" s="286"/>
      <c r="U14" s="286"/>
      <c r="V14" s="286"/>
    </row>
    <row r="15">
      <c r="H15" s="1134" t="n">
        <v>43967</v>
      </c>
      <c r="I15" s="286" t="n">
        <v>513</v>
      </c>
      <c r="J15" s="735" t="n">
        <f t="shared" si="3"/>
        <v>-18</v>
      </c>
      <c r="K15" s="286"/>
      <c r="L15" s="1141" t="n">
        <f t="shared" ref="L15:L17" si="5">S15/26*J15</f>
        <v>-4.1538461538461542</v>
      </c>
      <c r="M15" s="800" t="n">
        <f t="shared" ref="M15:M17" si="6">13/26*J15</f>
        <v>-9</v>
      </c>
      <c r="N15" s="800" t="n">
        <f t="shared" ref="N15:N17" si="7">J15-SUM(L15:M15)</f>
        <v>-4.8461538461538467</v>
      </c>
      <c r="O15" s="800"/>
      <c r="P15" s="800"/>
      <c r="Q15" s="800"/>
      <c r="R15" s="775"/>
      <c r="S15" s="286" t="n">
        <f t="shared" si="4"/>
        <v>6</v>
      </c>
      <c r="T15" s="286"/>
      <c r="U15" s="286"/>
      <c r="V15" s="286"/>
    </row>
    <row r="16">
      <c r="H16" s="1134" t="n">
        <v>43974</v>
      </c>
      <c r="I16" s="286" t="n">
        <v>511</v>
      </c>
      <c r="J16" s="735" t="n">
        <f t="shared" si="3"/>
        <v>-2</v>
      </c>
      <c r="K16" s="286"/>
      <c r="L16" s="1141" t="n">
        <f t="shared" si="5"/>
        <v>-0.38461538461538464</v>
      </c>
      <c r="M16" s="800" t="n">
        <f t="shared" si="6"/>
        <v>-1</v>
      </c>
      <c r="N16" s="800" t="n">
        <f t="shared" si="7"/>
        <v>-0.61538461538461542</v>
      </c>
      <c r="O16" s="800"/>
      <c r="P16" s="800"/>
      <c r="Q16" s="800"/>
      <c r="R16" s="775"/>
      <c r="S16" s="286" t="n">
        <f t="shared" si="4"/>
        <v>5</v>
      </c>
      <c r="T16" s="286"/>
      <c r="U16" s="286"/>
      <c r="V16" s="286"/>
    </row>
    <row r="17">
      <c r="H17" s="1134" t="n">
        <v>43981</v>
      </c>
      <c r="I17" s="286" t="n">
        <v>510</v>
      </c>
      <c r="J17" s="735" t="n">
        <f t="shared" si="3"/>
        <v>-1</v>
      </c>
      <c r="K17" s="286"/>
      <c r="L17" s="1141" t="n">
        <f t="shared" si="5"/>
        <v>-0.15384615384615385</v>
      </c>
      <c r="M17" s="800" t="n">
        <f t="shared" si="6"/>
        <v>-0.5</v>
      </c>
      <c r="N17" s="800" t="n">
        <f t="shared" si="7"/>
        <v>-0.34615384615384615</v>
      </c>
      <c r="O17" s="800"/>
      <c r="P17" s="800"/>
      <c r="Q17" s="800"/>
      <c r="R17" s="775"/>
      <c r="S17" s="286" t="n">
        <f t="shared" si="4"/>
        <v>4</v>
      </c>
      <c r="T17" s="286"/>
      <c r="U17" s="286"/>
      <c r="V17" s="286"/>
    </row>
    <row r="18">
      <c r="H18" s="1134" t="n">
        <v>43988</v>
      </c>
      <c r="I18" s="286" t="n">
        <v>511</v>
      </c>
      <c r="J18" s="735" t="n">
        <f t="shared" si="3"/>
        <v>1</v>
      </c>
      <c r="K18" s="286"/>
      <c r="L18" s="1141" t="n">
        <f t="shared" si="0"/>
        <v>0.11538461538461539</v>
      </c>
      <c r="M18" s="800" t="n">
        <f t="shared" si="1"/>
        <v>0.5</v>
      </c>
      <c r="N18" s="800" t="n">
        <f t="shared" si="2"/>
        <v>0.38461538461538458</v>
      </c>
      <c r="O18" s="800"/>
      <c r="P18" s="800"/>
      <c r="Q18" s="800"/>
      <c r="R18" s="775"/>
      <c r="S18" s="286" t="n">
        <f t="shared" si="4"/>
        <v>3</v>
      </c>
      <c r="T18" s="286"/>
      <c r="U18" s="286"/>
      <c r="V18" s="286"/>
    </row>
    <row r="19">
      <c r="H19" s="1134" t="n">
        <v>43994</v>
      </c>
      <c r="I19" s="286" t="n">
        <v>512</v>
      </c>
      <c r="J19" s="735" t="n">
        <f t="shared" si="3"/>
        <v>1</v>
      </c>
      <c r="K19" s="286"/>
      <c r="L19" s="1141" t="n">
        <f t="shared" si="0"/>
        <v>7.6923076923076927E-2</v>
      </c>
      <c r="M19" s="800" t="n">
        <f t="shared" si="1"/>
        <v>0.5</v>
      </c>
      <c r="N19" s="800" t="n">
        <f t="shared" si="2"/>
        <v>0.42307692307692313</v>
      </c>
      <c r="O19" s="800"/>
      <c r="P19" s="800"/>
      <c r="Q19" s="800"/>
      <c r="R19" s="775"/>
      <c r="S19" s="286" t="n">
        <f t="shared" si="4"/>
        <v>2</v>
      </c>
      <c r="T19" s="286"/>
      <c r="U19" s="286"/>
      <c r="V19" s="286"/>
    </row>
    <row r="20">
      <c r="H20" s="1134" t="n">
        <v>44002</v>
      </c>
      <c r="I20" s="286" t="n">
        <v>515</v>
      </c>
      <c r="J20" s="735" t="n">
        <f t="shared" si="3"/>
        <v>3</v>
      </c>
      <c r="K20" s="286"/>
      <c r="L20" s="1141" t="n">
        <f t="shared" si="0"/>
        <v>0.11538461538461539</v>
      </c>
      <c r="M20" s="800" t="n">
        <f t="shared" si="1"/>
        <v>1.5</v>
      </c>
      <c r="N20" s="800" t="n">
        <f t="shared" si="2"/>
        <v>1.3846153846153846</v>
      </c>
      <c r="O20" s="800"/>
      <c r="P20" s="800"/>
      <c r="Q20" s="800"/>
      <c r="R20" s="775"/>
      <c r="S20" s="286" t="n">
        <f t="shared" si="4"/>
        <v>1</v>
      </c>
      <c r="T20" s="286"/>
      <c r="U20" s="286"/>
      <c r="V20" s="286"/>
    </row>
    <row r="21">
      <c r="H21" s="1134" t="n">
        <v>44009</v>
      </c>
      <c r="I21" s="286" t="n">
        <v>519</v>
      </c>
      <c r="J21" s="735" t="n">
        <f t="shared" si="3"/>
        <v>4</v>
      </c>
      <c r="K21" s="286"/>
      <c r="L21" s="1141"/>
      <c r="M21" s="800" t="n">
        <f>S21/26*J21</f>
        <v>2</v>
      </c>
      <c r="N21" s="800" t="n">
        <f t="shared" si="2"/>
        <v>2</v>
      </c>
      <c r="O21" s="800"/>
      <c r="P21" s="800"/>
      <c r="Q21" s="800"/>
      <c r="R21" s="775"/>
      <c r="S21" s="286" t="n">
        <v>13</v>
      </c>
      <c r="T21" s="286"/>
      <c r="U21" s="286"/>
      <c r="V21" s="286"/>
    </row>
    <row r="22">
      <c r="H22" s="1134" t="n">
        <v>44012</v>
      </c>
      <c r="I22" s="286" t="n">
        <v>521</v>
      </c>
      <c r="J22" s="735" t="n">
        <f t="shared" si="3"/>
        <v>2</v>
      </c>
      <c r="K22" s="286"/>
      <c r="L22" s="1141"/>
      <c r="M22" s="800" t="n">
        <f t="shared" ref="M22:M26" si="8">S22/26*J22</f>
        <v>1</v>
      </c>
      <c r="N22" s="800" t="n">
        <f>J22-SUM(L22:M22)</f>
        <v>1</v>
      </c>
      <c r="O22" s="800"/>
      <c r="P22" s="800"/>
      <c r="Q22" s="800"/>
      <c r="R22" s="775"/>
      <c r="S22" s="286" t="n">
        <v>13</v>
      </c>
      <c r="T22" s="286"/>
      <c r="U22" s="286"/>
      <c r="V22" s="286"/>
    </row>
    <row r="23">
      <c r="H23" s="1134" t="n">
        <v>44029</v>
      </c>
      <c r="I23" s="286" t="n">
        <v>518</v>
      </c>
      <c r="J23" s="735" t="n">
        <f t="shared" si="3"/>
        <v>-3</v>
      </c>
      <c r="K23" s="286"/>
      <c r="L23" s="1141"/>
      <c r="M23" s="800" t="n">
        <f t="shared" ref="M23" si="9">S23/26*J23</f>
        <v>-1.153846153846154</v>
      </c>
      <c r="N23" s="800" t="n">
        <f t="shared" ref="N23" si="10">13/26*J23</f>
        <v>-1.5</v>
      </c>
      <c r="O23" s="800" t="n">
        <f t="shared" ref="O23" si="11">J23-N23-M23</f>
        <v>-0.34615384615384603</v>
      </c>
      <c r="P23" s="800"/>
      <c r="Q23" s="800"/>
      <c r="R23" s="775"/>
      <c r="S23" s="286" t="n">
        <f>S22-3</f>
        <v>10</v>
      </c>
      <c r="T23" s="286"/>
      <c r="U23" s="286"/>
      <c r="V23" s="286"/>
    </row>
    <row r="24">
      <c r="H24" s="1134" t="n">
        <v>44036</v>
      </c>
      <c r="I24" s="286" t="n">
        <v>520</v>
      </c>
      <c r="J24" s="735" t="n">
        <f t="shared" si="3"/>
        <v>2</v>
      </c>
      <c r="K24" s="286"/>
      <c r="L24" s="1141"/>
      <c r="M24" s="800" t="n">
        <f t="shared" si="8"/>
        <v>0.69230769230769229</v>
      </c>
      <c r="N24" s="800" t="n">
        <f t="shared" ref="N24:N26" si="12">13/26*J24</f>
        <v>1</v>
      </c>
      <c r="O24" s="800" t="n">
        <f t="shared" ref="O24:O26" si="13">J24-N24-M24</f>
        <v>0.30769230769230771</v>
      </c>
      <c r="P24" s="800"/>
      <c r="Q24" s="800"/>
      <c r="R24" s="775"/>
      <c r="S24" s="286" t="n">
        <f>S23-1</f>
        <v>9</v>
      </c>
      <c r="T24" s="286"/>
      <c r="U24" s="286"/>
      <c r="V24" s="286"/>
    </row>
    <row r="25">
      <c r="H25" s="1134" t="n">
        <v>44043</v>
      </c>
      <c r="I25" s="286" t="n">
        <v>521</v>
      </c>
      <c r="J25" s="735" t="n">
        <f t="shared" si="3"/>
        <v>1</v>
      </c>
      <c r="K25" s="286"/>
      <c r="L25" s="1141"/>
      <c r="M25" s="800" t="n">
        <f t="shared" si="8"/>
        <v>0.30769230769230771</v>
      </c>
      <c r="N25" s="800" t="n">
        <f t="shared" si="12"/>
        <v>0.5</v>
      </c>
      <c r="O25" s="800" t="n">
        <f t="shared" si="13"/>
        <v>0.19230769230769229</v>
      </c>
      <c r="P25" s="800"/>
      <c r="Q25" s="800"/>
      <c r="R25" s="775"/>
      <c r="S25" s="286" t="n">
        <f>S24-1</f>
        <v>8</v>
      </c>
      <c r="T25" s="286"/>
      <c r="U25" s="286"/>
      <c r="V25" s="286"/>
    </row>
    <row r="26">
      <c r="H26" s="1134" t="n">
        <v>44051</v>
      </c>
      <c r="I26" s="286" t="n">
        <v>525</v>
      </c>
      <c r="J26" s="735" t="n">
        <f t="shared" si="3"/>
        <v>4</v>
      </c>
      <c r="K26" s="286"/>
      <c r="L26" s="1141"/>
      <c r="M26" s="800" t="n">
        <f t="shared" si="8"/>
        <v>1.0769230769230769</v>
      </c>
      <c r="N26" s="800" t="n">
        <f t="shared" si="12"/>
        <v>2</v>
      </c>
      <c r="O26" s="800" t="n">
        <f t="shared" si="13"/>
        <v>0.92307692307692313</v>
      </c>
      <c r="P26" s="800"/>
      <c r="Q26" s="800"/>
      <c r="R26" s="775"/>
      <c r="S26" s="286" t="n">
        <f>S25-1</f>
        <v>7</v>
      </c>
      <c r="T26" s="286"/>
      <c r="U26" s="286"/>
      <c r="V26" s="286"/>
    </row>
    <row r="27">
      <c r="H27" s="1134" t="n">
        <v>44220</v>
      </c>
      <c r="I27" s="286" t="n">
        <v>558</v>
      </c>
      <c r="J27" s="735" t="n">
        <f t="shared" si="3"/>
        <v>33</v>
      </c>
      <c r="K27" s="286"/>
      <c r="L27" s="1141"/>
      <c r="M27" s="800"/>
      <c r="N27" s="800"/>
      <c r="O27" s="800" t="n">
        <f>S27/26*J27</f>
        <v>12.692307692307693</v>
      </c>
      <c r="P27" s="800" t="n">
        <f>J27/2</f>
        <v>16.5</v>
      </c>
      <c r="Q27" s="800" t="n">
        <f>J27-P27-O27</f>
        <v>3.8076923076923066</v>
      </c>
      <c r="R27" s="775"/>
      <c r="S27" s="286" t="n">
        <v>10</v>
      </c>
      <c r="T27" s="286" t="n">
        <v>10</v>
      </c>
      <c r="U27" s="286"/>
      <c r="V27" s="286"/>
    </row>
    <row r="28">
      <c r="H28" s="1134" t="n">
        <v>44227</v>
      </c>
      <c r="I28" s="286" t="n">
        <v>596</v>
      </c>
      <c r="J28" s="735" t="n">
        <f t="shared" si="3"/>
        <v>38</v>
      </c>
      <c r="K28" s="286"/>
      <c r="L28" s="1141"/>
      <c r="M28" s="800"/>
      <c r="N28" s="800"/>
      <c r="O28" s="800" t="n">
        <f t="shared" ref="O28:O36" si="14">S28/26*J28</f>
        <v>13.153846153846153</v>
      </c>
      <c r="P28" s="800" t="n">
        <f t="shared" ref="P28:P36" si="15">J28/2</f>
        <v>19</v>
      </c>
      <c r="Q28" s="800" t="n">
        <f t="shared" ref="Q28:Q36" si="16">J28-P28-O28</f>
        <v>5.8461538461538467</v>
      </c>
      <c r="R28" s="775"/>
      <c r="S28" s="286" t="n">
        <f>S27-1</f>
        <v>9</v>
      </c>
      <c r="T28" s="286" t="n">
        <f>T27-1</f>
        <v>9</v>
      </c>
      <c r="U28" s="286"/>
      <c r="V28" s="286"/>
    </row>
    <row r="29">
      <c r="H29" s="1134" t="n">
        <v>44234</v>
      </c>
      <c r="I29" s="286" t="n">
        <v>623</v>
      </c>
      <c r="J29" s="735" t="n">
        <f t="shared" si="3"/>
        <v>27</v>
      </c>
      <c r="K29" s="286"/>
      <c r="L29" s="1141"/>
      <c r="M29" s="800"/>
      <c r="N29" s="800"/>
      <c r="O29" s="800" t="n">
        <f t="shared" si="14"/>
        <v>8.3076923076923084</v>
      </c>
      <c r="P29" s="800" t="n">
        <f t="shared" si="15"/>
        <v>13.5</v>
      </c>
      <c r="Q29" s="800" t="n">
        <f t="shared" si="16"/>
        <v>5.1923076923076916</v>
      </c>
      <c r="R29" s="775"/>
      <c r="S29" s="286" t="n">
        <f t="shared" ref="S29:S36" si="17">S28-1</f>
        <v>8</v>
      </c>
      <c r="T29" s="286" t="n">
        <f t="shared" ref="T29:T36" si="18">T28-1</f>
        <v>8</v>
      </c>
      <c r="U29" s="286"/>
      <c r="V29" s="286"/>
    </row>
    <row r="30">
      <c r="H30" s="1134" t="n">
        <v>44242</v>
      </c>
      <c r="I30" s="286" t="n">
        <v>648</v>
      </c>
      <c r="J30" s="735" t="n">
        <f t="shared" si="3"/>
        <v>25</v>
      </c>
      <c r="K30" s="286"/>
      <c r="L30" s="1141"/>
      <c r="M30" s="800"/>
      <c r="N30" s="800"/>
      <c r="O30" s="800" t="n">
        <f t="shared" si="14"/>
        <v>6.7307692307692308</v>
      </c>
      <c r="P30" s="800" t="n">
        <f t="shared" si="15"/>
        <v>12.5</v>
      </c>
      <c r="Q30" s="800" t="n">
        <f t="shared" si="16"/>
        <v>5.7692307692307692</v>
      </c>
      <c r="R30" s="775"/>
      <c r="S30" s="286" t="n">
        <f t="shared" si="17"/>
        <v>7</v>
      </c>
      <c r="T30" s="286" t="n">
        <f t="shared" si="18"/>
        <v>7</v>
      </c>
      <c r="U30" s="286"/>
      <c r="V30" s="286"/>
    </row>
    <row r="31">
      <c r="H31" s="1134" t="n">
        <v>44248</v>
      </c>
      <c r="I31" s="286" t="n">
        <v>663</v>
      </c>
      <c r="J31" s="735" t="n">
        <f t="shared" si="3"/>
        <v>15</v>
      </c>
      <c r="K31" s="286"/>
      <c r="L31" s="1141"/>
      <c r="M31" s="800"/>
      <c r="N31" s="800"/>
      <c r="O31" s="800" t="n">
        <f t="shared" si="14"/>
        <v>3.4615384615384617</v>
      </c>
      <c r="P31" s="800" t="n">
        <f t="shared" si="15"/>
        <v>7.5</v>
      </c>
      <c r="Q31" s="800" t="n">
        <f t="shared" si="16"/>
        <v>4.0384615384615383</v>
      </c>
      <c r="R31" s="775"/>
      <c r="S31" s="286" t="n">
        <f t="shared" si="17"/>
        <v>6</v>
      </c>
      <c r="T31" s="286" t="n">
        <f t="shared" si="18"/>
        <v>6</v>
      </c>
      <c r="U31" s="286"/>
      <c r="V31" s="286"/>
    </row>
    <row r="32">
      <c r="H32" s="1134" t="n">
        <v>44255</v>
      </c>
      <c r="I32" s="286" t="n">
        <v>679</v>
      </c>
      <c r="J32" s="735" t="n">
        <f t="shared" si="3"/>
        <v>16</v>
      </c>
      <c r="K32" s="286"/>
      <c r="L32" s="1141"/>
      <c r="M32" s="800"/>
      <c r="N32" s="800"/>
      <c r="O32" s="800" t="n">
        <f t="shared" si="14"/>
        <v>3.0769230769230771</v>
      </c>
      <c r="P32" s="800" t="n">
        <f t="shared" si="15"/>
        <v>8</v>
      </c>
      <c r="Q32" s="800" t="n">
        <f t="shared" si="16"/>
        <v>4.9230769230769234</v>
      </c>
      <c r="R32" s="775"/>
      <c r="S32" s="286" t="n">
        <f t="shared" si="17"/>
        <v>5</v>
      </c>
      <c r="T32" s="286" t="n">
        <f t="shared" si="18"/>
        <v>5</v>
      </c>
      <c r="U32" s="286"/>
      <c r="V32" s="286"/>
    </row>
    <row r="33">
      <c r="H33" s="1134" t="n">
        <v>44262</v>
      </c>
      <c r="I33" s="286" t="n">
        <v>687</v>
      </c>
      <c r="J33" s="735" t="n">
        <f t="shared" si="3"/>
        <v>8</v>
      </c>
      <c r="K33" s="286"/>
      <c r="L33" s="1141"/>
      <c r="M33" s="800"/>
      <c r="N33" s="800"/>
      <c r="O33" s="800" t="n">
        <f t="shared" si="14"/>
        <v>1.2307692307692308</v>
      </c>
      <c r="P33" s="800" t="n">
        <f t="shared" si="15"/>
        <v>4</v>
      </c>
      <c r="Q33" s="800" t="n">
        <f t="shared" si="16"/>
        <v>2.7692307692307692</v>
      </c>
      <c r="R33" s="775"/>
      <c r="S33" s="286" t="n">
        <f t="shared" si="17"/>
        <v>4</v>
      </c>
      <c r="T33" s="286" t="n">
        <f t="shared" si="18"/>
        <v>4</v>
      </c>
      <c r="U33" s="286"/>
      <c r="V33" s="286"/>
    </row>
    <row r="34">
      <c r="H34" s="1134" t="n">
        <v>44269</v>
      </c>
      <c r="I34" s="286" t="n">
        <v>704</v>
      </c>
      <c r="J34" s="735" t="n">
        <f t="shared" si="3"/>
        <v>17</v>
      </c>
      <c r="K34" s="286"/>
      <c r="L34" s="1141"/>
      <c r="M34" s="800"/>
      <c r="N34" s="800"/>
      <c r="O34" s="800" t="n">
        <f t="shared" si="14"/>
        <v>1.9615384615384617</v>
      </c>
      <c r="P34" s="800" t="n">
        <f t="shared" si="15"/>
        <v>8.5</v>
      </c>
      <c r="Q34" s="800" t="n">
        <f t="shared" si="16"/>
        <v>6.5384615384615383</v>
      </c>
      <c r="R34" s="775"/>
      <c r="S34" s="286" t="n">
        <f t="shared" si="17"/>
        <v>3</v>
      </c>
      <c r="T34" s="286" t="n">
        <f t="shared" si="18"/>
        <v>3</v>
      </c>
      <c r="U34" s="286"/>
      <c r="V34" s="286"/>
    </row>
    <row r="35">
      <c r="H35" s="1134" t="n">
        <v>44276</v>
      </c>
      <c r="I35" s="286" t="n">
        <v>718</v>
      </c>
      <c r="J35" s="735" t="n">
        <f t="shared" si="3"/>
        <v>14</v>
      </c>
      <c r="K35" s="286"/>
      <c r="L35" s="1141"/>
      <c r="M35" s="800"/>
      <c r="N35" s="800"/>
      <c r="O35" s="800" t="n">
        <f t="shared" si="14"/>
        <v>1.0769230769230771</v>
      </c>
      <c r="P35" s="800" t="n">
        <f t="shared" si="15"/>
        <v>7</v>
      </c>
      <c r="Q35" s="800" t="n">
        <f t="shared" si="16"/>
        <v>5.9230769230769234</v>
      </c>
      <c r="R35" s="775"/>
      <c r="S35" s="286" t="n">
        <f t="shared" si="17"/>
        <v>2</v>
      </c>
      <c r="T35" s="286" t="n">
        <f t="shared" si="18"/>
        <v>2</v>
      </c>
      <c r="U35" s="286"/>
      <c r="V35" s="286"/>
    </row>
    <row r="36">
      <c r="H36" s="1134" t="n">
        <v>44283</v>
      </c>
      <c r="I36" s="286" t="n">
        <v>734</v>
      </c>
      <c r="J36" s="735" t="n">
        <f t="shared" si="3"/>
        <v>16</v>
      </c>
      <c r="K36" s="286"/>
      <c r="L36" s="1141"/>
      <c r="M36" s="800"/>
      <c r="N36" s="800"/>
      <c r="O36" s="800" t="n">
        <f t="shared" si="14"/>
        <v>0.61538461538461542</v>
      </c>
      <c r="P36" s="800" t="n">
        <f t="shared" si="15"/>
        <v>8</v>
      </c>
      <c r="Q36" s="800" t="n">
        <f t="shared" si="16"/>
        <v>7.384615384615385</v>
      </c>
      <c r="R36" s="775"/>
      <c r="S36" s="286" t="n">
        <f t="shared" si="17"/>
        <v>1</v>
      </c>
      <c r="T36" s="286" t="n">
        <f t="shared" si="18"/>
        <v>1</v>
      </c>
      <c r="U36" s="286"/>
      <c r="V36" s="286"/>
    </row>
    <row r="37">
      <c r="H37" s="1134" t="n">
        <v>44290</v>
      </c>
      <c r="I37" s="286" t="n">
        <v>746</v>
      </c>
      <c r="J37" s="735" t="n">
        <f t="shared" si="3"/>
        <v>12</v>
      </c>
      <c r="K37" s="286"/>
      <c r="L37" s="1141"/>
      <c r="M37" s="800"/>
      <c r="N37" s="800"/>
      <c r="O37" s="800"/>
      <c r="P37" s="800" t="n">
        <f>T37/26*J37</f>
        <v>6</v>
      </c>
      <c r="Q37" s="800" t="n">
        <f>J37/2</f>
        <v>6</v>
      </c>
      <c r="R37" s="775" t="n">
        <f>J37-Q37-P37</f>
        <v>0</v>
      </c>
      <c r="S37" s="286" t="n">
        <v>13</v>
      </c>
      <c r="T37" s="286" t="n">
        <v>13</v>
      </c>
      <c r="U37" s="286"/>
      <c r="V37" s="286"/>
    </row>
    <row r="38">
      <c r="H38" s="1134" t="n">
        <v>44297</v>
      </c>
      <c r="I38" s="286" t="n">
        <v>755</v>
      </c>
      <c r="J38" s="735" t="n">
        <f t="shared" si="3"/>
        <v>9</v>
      </c>
      <c r="K38" s="286"/>
      <c r="L38" s="1141"/>
      <c r="M38" s="800"/>
      <c r="N38" s="800"/>
      <c r="O38" s="800"/>
      <c r="P38" s="800" t="n">
        <f t="shared" ref="P38:P45" si="19">T38/26*J38</f>
        <v>4.1538461538461542</v>
      </c>
      <c r="Q38" s="800" t="n">
        <f t="shared" ref="Q38:Q45" si="20">J38/2</f>
        <v>4.5</v>
      </c>
      <c r="R38" s="775" t="n">
        <f t="shared" ref="R38:R45" si="21">J38-Q38-P38</f>
        <v>0.34615384615384581</v>
      </c>
      <c r="S38" s="286" t="n">
        <f>S37-1</f>
        <v>12</v>
      </c>
      <c r="T38" s="286" t="n">
        <f>T37-1</f>
        <v>12</v>
      </c>
      <c r="U38" s="286"/>
      <c r="V38" s="286"/>
    </row>
    <row r="39">
      <c r="H39" s="1134" t="n">
        <v>44304</v>
      </c>
      <c r="I39" s="286" t="n">
        <v>762</v>
      </c>
      <c r="J39" s="735" t="n">
        <f t="shared" si="3"/>
        <v>7</v>
      </c>
      <c r="K39" s="286"/>
      <c r="L39" s="1141"/>
      <c r="M39" s="800"/>
      <c r="N39" s="800"/>
      <c r="O39" s="800"/>
      <c r="P39" s="800" t="n">
        <f t="shared" si="19"/>
        <v>2.9615384615384617</v>
      </c>
      <c r="Q39" s="800" t="n">
        <f t="shared" si="20"/>
        <v>3.5</v>
      </c>
      <c r="R39" s="775" t="n">
        <f t="shared" si="21"/>
        <v>0.53846153846153832</v>
      </c>
      <c r="S39" s="286" t="n">
        <f t="shared" ref="S39:S45" si="22">S38-1</f>
        <v>11</v>
      </c>
      <c r="T39" s="286" t="n">
        <f t="shared" ref="T39:T45" si="23">T38-1</f>
        <v>11</v>
      </c>
      <c r="U39" s="286"/>
      <c r="V39" s="286"/>
    </row>
    <row r="40">
      <c r="H40" s="1134" t="n">
        <v>44311</v>
      </c>
      <c r="I40" s="286" t="n">
        <v>771</v>
      </c>
      <c r="J40" s="735" t="n">
        <f t="shared" si="3"/>
        <v>9</v>
      </c>
      <c r="K40" s="286"/>
      <c r="L40" s="1141"/>
      <c r="M40" s="800"/>
      <c r="N40" s="800"/>
      <c r="O40" s="800"/>
      <c r="P40" s="800" t="n">
        <f t="shared" si="19"/>
        <v>3.4615384615384617</v>
      </c>
      <c r="Q40" s="800" t="n">
        <f t="shared" si="20"/>
        <v>4.5</v>
      </c>
      <c r="R40" s="775" t="n">
        <f t="shared" si="21"/>
        <v>1.0384615384615383</v>
      </c>
      <c r="S40" s="286" t="n">
        <f t="shared" si="22"/>
        <v>10</v>
      </c>
      <c r="T40" s="286" t="n">
        <f t="shared" si="23"/>
        <v>10</v>
      </c>
      <c r="U40" s="286"/>
      <c r="V40" s="286"/>
    </row>
    <row r="41">
      <c r="H41" s="1134" t="n">
        <v>44318</v>
      </c>
      <c r="I41" s="286" t="n">
        <v>780</v>
      </c>
      <c r="J41" s="735" t="n">
        <f t="shared" si="3"/>
        <v>9</v>
      </c>
      <c r="K41" s="286"/>
      <c r="L41" s="1141"/>
      <c r="M41" s="800"/>
      <c r="N41" s="800"/>
      <c r="O41" s="800"/>
      <c r="P41" s="800" t="n">
        <f t="shared" si="19"/>
        <v>3.1153846153846154</v>
      </c>
      <c r="Q41" s="800" t="n">
        <f t="shared" si="20"/>
        <v>4.5</v>
      </c>
      <c r="R41" s="775" t="n">
        <f t="shared" si="21"/>
        <v>1.3846153846153846</v>
      </c>
      <c r="S41" s="286" t="n">
        <f t="shared" si="22"/>
        <v>9</v>
      </c>
      <c r="T41" s="286" t="n">
        <f t="shared" si="23"/>
        <v>9</v>
      </c>
      <c r="U41" s="286"/>
      <c r="V41" s="286"/>
    </row>
    <row r="42">
      <c r="H42" s="1134" t="n">
        <v>44325</v>
      </c>
      <c r="I42" s="286" t="n">
        <v>782</v>
      </c>
      <c r="J42" s="735" t="n">
        <f t="shared" si="3"/>
        <v>2</v>
      </c>
      <c r="K42" s="286"/>
      <c r="L42" s="1141"/>
      <c r="M42" s="800"/>
      <c r="N42" s="800"/>
      <c r="O42" s="800"/>
      <c r="P42" s="800" t="n">
        <f t="shared" si="19"/>
        <v>0.61538461538461542</v>
      </c>
      <c r="Q42" s="800" t="n">
        <f t="shared" si="20"/>
        <v>1</v>
      </c>
      <c r="R42" s="775" t="n">
        <f t="shared" si="21"/>
        <v>0.38461538461538458</v>
      </c>
      <c r="S42" s="286" t="n">
        <f t="shared" si="22"/>
        <v>8</v>
      </c>
      <c r="T42" s="286" t="n">
        <f t="shared" si="23"/>
        <v>8</v>
      </c>
      <c r="U42" s="286"/>
      <c r="V42" s="286"/>
    </row>
    <row r="43">
      <c r="H43" s="1134" t="n">
        <v>44332</v>
      </c>
      <c r="I43" s="286" t="n">
        <v>788</v>
      </c>
      <c r="J43" s="735" t="n">
        <f t="shared" si="3"/>
        <v>6</v>
      </c>
      <c r="K43" s="286"/>
      <c r="L43" s="1141"/>
      <c r="M43" s="800"/>
      <c r="N43" s="800"/>
      <c r="O43" s="800"/>
      <c r="P43" s="800" t="n">
        <f t="shared" si="19"/>
        <v>1.6153846153846154</v>
      </c>
      <c r="Q43" s="800" t="n">
        <f t="shared" si="20"/>
        <v>3</v>
      </c>
      <c r="R43" s="775" t="n">
        <f t="shared" si="21"/>
        <v>1.3846153846153846</v>
      </c>
      <c r="S43" s="286" t="n">
        <f t="shared" si="22"/>
        <v>7</v>
      </c>
      <c r="T43" s="286" t="n">
        <f t="shared" si="23"/>
        <v>7</v>
      </c>
      <c r="U43" s="286"/>
      <c r="V43" s="286"/>
    </row>
    <row r="44">
      <c r="H44" s="1134" t="n">
        <v>44339</v>
      </c>
      <c r="I44" s="286" t="n">
        <v>796</v>
      </c>
      <c r="J44" s="735" t="n">
        <f t="shared" si="3"/>
        <v>8</v>
      </c>
      <c r="K44" s="286"/>
      <c r="L44" s="1141"/>
      <c r="M44" s="800"/>
      <c r="N44" s="800"/>
      <c r="O44" s="800"/>
      <c r="P44" s="800" t="n">
        <f t="shared" si="19"/>
        <v>1.8461538461538463</v>
      </c>
      <c r="Q44" s="800" t="n">
        <f t="shared" si="20"/>
        <v>4</v>
      </c>
      <c r="R44" s="775" t="n">
        <f t="shared" si="21"/>
        <v>2.1538461538461537</v>
      </c>
      <c r="S44" s="286" t="n">
        <f t="shared" si="22"/>
        <v>6</v>
      </c>
      <c r="T44" s="286" t="n">
        <f t="shared" si="23"/>
        <v>6</v>
      </c>
      <c r="U44" s="286"/>
      <c r="V44" s="286"/>
    </row>
    <row r="45">
      <c r="H45" s="1135" t="n">
        <v>44347</v>
      </c>
      <c r="I45" s="734" t="n">
        <v>800</v>
      </c>
      <c r="J45" s="746" t="n">
        <f t="shared" si="3"/>
        <v>4</v>
      </c>
      <c r="K45" s="286"/>
      <c r="L45" s="1141"/>
      <c r="M45" s="800"/>
      <c r="N45" s="800"/>
      <c r="O45" s="800"/>
      <c r="P45" s="800" t="n">
        <f t="shared" si="19"/>
        <v>0.76923076923076927</v>
      </c>
      <c r="Q45" s="800" t="n">
        <f t="shared" si="20"/>
        <v>2</v>
      </c>
      <c r="R45" s="775" t="n">
        <f t="shared" si="21"/>
        <v>1.2307692307692308</v>
      </c>
      <c r="S45" s="286" t="n">
        <f t="shared" si="22"/>
        <v>5</v>
      </c>
      <c r="T45" s="286" t="n">
        <f t="shared" si="23"/>
        <v>5</v>
      </c>
      <c r="U45" s="286"/>
      <c r="V45" s="286"/>
    </row>
    <row r="46">
      <c r="H46" s="286"/>
      <c r="I46" s="286"/>
      <c r="J46" s="286"/>
      <c r="K46" s="286"/>
      <c r="L46" s="1141" t="n">
        <f>SUM(L11:L45)</f>
        <v>184.80769230769229</v>
      </c>
      <c r="M46" s="800" t="n">
        <f t="shared" ref="M46:R46" si="24">SUM(M11:M45)</f>
        <v>261.42307692307696</v>
      </c>
      <c r="N46" s="800" t="n">
        <f t="shared" si="24"/>
        <v>77.692307692307693</v>
      </c>
      <c r="O46" s="800" t="n">
        <f t="shared" si="24"/>
        <v>53.384615384615394</v>
      </c>
      <c r="P46" s="800" t="n">
        <f t="shared" si="24"/>
        <v>129.03846153846155</v>
      </c>
      <c r="Q46" s="800" t="n">
        <f t="shared" si="24"/>
        <v>85.192307692307693</v>
      </c>
      <c r="R46" s="775" t="n">
        <f t="shared" si="24"/>
        <v>8.4615384615384599</v>
      </c>
      <c r="S46" s="286"/>
      <c r="T46" s="286"/>
      <c r="U46" s="286"/>
      <c r="V46" s="286"/>
    </row>
    <row r="47">
      <c r="H47" s="286"/>
      <c r="I47" s="286"/>
      <c r="J47" s="286"/>
      <c r="K47" s="286"/>
      <c r="L47" s="1142" t="n">
        <f>L46*4</f>
        <v>739.23076923076917</v>
      </c>
      <c r="M47" s="984" t="n">
        <f t="shared" ref="M47:R47" si="25">M46*4</f>
        <v>1045.6923076923078</v>
      </c>
      <c r="N47" s="984" t="n">
        <f t="shared" si="25"/>
        <v>310.76923076923077</v>
      </c>
      <c r="O47" s="984" t="n">
        <f t="shared" si="25"/>
        <v>213.53846153846158</v>
      </c>
      <c r="P47" s="984" t="n">
        <f t="shared" si="25"/>
        <v>516.15384615384619</v>
      </c>
      <c r="Q47" s="984" t="n">
        <f t="shared" si="25"/>
        <v>340.76923076923077</v>
      </c>
      <c r="R47" s="1027" t="n">
        <f t="shared" si="25"/>
        <v>33.84615384615384</v>
      </c>
      <c r="S47" s="286" t="s">
        <v>234</v>
      </c>
      <c r="T47" s="286"/>
      <c r="U47" s="286"/>
      <c r="V47" s="286"/>
    </row>
    <row r="48">
      <c r="J48" s="289" t="s">
        <v>235</v>
      </c>
      <c r="L48" s="289" t="n">
        <v>634</v>
      </c>
      <c r="M48" s="959" t="n">
        <f>K55</f>
        <v>0</v>
      </c>
      <c r="N48" s="959" t="n">
        <f t="shared" ref="N48:P48" si="26">L55</f>
        <v>0</v>
      </c>
      <c r="O48" s="959" t="n">
        <f t="shared" si="26"/>
        <v>0</v>
      </c>
      <c r="P48" s="959" t="n">
        <f t="shared" si="26"/>
        <v>0</v>
      </c>
      <c r="Q48" s="959" t="n">
        <v>279</v>
      </c>
      <c r="R48" s="959"/>
    </row>
    <row r="50">
      <c r="H50" s="836" t="s">
        <v>236</v>
      </c>
      <c r="I50" s="837"/>
      <c r="J50" s="248" t="s">
        <v>191</v>
      </c>
      <c r="K50" s="249"/>
      <c r="L50" s="249"/>
      <c r="M50" s="592"/>
      <c r="N50" s="592"/>
      <c r="O50" s="592"/>
      <c r="P50" s="269"/>
      <c r="Q50" s="680"/>
      <c r="R50" s="680"/>
      <c r="S50" s="680"/>
      <c r="T50" s="680"/>
      <c r="U50" s="680"/>
      <c r="V50" s="680"/>
      <c r="W50" s="680"/>
      <c r="X50" s="680"/>
      <c r="Y50" s="680"/>
    </row>
    <row r="51">
      <c r="H51" s="838"/>
      <c r="I51" s="839"/>
      <c r="J51" s="254" t="n">
        <v>2020</v>
      </c>
      <c r="K51" s="441"/>
      <c r="L51" s="441"/>
      <c r="M51" s="254" t="n">
        <v>2021</v>
      </c>
      <c r="N51" s="441"/>
      <c r="O51" s="441"/>
      <c r="P51" s="256"/>
      <c r="Q51" s="286"/>
      <c r="R51" s="286"/>
      <c r="S51" s="286"/>
      <c r="T51" s="286"/>
      <c r="U51" s="286"/>
      <c r="V51" s="286"/>
      <c r="W51" s="286"/>
      <c r="X51" s="286"/>
    </row>
    <row r="52">
      <c r="H52" s="1138"/>
      <c r="I52" s="1139"/>
      <c r="J52" s="274" t="s">
        <v>195</v>
      </c>
      <c r="K52" s="275" t="s">
        <v>171</v>
      </c>
      <c r="L52" s="275" t="s">
        <v>193</v>
      </c>
      <c r="M52" s="293" t="s">
        <v>194</v>
      </c>
      <c r="N52" s="294" t="s">
        <v>195</v>
      </c>
      <c r="O52" s="294" t="s">
        <v>171</v>
      </c>
      <c r="P52" s="292" t="s">
        <v>193</v>
      </c>
      <c r="Q52" s="286"/>
      <c r="S52" s="289"/>
      <c r="T52" s="289"/>
      <c r="U52" s="286"/>
      <c r="V52" s="289"/>
      <c r="W52" s="289"/>
      <c r="X52" s="289"/>
      <c r="Y52" s="289"/>
      <c r="Z52" s="289"/>
      <c r="AA52" s="289"/>
    </row>
    <row r="53" ht="32.9" customHeight="1">
      <c r="H53" s="642" t="s">
        <v>237</v>
      </c>
      <c r="I53" s="286" t="s">
        <v>238</v>
      </c>
      <c r="J53" s="1129" t="n">
        <f>'Haver Pivoted'!H47</f>
        <v>0</v>
      </c>
      <c r="K53" s="1140" t="n">
        <f>'Haver Pivoted'!I47</f>
        <v>0</v>
      </c>
      <c r="L53" s="1140" t="n">
        <f>'Haver Pivoted'!J47</f>
        <v>0</v>
      </c>
      <c r="M53" s="393" t="n">
        <f>'Haver Pivoted'!K47</f>
        <v>0</v>
      </c>
      <c r="N53" s="393" t="n">
        <f>'Haver Pivoted'!L47</f>
        <v>0</v>
      </c>
      <c r="O53" s="511" t="n">
        <f>'Haver Pivoted'!M47</f>
        <v>0</v>
      </c>
      <c r="P53" s="511" t="n">
        <f>'Haver Pivoted'!N47</f>
        <v>0</v>
      </c>
      <c r="Q53" s="393"/>
      <c r="S53" s="289"/>
      <c r="T53" s="289"/>
      <c r="U53" s="289"/>
      <c r="V53" s="289"/>
      <c r="W53" s="289"/>
      <c r="X53" s="289"/>
      <c r="Y53" s="289"/>
      <c r="Z53" s="289"/>
      <c r="AA53" s="289"/>
    </row>
    <row r="54" ht="33.75" customHeight="1">
      <c r="H54" s="642" t="s">
        <v>239</v>
      </c>
      <c r="I54" s="388" t="s">
        <v>240</v>
      </c>
      <c r="J54" s="1145" t="n">
        <f>'Haver Pivoted'!H49</f>
        <v>0</v>
      </c>
      <c r="K54" s="393" t="n">
        <f>'Haver Pivoted'!I49</f>
        <v>0</v>
      </c>
      <c r="L54" s="393" t="n">
        <f>'Haver Pivoted'!J49</f>
        <v>0</v>
      </c>
      <c r="M54" s="393" t="n">
        <f>'Haver Pivoted'!K49</f>
        <v>0</v>
      </c>
      <c r="N54" s="393" t="n">
        <f>'Haver Pivoted'!L49</f>
        <v>0</v>
      </c>
      <c r="O54" s="511" t="n">
        <f>'Haver Pivoted'!M49</f>
        <v>0</v>
      </c>
      <c r="P54" s="511" t="n">
        <f>'Haver Pivoted'!N49</f>
        <v>0</v>
      </c>
      <c r="Q54" s="393"/>
      <c r="R54" s="393"/>
    </row>
    <row r="55">
      <c r="H55" s="737" t="s">
        <v>223</v>
      </c>
      <c r="I55" s="286"/>
      <c r="J55" s="1145" t="n">
        <f>J54+J53</f>
        <v>0</v>
      </c>
      <c r="K55" s="393" t="n">
        <f t="shared" ref="K55:M55" si="27">K54+K53</f>
        <v>0</v>
      </c>
      <c r="L55" s="393" t="n">
        <f t="shared" si="27"/>
        <v>0</v>
      </c>
      <c r="M55" s="393" t="n">
        <f t="shared" si="27"/>
        <v>0</v>
      </c>
      <c r="N55" s="393" t="n">
        <f t="shared" ref="N55:P55" si="28">N54+N53</f>
        <v>0</v>
      </c>
      <c r="O55" s="511" t="n">
        <f t="shared" si="28"/>
        <v>0</v>
      </c>
      <c r="P55" s="511" t="n">
        <f t="shared" si="28"/>
        <v>0</v>
      </c>
      <c r="Q55" s="393"/>
      <c r="R55" s="393"/>
    </row>
    <row r="56">
      <c r="H56" s="736" t="s">
        <v>241</v>
      </c>
      <c r="I56" s="734"/>
      <c r="J56" s="985" t="e">
        <f t="shared" ref="J56:P56" si="29">J53/J55</f>
        <v>#DIV/0!</v>
      </c>
      <c r="K56" s="986" t="e">
        <f t="shared" si="29"/>
        <v>#DIV/0!</v>
      </c>
      <c r="L56" s="986" t="e">
        <f t="shared" si="29"/>
        <v>#DIV/0!</v>
      </c>
      <c r="M56" s="986" t="e">
        <f t="shared" si="29"/>
        <v>#DIV/0!</v>
      </c>
      <c r="N56" s="986" t="e">
        <f t="shared" si="29"/>
        <v>#DIV/0!</v>
      </c>
      <c r="O56" s="1124" t="e">
        <f t="shared" si="29"/>
        <v>#DIV/0!</v>
      </c>
      <c r="P56" s="1124" t="e">
        <f t="shared" si="29"/>
        <v>#DIV/0!</v>
      </c>
      <c r="Q56" s="1132"/>
      <c r="R56" s="1014"/>
    </row>
    <row r="58">
      <c r="H58" s="289" t="s">
        <v>727</v>
      </c>
    </row>
    <row r="59">
      <c r="H59" s="427"/>
      <c r="I59" s="286"/>
      <c r="J59" s="393"/>
      <c r="K59" s="393"/>
      <c r="L59" s="393"/>
      <c r="M59" s="393"/>
      <c r="N59" s="393"/>
      <c r="O59" s="393"/>
      <c r="P59" s="668"/>
      <c r="Q59" s="393"/>
      <c r="R59" s="393"/>
      <c r="S59" s="393"/>
      <c r="T59" s="289"/>
      <c r="U59" s="289"/>
      <c r="V59" s="289"/>
      <c r="W59" s="289"/>
      <c r="X59" s="289"/>
      <c r="Y59" s="289"/>
      <c r="Z59" s="289"/>
      <c r="AA59" s="289"/>
      <c r="AB59" s="289"/>
      <c r="AC59" s="289"/>
    </row>
    <row r="60">
      <c r="P60" s="393"/>
      <c r="Q60" s="289"/>
      <c r="R60" s="289"/>
      <c r="S60" s="289"/>
      <c r="T60" s="289"/>
      <c r="U60" s="289"/>
      <c r="V60" s="289"/>
      <c r="W60" s="289"/>
      <c r="X60" s="289"/>
      <c r="Y60" s="289"/>
      <c r="Z60" s="289"/>
      <c r="AA60" s="289"/>
      <c r="AB60" s="289"/>
      <c r="AC60" s="289"/>
    </row>
    <row r="61">
      <c r="P61" s="393"/>
      <c r="Q61" s="1130"/>
      <c r="R61" s="1130"/>
      <c r="S61" s="1130"/>
      <c r="T61" s="1130"/>
      <c r="U61" s="1130"/>
      <c r="V61" s="1130"/>
      <c r="W61" s="1130"/>
      <c r="X61" s="1130"/>
      <c r="Y61" s="1130"/>
      <c r="Z61" s="1130"/>
      <c r="AA61" s="1130"/>
      <c r="AB61" s="1130"/>
      <c r="AC61" s="289"/>
    </row>
    <row r="62">
      <c r="P62" s="393"/>
      <c r="Q62" s="1130"/>
      <c r="R62" s="1130"/>
      <c r="S62" s="1130"/>
      <c r="T62" s="1130"/>
      <c r="U62" s="1130"/>
      <c r="V62" s="1130"/>
      <c r="W62" s="1130"/>
      <c r="X62" s="1130"/>
      <c r="Y62" s="1130"/>
      <c r="Z62" s="1130"/>
      <c r="AA62" s="1130"/>
      <c r="AB62" s="1130"/>
      <c r="AC62" s="289"/>
    </row>
    <row r="63">
      <c r="I63" s="289" t="s">
        <v>194</v>
      </c>
      <c r="J63" s="289" t="s">
        <v>195</v>
      </c>
      <c r="K63" s="289" t="s">
        <v>171</v>
      </c>
      <c r="L63" s="289" t="s">
        <v>193</v>
      </c>
      <c r="P63" s="1014"/>
      <c r="Q63" s="1130"/>
      <c r="R63" s="1130"/>
      <c r="S63" s="1130"/>
      <c r="T63" s="1130"/>
      <c r="U63" s="1130"/>
      <c r="V63" s="1130"/>
      <c r="W63" s="1130"/>
      <c r="X63" s="1130"/>
      <c r="Y63" s="1130"/>
      <c r="Z63" s="1130"/>
      <c r="AA63" s="1130"/>
      <c r="AB63" s="1130"/>
      <c r="AC63" s="289"/>
    </row>
    <row r="64">
      <c r="H64" s="289" t="s">
        <v>728</v>
      </c>
      <c r="I64" s="289" t="n">
        <v>81.599999999999994</v>
      </c>
      <c r="J64" s="289" t="n">
        <v>188.9</v>
      </c>
      <c r="K64" s="289" t="n">
        <v>117.2</v>
      </c>
      <c r="L64" s="289" t="e">
        <f>#REF!+#REF!</f>
        <v>#REF!</v>
      </c>
      <c r="P64" s="289"/>
      <c r="Q64" s="289"/>
      <c r="R64" s="289"/>
      <c r="S64" s="289"/>
      <c r="T64" s="289"/>
      <c r="U64" s="289"/>
      <c r="V64" s="289"/>
      <c r="W64" s="289"/>
      <c r="X64" s="289"/>
      <c r="Y64" s="289"/>
      <c r="Z64" s="289"/>
      <c r="AA64" s="289"/>
      <c r="AB64" s="289"/>
      <c r="AC64" s="289"/>
    </row>
    <row r="65">
      <c r="H65" s="289" t="s">
        <v>380</v>
      </c>
      <c r="I65" s="959" t="n">
        <f>M53</f>
        <v>0</v>
      </c>
      <c r="J65" s="959" t="n">
        <f t="shared" ref="J65:K65" si="30">N53</f>
        <v>0</v>
      </c>
      <c r="K65" s="959" t="n">
        <f t="shared" si="30"/>
        <v>0</v>
      </c>
      <c r="L65" s="289" t="e">
        <f>#REF!</f>
        <v>#REF!</v>
      </c>
      <c r="P65" s="289"/>
      <c r="Q65" s="289"/>
      <c r="R65" s="289"/>
      <c r="S65" s="289"/>
      <c r="T65" s="289"/>
      <c r="U65" s="289"/>
      <c r="V65" s="289"/>
      <c r="W65" s="289"/>
      <c r="X65" s="289"/>
      <c r="Y65" s="289"/>
      <c r="Z65" s="289"/>
      <c r="AA65" s="289"/>
      <c r="AB65" s="289"/>
      <c r="AC65" s="289"/>
    </row>
    <row r="66">
      <c r="H66" s="289" t="s">
        <v>729</v>
      </c>
      <c r="I66" s="959" t="n">
        <f>I67-SUM(I64:I65)</f>
        <v>-81.599999999999994</v>
      </c>
      <c r="J66" s="959" t="n">
        <f t="shared" ref="J66:K66" si="31">J67-SUM(J64:J65)</f>
        <v>-188.9</v>
      </c>
      <c r="K66" s="959" t="n">
        <f t="shared" si="31"/>
        <v>-117.2</v>
      </c>
      <c r="L66" s="959" t="e">
        <f>1.26*L64</f>
        <v>#REF!</v>
      </c>
      <c r="P66" s="289"/>
      <c r="Q66" s="289"/>
      <c r="R66" s="289"/>
      <c r="S66" s="289"/>
      <c r="T66" s="289"/>
      <c r="U66" s="289"/>
      <c r="V66" s="289"/>
      <c r="W66" s="289"/>
      <c r="X66" s="289"/>
      <c r="Y66" s="289"/>
      <c r="Z66" s="289"/>
      <c r="AA66" s="289"/>
      <c r="AB66" s="289"/>
      <c r="AC66" s="289"/>
    </row>
    <row r="67">
      <c r="H67" s="289" t="s">
        <v>223</v>
      </c>
      <c r="I67" s="959" t="n">
        <f>M55</f>
        <v>0</v>
      </c>
      <c r="J67" s="959" t="n">
        <f>N55</f>
        <v>0</v>
      </c>
      <c r="K67" s="959" t="n">
        <f>O55</f>
        <v>0</v>
      </c>
      <c r="L67" s="959" t="e">
        <f>SUM(L64:L66)</f>
        <v>#REF!</v>
      </c>
    </row>
    <row r="68">
      <c r="G68" s="289" t="s">
        <v>730</v>
      </c>
    </row>
    <row r="69">
      <c r="H69" s="289" t="s">
        <v>728</v>
      </c>
      <c r="I69" s="1143" t="e">
        <f>I64/I$67</f>
        <v>#DIV/0!</v>
      </c>
      <c r="J69" s="1143" t="e">
        <f t="shared" ref="J69:L69" si="32">J64/J$67</f>
        <v>#DIV/0!</v>
      </c>
      <c r="K69" s="1143" t="e">
        <f t="shared" si="32"/>
        <v>#DIV/0!</v>
      </c>
      <c r="L69" s="1143" t="e">
        <f t="shared" si="32"/>
        <v>#REF!</v>
      </c>
    </row>
    <row r="70">
      <c r="H70" s="289" t="s">
        <v>380</v>
      </c>
      <c r="I70" s="1143" t="e">
        <f t="shared" ref="I70:L71" si="33">I65/I$67</f>
        <v>#DIV/0!</v>
      </c>
      <c r="J70" s="1143" t="e">
        <f t="shared" si="33"/>
        <v>#DIV/0!</v>
      </c>
      <c r="K70" s="1143" t="e">
        <f t="shared" si="33"/>
        <v>#DIV/0!</v>
      </c>
      <c r="L70" s="1143" t="e">
        <f t="shared" si="33"/>
        <v>#REF!</v>
      </c>
    </row>
    <row r="71">
      <c r="H71" s="289" t="s">
        <v>729</v>
      </c>
      <c r="I71" s="1143" t="e">
        <f t="shared" si="33"/>
        <v>#DIV/0!</v>
      </c>
      <c r="J71" s="1143" t="e">
        <f t="shared" si="33"/>
        <v>#DIV/0!</v>
      </c>
      <c r="K71" s="1143" t="e">
        <f t="shared" si="33"/>
        <v>#DIV/0!</v>
      </c>
      <c r="L71" s="1143" t="e">
        <f t="shared" si="33"/>
        <v>#REF!</v>
      </c>
    </row>
    <row r="73">
      <c r="H73" s="289" t="s">
        <v>731</v>
      </c>
      <c r="I73" s="289" t="n">
        <f>I66/I64</f>
        <v>-1</v>
      </c>
      <c r="J73" s="289" t="n">
        <f t="shared" ref="J73:K73" si="34">J66/J64</f>
        <v>-1</v>
      </c>
      <c r="K73" s="289" t="n">
        <f t="shared" si="34"/>
        <v>-1</v>
      </c>
    </row>
  </sheetData>
  <mergeCells count="9">
    <mergeCell ref="U51:X51"/>
    <mergeCell ref="H2:S5"/>
    <mergeCell ref="H1:S1"/>
    <mergeCell ref="L9:N9"/>
    <mergeCell ref="H50:I52"/>
    <mergeCell ref="J51:L51"/>
    <mergeCell ref="Q51:T51"/>
    <mergeCell ref="M51:P51"/>
    <mergeCell ref="J50:P50"/>
  </mergeCells>
  <hyperlinks>
    <hyperlink ref="H7" r:id="rId1h"/>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110" zoomScaleNormal="110" workbookViewId="0">
      <selection activeCell="I27" sqref="I27"/>
    </sheetView>
  </sheetViews>
  <sheetFormatPr defaultRowHeight="15.0" baseColWidth="10"/>
  <cols>
    <col min="2" max="2" width="38.81640625" hidden="0" customWidth="1"/>
    <col min="3" max="3" width="10.453125" hidden="0" customWidth="1"/>
    <col min="4" max="4" width="10.453125" hidden="0" customWidth="1"/>
    <col min="5" max="5" width="10.453125" hidden="0" customWidth="1"/>
    <col min="6" max="6" width="10.453125" hidden="0" customWidth="1"/>
    <col min="7" max="7" width="10.453125" hidden="0" customWidth="1"/>
    <col min="8" max="8" width="10.453125" hidden="0" customWidth="1"/>
    <col min="9" max="9" width="10.453125" hidden="0" customWidth="1"/>
    <col min="10" max="10" width="7.1796875" hidden="0" customWidth="1"/>
    <col min="11" max="11" width="7.1796875" hidden="0" customWidth="1"/>
    <col min="12" max="12" width="7.1796875" hidden="0" customWidth="1"/>
    <col min="13" max="13" width="7.1796875" hidden="0" customWidth="1"/>
    <col min="14" max="14" width="7.1796875" hidden="0" customWidth="1"/>
    <col min="15" max="15" width="7.1796875" hidden="0" customWidth="1"/>
    <col min="16" max="16" width="7.1796875" hidden="0" customWidth="1"/>
    <col min="17" max="17" width="7.1796875" hidden="0" customWidth="1"/>
    <col min="18" max="18" width="7.1796875" hidden="0" customWidth="1"/>
    <col min="19" max="19" width="7.1796875" hidden="0" customWidth="1"/>
    <col min="20" max="20" width="7.1796875" hidden="0" customWidth="1"/>
    <col min="21" max="21" width="22.1796875" hidden="0" customWidth="1"/>
    <col min="22" max="22" width="11.81640625" hidden="0" customWidth="1"/>
  </cols>
  <sheetData>
    <row r="1">
      <c r="B1" s="93" t="s">
        <v>103</v>
      </c>
      <c r="C1" s="93"/>
      <c r="D1" s="93"/>
      <c r="E1" s="93"/>
      <c r="F1" s="93"/>
      <c r="G1" s="93"/>
      <c r="H1" s="93"/>
      <c r="I1" s="93"/>
      <c r="J1" s="93"/>
      <c r="K1" s="93"/>
      <c r="L1" s="93"/>
      <c r="M1" s="93"/>
      <c r="N1" s="93"/>
      <c r="O1" s="93"/>
      <c r="P1" s="93"/>
      <c r="Q1" s="93"/>
      <c r="R1" s="93"/>
      <c r="S1" s="93"/>
      <c r="T1" s="93"/>
    </row>
    <row r="2">
      <c r="B2" s="1171" t="s">
        <v>762</v>
      </c>
      <c r="C2" s="1171"/>
      <c r="D2" s="1171"/>
      <c r="E2" s="1171"/>
      <c r="F2" s="1171"/>
      <c r="G2" s="1171"/>
      <c r="H2" s="1171"/>
      <c r="I2" s="1171"/>
      <c r="J2" s="1171"/>
      <c r="K2" s="1171"/>
      <c r="L2" s="1171"/>
      <c r="M2" s="1171"/>
      <c r="N2" s="1171"/>
      <c r="O2" s="1171"/>
      <c r="P2" s="1171"/>
      <c r="Q2" s="1171"/>
      <c r="R2" s="1171"/>
      <c r="S2" s="1171"/>
      <c r="T2" s="1171"/>
    </row>
    <row r="3">
      <c r="B3" s="1171"/>
      <c r="C3" s="1171"/>
      <c r="D3" s="1171"/>
      <c r="E3" s="1171"/>
      <c r="F3" s="1171"/>
      <c r="G3" s="1171"/>
      <c r="H3" s="1171"/>
      <c r="I3" s="1171"/>
      <c r="J3" s="1171"/>
      <c r="K3" s="1171"/>
      <c r="L3" s="1171"/>
      <c r="M3" s="1171"/>
      <c r="N3" s="1171"/>
      <c r="O3" s="1171"/>
      <c r="P3" s="1171"/>
      <c r="Q3" s="1171"/>
      <c r="R3" s="1171"/>
      <c r="S3" s="1171"/>
      <c r="T3" s="1171"/>
    </row>
    <row r="4">
      <c r="B4" s="1171"/>
      <c r="C4" s="1171"/>
      <c r="D4" s="1171"/>
      <c r="E4" s="1171"/>
      <c r="F4" s="1171"/>
      <c r="G4" s="1171"/>
      <c r="H4" s="1171"/>
      <c r="I4" s="1171"/>
      <c r="J4" s="1171"/>
      <c r="K4" s="1171"/>
      <c r="L4" s="1171"/>
      <c r="M4" s="1171"/>
      <c r="N4" s="1171"/>
      <c r="O4" s="1171"/>
      <c r="P4" s="1171"/>
      <c r="Q4" s="1171"/>
      <c r="R4" s="1171"/>
      <c r="S4" s="1171"/>
      <c r="T4" s="1171"/>
    </row>
    <row r="5">
      <c r="B5" s="1171"/>
      <c r="C5" s="1171"/>
      <c r="D5" s="1171"/>
      <c r="E5" s="1171"/>
      <c r="F5" s="1171"/>
      <c r="G5" s="1171"/>
      <c r="H5" s="1171"/>
      <c r="I5" s="1171"/>
      <c r="J5" s="1171"/>
      <c r="K5" s="1171"/>
      <c r="L5" s="1171"/>
      <c r="M5" s="1171"/>
      <c r="N5" s="1171"/>
      <c r="O5" s="1171"/>
      <c r="P5" s="1171"/>
      <c r="Q5" s="1171"/>
      <c r="R5" s="1171"/>
      <c r="S5" s="1171"/>
      <c r="T5" s="1171"/>
    </row>
    <row r="6">
      <c r="B6" s="1171"/>
      <c r="C6" s="1171"/>
      <c r="D6" s="1171"/>
      <c r="E6" s="1171"/>
      <c r="F6" s="1171"/>
      <c r="G6" s="1171"/>
      <c r="H6" s="1171"/>
      <c r="I6" s="1171"/>
      <c r="J6" s="1171"/>
      <c r="K6" s="1171"/>
      <c r="L6" s="1171"/>
      <c r="M6" s="1171"/>
      <c r="N6" s="1171"/>
      <c r="O6" s="1171"/>
      <c r="P6" s="1171"/>
      <c r="Q6" s="1171"/>
      <c r="R6" s="1171"/>
      <c r="S6" s="1171"/>
      <c r="T6" s="1171"/>
    </row>
    <row r="7">
      <c r="J7" s="88"/>
      <c r="K7" s="88"/>
      <c r="M7" s="88"/>
    </row>
    <row r="9" ht="14.9" customHeight="1">
      <c r="A9" s="809"/>
      <c r="B9" s="1172" t="s">
        <v>215</v>
      </c>
      <c r="C9" s="1173"/>
      <c r="D9" s="1167" t="n">
        <v>2018</v>
      </c>
      <c r="E9" s="1178" t="n">
        <v>2019</v>
      </c>
      <c r="F9" s="1179"/>
      <c r="G9" s="1179"/>
      <c r="H9" s="1180"/>
      <c r="I9" s="1176" t="n">
        <v>2020</v>
      </c>
      <c r="J9" s="1177"/>
      <c r="K9" s="1177"/>
      <c r="L9" s="1177"/>
      <c r="M9" s="1181" t="n">
        <v>2021</v>
      </c>
      <c r="N9" s="1182"/>
      <c r="O9" s="1182"/>
      <c r="P9" s="1183"/>
      <c r="Q9" s="1176" t="n">
        <v>2022</v>
      </c>
      <c r="R9" s="1184"/>
      <c r="S9" s="1184"/>
      <c r="T9" s="1185"/>
    </row>
    <row r="10">
      <c r="B10" s="1174"/>
      <c r="C10" s="1175"/>
      <c r="D10" s="1146" t="s">
        <v>193</v>
      </c>
      <c r="E10" s="1147" t="s">
        <v>194</v>
      </c>
      <c r="F10" s="862" t="s">
        <v>195</v>
      </c>
      <c r="G10" s="862" t="s">
        <v>171</v>
      </c>
      <c r="H10" s="1148" t="s">
        <v>193</v>
      </c>
      <c r="I10" s="1147" t="s">
        <v>194</v>
      </c>
      <c r="J10" s="862" t="s">
        <v>195</v>
      </c>
      <c r="K10" s="862" t="s">
        <v>171</v>
      </c>
      <c r="L10" s="862" t="s">
        <v>193</v>
      </c>
      <c r="M10" s="274" t="s">
        <v>194</v>
      </c>
      <c r="N10" s="275" t="s">
        <v>195</v>
      </c>
      <c r="O10" s="275" t="s">
        <v>171</v>
      </c>
      <c r="P10" s="276" t="s">
        <v>193</v>
      </c>
      <c r="Q10" s="862" t="s">
        <v>194</v>
      </c>
      <c r="R10" s="862" t="s">
        <v>195</v>
      </c>
      <c r="S10" s="862" t="s">
        <v>171</v>
      </c>
      <c r="T10" s="1148" t="s">
        <v>193</v>
      </c>
    </row>
    <row r="11" ht="29.15" customHeight="1">
      <c r="A11" s="1165"/>
      <c r="B11" s="1150" t="s">
        <v>95</v>
      </c>
      <c r="C11" s="1170" t="s">
        <v>216</v>
      </c>
      <c r="D11" s="1159"/>
      <c r="E11" s="1160"/>
      <c r="F11" s="1160"/>
      <c r="G11" s="1160"/>
      <c r="H11" s="1160"/>
      <c r="I11" s="1160"/>
      <c r="J11" s="1152" t="n">
        <f>'Haver Pivoted'!H48</f>
        <v>0</v>
      </c>
      <c r="K11" s="1152" t="n">
        <f>'Haver Pivoted'!I48</f>
        <v>0</v>
      </c>
      <c r="L11" s="1152" t="n">
        <f>'Haver Pivoted'!J48</f>
        <v>0</v>
      </c>
      <c r="M11" s="1152" t="n">
        <f>'Haver Pivoted'!K48</f>
        <v>0</v>
      </c>
      <c r="N11" s="1152" t="n">
        <f>'Haver Pivoted'!L48</f>
        <v>0</v>
      </c>
      <c r="O11" s="1152" t="n">
        <f>'Haver Pivoted'!M48</f>
        <v>0</v>
      </c>
      <c r="P11" s="1152" t="n">
        <f>'Haver Pivoted'!N48</f>
        <v>0</v>
      </c>
      <c r="Q11" s="1152" t="n">
        <f>'Haver Pivoted'!O48</f>
        <v>0</v>
      </c>
      <c r="R11" s="1152" t="n">
        <f>'Haver Pivoted'!P48</f>
        <v>0</v>
      </c>
      <c r="S11" s="1158" t="n">
        <f>'Haver Pivoted'!Q48</f>
        <v>0</v>
      </c>
      <c r="T11" s="1153" t="n">
        <f>'Haver Pivoted'!R48</f>
        <v>0</v>
      </c>
    </row>
    <row r="12" ht="29.15" customHeight="1">
      <c r="A12" s="1165"/>
      <c r="B12" s="1163" t="s">
        <v>217</v>
      </c>
      <c r="C12" s="105" t="s">
        <v>218</v>
      </c>
      <c r="D12" s="1163"/>
      <c r="E12" s="105"/>
      <c r="F12" s="105"/>
      <c r="G12" s="105"/>
      <c r="H12" s="105"/>
      <c r="I12" s="105"/>
      <c r="J12" s="1154" t="n">
        <f>'Haver Pivoted'!H58</f>
        <v>0</v>
      </c>
      <c r="K12" s="1154" t="n">
        <f>'Haver Pivoted'!I58</f>
        <v>0</v>
      </c>
      <c r="L12" s="1154" t="n">
        <f>'Haver Pivoted'!J58</f>
        <v>0</v>
      </c>
      <c r="M12" s="1154" t="n">
        <f>'Haver Pivoted'!K58</f>
        <v>0</v>
      </c>
      <c r="N12" s="1154" t="n">
        <f>'Haver Pivoted'!L58</f>
        <v>0</v>
      </c>
      <c r="O12" s="1154" t="n">
        <f>'Haver Pivoted'!M58</f>
        <v>0</v>
      </c>
      <c r="P12" s="1154" t="n">
        <f>'Haver Pivoted'!N58</f>
        <v>0</v>
      </c>
      <c r="Q12" s="1154" t="n">
        <f>'Haver Pivoted'!O58</f>
        <v>0</v>
      </c>
      <c r="R12" s="1154" t="n">
        <f>'Haver Pivoted'!P58</f>
        <v>0</v>
      </c>
      <c r="S12" s="1157" t="n">
        <f>'Haver Pivoted'!Q58</f>
        <v>0</v>
      </c>
      <c r="T12" s="1161" t="n">
        <f>'Haver Pivoted'!R58</f>
        <v>0</v>
      </c>
    </row>
    <row r="13" ht="47.15" customHeight="1">
      <c r="A13" s="1165"/>
      <c r="B13" s="1163" t="s">
        <v>219</v>
      </c>
      <c r="C13" s="105" t="s">
        <v>220</v>
      </c>
      <c r="D13" s="1163"/>
      <c r="E13" s="105"/>
      <c r="F13" s="105"/>
      <c r="G13" s="105"/>
      <c r="H13" s="105"/>
      <c r="I13" s="105"/>
      <c r="J13" s="1154" t="n">
        <f>'Haver Pivoted'!H54</f>
        <v>0</v>
      </c>
      <c r="K13" s="1154" t="n">
        <f>'Haver Pivoted'!I54</f>
        <v>0</v>
      </c>
      <c r="L13" s="1154" t="n">
        <f>'Haver Pivoted'!J54</f>
        <v>0</v>
      </c>
      <c r="M13" s="1154" t="n">
        <f>'Haver Pivoted'!K54</f>
        <v>0</v>
      </c>
      <c r="N13" s="1154" t="n">
        <f>'Haver Pivoted'!L54</f>
        <v>0</v>
      </c>
      <c r="O13" s="1154" t="n">
        <f>'Haver Pivoted'!M54</f>
        <v>0</v>
      </c>
      <c r="P13" s="1154" t="n">
        <f>'Haver Pivoted'!N54</f>
        <v>0</v>
      </c>
      <c r="Q13" s="1154" t="n">
        <f>'Haver Pivoted'!O54</f>
        <v>0</v>
      </c>
      <c r="R13" s="1154" t="n">
        <f>'Haver Pivoted'!P54</f>
        <v>0</v>
      </c>
      <c r="S13" s="1157" t="n">
        <f>'Haver Pivoted'!Q54</f>
        <v>0</v>
      </c>
      <c r="T13" s="1161" t="n">
        <f>'Haver Pivoted'!R54</f>
        <v>0</v>
      </c>
      <c r="U13" s="1155" t="s">
        <v>221</v>
      </c>
      <c r="V13" s="1168" t="s">
        <v>222</v>
      </c>
    </row>
    <row r="14">
      <c r="B14" s="1119" t="s">
        <v>223</v>
      </c>
      <c r="C14" s="434"/>
      <c r="D14" s="1119"/>
      <c r="E14" s="434"/>
      <c r="F14" s="434"/>
      <c r="G14" s="434"/>
      <c r="H14" s="434"/>
      <c r="I14" s="434"/>
      <c r="J14" s="1154" t="n">
        <f t="shared" ref="J14:T14" si="0">J13+J12+J11</f>
        <v>0</v>
      </c>
      <c r="K14" s="1154" t="n">
        <f t="shared" si="0"/>
        <v>0</v>
      </c>
      <c r="L14" s="1154" t="n">
        <f t="shared" si="0"/>
        <v>0</v>
      </c>
      <c r="M14" s="1154" t="n">
        <f t="shared" si="0"/>
        <v>0</v>
      </c>
      <c r="N14" s="1154" t="n">
        <f t="shared" si="0"/>
        <v>0</v>
      </c>
      <c r="O14" s="1154" t="n">
        <f t="shared" si="0"/>
        <v>0</v>
      </c>
      <c r="P14" s="1154" t="n">
        <f t="shared" si="0"/>
        <v>0</v>
      </c>
      <c r="Q14" s="1154" t="n">
        <f t="shared" si="0"/>
        <v>0</v>
      </c>
      <c r="R14" s="1154" t="n">
        <f t="shared" si="0"/>
        <v>0</v>
      </c>
      <c r="S14" s="1157" t="n">
        <f t="shared" si="0"/>
        <v>0</v>
      </c>
      <c r="T14" s="1161" t="n">
        <f t="shared" si="0"/>
        <v>0</v>
      </c>
      <c r="U14" s="1156" t="n">
        <v>236</v>
      </c>
      <c r="V14" s="1149" t="n">
        <f>SUM(J14:S14)/4</f>
        <v>0</v>
      </c>
    </row>
    <row r="15">
      <c r="B15" s="1164" t="s">
        <v>224</v>
      </c>
      <c r="C15" s="190"/>
      <c r="D15" s="1164"/>
      <c r="E15" s="190"/>
      <c r="F15" s="190"/>
      <c r="G15" s="190"/>
      <c r="H15" s="190"/>
      <c r="I15" s="190"/>
      <c r="J15" s="809" t="e">
        <f t="shared" ref="J15:N17" si="1">J11/J$14</f>
        <v>#DIV/0!</v>
      </c>
      <c r="K15" s="809" t="e">
        <f t="shared" si="1"/>
        <v>#DIV/0!</v>
      </c>
      <c r="L15" s="809" t="e">
        <f t="shared" si="1"/>
        <v>#DIV/0!</v>
      </c>
      <c r="M15" s="809" t="e">
        <f t="shared" si="1"/>
        <v>#DIV/0!</v>
      </c>
      <c r="N15" s="809" t="e">
        <f t="shared" si="1"/>
        <v>#DIV/0!</v>
      </c>
      <c r="O15" s="809" t="e">
        <f>O11/O$14</f>
        <v>#DIV/0!</v>
      </c>
      <c r="P15" s="809" t="e">
        <f t="shared" ref="P15:T15" si="2">P11/P$14</f>
        <v>#DIV/0!</v>
      </c>
      <c r="Q15" s="809" t="e">
        <f t="shared" si="2"/>
        <v>#DIV/0!</v>
      </c>
      <c r="R15" s="809" t="e">
        <f t="shared" si="2"/>
        <v>#DIV/0!</v>
      </c>
      <c r="S15" s="862" t="e">
        <f t="shared" si="2"/>
        <v>#DIV/0!</v>
      </c>
      <c r="T15" s="1148" t="e">
        <f t="shared" si="2"/>
        <v>#DIV/0!</v>
      </c>
    </row>
    <row r="16">
      <c r="B16" s="1164" t="s">
        <v>225</v>
      </c>
      <c r="C16" s="190"/>
      <c r="D16" s="1164"/>
      <c r="E16" s="190"/>
      <c r="F16" s="190"/>
      <c r="G16" s="190"/>
      <c r="H16" s="190"/>
      <c r="I16" s="190"/>
      <c r="J16" s="809" t="e">
        <f t="shared" si="1"/>
        <v>#DIV/0!</v>
      </c>
      <c r="K16" s="809" t="e">
        <f t="shared" si="1"/>
        <v>#DIV/0!</v>
      </c>
      <c r="L16" s="809" t="e">
        <f t="shared" si="1"/>
        <v>#DIV/0!</v>
      </c>
      <c r="M16" s="809" t="e">
        <f t="shared" si="1"/>
        <v>#DIV/0!</v>
      </c>
      <c r="N16" s="809" t="e">
        <f t="shared" si="1"/>
        <v>#DIV/0!</v>
      </c>
      <c r="O16" s="809" t="e">
        <f t="shared" ref="O16:T16" si="3">O12/O$14</f>
        <v>#DIV/0!</v>
      </c>
      <c r="P16" s="809" t="e">
        <f t="shared" si="3"/>
        <v>#DIV/0!</v>
      </c>
      <c r="Q16" s="809" t="e">
        <f t="shared" si="3"/>
        <v>#DIV/0!</v>
      </c>
      <c r="R16" s="809" t="e">
        <f t="shared" si="3"/>
        <v>#DIV/0!</v>
      </c>
      <c r="S16" s="862" t="e">
        <f t="shared" si="3"/>
        <v>#DIV/0!</v>
      </c>
      <c r="T16" s="1148" t="e">
        <f t="shared" si="3"/>
        <v>#DIV/0!</v>
      </c>
      <c r="U16" s="476"/>
    </row>
    <row r="17">
      <c r="B17" s="1166" t="s">
        <v>226</v>
      </c>
      <c r="C17" s="1169"/>
      <c r="D17" s="1166"/>
      <c r="E17" s="1169"/>
      <c r="F17" s="1169"/>
      <c r="G17" s="1169"/>
      <c r="H17" s="1169"/>
      <c r="I17" s="1169"/>
      <c r="J17" s="830" t="e">
        <f t="shared" si="1"/>
        <v>#DIV/0!</v>
      </c>
      <c r="K17" s="830" t="e">
        <f t="shared" si="1"/>
        <v>#DIV/0!</v>
      </c>
      <c r="L17" s="830" t="e">
        <f t="shared" si="1"/>
        <v>#DIV/0!</v>
      </c>
      <c r="M17" s="830" t="e">
        <f t="shared" si="1"/>
        <v>#DIV/0!</v>
      </c>
      <c r="N17" s="830" t="e">
        <f t="shared" si="1"/>
        <v>#DIV/0!</v>
      </c>
      <c r="O17" s="830" t="e">
        <f t="shared" ref="O17:T17" si="4">O13/O$14</f>
        <v>#DIV/0!</v>
      </c>
      <c r="P17" s="830" t="e">
        <f t="shared" si="4"/>
        <v>#DIV/0!</v>
      </c>
      <c r="Q17" s="830" t="e">
        <f t="shared" si="4"/>
        <v>#DIV/0!</v>
      </c>
      <c r="R17" s="830" t="e">
        <f t="shared" si="4"/>
        <v>#DIV/0!</v>
      </c>
      <c r="S17" s="1151" t="e">
        <f t="shared" si="4"/>
        <v>#DIV/0!</v>
      </c>
      <c r="T17" s="1162" t="e">
        <f t="shared" si="4"/>
        <v>#DIV/0!</v>
      </c>
    </row>
    <row r="18">
      <c r="B18" s="190"/>
      <c r="C18" s="190"/>
      <c r="D18" s="190"/>
      <c r="E18" s="190"/>
      <c r="F18" s="190"/>
      <c r="G18" s="190"/>
      <c r="H18" s="190"/>
      <c r="I18" s="190"/>
      <c r="J18" s="809"/>
      <c r="K18" s="809"/>
      <c r="L18" s="809"/>
      <c r="M18" s="809"/>
      <c r="N18" s="809"/>
      <c r="O18" s="809"/>
    </row>
    <row r="19" ht="15.75" customHeight="1"/>
    <row r="21" ht="30" customHeight="1"/>
    <row r="22" ht="27" customHeight="1">
      <c r="M22" s="78"/>
      <c r="N22" s="78"/>
      <c r="O22" s="78"/>
      <c r="P22" s="45"/>
      <c r="Q22" s="45"/>
      <c r="R22" s="45"/>
      <c r="S22" s="45"/>
      <c r="T22" s="45"/>
      <c r="U22" s="78"/>
    </row>
    <row r="23" ht="31.5" customHeight="1">
      <c r="M23" s="78"/>
      <c r="N23" s="78"/>
      <c r="O23" s="78"/>
      <c r="P23" s="45"/>
      <c r="Q23" s="45"/>
      <c r="R23" s="45"/>
      <c r="S23" s="45"/>
      <c r="T23" s="45"/>
      <c r="U23" s="78"/>
    </row>
    <row r="24" ht="24.65" customHeight="1">
      <c r="M24" s="78"/>
      <c r="N24" s="78"/>
      <c r="O24" s="78"/>
      <c r="P24" s="45"/>
      <c r="Q24" s="45"/>
      <c r="R24" s="45"/>
      <c r="S24" s="45"/>
      <c r="T24" s="45"/>
      <c r="U24" s="78"/>
    </row>
    <row r="25">
      <c r="M25" s="78"/>
      <c r="N25" s="78"/>
      <c r="O25" s="78"/>
      <c r="P25" s="78"/>
      <c r="Q25" s="78"/>
      <c r="R25" s="78"/>
      <c r="S25" s="78"/>
      <c r="T25" s="78"/>
      <c r="U25" s="78"/>
    </row>
    <row r="26">
      <c r="M26" s="78"/>
      <c r="N26" s="78"/>
      <c r="O26" s="78"/>
      <c r="P26" s="78"/>
      <c r="Q26" s="78"/>
      <c r="R26" s="78"/>
      <c r="S26" s="78"/>
      <c r="T26" s="78"/>
      <c r="U26" s="78"/>
    </row>
    <row r="27">
      <c r="M27" s="78"/>
      <c r="N27" s="78"/>
      <c r="O27" s="78"/>
      <c r="P27" s="78"/>
      <c r="Q27" s="78"/>
      <c r="R27" s="78"/>
      <c r="S27" s="78"/>
      <c r="T27" s="78"/>
      <c r="U27" s="78"/>
    </row>
    <row r="28">
      <c r="M28" s="78"/>
      <c r="N28" s="78"/>
      <c r="O28" s="78"/>
      <c r="P28" s="78"/>
      <c r="Q28" s="78"/>
      <c r="R28" s="78"/>
      <c r="S28" s="78"/>
      <c r="T28" s="78"/>
      <c r="U28" s="78"/>
    </row>
    <row r="29">
      <c r="M29" s="78"/>
      <c r="N29" s="78"/>
      <c r="O29" s="78"/>
      <c r="P29" s="78"/>
      <c r="Q29" s="78"/>
      <c r="R29" s="78"/>
      <c r="S29" s="78"/>
      <c r="T29" s="78"/>
      <c r="U29" s="78"/>
    </row>
    <row r="30">
      <c r="M30" s="78"/>
      <c r="N30" s="78"/>
      <c r="O30" s="78"/>
      <c r="P30" s="78"/>
      <c r="Q30" s="78"/>
      <c r="R30" s="78"/>
      <c r="S30" s="78"/>
      <c r="T30" s="78"/>
      <c r="U30" s="78"/>
    </row>
    <row r="31">
      <c r="M31" s="78"/>
      <c r="N31" s="78"/>
      <c r="O31" s="78"/>
      <c r="P31" s="78"/>
      <c r="Q31" s="78"/>
      <c r="R31" s="78"/>
      <c r="S31" s="78"/>
      <c r="T31" s="78"/>
      <c r="U31" s="78"/>
    </row>
    <row r="32">
      <c r="M32" s="78"/>
      <c r="N32" s="78"/>
      <c r="O32" s="78"/>
      <c r="P32" s="78"/>
      <c r="Q32" s="78"/>
      <c r="R32" s="78"/>
      <c r="S32" s="78"/>
      <c r="T32" s="78"/>
      <c r="U32" s="78"/>
    </row>
    <row r="33">
      <c r="M33" s="78"/>
      <c r="N33" s="78"/>
      <c r="O33" s="78"/>
      <c r="P33" s="78"/>
      <c r="Q33" s="78"/>
      <c r="R33" s="78"/>
      <c r="S33" s="78"/>
      <c r="T33" s="78"/>
      <c r="U33" s="78"/>
    </row>
    <row r="34">
      <c r="M34" s="78"/>
      <c r="N34" s="78"/>
      <c r="O34" s="78"/>
      <c r="P34" s="78"/>
      <c r="Q34" s="78"/>
      <c r="R34" s="78"/>
      <c r="S34" s="78"/>
      <c r="T34" s="78"/>
      <c r="U34" s="78"/>
    </row>
    <row r="35">
      <c r="M35" s="78"/>
      <c r="N35" s="78"/>
      <c r="O35" s="78"/>
      <c r="P35" s="78"/>
      <c r="Q35" s="78"/>
      <c r="R35" s="78"/>
      <c r="S35" s="78"/>
      <c r="T35" s="78"/>
      <c r="U35" s="78"/>
    </row>
    <row r="36">
      <c r="M36" s="78"/>
      <c r="N36" s="78"/>
      <c r="O36" s="78"/>
      <c r="P36" s="78"/>
      <c r="Q36" s="78"/>
      <c r="R36" s="78"/>
      <c r="S36" s="78"/>
      <c r="T36" s="78"/>
      <c r="U36" s="78"/>
    </row>
    <row r="37">
      <c r="M37" s="78"/>
      <c r="N37" s="78"/>
      <c r="O37" s="78"/>
      <c r="P37" s="78"/>
      <c r="Q37" s="78"/>
      <c r="R37" s="78"/>
      <c r="S37" s="78"/>
      <c r="T37" s="78"/>
      <c r="U37" s="78"/>
    </row>
    <row r="38">
      <c r="M38" s="78"/>
      <c r="N38" s="78"/>
      <c r="O38" s="78"/>
      <c r="P38" s="78"/>
      <c r="Q38" s="78"/>
      <c r="R38" s="78"/>
      <c r="S38" s="78"/>
      <c r="T38" s="78"/>
      <c r="U38" s="78"/>
    </row>
    <row r="39">
      <c r="M39" s="78"/>
      <c r="N39" s="78"/>
      <c r="O39" s="78"/>
      <c r="P39" s="78"/>
      <c r="Q39" s="78"/>
      <c r="R39" s="78"/>
      <c r="S39" s="78"/>
      <c r="T39" s="78"/>
      <c r="U39" s="78"/>
    </row>
    <row r="40">
      <c r="M40" s="78"/>
      <c r="N40" s="78"/>
      <c r="O40" s="78"/>
      <c r="P40" s="78"/>
      <c r="Q40" s="78"/>
      <c r="R40" s="78"/>
      <c r="S40" s="78"/>
      <c r="T40" s="78"/>
      <c r="U40" s="78"/>
    </row>
    <row r="41">
      <c r="M41" s="78"/>
      <c r="N41" s="78"/>
      <c r="O41" s="78"/>
      <c r="P41" s="78"/>
      <c r="Q41" s="78"/>
      <c r="R41" s="78"/>
      <c r="S41" s="78"/>
      <c r="T41" s="78"/>
      <c r="U41" s="78"/>
    </row>
    <row r="42">
      <c r="M42" s="78"/>
      <c r="N42" s="78"/>
      <c r="O42" s="78"/>
      <c r="P42" s="78"/>
      <c r="Q42" s="78"/>
      <c r="R42" s="78"/>
      <c r="S42" s="78"/>
      <c r="T42" s="78"/>
      <c r="U42" s="78"/>
    </row>
    <row r="43">
      <c r="M43" s="78"/>
      <c r="N43" s="78"/>
      <c r="O43" s="78"/>
      <c r="P43" s="78"/>
      <c r="Q43" s="78"/>
      <c r="R43" s="78"/>
      <c r="S43" s="78"/>
      <c r="T43" s="78"/>
      <c r="U43" s="78"/>
    </row>
    <row r="44">
      <c r="M44" s="78"/>
      <c r="N44" s="78"/>
      <c r="O44" s="78"/>
      <c r="P44" s="78"/>
      <c r="Q44" s="78"/>
      <c r="R44" s="78"/>
      <c r="S44" s="78"/>
      <c r="T44" s="78"/>
      <c r="U44" s="78"/>
    </row>
    <row r="45">
      <c r="M45" s="78"/>
      <c r="N45" s="78"/>
      <c r="O45" s="78"/>
      <c r="P45" s="78"/>
      <c r="Q45" s="78"/>
      <c r="R45" s="78"/>
      <c r="S45" s="78"/>
      <c r="T45" s="78"/>
      <c r="U45" s="78"/>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topLeftCell="F1" zoomScale="90" zoomScaleNormal="90" workbookViewId="0">
      <selection activeCell="AE10" sqref="AE10"/>
    </sheetView>
  </sheetViews>
  <sheetFormatPr defaultRowHeight="15.0" baseColWidth="10"/>
  <cols>
    <col min="1" max="1" width="6" hidden="0" customWidth="1"/>
    <col min="2" max="2" width="29.453125" hidden="0" customWidth="1"/>
    <col min="3" max="3" width="10.453125" hidden="0" customWidth="1"/>
    <col min="4" max="4" width="10.453125" hidden="0" customWidth="1"/>
    <col min="5" max="5" width="10.453125" hidden="0" customWidth="1"/>
    <col min="6" max="6" width="10.453125" hidden="0" customWidth="1"/>
    <col min="7" max="7" width="10.453125" hidden="0" customWidth="1"/>
  </cols>
  <sheetData>
    <row r="1">
      <c r="B1" s="266" t="s">
        <v>47</v>
      </c>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row>
    <row r="2" ht="14.9" customHeight="1">
      <c r="B2" s="377" t="s">
        <v>369</v>
      </c>
      <c r="C2" s="377"/>
      <c r="D2" s="377"/>
      <c r="E2" s="377"/>
      <c r="F2" s="377"/>
      <c r="G2" s="377"/>
      <c r="H2" s="377"/>
      <c r="I2" s="377"/>
      <c r="J2" s="377"/>
      <c r="K2" s="377"/>
      <c r="L2" s="377"/>
      <c r="M2" s="377"/>
      <c r="N2" s="377"/>
      <c r="O2" s="377"/>
      <c r="P2" s="377"/>
      <c r="Q2" s="377"/>
      <c r="R2" s="377"/>
      <c r="S2" s="377"/>
      <c r="T2" s="377"/>
      <c r="U2" s="377"/>
      <c r="V2" s="377"/>
      <c r="W2" s="377"/>
      <c r="X2" s="377"/>
      <c r="Y2" s="377"/>
      <c r="Z2" s="377"/>
      <c r="AA2" s="377"/>
      <c r="AB2" s="377"/>
      <c r="AC2" s="377"/>
    </row>
    <row r="3">
      <c r="B3" s="377"/>
      <c r="C3" s="377"/>
      <c r="D3" s="377"/>
      <c r="E3" s="377"/>
      <c r="F3" s="377"/>
      <c r="G3" s="377"/>
      <c r="H3" s="377"/>
      <c r="I3" s="377"/>
      <c r="J3" s="377"/>
      <c r="K3" s="377"/>
      <c r="L3" s="377"/>
      <c r="M3" s="377"/>
      <c r="N3" s="377"/>
      <c r="O3" s="377"/>
      <c r="P3" s="377"/>
      <c r="Q3" s="377"/>
      <c r="R3" s="377"/>
      <c r="S3" s="377"/>
      <c r="T3" s="377"/>
      <c r="U3" s="377"/>
      <c r="V3" s="377"/>
      <c r="W3" s="377"/>
      <c r="X3" s="377"/>
      <c r="Y3" s="377"/>
      <c r="Z3" s="377"/>
      <c r="AA3" s="377"/>
      <c r="AB3" s="377"/>
      <c r="AC3" s="377"/>
    </row>
    <row r="4">
      <c r="B4" s="377"/>
      <c r="C4" s="377"/>
      <c r="D4" s="377"/>
      <c r="E4" s="377"/>
      <c r="F4" s="377"/>
      <c r="G4" s="377"/>
      <c r="H4" s="377"/>
      <c r="I4" s="377"/>
      <c r="J4" s="377"/>
      <c r="K4" s="377"/>
      <c r="L4" s="377"/>
      <c r="M4" s="377"/>
      <c r="N4" s="377"/>
      <c r="O4" s="377"/>
      <c r="P4" s="377"/>
      <c r="Q4" s="377"/>
      <c r="R4" s="377"/>
      <c r="S4" s="377"/>
      <c r="T4" s="377"/>
      <c r="U4" s="377"/>
      <c r="V4" s="377"/>
      <c r="W4" s="377"/>
      <c r="X4" s="377"/>
      <c r="Y4" s="377"/>
      <c r="Z4" s="377"/>
      <c r="AA4" s="377"/>
      <c r="AB4" s="377"/>
      <c r="AC4" s="377"/>
    </row>
    <row r="5">
      <c r="B5" s="547"/>
      <c r="C5" s="289"/>
      <c r="D5" s="289"/>
      <c r="E5" s="289"/>
      <c r="F5" s="289"/>
      <c r="G5" s="289"/>
      <c r="H5" s="289"/>
      <c r="I5" s="289"/>
      <c r="J5" s="289"/>
      <c r="K5" s="289"/>
      <c r="L5" s="289"/>
      <c r="M5" s="289"/>
      <c r="N5" s="289"/>
      <c r="O5" s="289"/>
      <c r="P5" s="289"/>
      <c r="Q5" s="289"/>
      <c r="R5" s="289"/>
      <c r="S5" s="289"/>
      <c r="T5" s="289"/>
      <c r="U5" s="289"/>
      <c r="V5" s="289"/>
      <c r="W5" s="289"/>
      <c r="X5" s="289"/>
      <c r="Y5" s="289"/>
    </row>
    <row r="6">
      <c r="B6" s="268" t="s">
        <v>314</v>
      </c>
      <c r="C6" s="269"/>
      <c r="D6" s="435" t="s">
        <v>191</v>
      </c>
      <c r="E6" s="436"/>
      <c r="F6" s="436"/>
      <c r="G6" s="436"/>
      <c r="H6" s="436"/>
      <c r="I6" s="436"/>
      <c r="J6" s="436"/>
      <c r="K6" s="436"/>
      <c r="L6" s="436"/>
      <c r="M6" s="436"/>
      <c r="N6" s="436"/>
      <c r="O6" s="436"/>
      <c r="P6" s="436"/>
      <c r="Q6" s="590"/>
      <c r="R6" s="590"/>
      <c r="S6" s="590"/>
      <c r="T6" s="269"/>
      <c r="U6" s="439" t="s">
        <v>192</v>
      </c>
      <c r="V6" s="439"/>
      <c r="W6" s="439"/>
      <c r="X6" s="439"/>
      <c r="Y6" s="439"/>
      <c r="Z6" s="439"/>
      <c r="AA6" s="439"/>
      <c r="AB6" s="439"/>
      <c r="AC6" s="440"/>
    </row>
    <row r="7">
      <c r="B7" s="270"/>
      <c r="C7" s="271"/>
      <c r="D7" s="254" t="n">
        <v>2018</v>
      </c>
      <c r="E7" s="254" t="n">
        <v>2019</v>
      </c>
      <c r="F7" s="441"/>
      <c r="G7" s="441"/>
      <c r="H7" s="256"/>
      <c r="I7" s="254" t="n">
        <v>2020</v>
      </c>
      <c r="J7" s="441"/>
      <c r="K7" s="441"/>
      <c r="L7" s="441"/>
      <c r="M7" s="254" t="n">
        <v>2021</v>
      </c>
      <c r="N7" s="441"/>
      <c r="O7" s="441"/>
      <c r="P7" s="441"/>
      <c r="Q7" s="254" t="n">
        <v>2022</v>
      </c>
      <c r="R7" s="255"/>
      <c r="S7" s="255"/>
      <c r="T7" s="256"/>
      <c r="U7" s="264" t="n">
        <v>2023</v>
      </c>
      <c r="V7" s="262"/>
      <c r="W7" s="262"/>
      <c r="X7" s="262"/>
      <c r="Y7" s="261" t="n">
        <v>2024</v>
      </c>
      <c r="Z7" s="262"/>
      <c r="AA7" s="262"/>
      <c r="AB7" s="263"/>
      <c r="AC7" s="443" t="n">
        <v>2025</v>
      </c>
    </row>
    <row r="8">
      <c r="B8" s="272"/>
      <c r="C8" s="273"/>
      <c r="D8" s="274" t="s">
        <v>193</v>
      </c>
      <c r="E8" s="274" t="s">
        <v>194</v>
      </c>
      <c r="F8" s="275" t="s">
        <v>195</v>
      </c>
      <c r="G8" s="275" t="s">
        <v>171</v>
      </c>
      <c r="H8" s="276" t="s">
        <v>193</v>
      </c>
      <c r="I8" s="275" t="s">
        <v>194</v>
      </c>
      <c r="J8" s="275" t="s">
        <v>195</v>
      </c>
      <c r="K8" s="275" t="s">
        <v>171</v>
      </c>
      <c r="L8" s="275" t="s">
        <v>193</v>
      </c>
      <c r="M8" s="274" t="s">
        <v>194</v>
      </c>
      <c r="N8" s="275" t="s">
        <v>195</v>
      </c>
      <c r="O8" s="275" t="s">
        <v>171</v>
      </c>
      <c r="P8" s="275" t="s">
        <v>193</v>
      </c>
      <c r="Q8" s="274" t="s">
        <v>194</v>
      </c>
      <c r="R8" s="275" t="s">
        <v>195</v>
      </c>
      <c r="S8" s="275" t="s">
        <v>171</v>
      </c>
      <c r="T8" s="276" t="s">
        <v>193</v>
      </c>
      <c r="U8" s="257" t="s">
        <v>194</v>
      </c>
      <c r="V8" s="257" t="s">
        <v>195</v>
      </c>
      <c r="W8" s="257" t="s">
        <v>171</v>
      </c>
      <c r="X8" s="257" t="s">
        <v>193</v>
      </c>
      <c r="Y8" s="277" t="s">
        <v>194</v>
      </c>
      <c r="Z8" s="492" t="s">
        <v>195</v>
      </c>
      <c r="AA8" s="257" t="s">
        <v>171</v>
      </c>
      <c r="AB8" s="258" t="s">
        <v>193</v>
      </c>
      <c r="AC8" s="1194" t="s">
        <v>194</v>
      </c>
    </row>
    <row r="9">
      <c r="B9" s="743" t="s">
        <v>47</v>
      </c>
      <c r="C9" s="853" t="s">
        <v>370</v>
      </c>
      <c r="D9" s="743"/>
      <c r="E9" s="769"/>
      <c r="F9" s="769"/>
      <c r="G9" s="769"/>
      <c r="H9" s="769"/>
      <c r="I9" s="769"/>
      <c r="J9" s="457" t="n">
        <f>'Haver Pivoted'!H45</f>
        <v>0</v>
      </c>
      <c r="K9" s="457" t="n">
        <f>'Haver Pivoted'!I45</f>
        <v>0</v>
      </c>
      <c r="L9" s="457" t="n">
        <f>'Haver Pivoted'!J45</f>
        <v>0</v>
      </c>
      <c r="M9" s="457" t="n">
        <f>'Haver Pivoted'!K45</f>
        <v>0</v>
      </c>
      <c r="N9" s="457" t="n">
        <f>'Haver Pivoted'!L45</f>
        <v>0</v>
      </c>
      <c r="O9" s="457" t="n">
        <f>'Haver Pivoted'!M45</f>
        <v>0</v>
      </c>
      <c r="P9" s="457" t="n">
        <f>'Haver Pivoted'!N45</f>
        <v>0</v>
      </c>
      <c r="Q9" s="457" t="n">
        <f>'Haver Pivoted'!O45</f>
        <v>0</v>
      </c>
      <c r="R9" s="457" t="n">
        <f>'Haver Pivoted'!P45</f>
        <v>0</v>
      </c>
      <c r="S9" s="255" t="n">
        <f>'Haver Pivoted'!Q45</f>
        <v>0</v>
      </c>
      <c r="T9" s="256" t="n">
        <f>'Haver Pivoted'!R45</f>
        <v>0</v>
      </c>
      <c r="U9" s="262"/>
      <c r="V9" s="262"/>
      <c r="W9" s="262"/>
      <c r="X9" s="262"/>
      <c r="Y9" s="262"/>
      <c r="Z9" s="262"/>
      <c r="AA9" s="262"/>
      <c r="AB9" s="262"/>
      <c r="AC9" s="263"/>
    </row>
    <row r="10">
      <c r="B10" s="753" t="s">
        <v>147</v>
      </c>
      <c r="C10" s="412"/>
      <c r="D10" s="753"/>
      <c r="E10" s="412"/>
      <c r="F10" s="412"/>
      <c r="G10" s="412"/>
      <c r="H10" s="412"/>
      <c r="I10" s="412"/>
      <c r="J10" s="811"/>
      <c r="K10" s="811"/>
      <c r="L10" s="811"/>
      <c r="M10" s="811" t="n">
        <f t="shared" ref="M10:T10" si="0">M9-M11</f>
        <v>-585.6</v>
      </c>
      <c r="N10" s="811" t="n">
        <f t="shared" si="0"/>
        <v>0</v>
      </c>
      <c r="O10" s="811" t="n">
        <f t="shared" si="0"/>
        <v>0</v>
      </c>
      <c r="P10" s="811" t="n">
        <f t="shared" si="0"/>
        <v>0</v>
      </c>
      <c r="Q10" s="811" t="n">
        <f t="shared" si="0"/>
        <v>0</v>
      </c>
      <c r="R10" s="811" t="n">
        <f t="shared" si="0"/>
        <v>0</v>
      </c>
      <c r="S10" s="1192" t="n">
        <f t="shared" si="0"/>
        <v>0</v>
      </c>
      <c r="T10" s="1195" t="n">
        <f t="shared" si="0"/>
        <v>0</v>
      </c>
      <c r="U10" s="843"/>
      <c r="V10" s="843"/>
      <c r="W10" s="843"/>
      <c r="X10" s="843"/>
      <c r="Y10" s="843"/>
      <c r="Z10" s="843"/>
      <c r="AA10" s="843"/>
      <c r="AB10" s="843"/>
      <c r="AC10" s="1191"/>
    </row>
    <row r="11">
      <c r="B11" s="701" t="s">
        <v>371</v>
      </c>
      <c r="C11" s="702"/>
      <c r="D11" s="701"/>
      <c r="E11" s="702"/>
      <c r="F11" s="702"/>
      <c r="G11" s="702"/>
      <c r="H11" s="702"/>
      <c r="I11" s="702"/>
      <c r="J11" s="831" t="n">
        <f t="shared" ref="J11:L11" si="1">J9-J10</f>
        <v>0</v>
      </c>
      <c r="K11" s="831" t="n">
        <f t="shared" si="1"/>
        <v>0</v>
      </c>
      <c r="L11" s="831" t="n">
        <f t="shared" si="1"/>
        <v>0</v>
      </c>
      <c r="M11" s="831" t="n">
        <f>SUM(C17:D17)/12*4</f>
        <v>585.6</v>
      </c>
      <c r="N11" s="831" t="n">
        <v>0</v>
      </c>
      <c r="O11" s="831" t="n">
        <v>0</v>
      </c>
      <c r="P11" s="831" t="n">
        <v>0</v>
      </c>
      <c r="Q11" s="831" t="n">
        <v>0</v>
      </c>
      <c r="R11" s="831" t="n">
        <v>0</v>
      </c>
      <c r="S11" s="831" t="n">
        <v>0</v>
      </c>
      <c r="T11" s="1193"/>
      <c r="U11" s="1197"/>
      <c r="V11" s="1197"/>
      <c r="W11" s="1197"/>
      <c r="X11" s="1197"/>
      <c r="Y11" s="1197"/>
      <c r="Z11" s="1197"/>
      <c r="AA11" s="1197"/>
      <c r="AB11" s="1197"/>
      <c r="AC11" s="1186"/>
    </row>
    <row r="12">
      <c r="B12" s="289"/>
      <c r="C12" s="289"/>
      <c r="D12" s="289"/>
      <c r="E12" s="289"/>
      <c r="F12" s="289"/>
      <c r="G12" s="289"/>
      <c r="H12" s="289"/>
      <c r="I12" s="289"/>
      <c r="J12" s="289"/>
      <c r="K12" s="289"/>
      <c r="L12" s="289"/>
      <c r="M12" s="289"/>
      <c r="N12" s="289"/>
      <c r="O12" s="289"/>
      <c r="P12" s="289"/>
      <c r="Q12" s="289"/>
      <c r="R12" s="289"/>
      <c r="S12" s="289"/>
      <c r="T12" s="289"/>
      <c r="U12" s="289"/>
      <c r="V12" s="289"/>
      <c r="W12" s="289"/>
      <c r="X12" s="289"/>
      <c r="Y12" s="289"/>
      <c r="Z12" s="78"/>
      <c r="AA12" s="78"/>
      <c r="AB12" s="78"/>
      <c r="AC12" s="78"/>
    </row>
    <row r="13">
      <c r="A13" s="86"/>
      <c r="B13" s="86"/>
      <c r="C13" s="86"/>
      <c r="D13" s="86"/>
      <c r="E13" s="86"/>
      <c r="F13" s="86"/>
      <c r="G13" s="86"/>
      <c r="H13" s="86"/>
      <c r="I13" s="86"/>
      <c r="J13" s="86"/>
      <c r="K13" s="86"/>
      <c r="L13" s="87"/>
      <c r="M13" s="87"/>
      <c r="N13" s="87"/>
    </row>
    <row r="14">
      <c r="A14" s="86"/>
      <c r="N14" s="78"/>
    </row>
    <row r="15">
      <c r="A15" s="809"/>
      <c r="B15" s="1198" t="s">
        <v>372</v>
      </c>
      <c r="C15" s="1176" t="n">
        <v>2021</v>
      </c>
      <c r="D15" s="1177"/>
      <c r="E15" s="1177"/>
      <c r="F15" s="1177"/>
      <c r="G15" s="85"/>
      <c r="K15" s="809"/>
      <c r="L15" s="809"/>
      <c r="M15" s="78"/>
      <c r="N15" s="78"/>
    </row>
    <row r="16">
      <c r="B16" s="1199"/>
      <c r="C16" s="1188" t="s">
        <v>167</v>
      </c>
      <c r="D16" s="1151" t="s">
        <v>168</v>
      </c>
      <c r="E16" s="1151" t="s">
        <v>169</v>
      </c>
      <c r="F16" s="1151" t="s">
        <v>170</v>
      </c>
      <c r="G16" s="1196"/>
      <c r="H16" s="809"/>
      <c r="I16" s="809"/>
      <c r="J16" s="809"/>
      <c r="K16" s="809"/>
      <c r="L16" s="809"/>
      <c r="M16" s="809"/>
      <c r="N16" s="809"/>
    </row>
    <row r="17" ht="16.399999999999999" customHeight="1">
      <c r="B17" s="1187" t="s">
        <v>373</v>
      </c>
      <c r="C17" s="1189" t="n">
        <v>1660.9</v>
      </c>
      <c r="D17" s="1189" t="n">
        <v>95.9</v>
      </c>
      <c r="E17" s="1189" t="n">
        <v>4044.2</v>
      </c>
      <c r="F17" s="1190" t="n">
        <v>688</v>
      </c>
      <c r="G17" s="228"/>
      <c r="H17" s="228"/>
      <c r="I17" s="228"/>
      <c r="J17" s="228"/>
      <c r="K17" s="228"/>
      <c r="L17" s="228"/>
      <c r="M17" s="289"/>
      <c r="N17" s="289"/>
    </row>
    <row r="18">
      <c r="B18" s="1131" t="s">
        <v>374</v>
      </c>
      <c r="C18" s="289"/>
      <c r="D18" s="289"/>
      <c r="E18" s="289"/>
      <c r="F18" s="289"/>
      <c r="G18" s="289"/>
      <c r="H18" s="289"/>
      <c r="I18" s="289"/>
      <c r="J18" s="289"/>
      <c r="K18" s="289"/>
      <c r="L18" s="289"/>
      <c r="M18" s="289"/>
      <c r="N18" s="289"/>
    </row>
    <row r="19">
      <c r="B19" s="289"/>
      <c r="C19" s="289"/>
      <c r="D19" s="289"/>
      <c r="E19" s="289"/>
      <c r="F19" s="289"/>
      <c r="G19" s="289"/>
      <c r="H19" s="289"/>
      <c r="I19" s="289"/>
      <c r="J19" s="289"/>
      <c r="K19" s="289"/>
      <c r="L19" s="289"/>
      <c r="M19" s="289"/>
      <c r="N19" s="289"/>
    </row>
    <row r="20">
      <c r="B20" s="1131"/>
      <c r="C20" s="289"/>
      <c r="D20" s="289"/>
      <c r="E20" s="289"/>
      <c r="F20" s="289"/>
      <c r="G20" s="289"/>
      <c r="H20" s="289"/>
      <c r="I20" s="289"/>
      <c r="J20" s="289"/>
      <c r="K20" s="289"/>
      <c r="L20" s="289"/>
      <c r="M20" s="289"/>
      <c r="N20" s="289"/>
    </row>
    <row r="21">
      <c r="B21" s="289"/>
      <c r="C21" s="289"/>
      <c r="D21" s="289"/>
      <c r="E21" s="289"/>
      <c r="F21" s="289"/>
      <c r="G21" s="289"/>
      <c r="H21" s="289"/>
      <c r="I21" s="289"/>
      <c r="J21" s="289"/>
      <c r="K21" s="289"/>
      <c r="L21" s="289"/>
      <c r="M21" s="289"/>
      <c r="N21" s="289"/>
      <c r="O21" s="289"/>
      <c r="P21" s="289"/>
      <c r="Q21" s="289"/>
      <c r="R21" s="289"/>
      <c r="S21" s="289"/>
      <c r="T21" s="289"/>
      <c r="U21" s="289"/>
      <c r="V21" s="289"/>
      <c r="W21" s="289"/>
      <c r="X21" s="289"/>
      <c r="Y21" s="289"/>
      <c r="Z21" s="78"/>
      <c r="AA21" s="78"/>
      <c r="AB21" s="78"/>
      <c r="AC21" s="78"/>
    </row>
    <row r="22">
      <c r="B22" s="86"/>
      <c r="C22" s="86"/>
      <c r="D22" s="86"/>
      <c r="E22" s="86"/>
      <c r="F22" s="86"/>
      <c r="G22" s="86"/>
      <c r="H22" s="86"/>
      <c r="I22" s="86"/>
      <c r="J22" s="86"/>
      <c r="K22" s="86"/>
      <c r="L22" s="87"/>
      <c r="M22" s="87"/>
      <c r="N22" s="87"/>
    </row>
    <row r="23">
      <c r="B23" s="289"/>
      <c r="C23" s="289"/>
      <c r="D23" s="289"/>
      <c r="E23" s="289"/>
      <c r="F23" s="289"/>
      <c r="G23" s="289"/>
      <c r="H23" s="289"/>
      <c r="I23" s="289"/>
      <c r="J23" s="289"/>
      <c r="K23" s="289"/>
      <c r="L23" s="289"/>
      <c r="M23" s="289"/>
      <c r="N23" s="289"/>
      <c r="O23" s="289"/>
      <c r="P23" s="289"/>
      <c r="Q23" s="289"/>
      <c r="R23" s="289"/>
      <c r="S23" s="289"/>
      <c r="T23" s="289"/>
      <c r="U23" s="289"/>
      <c r="V23" s="289"/>
      <c r="W23" s="289"/>
      <c r="X23" s="289"/>
      <c r="Y23" s="289"/>
    </row>
    <row r="24">
      <c r="B24" s="289"/>
      <c r="C24" s="289"/>
      <c r="D24" s="289"/>
      <c r="E24" s="289"/>
      <c r="F24" s="289"/>
      <c r="G24" s="289"/>
      <c r="H24" s="289"/>
      <c r="I24" s="289"/>
      <c r="J24" s="289"/>
      <c r="K24" s="289"/>
      <c r="L24" s="289"/>
      <c r="M24" s="289"/>
      <c r="N24" s="289"/>
      <c r="O24" s="289"/>
      <c r="P24" s="289"/>
      <c r="Q24" s="289"/>
      <c r="R24" s="289"/>
      <c r="S24" s="289"/>
      <c r="T24" s="289"/>
      <c r="U24" s="289"/>
      <c r="V24" s="289"/>
      <c r="W24" s="289"/>
      <c r="X24" s="289"/>
      <c r="Y24" s="289"/>
    </row>
    <row r="25">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row>
    <row r="26">
      <c r="B26" s="289"/>
      <c r="C26" s="289"/>
      <c r="D26" s="289"/>
      <c r="E26" s="289"/>
      <c r="F26" s="289"/>
      <c r="G26" s="289"/>
      <c r="H26" s="289"/>
      <c r="I26" s="289"/>
      <c r="J26" s="289"/>
      <c r="K26" s="289"/>
      <c r="L26" s="289"/>
      <c r="M26" s="289"/>
      <c r="N26" s="289"/>
      <c r="O26" s="289"/>
      <c r="P26" s="289"/>
      <c r="Q26" s="289"/>
      <c r="R26" s="289"/>
      <c r="S26" s="289"/>
      <c r="T26" s="289"/>
      <c r="U26" s="289"/>
      <c r="V26" s="289"/>
      <c r="W26" s="289"/>
      <c r="X26" s="289"/>
      <c r="Y26" s="289"/>
    </row>
    <row r="27">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row>
    <row r="28">
      <c r="B28" s="289"/>
      <c r="C28" s="289"/>
      <c r="D28" s="289"/>
      <c r="E28" s="289"/>
      <c r="F28" s="289"/>
      <c r="G28" s="289"/>
      <c r="H28" s="289"/>
      <c r="I28" s="289"/>
      <c r="J28" s="289"/>
      <c r="K28" s="289"/>
      <c r="L28" s="289"/>
      <c r="M28" s="289"/>
      <c r="N28" s="289"/>
      <c r="O28" s="289"/>
      <c r="P28" s="289"/>
      <c r="Q28" s="289"/>
      <c r="R28" s="289"/>
      <c r="S28" s="289"/>
      <c r="T28" s="289"/>
      <c r="U28" s="289"/>
      <c r="V28" s="289"/>
      <c r="W28" s="289"/>
      <c r="X28" s="289"/>
      <c r="Y28" s="289"/>
    </row>
    <row r="29">
      <c r="B29" s="289"/>
      <c r="C29" s="289"/>
      <c r="D29" s="289"/>
      <c r="E29" s="289"/>
      <c r="F29" s="289"/>
      <c r="G29" s="289"/>
      <c r="H29" s="289"/>
      <c r="I29" s="289"/>
      <c r="J29" s="289"/>
      <c r="K29" s="289"/>
      <c r="L29" s="289"/>
      <c r="M29" s="289"/>
      <c r="N29" s="289"/>
      <c r="O29" s="289"/>
      <c r="P29" s="289"/>
      <c r="Q29" s="289"/>
      <c r="R29" s="289"/>
      <c r="S29" s="289"/>
      <c r="T29" s="289"/>
      <c r="U29" s="289"/>
      <c r="V29" s="289"/>
      <c r="W29" s="289"/>
      <c r="X29" s="289"/>
      <c r="Y29" s="289"/>
    </row>
    <row r="30">
      <c r="B30" s="289"/>
      <c r="C30" s="289"/>
      <c r="D30" s="289"/>
      <c r="E30" s="289"/>
      <c r="F30" s="289"/>
      <c r="G30" s="289"/>
      <c r="H30" s="289"/>
      <c r="I30" s="289"/>
      <c r="J30" s="289"/>
      <c r="K30" s="289"/>
      <c r="L30" s="289"/>
      <c r="M30" s="289"/>
      <c r="N30" s="289"/>
      <c r="O30" s="289"/>
      <c r="P30" s="289"/>
      <c r="Q30" s="289"/>
      <c r="R30" s="289"/>
      <c r="S30" s="289"/>
      <c r="T30" s="289"/>
      <c r="U30" s="289"/>
      <c r="V30" s="289"/>
      <c r="W30" s="289"/>
      <c r="X30" s="289"/>
      <c r="Y30" s="289"/>
    </row>
    <row r="31">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row>
    <row r="32">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row>
    <row r="33">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row>
    <row r="34">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row>
    <row r="35">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row>
    <row r="36">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row>
    <row r="37">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row>
    <row r="38">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row>
    <row r="3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row>
    <row r="40">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row>
    <row r="41">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row>
    <row r="42">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row>
    <row r="43">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row>
    <row r="44">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row>
    <row r="45">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row>
    <row r="46">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row>
    <row r="47">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row>
    <row r="48">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row>
    <row r="4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row>
    <row r="50">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row>
    <row r="51">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row>
    <row r="52">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row>
  </sheetData>
  <mergeCells count="14">
    <mergeCell ref="B15:B16"/>
    <mergeCell ref="K15:L15"/>
    <mergeCell ref="C15:F15"/>
    <mergeCell ref="Y7:AB7"/>
    <mergeCell ref="M7:P7"/>
    <mergeCell ref="B1:AC1"/>
    <mergeCell ref="B2:AC4"/>
    <mergeCell ref="B6:C8"/>
    <mergeCell ref="I7:L7"/>
    <mergeCell ref="U7:X7"/>
    <mergeCell ref="E7:H7"/>
    <mergeCell ref="D6:T6"/>
    <mergeCell ref="U6:AC6"/>
    <mergeCell ref="Q7:T7"/>
  </mergeCells>
  <hyperlinks>
    <hyperlink ref="B18" r:id="rId1h"/>
  </hyperlinks>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90" zoomScaleNormal="90" workbookViewId="0">
      <selection activeCell="I31" sqref="I31"/>
    </sheetView>
  </sheetViews>
  <sheetFormatPr defaultRowHeight="15.0" baseColWidth="10"/>
  <cols>
    <col min="3" max="3" width="33.81640625" hidden="0" customWidth="1"/>
  </cols>
  <sheetData>
    <row r="3">
      <c r="A3" s="956" t="s">
        <v>431</v>
      </c>
      <c r="B3" s="289"/>
    </row>
    <row r="4">
      <c r="A4" s="1201" t="s">
        <v>432</v>
      </c>
      <c r="B4" s="1202"/>
      <c r="C4" s="1202"/>
    </row>
    <row r="7">
      <c r="A7" s="1213" t="s">
        <v>433</v>
      </c>
      <c r="B7" s="1214"/>
      <c r="C7" s="1214"/>
      <c r="D7" s="1214"/>
      <c r="E7" s="1214"/>
      <c r="F7" s="1214"/>
      <c r="G7" s="1214"/>
      <c r="H7" s="1214"/>
      <c r="I7" s="1214"/>
      <c r="J7" s="1214"/>
      <c r="K7" s="1214"/>
      <c r="L7" s="1214"/>
      <c r="M7" s="1214"/>
      <c r="N7" s="1214"/>
      <c r="O7" s="1214"/>
      <c r="P7" s="1214"/>
    </row>
    <row r="8">
      <c r="A8" s="506" t="s">
        <v>434</v>
      </c>
      <c r="B8" s="506"/>
      <c r="C8" s="506"/>
      <c r="D8" s="1206"/>
      <c r="E8" s="506"/>
      <c r="F8" s="506"/>
      <c r="G8" s="506"/>
      <c r="H8" s="506"/>
      <c r="I8" s="506"/>
      <c r="J8" s="506"/>
      <c r="K8" s="506"/>
      <c r="L8" s="506"/>
      <c r="M8" s="506"/>
      <c r="N8" s="506"/>
      <c r="O8" s="506"/>
      <c r="P8" s="506"/>
    </row>
    <row r="9">
      <c r="A9" s="289"/>
      <c r="B9" s="289"/>
      <c r="C9" s="289"/>
      <c r="D9" s="1103"/>
      <c r="E9" s="289"/>
      <c r="F9" s="289"/>
      <c r="G9" s="289"/>
      <c r="H9" s="289"/>
      <c r="I9" s="289"/>
      <c r="J9" s="289"/>
      <c r="K9" s="289"/>
      <c r="L9" s="289"/>
      <c r="M9" s="289"/>
      <c r="N9" s="289"/>
      <c r="O9" s="289"/>
      <c r="P9" s="289"/>
    </row>
    <row r="10">
      <c r="A10" s="289"/>
      <c r="B10" s="289"/>
      <c r="C10" s="289"/>
      <c r="D10" s="1103"/>
      <c r="E10" s="289"/>
      <c r="F10" s="289"/>
      <c r="G10" s="289"/>
      <c r="H10" s="289"/>
      <c r="I10" s="289"/>
      <c r="J10" s="289"/>
      <c r="K10" s="289"/>
      <c r="L10" s="289"/>
      <c r="M10" s="289"/>
      <c r="N10" s="289"/>
      <c r="O10" s="734" t="s">
        <v>223</v>
      </c>
      <c r="P10" s="734"/>
    </row>
    <row r="11">
      <c r="A11" s="289"/>
      <c r="B11" s="289"/>
      <c r="C11" s="959"/>
      <c r="D11" s="415"/>
      <c r="E11" s="959"/>
      <c r="F11" s="959"/>
      <c r="G11" s="959"/>
      <c r="H11" s="959"/>
      <c r="I11" s="959"/>
      <c r="J11" s="959"/>
      <c r="K11" s="959"/>
      <c r="L11" s="959"/>
      <c r="M11" s="959"/>
      <c r="N11" s="959"/>
      <c r="O11" s="1205" t="s">
        <v>435</v>
      </c>
      <c r="P11" s="1205" t="s">
        <v>435</v>
      </c>
    </row>
    <row r="12">
      <c r="A12" s="506"/>
      <c r="B12" s="506"/>
      <c r="C12" s="506"/>
      <c r="D12" s="1206" t="n">
        <v>2020</v>
      </c>
      <c r="E12" s="1206" t="n">
        <v>2021</v>
      </c>
      <c r="F12" s="1206" t="n">
        <v>2022</v>
      </c>
      <c r="G12" s="1206" t="n">
        <v>2023</v>
      </c>
      <c r="H12" s="1206" t="n">
        <v>2024</v>
      </c>
      <c r="I12" s="1206" t="n">
        <v>2025</v>
      </c>
      <c r="J12" s="1206" t="n">
        <v>2026</v>
      </c>
      <c r="K12" s="1206" t="n">
        <v>2027</v>
      </c>
      <c r="L12" s="1206" t="n">
        <v>2028</v>
      </c>
      <c r="M12" s="1206" t="n">
        <v>2029</v>
      </c>
      <c r="N12" s="1206" t="n">
        <v>2030</v>
      </c>
      <c r="O12" s="976" t="n">
        <v>2025</v>
      </c>
      <c r="P12" s="976" t="n">
        <v>2030</v>
      </c>
    </row>
    <row r="13">
      <c r="A13" s="959" t="s">
        <v>436</v>
      </c>
      <c r="B13" s="959"/>
      <c r="C13" s="959"/>
      <c r="D13" s="1210" t="n">
        <v>540.56299999999999</v>
      </c>
      <c r="E13" s="1210" t="n">
        <v>0</v>
      </c>
      <c r="F13" s="1210" t="n">
        <v>0</v>
      </c>
      <c r="G13" s="1210" t="n">
        <v>0</v>
      </c>
      <c r="H13" s="1210" t="n">
        <v>0</v>
      </c>
      <c r="I13" s="1210" t="n">
        <v>0</v>
      </c>
      <c r="J13" s="1210" t="n">
        <v>0</v>
      </c>
      <c r="K13" s="1210" t="n">
        <v>0</v>
      </c>
      <c r="L13" s="1210" t="n">
        <v>0</v>
      </c>
      <c r="M13" s="1210" t="n">
        <v>0</v>
      </c>
      <c r="N13" s="1210" t="n">
        <v>0</v>
      </c>
      <c r="O13" s="1210" t="n">
        <v>0</v>
      </c>
      <c r="P13" s="1210" t="n">
        <v>0</v>
      </c>
      <c r="Q13" t="s">
        <v>41</v>
      </c>
    </row>
    <row r="14">
      <c r="A14" s="289" t="s">
        <v>437</v>
      </c>
      <c r="B14" s="289"/>
      <c r="C14" s="289"/>
      <c r="D14" s="415"/>
      <c r="E14" s="959"/>
      <c r="F14" s="959"/>
      <c r="G14" s="959"/>
      <c r="H14" s="959"/>
      <c r="I14" s="959"/>
      <c r="J14" s="959"/>
      <c r="K14" s="959"/>
      <c r="L14" s="959"/>
      <c r="M14" s="959"/>
      <c r="N14" s="959"/>
      <c r="O14" s="959"/>
      <c r="P14" s="959"/>
      <c r="Q14" t="s">
        <v>438</v>
      </c>
    </row>
    <row r="15">
      <c r="A15" s="289"/>
      <c r="B15" s="289" t="s">
        <v>439</v>
      </c>
      <c r="C15" s="289"/>
      <c r="D15" s="415" t="n">
        <v>285.56</v>
      </c>
      <c r="E15" s="415" t="n">
        <v>5</v>
      </c>
      <c r="F15" s="415" t="n">
        <v>0</v>
      </c>
      <c r="G15" s="415" t="n">
        <v>0</v>
      </c>
      <c r="H15" s="415" t="n">
        <v>0</v>
      </c>
      <c r="I15" s="415" t="n">
        <v>0</v>
      </c>
      <c r="J15" s="415" t="n">
        <v>0</v>
      </c>
      <c r="K15" s="415" t="n">
        <v>0</v>
      </c>
      <c r="L15" s="415" t="n">
        <v>0</v>
      </c>
      <c r="M15" s="415" t="n">
        <v>0</v>
      </c>
      <c r="N15" s="415" t="n">
        <v>0</v>
      </c>
      <c r="O15" s="415" t="n">
        <v>5</v>
      </c>
      <c r="P15" s="415" t="n">
        <v>5</v>
      </c>
    </row>
    <row r="16">
      <c r="A16" s="959"/>
      <c r="B16" s="289" t="s">
        <v>440</v>
      </c>
      <c r="C16" s="959"/>
      <c r="D16" s="415" t="n">
        <v>67.209999999999994</v>
      </c>
      <c r="E16" s="415" t="n">
        <v>13.68</v>
      </c>
      <c r="F16" s="415" t="n">
        <v>0</v>
      </c>
      <c r="G16" s="415" t="n">
        <v>0</v>
      </c>
      <c r="H16" s="415" t="n">
        <v>0</v>
      </c>
      <c r="I16" s="415" t="n">
        <v>0</v>
      </c>
      <c r="J16" s="415" t="n">
        <v>0</v>
      </c>
      <c r="K16" s="415" t="n">
        <v>0</v>
      </c>
      <c r="L16" s="415" t="n">
        <v>0</v>
      </c>
      <c r="M16" s="415" t="n">
        <v>0</v>
      </c>
      <c r="N16" s="415" t="n">
        <v>0</v>
      </c>
      <c r="O16" s="415" t="n">
        <v>13.68</v>
      </c>
      <c r="P16" s="415" t="n">
        <v>13.68</v>
      </c>
    </row>
    <row r="17">
      <c r="A17" s="959"/>
      <c r="B17" s="289" t="s">
        <v>441</v>
      </c>
      <c r="C17" s="959"/>
      <c r="D17" s="415" t="n">
        <v>11.12</v>
      </c>
      <c r="E17" s="415" t="n">
        <v>47.8</v>
      </c>
      <c r="F17" s="415" t="n">
        <v>0</v>
      </c>
      <c r="G17" s="415" t="n">
        <v>0</v>
      </c>
      <c r="H17" s="415" t="n">
        <v>0</v>
      </c>
      <c r="I17" s="415" t="n">
        <v>0</v>
      </c>
      <c r="J17" s="415" t="n">
        <v>0</v>
      </c>
      <c r="K17" s="415" t="n">
        <v>0</v>
      </c>
      <c r="L17" s="415" t="n">
        <v>0</v>
      </c>
      <c r="M17" s="415" t="n">
        <v>0</v>
      </c>
      <c r="N17" s="415" t="n">
        <v>0</v>
      </c>
      <c r="O17" s="415" t="n">
        <v>47.8</v>
      </c>
      <c r="P17" s="415" t="n">
        <v>47.8</v>
      </c>
    </row>
    <row r="18">
      <c r="A18" s="959"/>
      <c r="B18" s="289" t="s">
        <v>442</v>
      </c>
      <c r="C18" s="959"/>
      <c r="D18" s="415" t="n">
        <v>6.2149999999999999</v>
      </c>
      <c r="E18" s="415" t="n">
        <v>5.0049999999999999</v>
      </c>
      <c r="F18" s="415" t="n">
        <v>0</v>
      </c>
      <c r="G18" s="415" t="n">
        <v>0</v>
      </c>
      <c r="H18" s="415" t="n">
        <v>0</v>
      </c>
      <c r="I18" s="415" t="n">
        <v>0</v>
      </c>
      <c r="J18" s="415" t="n">
        <v>0</v>
      </c>
      <c r="K18" s="415" t="n">
        <v>0</v>
      </c>
      <c r="L18" s="415" t="n">
        <v>0</v>
      </c>
      <c r="M18" s="415" t="n">
        <v>0</v>
      </c>
      <c r="N18" s="415" t="n">
        <v>0</v>
      </c>
      <c r="O18" s="415" t="n">
        <v>5.0049999999999999</v>
      </c>
      <c r="P18" s="415" t="n">
        <v>5.0049999999999999</v>
      </c>
    </row>
    <row r="19">
      <c r="A19" s="959"/>
      <c r="B19" s="289"/>
      <c r="C19" s="959"/>
      <c r="D19" s="415" t="s">
        <v>443</v>
      </c>
      <c r="E19" s="415" t="s">
        <v>443</v>
      </c>
      <c r="F19" s="415" t="s">
        <v>443</v>
      </c>
      <c r="G19" s="415" t="s">
        <v>443</v>
      </c>
      <c r="H19" s="415" t="s">
        <v>443</v>
      </c>
      <c r="I19" s="415" t="s">
        <v>443</v>
      </c>
      <c r="J19" s="415" t="s">
        <v>443</v>
      </c>
      <c r="K19" s="415" t="s">
        <v>443</v>
      </c>
      <c r="L19" s="415" t="s">
        <v>443</v>
      </c>
      <c r="M19" s="415" t="s">
        <v>443</v>
      </c>
      <c r="N19" s="415" t="s">
        <v>443</v>
      </c>
      <c r="O19" s="415" t="s">
        <v>443</v>
      </c>
      <c r="P19" s="415" t="s">
        <v>443</v>
      </c>
    </row>
    <row r="20">
      <c r="A20" s="959"/>
      <c r="B20" s="289"/>
      <c r="C20" s="959" t="s">
        <v>444</v>
      </c>
      <c r="D20" s="415" t="n">
        <v>370.10500000000002</v>
      </c>
      <c r="E20" s="415" t="n">
        <v>71.484999999999999</v>
      </c>
      <c r="F20" s="415" t="n">
        <v>0</v>
      </c>
      <c r="G20" s="415" t="n">
        <v>0</v>
      </c>
      <c r="H20" s="415" t="n">
        <v>0</v>
      </c>
      <c r="I20" s="415" t="n">
        <v>0</v>
      </c>
      <c r="J20" s="415" t="n">
        <v>0</v>
      </c>
      <c r="K20" s="415" t="n">
        <v>0</v>
      </c>
      <c r="L20" s="415" t="n">
        <v>0</v>
      </c>
      <c r="M20" s="415" t="n">
        <v>0</v>
      </c>
      <c r="N20" s="415" t="n">
        <v>0</v>
      </c>
      <c r="O20" s="415" t="n">
        <v>71.484999999999999</v>
      </c>
      <c r="P20" s="415" t="n">
        <v>71.484999999999999</v>
      </c>
    </row>
    <row r="21">
      <c r="A21" s="959"/>
      <c r="B21" s="289"/>
      <c r="C21" s="959"/>
      <c r="D21" s="415"/>
      <c r="E21" s="415"/>
      <c r="F21" s="415"/>
      <c r="G21" s="415"/>
      <c r="H21" s="415"/>
      <c r="I21" s="415"/>
      <c r="J21" s="415"/>
      <c r="K21" s="415"/>
      <c r="L21" s="415"/>
      <c r="M21" s="415"/>
      <c r="N21" s="415"/>
      <c r="O21" s="415"/>
      <c r="P21" s="415"/>
    </row>
    <row r="22" ht="17.149999999999999" customHeight="1">
      <c r="A22" s="959" t="s">
        <v>445</v>
      </c>
      <c r="B22" s="289"/>
      <c r="C22" s="959"/>
      <c r="D22" s="415" t="n">
        <v>271.98399999999998</v>
      </c>
      <c r="E22" s="415" t="n">
        <v>9.327</v>
      </c>
      <c r="F22" s="415" t="n">
        <v>0</v>
      </c>
      <c r="G22" s="415" t="n">
        <v>0</v>
      </c>
      <c r="H22" s="415" t="n">
        <v>0</v>
      </c>
      <c r="I22" s="415" t="n">
        <v>0</v>
      </c>
      <c r="J22" s="415" t="n">
        <v>0</v>
      </c>
      <c r="K22" s="415" t="n">
        <v>0</v>
      </c>
      <c r="L22" s="415" t="n">
        <v>0</v>
      </c>
      <c r="M22" s="415" t="n">
        <v>0</v>
      </c>
      <c r="N22" s="415" t="n">
        <v>0</v>
      </c>
      <c r="O22" s="415" t="n">
        <v>9.327</v>
      </c>
      <c r="P22" s="415" t="n">
        <v>9.327</v>
      </c>
      <c r="Q22" t="s">
        <v>446</v>
      </c>
    </row>
    <row r="23">
      <c r="A23" s="959" t="s">
        <v>101</v>
      </c>
      <c r="B23" s="289"/>
      <c r="C23" s="289"/>
      <c r="D23" s="415" t="n">
        <v>149.97300000000001</v>
      </c>
      <c r="E23" s="415" t="n">
        <v>2.5999999999999999E-2</v>
      </c>
      <c r="F23" s="415" t="n">
        <v>0</v>
      </c>
      <c r="G23" s="415" t="n">
        <v>0</v>
      </c>
      <c r="H23" s="415" t="n">
        <v>0</v>
      </c>
      <c r="I23" s="415" t="n">
        <v>0</v>
      </c>
      <c r="J23" s="415" t="n">
        <v>0</v>
      </c>
      <c r="K23" s="415" t="n">
        <v>0</v>
      </c>
      <c r="L23" s="415" t="n">
        <v>0</v>
      </c>
      <c r="M23" s="415" t="n">
        <v>0</v>
      </c>
      <c r="N23" s="415" t="n">
        <v>0</v>
      </c>
      <c r="O23" s="415" t="n">
        <v>2.5999999999999999E-2</v>
      </c>
      <c r="P23" s="415" t="n">
        <v>2.5999999999999999E-2</v>
      </c>
      <c r="Q23" t="s">
        <v>42</v>
      </c>
    </row>
    <row r="24">
      <c r="A24" s="959" t="s">
        <v>447</v>
      </c>
      <c r="B24" s="289"/>
      <c r="C24" s="289"/>
      <c r="D24" s="415" t="n">
        <v>135.41999999999999</v>
      </c>
      <c r="E24" s="415" t="n">
        <v>72.537999999999997</v>
      </c>
      <c r="F24" s="415" t="n">
        <v>10.331</v>
      </c>
      <c r="G24" s="415" t="n">
        <v>4.2670000000000003</v>
      </c>
      <c r="H24" s="415" t="n">
        <v>1.347</v>
      </c>
      <c r="I24" s="415" t="n">
        <v>0.67400000000000004</v>
      </c>
      <c r="J24" s="415" t="n">
        <v>0</v>
      </c>
      <c r="K24" s="415" t="n">
        <v>0</v>
      </c>
      <c r="L24" s="415" t="n">
        <v>0</v>
      </c>
      <c r="M24" s="415" t="n">
        <v>0</v>
      </c>
      <c r="N24" s="415" t="n">
        <v>0</v>
      </c>
      <c r="O24" s="415" t="n">
        <v>89.156999999999996</v>
      </c>
      <c r="P24" s="415" t="n">
        <v>89.156999999999996</v>
      </c>
      <c r="Q24" t="s">
        <v>448</v>
      </c>
    </row>
    <row r="25">
      <c r="A25" s="959" t="s">
        <v>449</v>
      </c>
      <c r="B25" s="289"/>
      <c r="C25" s="289"/>
      <c r="D25" s="415"/>
      <c r="E25" s="415"/>
      <c r="F25" s="415"/>
      <c r="G25" s="415"/>
      <c r="H25" s="415"/>
      <c r="I25" s="415"/>
      <c r="J25" s="415"/>
      <c r="K25" s="415"/>
      <c r="L25" s="415"/>
      <c r="M25" s="415"/>
      <c r="N25" s="415"/>
      <c r="O25" s="415"/>
      <c r="P25" s="415"/>
    </row>
    <row r="26">
      <c r="A26" s="959" t="s">
        <v>450</v>
      </c>
      <c r="B26" s="289"/>
      <c r="C26" s="289"/>
      <c r="D26" s="415" t="n">
        <v>40.831000000000003</v>
      </c>
      <c r="E26" s="415" t="n">
        <v>79.391999999999996</v>
      </c>
      <c r="F26" s="415" t="n">
        <v>47.442999999999998</v>
      </c>
      <c r="G26" s="415" t="n">
        <v>4.7220000000000004</v>
      </c>
      <c r="H26" s="415" t="n">
        <v>0</v>
      </c>
      <c r="I26" s="415" t="n">
        <v>0</v>
      </c>
      <c r="J26" s="415" t="n">
        <v>0</v>
      </c>
      <c r="K26" s="415" t="n">
        <v>0</v>
      </c>
      <c r="L26" s="415" t="n">
        <v>0</v>
      </c>
      <c r="M26" s="415" t="n">
        <v>0</v>
      </c>
      <c r="N26" s="415" t="n">
        <v>0</v>
      </c>
      <c r="O26" s="415" t="n">
        <v>131.55699999999999</v>
      </c>
      <c r="P26" s="415" t="n">
        <v>131.55699999999999</v>
      </c>
      <c r="Q26" t="s">
        <v>91</v>
      </c>
    </row>
    <row r="27">
      <c r="A27" s="959" t="s">
        <v>451</v>
      </c>
      <c r="B27" s="289"/>
      <c r="C27" s="289"/>
      <c r="D27" s="415" t="n">
        <v>58.054000000000002</v>
      </c>
      <c r="E27" s="415" t="n">
        <v>14.755000000000001</v>
      </c>
      <c r="F27" s="415" t="n">
        <v>3.4750000000000001</v>
      </c>
      <c r="G27" s="415" t="n">
        <v>3.9249999999999998</v>
      </c>
      <c r="H27" s="415" t="n">
        <v>4.375</v>
      </c>
      <c r="I27" s="415" t="n">
        <v>4.375</v>
      </c>
      <c r="J27" s="415" t="n">
        <v>4.5</v>
      </c>
      <c r="K27" s="415" t="n">
        <v>4.5</v>
      </c>
      <c r="L27" s="415" t="n">
        <v>4.5</v>
      </c>
      <c r="M27" s="415" t="n">
        <v>4.5</v>
      </c>
      <c r="N27" s="415" t="n">
        <v>4.5</v>
      </c>
      <c r="O27" s="415" t="n">
        <v>30.905000000000001</v>
      </c>
      <c r="P27" s="415" t="n">
        <v>53.405000000000001</v>
      </c>
    </row>
    <row r="28">
      <c r="A28" s="959" t="s">
        <v>452</v>
      </c>
      <c r="B28" s="289"/>
      <c r="C28" s="289"/>
      <c r="D28" s="415" t="n">
        <v>47.372999999999998</v>
      </c>
      <c r="E28" s="415" t="n">
        <v>-46.081000000000003</v>
      </c>
      <c r="F28" s="415" t="n">
        <v>0</v>
      </c>
      <c r="G28" s="415" t="n">
        <v>0</v>
      </c>
      <c r="H28" s="415" t="n">
        <v>0</v>
      </c>
      <c r="I28" s="415" t="n">
        <v>0</v>
      </c>
      <c r="J28" s="415" t="n">
        <v>0</v>
      </c>
      <c r="K28" s="415" t="n">
        <v>0</v>
      </c>
      <c r="L28" s="415" t="n">
        <v>0</v>
      </c>
      <c r="M28" s="415" t="n">
        <v>0</v>
      </c>
      <c r="N28" s="415" t="n">
        <v>0</v>
      </c>
      <c r="O28" s="415" t="n">
        <v>-46.081000000000003</v>
      </c>
      <c r="P28" s="415" t="n">
        <v>-46.081000000000003</v>
      </c>
      <c r="Q28" t="s">
        <v>46</v>
      </c>
    </row>
    <row r="29">
      <c r="A29" s="959" t="s">
        <v>453</v>
      </c>
      <c r="B29" s="289"/>
      <c r="C29" s="289"/>
      <c r="D29" s="415" t="n">
        <v>24.475000000000001</v>
      </c>
      <c r="E29" s="415" t="n">
        <v>32.784999999999997</v>
      </c>
      <c r="F29" s="415" t="n">
        <v>8.4600000000000009</v>
      </c>
      <c r="G29" s="415" t="n">
        <v>0</v>
      </c>
      <c r="H29" s="415" t="n">
        <v>0</v>
      </c>
      <c r="I29" s="415" t="n">
        <v>0</v>
      </c>
      <c r="J29" s="415" t="n">
        <v>0</v>
      </c>
      <c r="K29" s="415" t="n">
        <v>0</v>
      </c>
      <c r="L29" s="415" t="n">
        <v>0</v>
      </c>
      <c r="M29" s="415" t="n">
        <v>0</v>
      </c>
      <c r="N29" s="415" t="n">
        <v>0</v>
      </c>
      <c r="O29" s="415" t="n">
        <v>41.244999999999997</v>
      </c>
      <c r="P29" s="415" t="n">
        <v>41.244999999999997</v>
      </c>
      <c r="Q29" t="s">
        <v>454</v>
      </c>
    </row>
    <row r="30">
      <c r="A30" s="959" t="s">
        <v>455</v>
      </c>
      <c r="B30" s="289"/>
      <c r="C30" s="289"/>
      <c r="D30" s="415" t="n">
        <v>27.5</v>
      </c>
      <c r="E30" s="415" t="n">
        <v>0.86</v>
      </c>
      <c r="F30" s="415" t="n">
        <v>-0.22</v>
      </c>
      <c r="G30" s="415" t="n">
        <v>-0.49</v>
      </c>
      <c r="H30" s="415" t="n">
        <v>-0.56000000000000005</v>
      </c>
      <c r="I30" s="415" t="n">
        <v>-0.98</v>
      </c>
      <c r="J30" s="415" t="n">
        <v>-0.76</v>
      </c>
      <c r="K30" s="415" t="n">
        <v>-0.74</v>
      </c>
      <c r="L30" s="415" t="n">
        <v>-0.72</v>
      </c>
      <c r="M30" s="415" t="n">
        <v>-0.7</v>
      </c>
      <c r="N30" s="415" t="n">
        <v>-0.69</v>
      </c>
      <c r="O30" s="415" t="n">
        <v>-1.39</v>
      </c>
      <c r="P30" s="415" t="n">
        <v>-5</v>
      </c>
      <c r="Q30" t="s">
        <v>43</v>
      </c>
    </row>
    <row r="31">
      <c r="A31" s="959" t="s">
        <v>102</v>
      </c>
      <c r="B31" s="289"/>
      <c r="C31" s="289"/>
      <c r="D31" s="415" t="n">
        <v>11.407999999999999</v>
      </c>
      <c r="E31" s="415" t="n">
        <v>10.763</v>
      </c>
      <c r="F31" s="415" t="n">
        <v>5.7809999999999997</v>
      </c>
      <c r="G31" s="415" t="n">
        <v>0.92300000000000004</v>
      </c>
      <c r="H31" s="415" t="n">
        <v>0.52300000000000002</v>
      </c>
      <c r="I31" s="415" t="n">
        <v>0.43099999999999999</v>
      </c>
      <c r="J31" s="415" t="n">
        <v>0.246</v>
      </c>
      <c r="K31" s="415" t="n">
        <v>0</v>
      </c>
      <c r="L31" s="415" t="n">
        <v>0</v>
      </c>
      <c r="M31" s="415" t="n">
        <v>0</v>
      </c>
      <c r="N31" s="415" t="n">
        <v>0</v>
      </c>
      <c r="O31" s="415" t="n">
        <v>18.420999999999999</v>
      </c>
      <c r="P31" s="415" t="n">
        <v>18.667000000000002</v>
      </c>
      <c r="Q31" t="s">
        <v>456</v>
      </c>
    </row>
    <row r="32">
      <c r="A32" s="959" t="s">
        <v>457</v>
      </c>
      <c r="B32" s="289"/>
      <c r="C32" s="289"/>
      <c r="D32" s="415" t="n">
        <v>99.444000000000003</v>
      </c>
      <c r="E32" s="415" t="n">
        <v>61.634</v>
      </c>
      <c r="F32" s="415" t="n">
        <v>23.815000000000001</v>
      </c>
      <c r="G32" s="415" t="n">
        <v>7.35</v>
      </c>
      <c r="H32" s="415" t="n">
        <v>4.4029999999999996</v>
      </c>
      <c r="I32" s="415" t="n">
        <v>1.663</v>
      </c>
      <c r="J32" s="415" t="n">
        <v>0.74399999999999999</v>
      </c>
      <c r="K32" s="415" t="n">
        <v>0.65500000000000003</v>
      </c>
      <c r="L32" s="415" t="n">
        <v>0.68799999999999994</v>
      </c>
      <c r="M32" s="415" t="n">
        <v>10.603</v>
      </c>
      <c r="N32" s="415" t="n">
        <v>-35.328000000000003</v>
      </c>
      <c r="O32" s="415" t="n">
        <v>98.864999999999995</v>
      </c>
      <c r="P32" s="415" t="n">
        <v>76.227000000000004</v>
      </c>
      <c r="Q32" t="s">
        <v>458</v>
      </c>
    </row>
    <row r="33">
      <c r="A33" s="959"/>
      <c r="B33" s="289"/>
      <c r="C33" s="289"/>
      <c r="D33" s="415"/>
      <c r="E33" s="415"/>
      <c r="F33" s="415"/>
      <c r="G33" s="415"/>
      <c r="H33" s="415"/>
      <c r="I33" s="415"/>
      <c r="J33" s="415"/>
      <c r="K33" s="415"/>
      <c r="L33" s="415"/>
      <c r="M33" s="415"/>
      <c r="N33" s="415"/>
      <c r="O33" s="415"/>
      <c r="P33" s="415"/>
    </row>
    <row r="34">
      <c r="A34" s="1204"/>
      <c r="B34" s="1204"/>
      <c r="C34" s="1204" t="s">
        <v>223</v>
      </c>
      <c r="D34" s="1211" t="n">
        <v>1777.13</v>
      </c>
      <c r="E34" s="1211" t="n">
        <v>307.48399999999998</v>
      </c>
      <c r="F34" s="1211" t="n">
        <v>99.084999999999994</v>
      </c>
      <c r="G34" s="1211" t="n">
        <v>20.696999999999999</v>
      </c>
      <c r="H34" s="1211" t="n">
        <v>10.087999999999999</v>
      </c>
      <c r="I34" s="1211" t="n">
        <v>6.1630000000000003</v>
      </c>
      <c r="J34" s="1211" t="n">
        <v>4.7300000000000004</v>
      </c>
      <c r="K34" s="1211" t="n">
        <v>4.415</v>
      </c>
      <c r="L34" s="1211" t="n">
        <v>4.468</v>
      </c>
      <c r="M34" s="1211" t="n">
        <v>14.403</v>
      </c>
      <c r="N34" s="1211" t="n">
        <v>-31.518000000000001</v>
      </c>
      <c r="O34" s="1211" t="n">
        <v>443.517</v>
      </c>
      <c r="P34" s="1211" t="n">
        <v>440.01499999999999</v>
      </c>
    </row>
    <row r="35">
      <c r="A35" s="289"/>
      <c r="B35" s="289"/>
      <c r="C35" s="289"/>
      <c r="D35" s="1203"/>
      <c r="E35" s="650"/>
      <c r="F35" s="959"/>
      <c r="G35" s="959"/>
      <c r="H35" s="959"/>
      <c r="I35" s="959"/>
      <c r="J35" s="959"/>
      <c r="K35" s="959"/>
      <c r="L35" s="959"/>
      <c r="M35" s="959"/>
      <c r="N35" s="959"/>
      <c r="O35" s="959"/>
      <c r="P35" s="959"/>
    </row>
    <row r="36">
      <c r="A36" s="1207" t="s">
        <v>459</v>
      </c>
      <c r="B36" s="1207"/>
      <c r="C36" s="1207"/>
      <c r="D36" s="1208"/>
      <c r="E36" s="1207"/>
      <c r="F36" s="1207"/>
      <c r="G36" s="1207"/>
      <c r="H36" s="1207"/>
      <c r="I36" s="1207"/>
      <c r="J36" s="1207"/>
      <c r="K36" s="1207"/>
      <c r="L36" s="1207"/>
      <c r="M36" s="1207"/>
      <c r="N36" s="1207"/>
      <c r="O36" s="1207"/>
      <c r="P36" s="1207"/>
    </row>
    <row r="37">
      <c r="A37" s="1207"/>
      <c r="B37" s="1207"/>
      <c r="C37" s="1207"/>
      <c r="D37" s="1208"/>
      <c r="E37" s="1207"/>
      <c r="F37" s="1207"/>
      <c r="G37" s="1207"/>
      <c r="H37" s="1207"/>
      <c r="I37" s="1207"/>
      <c r="J37" s="1207"/>
      <c r="K37" s="1207"/>
      <c r="L37" s="1207"/>
      <c r="M37" s="1207"/>
      <c r="N37" s="1207"/>
      <c r="O37" s="1207"/>
      <c r="P37" s="1207"/>
    </row>
    <row r="38">
      <c r="A38" s="1216" t="s">
        <v>460</v>
      </c>
      <c r="B38" s="1216"/>
      <c r="C38" s="1216"/>
      <c r="D38" s="1216"/>
      <c r="E38" s="1216"/>
      <c r="F38" s="1216"/>
      <c r="G38" s="1216"/>
      <c r="H38" s="1216"/>
      <c r="I38" s="1216"/>
      <c r="J38" s="1216"/>
      <c r="K38" s="1216"/>
      <c r="L38" s="1216"/>
      <c r="M38" s="1216"/>
      <c r="N38" s="1216"/>
      <c r="O38" s="1216"/>
      <c r="P38" s="1216"/>
    </row>
    <row r="39">
      <c r="A39" s="1216"/>
      <c r="B39" s="1216"/>
      <c r="C39" s="1216"/>
      <c r="D39" s="1216"/>
      <c r="E39" s="1216"/>
      <c r="F39" s="1216"/>
      <c r="G39" s="1216"/>
      <c r="H39" s="1216"/>
      <c r="I39" s="1216"/>
      <c r="J39" s="1216"/>
      <c r="K39" s="1216"/>
      <c r="L39" s="1216"/>
      <c r="M39" s="1216"/>
      <c r="N39" s="1216"/>
      <c r="O39" s="1216"/>
      <c r="P39" s="1216"/>
    </row>
    <row r="40">
      <c r="A40" s="1216"/>
      <c r="B40" s="1216"/>
      <c r="C40" s="1216"/>
      <c r="D40" s="1216"/>
      <c r="E40" s="1216"/>
      <c r="F40" s="1216"/>
      <c r="G40" s="1216"/>
      <c r="H40" s="1216"/>
      <c r="I40" s="1216"/>
      <c r="J40" s="1216"/>
      <c r="K40" s="1216"/>
      <c r="L40" s="1216"/>
      <c r="M40" s="1216"/>
      <c r="N40" s="1216"/>
      <c r="O40" s="1216"/>
      <c r="P40" s="1216"/>
    </row>
    <row r="41">
      <c r="A41" s="1216"/>
      <c r="B41" s="1216"/>
      <c r="C41" s="1216"/>
      <c r="D41" s="1216"/>
      <c r="E41" s="1216"/>
      <c r="F41" s="1216"/>
      <c r="G41" s="1216"/>
      <c r="H41" s="1216"/>
      <c r="I41" s="1216"/>
      <c r="J41" s="1216"/>
      <c r="K41" s="1216"/>
      <c r="L41" s="1216"/>
      <c r="M41" s="1216"/>
      <c r="N41" s="1216"/>
      <c r="O41" s="1216"/>
      <c r="P41" s="1216"/>
    </row>
    <row r="42">
      <c r="A42" s="1216"/>
      <c r="B42" s="1216"/>
      <c r="C42" s="1216"/>
      <c r="D42" s="1216"/>
      <c r="E42" s="1216"/>
      <c r="F42" s="1216"/>
      <c r="G42" s="1216"/>
      <c r="H42" s="1216"/>
      <c r="I42" s="1216"/>
      <c r="J42" s="1216"/>
      <c r="K42" s="1216"/>
      <c r="L42" s="1216"/>
      <c r="M42" s="1216"/>
      <c r="N42" s="1216"/>
      <c r="O42" s="1216"/>
      <c r="P42" s="1216"/>
    </row>
    <row r="43">
      <c r="A43" s="267"/>
      <c r="B43" s="267"/>
      <c r="C43" s="267"/>
      <c r="D43" s="267"/>
      <c r="E43" s="267"/>
      <c r="F43" s="267"/>
      <c r="G43" s="267"/>
      <c r="H43" s="267"/>
      <c r="I43" s="267"/>
      <c r="J43" s="267"/>
      <c r="K43" s="267"/>
      <c r="L43" s="267"/>
      <c r="M43" s="267"/>
      <c r="N43" s="267"/>
      <c r="O43" s="267"/>
      <c r="P43" s="267"/>
    </row>
    <row r="44">
      <c r="A44" s="267" t="s">
        <v>461</v>
      </c>
      <c r="B44" s="267"/>
      <c r="C44" s="267"/>
      <c r="D44" s="267"/>
      <c r="E44" s="267"/>
      <c r="F44" s="267"/>
      <c r="G44" s="267"/>
      <c r="H44" s="267"/>
      <c r="I44" s="267"/>
      <c r="J44" s="267"/>
      <c r="K44" s="267"/>
      <c r="L44" s="267"/>
      <c r="M44" s="267"/>
      <c r="N44" s="267"/>
      <c r="O44" s="267"/>
      <c r="P44" s="267"/>
    </row>
    <row r="45">
      <c r="A45" s="267"/>
      <c r="B45" s="267"/>
      <c r="C45" s="267"/>
      <c r="D45" s="267"/>
      <c r="E45" s="267"/>
      <c r="F45" s="267"/>
      <c r="G45" s="267"/>
      <c r="H45" s="267"/>
      <c r="I45" s="267"/>
      <c r="J45" s="267"/>
      <c r="K45" s="267"/>
      <c r="L45" s="267"/>
      <c r="M45" s="267"/>
      <c r="N45" s="267"/>
      <c r="O45" s="267"/>
      <c r="P45" s="267"/>
    </row>
    <row r="46">
      <c r="A46" s="267"/>
      <c r="B46" s="267"/>
      <c r="C46" s="267"/>
      <c r="D46" s="267"/>
      <c r="E46" s="267"/>
      <c r="F46" s="267"/>
      <c r="G46" s="267"/>
      <c r="H46" s="267"/>
      <c r="I46" s="267"/>
      <c r="J46" s="267"/>
      <c r="K46" s="267"/>
      <c r="L46" s="267"/>
      <c r="M46" s="267"/>
      <c r="N46" s="267"/>
      <c r="O46" s="267"/>
      <c r="P46" s="267"/>
    </row>
    <row r="47">
      <c r="A47" s="1207"/>
      <c r="B47" s="1207"/>
      <c r="C47" s="1207"/>
      <c r="D47" s="1208"/>
      <c r="E47" s="1207"/>
      <c r="F47" s="1207"/>
      <c r="G47" s="1207"/>
      <c r="H47" s="1207"/>
      <c r="I47" s="1207"/>
      <c r="J47" s="1207"/>
      <c r="K47" s="1207"/>
      <c r="L47" s="1207"/>
      <c r="M47" s="1207"/>
      <c r="N47" s="1207"/>
      <c r="O47" s="1207"/>
      <c r="P47" s="1207"/>
    </row>
    <row r="48">
      <c r="A48" s="1215" t="s">
        <v>462</v>
      </c>
      <c r="B48" s="1207"/>
      <c r="C48" s="1207"/>
      <c r="D48" s="1207"/>
      <c r="E48" s="1207"/>
      <c r="F48" s="1207"/>
      <c r="G48" s="1207"/>
      <c r="H48" s="1207"/>
      <c r="I48" s="1207"/>
      <c r="J48" s="1207"/>
      <c r="K48" s="1207"/>
      <c r="L48" s="1207"/>
      <c r="M48" s="1207"/>
      <c r="N48" s="1207"/>
      <c r="O48" s="1207"/>
      <c r="P48" s="1207"/>
    </row>
    <row r="49">
      <c r="A49" s="1207"/>
      <c r="B49" s="1207"/>
      <c r="C49" s="1207"/>
      <c r="D49" s="1207"/>
      <c r="E49" s="1207"/>
      <c r="F49" s="1207"/>
      <c r="G49" s="1207"/>
      <c r="H49" s="1207"/>
      <c r="I49" s="1207"/>
      <c r="J49" s="1207"/>
      <c r="K49" s="1207"/>
      <c r="L49" s="1207"/>
      <c r="M49" s="1207"/>
      <c r="N49" s="1207"/>
      <c r="O49" s="1207"/>
      <c r="P49" s="1207"/>
    </row>
    <row r="50">
      <c r="A50" s="1207"/>
      <c r="B50" s="1207"/>
      <c r="C50" s="1207"/>
      <c r="D50" s="1208"/>
      <c r="E50" s="1207"/>
      <c r="F50" s="1207"/>
      <c r="G50" s="1207"/>
      <c r="H50" s="1207"/>
      <c r="I50" s="1207"/>
      <c r="J50" s="1207"/>
      <c r="K50" s="1207"/>
      <c r="L50" s="1207"/>
      <c r="M50" s="1207"/>
      <c r="N50" s="1207"/>
      <c r="O50" s="1207"/>
      <c r="P50" s="1207"/>
    </row>
    <row r="51">
      <c r="A51" s="1212" t="s">
        <v>463</v>
      </c>
      <c r="B51" s="1212"/>
      <c r="C51" s="1212"/>
      <c r="D51" s="1212"/>
      <c r="E51" s="1212"/>
      <c r="F51" s="1212"/>
      <c r="G51" s="1212"/>
      <c r="H51" s="1212"/>
      <c r="I51" s="1212"/>
      <c r="J51" s="1212"/>
      <c r="K51" s="1212"/>
      <c r="L51" s="1212"/>
      <c r="M51" s="1212"/>
      <c r="N51" s="1212"/>
      <c r="O51" s="1212"/>
      <c r="P51" s="1212"/>
    </row>
    <row r="52">
      <c r="A52" s="1212"/>
      <c r="B52" s="1212"/>
      <c r="C52" s="1212"/>
      <c r="D52" s="1212"/>
      <c r="E52" s="1212"/>
      <c r="F52" s="1212"/>
      <c r="G52" s="1212"/>
      <c r="H52" s="1212"/>
      <c r="I52" s="1212"/>
      <c r="J52" s="1212"/>
      <c r="K52" s="1212"/>
      <c r="L52" s="1212"/>
      <c r="M52" s="1212"/>
      <c r="N52" s="1212"/>
      <c r="O52" s="1212"/>
      <c r="P52" s="1212"/>
    </row>
    <row r="53">
      <c r="A53" s="1212"/>
      <c r="B53" s="1212"/>
      <c r="C53" s="1212"/>
      <c r="D53" s="1212"/>
      <c r="E53" s="1212"/>
      <c r="F53" s="1212"/>
      <c r="G53" s="1212"/>
      <c r="H53" s="1212"/>
      <c r="I53" s="1212"/>
      <c r="J53" s="1212"/>
      <c r="K53" s="1212"/>
      <c r="L53" s="1212"/>
      <c r="M53" s="1212"/>
      <c r="N53" s="1212"/>
      <c r="O53" s="1212"/>
      <c r="P53" s="1212"/>
    </row>
    <row r="54">
      <c r="A54" s="1209"/>
      <c r="B54" s="1209"/>
      <c r="C54" s="1209"/>
      <c r="D54" s="1200"/>
      <c r="E54" s="1209"/>
      <c r="F54" s="1209"/>
      <c r="G54" s="1209"/>
      <c r="H54" s="1209"/>
      <c r="I54" s="1209"/>
      <c r="J54" s="1209"/>
      <c r="K54" s="1209"/>
      <c r="L54" s="1209"/>
      <c r="M54" s="1209"/>
      <c r="N54" s="1209"/>
      <c r="O54" s="1209"/>
      <c r="P54" s="1209"/>
    </row>
  </sheetData>
  <mergeCells count="6">
    <mergeCell ref="A51:P53"/>
    <mergeCell ref="A7:P7"/>
    <mergeCell ref="O10:P10"/>
    <mergeCell ref="A48:P49"/>
    <mergeCell ref="A38:P42"/>
    <mergeCell ref="A44:P46"/>
  </mergeCells>
  <hyperlinks>
    <hyperlink ref="A4" r:id="rId1h"/>
  </hyperlinks>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RowHeight="15.0" baseColWidth="10"/>
  <cols>
    <col min="1" max="1" width="100.90625" hidden="0" customWidth="1"/>
    <col min="2" max="2" width="15.54296875" hidden="0" customWidth="1"/>
    <col min="3" max="3" width="10.7265625" hidden="0" customWidth="1"/>
    <col min="4" max="4" width="10.7265625" hidden="0" customWidth="1"/>
    <col min="5" max="5" width="10.7265625" hidden="0" customWidth="1"/>
    <col min="6" max="6" width="10.7265625" hidden="0" customWidth="1"/>
    <col min="7" max="7" width="10.7265625" hidden="0" customWidth="1"/>
    <col min="8" max="8" width="10.7265625" hidden="0" customWidth="1"/>
    <col min="9" max="9" width="10.7265625" hidden="0" customWidth="1"/>
    <col min="10" max="10" width="10.7265625" hidden="0" customWidth="1"/>
    <col min="11" max="11" width="10.7265625" hidden="0" customWidth="1"/>
    <col min="12" max="12" width="10.7265625" hidden="0" customWidth="1"/>
    <col min="13" max="13" width="10.7265625" hidden="0" customWidth="1"/>
    <col min="14" max="14" width="10.7265625" hidden="0" customWidth="1"/>
    <col min="15" max="15" width="10.7265625" hidden="0" customWidth="1"/>
    <col min="16" max="16" width="10.7265625" hidden="0" customWidth="1"/>
    <col min="17" max="17" width="10.7265625" hidden="0" customWidth="1"/>
    <col min="18" max="18" width="10.7265625" hidden="0" customWidth="1"/>
    <col min="19" max="19" width="10.7265625" hidden="0" customWidth="1"/>
    <col min="20" max="20" width="125.81640625" hidden="0" customWidth="1"/>
  </cols>
  <sheetData>
    <row r="1">
      <c r="A1" s="234" t="s">
        <v>1286</v>
      </c>
      <c r="D1" s="1295" t="n">
        <v>2022</v>
      </c>
      <c r="E1" s="1295" t="n">
        <v>2023</v>
      </c>
      <c r="F1" s="1295" t="n">
        <v>2024</v>
      </c>
      <c r="G1" s="1295" t="n">
        <v>2025</v>
      </c>
      <c r="H1" s="1295" t="n">
        <v>2026</v>
      </c>
      <c r="I1" s="1295" t="n">
        <v>2027</v>
      </c>
      <c r="J1" s="1295" t="n">
        <v>2028</v>
      </c>
      <c r="K1" s="1295" t="n">
        <v>2029</v>
      </c>
      <c r="L1" s="1295" t="n">
        <v>2030</v>
      </c>
      <c r="M1" s="1296" t="n">
        <v>2031</v>
      </c>
      <c r="N1" s="1297" t="s">
        <v>1088</v>
      </c>
      <c r="O1" s="1297" t="s">
        <v>1089</v>
      </c>
      <c r="P1" s="1282"/>
      <c r="Q1" s="1282"/>
      <c r="R1" s="1282"/>
      <c r="S1" s="1282"/>
    </row>
    <row r="2">
      <c r="C2" s="1323" t="s">
        <v>1287</v>
      </c>
      <c r="D2" s="1323"/>
      <c r="E2" s="1323"/>
      <c r="F2" s="1323"/>
      <c r="G2" s="1323"/>
      <c r="H2" s="1323"/>
      <c r="I2" s="1323"/>
      <c r="J2" s="1323"/>
      <c r="K2" s="1323"/>
      <c r="L2" s="1323"/>
      <c r="M2" s="1323"/>
      <c r="N2" s="1323"/>
      <c r="O2" s="1323"/>
      <c r="P2" s="1281"/>
      <c r="Q2" s="1281"/>
      <c r="R2" s="1281"/>
      <c r="S2" s="1281"/>
    </row>
    <row r="3">
      <c r="A3" s="78" t="s">
        <v>1097</v>
      </c>
      <c r="B3" s="78" t="n">
        <v>13601</v>
      </c>
      <c r="C3" s="78" t="s">
        <v>1288</v>
      </c>
      <c r="D3" s="78" t="n">
        <v>0</v>
      </c>
      <c r="E3" s="78" t="n">
        <v>0</v>
      </c>
      <c r="F3" s="78" t="n">
        <v>601</v>
      </c>
      <c r="G3" s="78" t="n">
        <v>1038</v>
      </c>
      <c r="H3" s="78" t="n">
        <v>1251</v>
      </c>
      <c r="I3" s="78" t="n">
        <v>1431</v>
      </c>
      <c r="J3" s="78" t="n">
        <v>1492</v>
      </c>
      <c r="K3" s="78" t="n">
        <v>1530</v>
      </c>
      <c r="L3" s="78" t="n">
        <v>1567</v>
      </c>
      <c r="M3" s="78" t="n">
        <v>1606</v>
      </c>
      <c r="N3" s="78" t="n">
        <v>2890</v>
      </c>
      <c r="O3" s="78" t="n">
        <v>10516</v>
      </c>
      <c r="P3" s="78"/>
      <c r="Q3" s="78"/>
      <c r="R3" s="78"/>
      <c r="S3" s="78"/>
    </row>
    <row r="4">
      <c r="A4" s="78" t="s">
        <v>1110</v>
      </c>
      <c r="B4" s="78" t="n">
        <v>10301</v>
      </c>
      <c r="C4" s="78" t="s">
        <v>1288</v>
      </c>
      <c r="D4" s="78" t="n">
        <v>0</v>
      </c>
      <c r="E4" s="78" t="n">
        <v>3823</v>
      </c>
      <c r="F4" s="78" t="n">
        <v>3380</v>
      </c>
      <c r="G4" s="78" t="n">
        <v>4970</v>
      </c>
      <c r="H4" s="78" t="n">
        <v>6248</v>
      </c>
      <c r="I4" s="78" t="n">
        <v>7996</v>
      </c>
      <c r="J4" s="78" t="n">
        <v>10106</v>
      </c>
      <c r="K4" s="78" t="n">
        <v>12617</v>
      </c>
      <c r="L4" s="78" t="n">
        <v>15072</v>
      </c>
      <c r="M4" s="78" t="n">
        <v>15388</v>
      </c>
      <c r="N4" s="78" t="n">
        <v>18421</v>
      </c>
      <c r="O4" s="78" t="n">
        <v>79600</v>
      </c>
      <c r="P4" s="78"/>
      <c r="Q4" s="78"/>
      <c r="R4" s="78"/>
      <c r="S4" s="78"/>
    </row>
    <row r="5">
      <c r="A5" s="78" t="s">
        <v>1112</v>
      </c>
      <c r="B5" s="78" t="n">
        <v>13802</v>
      </c>
      <c r="C5" s="78" t="s">
        <v>1288</v>
      </c>
      <c r="D5" s="78" t="n">
        <v>0</v>
      </c>
      <c r="E5" s="78" t="n">
        <v>55</v>
      </c>
      <c r="F5" s="78" t="n">
        <v>55</v>
      </c>
      <c r="G5" s="78" t="n">
        <v>55</v>
      </c>
      <c r="H5" s="78" t="n">
        <v>55</v>
      </c>
      <c r="I5" s="78" t="n">
        <v>55</v>
      </c>
      <c r="J5" s="78" t="n">
        <v>55</v>
      </c>
      <c r="K5" s="78" t="n">
        <v>55</v>
      </c>
      <c r="L5" s="78" t="n">
        <v>55</v>
      </c>
      <c r="M5" s="78" t="n">
        <v>55</v>
      </c>
      <c r="N5" s="78" t="n">
        <v>220</v>
      </c>
      <c r="O5" s="78" t="n">
        <v>495</v>
      </c>
      <c r="P5" s="78"/>
      <c r="Q5" s="78"/>
      <c r="R5" s="78"/>
      <c r="S5" s="78"/>
    </row>
    <row r="6">
      <c r="A6" s="78" t="s">
        <v>1114</v>
      </c>
      <c r="B6" s="78" t="n">
        <v>22005</v>
      </c>
      <c r="C6" s="78" t="s">
        <v>1288</v>
      </c>
      <c r="D6" s="78" t="n">
        <v>0</v>
      </c>
      <c r="E6" s="78" t="n">
        <v>19</v>
      </c>
      <c r="F6" s="78" t="n">
        <v>26</v>
      </c>
      <c r="G6" s="78" t="n">
        <v>27</v>
      </c>
      <c r="H6" s="78" t="n">
        <v>17</v>
      </c>
      <c r="I6" s="78" t="n">
        <v>7</v>
      </c>
      <c r="J6" s="78" t="n">
        <v>3</v>
      </c>
      <c r="K6" s="78" t="n">
        <v>1</v>
      </c>
      <c r="L6" s="78" t="n">
        <v>0</v>
      </c>
      <c r="M6" s="78" t="n">
        <v>0</v>
      </c>
      <c r="N6" s="78" t="n">
        <v>89</v>
      </c>
      <c r="O6" s="78" t="n">
        <v>100</v>
      </c>
      <c r="P6" s="78"/>
      <c r="Q6" s="78"/>
      <c r="R6" s="78"/>
      <c r="S6" s="78"/>
    </row>
    <row r="7">
      <c r="A7" s="78" t="s">
        <v>1100</v>
      </c>
      <c r="B7" s="78" t="n">
        <v>23001</v>
      </c>
      <c r="C7" s="78" t="s">
        <v>1288</v>
      </c>
      <c r="D7" s="78" t="n">
        <v>0</v>
      </c>
      <c r="E7" s="78" t="n">
        <v>35</v>
      </c>
      <c r="F7" s="78" t="n">
        <v>125</v>
      </c>
      <c r="G7" s="78" t="n">
        <v>170</v>
      </c>
      <c r="H7" s="78" t="n">
        <v>375</v>
      </c>
      <c r="I7" s="78" t="n">
        <v>470</v>
      </c>
      <c r="J7" s="78" t="n">
        <v>415</v>
      </c>
      <c r="K7" s="78" t="n">
        <v>280</v>
      </c>
      <c r="L7" s="78" t="n">
        <v>217</v>
      </c>
      <c r="M7" s="78" t="n">
        <v>58</v>
      </c>
      <c r="N7" s="78" t="n">
        <v>705</v>
      </c>
      <c r="O7" s="78" t="n">
        <v>2145</v>
      </c>
      <c r="P7" s="78"/>
      <c r="Q7" s="78"/>
      <c r="R7" s="78"/>
      <c r="S7" s="78"/>
    </row>
    <row r="8">
      <c r="A8" s="78" t="s">
        <v>1116</v>
      </c>
      <c r="B8" s="78" t="n">
        <v>23005</v>
      </c>
      <c r="C8" s="78" t="s">
        <v>1288</v>
      </c>
      <c r="D8" s="78" t="n">
        <v>0</v>
      </c>
      <c r="E8" s="78" t="n">
        <v>15</v>
      </c>
      <c r="F8" s="78" t="n">
        <v>15</v>
      </c>
      <c r="G8" s="78" t="n">
        <v>15</v>
      </c>
      <c r="H8" s="78" t="n">
        <v>10</v>
      </c>
      <c r="I8" s="78" t="n">
        <v>10</v>
      </c>
      <c r="J8" s="78" t="n">
        <v>10</v>
      </c>
      <c r="K8" s="78" t="n">
        <v>10</v>
      </c>
      <c r="L8" s="78" t="n">
        <v>10</v>
      </c>
      <c r="M8" s="78" t="n">
        <v>5</v>
      </c>
      <c r="N8" s="78" t="n">
        <v>55</v>
      </c>
      <c r="O8" s="78" t="n">
        <v>100</v>
      </c>
      <c r="P8" s="78"/>
      <c r="Q8" s="78"/>
      <c r="R8" s="78"/>
      <c r="S8" s="78"/>
    </row>
    <row r="9">
      <c r="A9" s="78" t="s">
        <v>1169</v>
      </c>
      <c r="B9" s="78" t="n">
        <v>23003</v>
      </c>
      <c r="C9" s="78" t="s">
        <v>1156</v>
      </c>
      <c r="D9" s="78" t="n">
        <v>0</v>
      </c>
      <c r="E9" s="78" t="n">
        <v>65</v>
      </c>
      <c r="F9" s="78" t="n">
        <v>150</v>
      </c>
      <c r="G9" s="78" t="n">
        <v>290</v>
      </c>
      <c r="H9" s="78" t="n">
        <v>290</v>
      </c>
      <c r="I9" s="78" t="n">
        <v>290</v>
      </c>
      <c r="J9" s="78" t="n">
        <v>285</v>
      </c>
      <c r="K9" s="78" t="n">
        <v>250</v>
      </c>
      <c r="L9" s="78" t="n">
        <v>220</v>
      </c>
      <c r="M9" s="78" t="n">
        <v>160</v>
      </c>
      <c r="N9" s="78" t="n">
        <v>795</v>
      </c>
      <c r="O9" s="78" t="n">
        <v>2000</v>
      </c>
      <c r="P9" s="78"/>
      <c r="Q9" s="78"/>
      <c r="R9" s="78"/>
      <c r="S9" s="78"/>
    </row>
    <row r="10">
      <c r="A10" s="78" t="s">
        <v>1197</v>
      </c>
      <c r="B10" s="78" t="n">
        <v>11102</v>
      </c>
      <c r="C10" s="78" t="s">
        <v>143</v>
      </c>
      <c r="D10" s="78" t="n">
        <v>0</v>
      </c>
      <c r="E10" s="78" t="n">
        <v>110</v>
      </c>
      <c r="F10" s="78" t="n">
        <v>504</v>
      </c>
      <c r="G10" s="78" t="n">
        <v>878</v>
      </c>
      <c r="H10" s="78" t="n">
        <v>1193</v>
      </c>
      <c r="I10" s="78" t="n">
        <v>1596</v>
      </c>
      <c r="J10" s="78" t="n">
        <v>2081</v>
      </c>
      <c r="K10" s="78" t="n">
        <v>2587</v>
      </c>
      <c r="L10" s="78" t="n">
        <v>3117</v>
      </c>
      <c r="M10" s="78" t="n">
        <v>3648</v>
      </c>
      <c r="N10" s="78" t="n">
        <v>2685</v>
      </c>
      <c r="O10" s="78" t="n">
        <v>15714</v>
      </c>
      <c r="P10" s="78"/>
      <c r="Q10" s="78"/>
      <c r="R10" s="78"/>
      <c r="S10" s="78"/>
    </row>
    <row r="11">
      <c r="A11" s="78" t="s">
        <v>1199</v>
      </c>
      <c r="B11" s="78" t="n">
        <v>11405</v>
      </c>
      <c r="C11" s="78" t="s">
        <v>143</v>
      </c>
      <c r="D11" s="78" t="n">
        <v>0</v>
      </c>
      <c r="E11" s="78" t="n">
        <v>0</v>
      </c>
      <c r="F11" s="78" t="n">
        <v>235</v>
      </c>
      <c r="G11" s="78" t="n">
        <v>317</v>
      </c>
      <c r="H11" s="78" t="n">
        <v>304</v>
      </c>
      <c r="I11" s="78" t="n">
        <v>314</v>
      </c>
      <c r="J11" s="78" t="n">
        <v>324</v>
      </c>
      <c r="K11" s="78" t="n">
        <v>335</v>
      </c>
      <c r="L11" s="78" t="n">
        <v>346</v>
      </c>
      <c r="M11" s="78" t="n">
        <v>359</v>
      </c>
      <c r="N11" s="78" t="n">
        <v>856</v>
      </c>
      <c r="O11" s="78" t="n">
        <v>2534</v>
      </c>
      <c r="P11" s="78"/>
      <c r="Q11" s="78"/>
      <c r="R11" s="78"/>
      <c r="S11" s="78"/>
    </row>
    <row r="12">
      <c r="A12" s="78" t="s">
        <v>1201</v>
      </c>
      <c r="B12" s="78" t="n">
        <v>11001</v>
      </c>
      <c r="C12" s="78" t="s">
        <v>144</v>
      </c>
      <c r="D12" s="78" t="n">
        <v>0</v>
      </c>
      <c r="E12" s="78" t="n">
        <v>0</v>
      </c>
      <c r="F12" s="78" t="n">
        <v>0</v>
      </c>
      <c r="G12" s="78" t="n">
        <v>0</v>
      </c>
      <c r="H12" s="78" t="n">
        <v>-3728</v>
      </c>
      <c r="I12" s="78" t="n">
        <v>-8317</v>
      </c>
      <c r="J12" s="78" t="n">
        <v>-17535</v>
      </c>
      <c r="K12" s="78" t="n">
        <v>-21009</v>
      </c>
      <c r="L12" s="78" t="n">
        <v>-23416</v>
      </c>
      <c r="M12" s="78" t="n">
        <v>-24516</v>
      </c>
      <c r="N12" s="78" t="n">
        <v>-3728</v>
      </c>
      <c r="O12" s="78" t="n">
        <v>-98521</v>
      </c>
      <c r="P12" s="78"/>
      <c r="Q12" s="78"/>
      <c r="R12" s="78"/>
      <c r="S12" s="78"/>
    </row>
    <row r="13">
      <c r="A13" s="78" t="n">
        <v>0</v>
      </c>
      <c r="B13" s="78" t="n">
        <v>11004</v>
      </c>
      <c r="C13" s="78" t="s">
        <v>144</v>
      </c>
      <c r="D13" s="78" t="n">
        <v>0</v>
      </c>
      <c r="E13" s="78" t="n">
        <v>333</v>
      </c>
      <c r="F13" s="78" t="n">
        <v>314</v>
      </c>
      <c r="G13" s="78" t="n">
        <v>314</v>
      </c>
      <c r="H13" s="78" t="n">
        <v>314</v>
      </c>
      <c r="I13" s="78" t="n">
        <v>314</v>
      </c>
      <c r="J13" s="78" t="n">
        <v>314</v>
      </c>
      <c r="K13" s="78" t="n">
        <v>314</v>
      </c>
      <c r="L13" s="78" t="n">
        <v>314</v>
      </c>
      <c r="M13" s="78" t="n">
        <v>314</v>
      </c>
      <c r="N13" s="78" t="n">
        <v>1275</v>
      </c>
      <c r="O13" s="78" t="n">
        <v>2845</v>
      </c>
      <c r="P13" s="78"/>
      <c r="Q13" s="78"/>
      <c r="R13" s="78"/>
      <c r="S13" s="78"/>
    </row>
    <row r="14">
      <c r="A14" s="78" t="s">
        <v>1197</v>
      </c>
      <c r="B14" s="78" t="n">
        <v>11102</v>
      </c>
      <c r="C14" s="78" t="s">
        <v>144</v>
      </c>
      <c r="D14" s="78" t="n">
        <v>0</v>
      </c>
      <c r="E14" s="78" t="n">
        <v>-719</v>
      </c>
      <c r="F14" s="78" t="n">
        <v>-1051</v>
      </c>
      <c r="G14" s="78" t="n">
        <v>-18680</v>
      </c>
      <c r="H14" s="78" t="n">
        <v>-7174</v>
      </c>
      <c r="I14" s="78" t="n">
        <v>-7523</v>
      </c>
      <c r="J14" s="78" t="n">
        <v>-7820</v>
      </c>
      <c r="K14" s="78" t="n">
        <v>-8529</v>
      </c>
      <c r="L14" s="78" t="n">
        <v>-9564</v>
      </c>
      <c r="M14" s="78" t="n">
        <v>-10720</v>
      </c>
      <c r="N14" s="78" t="n">
        <v>-27624</v>
      </c>
      <c r="O14" s="78" t="n">
        <v>-71780</v>
      </c>
      <c r="P14" s="78"/>
      <c r="Q14" s="78"/>
      <c r="R14" s="78"/>
      <c r="S14" s="78"/>
    </row>
    <row r="15">
      <c r="A15" s="78" t="n">
        <v>0</v>
      </c>
      <c r="B15" s="78" t="n">
        <v>11102</v>
      </c>
      <c r="C15" s="78" t="s">
        <v>144</v>
      </c>
      <c r="D15" s="78" t="n">
        <v>0</v>
      </c>
      <c r="E15" s="78" t="n">
        <v>-23</v>
      </c>
      <c r="F15" s="78" t="n">
        <v>-60</v>
      </c>
      <c r="G15" s="78" t="n">
        <v>-61</v>
      </c>
      <c r="H15" s="78" t="n">
        <v>-43</v>
      </c>
      <c r="I15" s="78" t="n">
        <v>-30</v>
      </c>
      <c r="J15" s="78" t="n">
        <v>-34</v>
      </c>
      <c r="K15" s="78" t="n">
        <v>-26</v>
      </c>
      <c r="L15" s="78" t="n">
        <v>-3</v>
      </c>
      <c r="M15" s="78" t="n">
        <v>7</v>
      </c>
      <c r="N15" s="78" t="n">
        <v>-187</v>
      </c>
      <c r="O15" s="78" t="n">
        <v>-273</v>
      </c>
      <c r="P15" s="78"/>
      <c r="Q15" s="78"/>
      <c r="R15" s="78"/>
      <c r="S15" s="78"/>
    </row>
    <row r="16">
      <c r="A16" s="78" t="s">
        <v>1204</v>
      </c>
      <c r="B16" s="78" t="n">
        <v>11201</v>
      </c>
      <c r="C16" s="78" t="s">
        <v>144</v>
      </c>
      <c r="D16" s="78" t="n">
        <v>0</v>
      </c>
      <c r="E16" s="78" t="n">
        <v>48</v>
      </c>
      <c r="F16" s="78" t="n">
        <v>2541</v>
      </c>
      <c r="G16" s="78" t="n">
        <v>4311</v>
      </c>
      <c r="H16" s="78" t="n">
        <v>3827</v>
      </c>
      <c r="I16" s="78" t="n">
        <v>4927</v>
      </c>
      <c r="J16" s="78" t="n">
        <v>5162</v>
      </c>
      <c r="K16" s="78" t="n">
        <v>4780</v>
      </c>
      <c r="L16" s="78" t="n">
        <v>2375</v>
      </c>
      <c r="M16" s="78" t="n">
        <v>1866</v>
      </c>
      <c r="N16" s="78" t="n">
        <v>10727</v>
      </c>
      <c r="O16" s="78" t="n">
        <v>29837</v>
      </c>
      <c r="P16" s="78"/>
      <c r="Q16" s="78"/>
      <c r="R16" s="78"/>
      <c r="S16" s="78"/>
    </row>
    <row r="17">
      <c r="A17" s="78" t="s">
        <v>1289</v>
      </c>
      <c r="B17" s="78" t="n">
        <v>11202</v>
      </c>
      <c r="C17" s="78" t="s">
        <v>144</v>
      </c>
      <c r="D17" s="78" t="n">
        <v>0</v>
      </c>
      <c r="E17" s="78" t="n">
        <v>5</v>
      </c>
      <c r="F17" s="78" t="n">
        <v>3</v>
      </c>
      <c r="G17" s="78" t="n">
        <v>17</v>
      </c>
      <c r="H17" s="78" t="n">
        <v>15</v>
      </c>
      <c r="I17" s="78" t="n">
        <v>15</v>
      </c>
      <c r="J17" s="78" t="n">
        <v>20</v>
      </c>
      <c r="K17" s="78" t="n">
        <v>15</v>
      </c>
      <c r="L17" s="78" t="n">
        <v>15</v>
      </c>
      <c r="M17" s="78" t="n">
        <v>20</v>
      </c>
      <c r="N17" s="78" t="n">
        <v>40</v>
      </c>
      <c r="O17" s="78" t="n">
        <v>125</v>
      </c>
      <c r="P17" s="78"/>
      <c r="Q17" s="78"/>
      <c r="R17" s="78"/>
      <c r="S17" s="78"/>
    </row>
    <row r="18">
      <c r="A18" s="78" t="s">
        <v>1206</v>
      </c>
      <c r="B18" s="78" t="n">
        <v>11301</v>
      </c>
      <c r="C18" s="78" t="s">
        <v>144</v>
      </c>
      <c r="D18" s="78" t="n">
        <v>0</v>
      </c>
      <c r="E18" s="78" t="n">
        <v>0</v>
      </c>
      <c r="F18" s="78" t="n">
        <v>0</v>
      </c>
      <c r="G18" s="78" t="n">
        <v>0</v>
      </c>
      <c r="H18" s="78" t="n">
        <v>0</v>
      </c>
      <c r="I18" s="78" t="n">
        <v>-16290</v>
      </c>
      <c r="J18" s="78" t="n">
        <v>-25656</v>
      </c>
      <c r="K18" s="78" t="n">
        <v>-23394</v>
      </c>
      <c r="L18" s="78" t="n">
        <v>-27561</v>
      </c>
      <c r="M18" s="78" t="n">
        <v>-29250</v>
      </c>
      <c r="N18" s="78" t="n">
        <v>0</v>
      </c>
      <c r="O18" s="78" t="n">
        <v>-122151</v>
      </c>
      <c r="P18" s="78"/>
      <c r="Q18" s="78"/>
      <c r="R18" s="78"/>
      <c r="S18" s="78"/>
    </row>
    <row r="19">
      <c r="A19" s="78" t="s">
        <v>1208</v>
      </c>
      <c r="B19" s="78" t="n">
        <v>11401</v>
      </c>
      <c r="C19" s="78" t="s">
        <v>144</v>
      </c>
      <c r="D19" s="78" t="n">
        <v>0</v>
      </c>
      <c r="E19" s="78" t="n">
        <v>-69</v>
      </c>
      <c r="F19" s="78" t="n">
        <v>301</v>
      </c>
      <c r="G19" s="78" t="n">
        <v>863</v>
      </c>
      <c r="H19" s="78" t="n">
        <v>579</v>
      </c>
      <c r="I19" s="78" t="n">
        <v>466</v>
      </c>
      <c r="J19" s="78" t="n">
        <v>551</v>
      </c>
      <c r="K19" s="78" t="n">
        <v>503</v>
      </c>
      <c r="L19" s="78" t="n">
        <v>593</v>
      </c>
      <c r="M19" s="78" t="n">
        <v>632</v>
      </c>
      <c r="N19" s="78" t="n">
        <v>1674</v>
      </c>
      <c r="O19" s="78" t="n">
        <v>4419</v>
      </c>
      <c r="P19" s="78"/>
      <c r="Q19" s="78"/>
      <c r="R19" s="78"/>
      <c r="S19" s="78"/>
    </row>
    <row r="20">
      <c r="A20" s="78" t="n">
        <v>0</v>
      </c>
      <c r="B20" s="78" t="n">
        <v>11402</v>
      </c>
      <c r="C20" s="78" t="s">
        <v>144</v>
      </c>
      <c r="D20" s="78" t="n">
        <v>0</v>
      </c>
      <c r="E20" s="78" t="n">
        <v>-1</v>
      </c>
      <c r="F20" s="78" t="n">
        <v>-1</v>
      </c>
      <c r="G20" s="78" t="n">
        <v>-1</v>
      </c>
      <c r="H20" s="78" t="n">
        <v>-2</v>
      </c>
      <c r="I20" s="78" t="n">
        <v>-2</v>
      </c>
      <c r="J20" s="78" t="n">
        <v>-2</v>
      </c>
      <c r="K20" s="78" t="n">
        <v>-2</v>
      </c>
      <c r="L20" s="78" t="n">
        <v>-2</v>
      </c>
      <c r="M20" s="78" t="n">
        <v>-2</v>
      </c>
      <c r="N20" s="78" t="n">
        <v>-5</v>
      </c>
      <c r="O20" s="78" t="n">
        <v>-15</v>
      </c>
      <c r="P20" s="78"/>
      <c r="Q20" s="78"/>
      <c r="R20" s="78"/>
      <c r="S20" s="78"/>
    </row>
    <row r="21">
      <c r="A21" s="78" t="n">
        <v>0</v>
      </c>
      <c r="B21" s="78" t="n">
        <v>11403</v>
      </c>
      <c r="C21" s="78" t="s">
        <v>144</v>
      </c>
      <c r="D21" s="78" t="n">
        <v>0</v>
      </c>
      <c r="E21" s="78" t="n">
        <v>0</v>
      </c>
      <c r="F21" s="78" t="n">
        <v>0</v>
      </c>
      <c r="G21" s="78" t="n">
        <v>0</v>
      </c>
      <c r="H21" s="78" t="n">
        <v>0</v>
      </c>
      <c r="I21" s="78" t="n">
        <v>0</v>
      </c>
      <c r="J21" s="78" t="n">
        <v>0</v>
      </c>
      <c r="K21" s="78" t="n">
        <v>0</v>
      </c>
      <c r="L21" s="78" t="n">
        <v>0</v>
      </c>
      <c r="M21" s="78" t="n">
        <v>0</v>
      </c>
      <c r="N21" s="78" t="n">
        <v>0</v>
      </c>
      <c r="O21" s="78" t="n">
        <v>0</v>
      </c>
      <c r="P21" s="78"/>
      <c r="Q21" s="78"/>
      <c r="R21" s="78"/>
      <c r="S21" s="78"/>
    </row>
    <row r="22">
      <c r="A22" s="78" t="n">
        <v>0</v>
      </c>
      <c r="B22" s="78" t="n">
        <v>11406</v>
      </c>
      <c r="C22" s="78" t="s">
        <v>144</v>
      </c>
      <c r="D22" s="78" t="n">
        <v>0</v>
      </c>
      <c r="E22" s="78" t="n">
        <v>1</v>
      </c>
      <c r="F22" s="78" t="n">
        <v>501</v>
      </c>
      <c r="G22" s="78" t="n">
        <v>506</v>
      </c>
      <c r="H22" s="78" t="n">
        <v>561</v>
      </c>
      <c r="I22" s="78" t="n">
        <v>628</v>
      </c>
      <c r="J22" s="78" t="n">
        <v>681</v>
      </c>
      <c r="K22" s="78" t="n">
        <v>608</v>
      </c>
      <c r="L22" s="78" t="n">
        <v>659</v>
      </c>
      <c r="M22" s="78" t="n">
        <v>684</v>
      </c>
      <c r="N22" s="78" t="n">
        <v>1569</v>
      </c>
      <c r="O22" s="78" t="n">
        <v>4829</v>
      </c>
      <c r="P22" s="78"/>
      <c r="Q22" s="78"/>
      <c r="R22" s="78"/>
      <c r="S22" s="78"/>
    </row>
    <row r="23">
      <c r="A23" s="78" t="n">
        <v>0</v>
      </c>
      <c r="B23" s="78" t="n">
        <v>11407</v>
      </c>
      <c r="C23" s="78" t="s">
        <v>144</v>
      </c>
      <c r="D23" s="78" t="n">
        <v>0</v>
      </c>
      <c r="E23" s="78" t="n">
        <v>10</v>
      </c>
      <c r="F23" s="78" t="n">
        <v>25</v>
      </c>
      <c r="G23" s="78" t="n">
        <v>28</v>
      </c>
      <c r="H23" s="78" t="n">
        <v>29</v>
      </c>
      <c r="I23" s="78" t="n">
        <v>31</v>
      </c>
      <c r="J23" s="78" t="n">
        <v>33</v>
      </c>
      <c r="K23" s="78" t="n">
        <v>33</v>
      </c>
      <c r="L23" s="78" t="n">
        <v>35</v>
      </c>
      <c r="M23" s="78" t="n">
        <v>37</v>
      </c>
      <c r="N23" s="78" t="n">
        <v>92</v>
      </c>
      <c r="O23" s="78" t="n">
        <v>261</v>
      </c>
      <c r="P23" s="78"/>
      <c r="Q23" s="78"/>
      <c r="R23" s="78"/>
      <c r="S23" s="78"/>
    </row>
    <row r="24">
      <c r="A24" s="78" t="n">
        <v>0</v>
      </c>
      <c r="B24" s="78" t="n">
        <v>11408</v>
      </c>
      <c r="C24" s="78" t="s">
        <v>144</v>
      </c>
      <c r="D24" s="78" t="n">
        <v>0</v>
      </c>
      <c r="E24" s="78" t="n">
        <v>0</v>
      </c>
      <c r="F24" s="78" t="n">
        <v>0</v>
      </c>
      <c r="G24" s="78" t="n">
        <v>0</v>
      </c>
      <c r="H24" s="78" t="n">
        <v>0</v>
      </c>
      <c r="I24" s="78" t="n">
        <v>0</v>
      </c>
      <c r="J24" s="78" t="n">
        <v>0</v>
      </c>
      <c r="K24" s="78" t="n">
        <v>0</v>
      </c>
      <c r="L24" s="78" t="n">
        <v>0</v>
      </c>
      <c r="M24" s="78" t="n">
        <v>0</v>
      </c>
      <c r="N24" s="78" t="n">
        <v>0</v>
      </c>
      <c r="O24" s="78" t="n">
        <v>0</v>
      </c>
      <c r="P24" s="78"/>
      <c r="Q24" s="78"/>
      <c r="R24" s="78"/>
      <c r="S24" s="78"/>
    </row>
    <row r="25">
      <c r="A25" s="78" t="s">
        <v>1210</v>
      </c>
      <c r="B25" s="78" t="n">
        <v>11404</v>
      </c>
      <c r="C25" s="78" t="s">
        <v>144</v>
      </c>
      <c r="D25" s="78" t="n">
        <v>0</v>
      </c>
      <c r="E25" s="78" t="n">
        <v>0</v>
      </c>
      <c r="F25" s="78" t="n">
        <v>195</v>
      </c>
      <c r="G25" s="78" t="n">
        <v>230</v>
      </c>
      <c r="H25" s="78" t="n">
        <v>248</v>
      </c>
      <c r="I25" s="78" t="n">
        <v>266</v>
      </c>
      <c r="J25" s="78" t="n">
        <v>311</v>
      </c>
      <c r="K25" s="78" t="n">
        <v>281</v>
      </c>
      <c r="L25" s="78" t="n">
        <v>327</v>
      </c>
      <c r="M25" s="78" t="n">
        <v>347</v>
      </c>
      <c r="N25" s="78" t="n">
        <v>673</v>
      </c>
      <c r="O25" s="78" t="n">
        <v>2205</v>
      </c>
      <c r="P25" s="78"/>
      <c r="Q25" s="78"/>
      <c r="R25" s="78"/>
      <c r="S25" s="78"/>
    </row>
    <row r="26">
      <c r="A26" s="78" t="s">
        <v>1222</v>
      </c>
      <c r="B26" s="78" t="n">
        <v>12001</v>
      </c>
      <c r="C26" s="78" t="s">
        <v>1290</v>
      </c>
      <c r="D26" s="78" t="n">
        <v>0</v>
      </c>
      <c r="E26" s="78" t="n">
        <v>20892</v>
      </c>
      <c r="F26" s="78" t="n">
        <v>11288</v>
      </c>
      <c r="G26" s="78" t="n">
        <v>9651</v>
      </c>
      <c r="H26" s="78" t="n">
        <v>-8548</v>
      </c>
      <c r="I26" s="78" t="n">
        <v>-463</v>
      </c>
      <c r="J26" s="78" t="n">
        <v>0</v>
      </c>
      <c r="K26" s="78" t="n">
        <v>0</v>
      </c>
      <c r="L26" s="78" t="n">
        <v>0</v>
      </c>
      <c r="M26" s="78" t="n">
        <v>0</v>
      </c>
      <c r="N26" s="78" t="n">
        <v>33283</v>
      </c>
      <c r="O26" s="78" t="n">
        <v>32820</v>
      </c>
      <c r="P26" s="78"/>
      <c r="Q26" s="78"/>
      <c r="R26" s="78"/>
      <c r="S26" s="78"/>
    </row>
    <row r="27">
      <c r="A27" s="78" t="s">
        <v>1224</v>
      </c>
      <c r="B27" s="78" t="n">
        <v>22003</v>
      </c>
      <c r="C27" s="78" t="s">
        <v>1290</v>
      </c>
      <c r="D27" s="78" t="n">
        <v>0</v>
      </c>
      <c r="E27" s="78" t="n">
        <v>24</v>
      </c>
      <c r="F27" s="78" t="n">
        <v>65</v>
      </c>
      <c r="G27" s="78" t="n">
        <v>112</v>
      </c>
      <c r="H27" s="78" t="n">
        <v>130</v>
      </c>
      <c r="I27" s="78" t="n">
        <v>98</v>
      </c>
      <c r="J27" s="78" t="n">
        <v>56</v>
      </c>
      <c r="K27" s="78" t="n">
        <v>15</v>
      </c>
      <c r="L27" s="78" t="n">
        <v>0</v>
      </c>
      <c r="M27" s="78" t="n">
        <v>0</v>
      </c>
      <c r="N27" s="78" t="n">
        <v>331</v>
      </c>
      <c r="O27" s="78" t="n">
        <v>500</v>
      </c>
      <c r="P27" s="78"/>
      <c r="Q27" s="78"/>
      <c r="R27" s="78"/>
      <c r="S27" s="78"/>
    </row>
    <row r="28">
      <c r="A28" s="78" t="s">
        <v>1226</v>
      </c>
      <c r="B28" s="78" t="n">
        <v>22004</v>
      </c>
      <c r="C28" s="78" t="s">
        <v>1290</v>
      </c>
      <c r="D28" s="78" t="n">
        <v>0</v>
      </c>
      <c r="E28" s="78" t="n">
        <v>50</v>
      </c>
      <c r="F28" s="78" t="n">
        <v>500</v>
      </c>
      <c r="G28" s="78" t="n">
        <v>920</v>
      </c>
      <c r="H28" s="78" t="n">
        <v>1310</v>
      </c>
      <c r="I28" s="78" t="n">
        <v>1680</v>
      </c>
      <c r="J28" s="78" t="n">
        <v>1780</v>
      </c>
      <c r="K28" s="78" t="n">
        <v>1640</v>
      </c>
      <c r="L28" s="78" t="n">
        <v>1090</v>
      </c>
      <c r="M28" s="78" t="n">
        <v>630</v>
      </c>
      <c r="N28" s="78" t="n">
        <v>2780</v>
      </c>
      <c r="O28" s="78" t="n">
        <v>9600</v>
      </c>
      <c r="P28" s="78"/>
      <c r="Q28" s="78"/>
      <c r="R28" s="78"/>
      <c r="S28" s="78"/>
    </row>
    <row r="29" ht="45" customHeight="1">
      <c r="A29" s="45" t="s">
        <v>1291</v>
      </c>
      <c r="B29" s="78" t="n">
        <v>22007</v>
      </c>
      <c r="C29" s="78" t="s">
        <v>1290</v>
      </c>
      <c r="D29" s="78" t="n">
        <v>-622</v>
      </c>
      <c r="E29" s="78" t="n">
        <v>80</v>
      </c>
      <c r="F29" s="78" t="n">
        <v>248</v>
      </c>
      <c r="G29" s="78" t="n">
        <v>266</v>
      </c>
      <c r="H29" s="78" t="n">
        <v>363</v>
      </c>
      <c r="I29" s="78" t="n">
        <v>464</v>
      </c>
      <c r="J29" s="78" t="n">
        <v>451</v>
      </c>
      <c r="K29" s="78" t="n">
        <v>336</v>
      </c>
      <c r="L29" s="78" t="n">
        <v>226</v>
      </c>
      <c r="M29" s="78" t="n">
        <v>117</v>
      </c>
      <c r="N29" s="78" t="n">
        <v>335</v>
      </c>
      <c r="O29" s="78" t="n">
        <v>1929</v>
      </c>
      <c r="P29" s="78"/>
      <c r="Q29" s="78"/>
      <c r="R29" s="78"/>
      <c r="S29" s="78"/>
    </row>
    <row r="30">
      <c r="A30" s="78" t="s">
        <v>1228</v>
      </c>
      <c r="B30" s="78" t="n">
        <v>23002</v>
      </c>
      <c r="C30" s="78" t="s">
        <v>1290</v>
      </c>
      <c r="D30" s="78" t="n">
        <v>0</v>
      </c>
      <c r="E30" s="78" t="n">
        <v>30</v>
      </c>
      <c r="F30" s="78" t="n">
        <v>90</v>
      </c>
      <c r="G30" s="78" t="n">
        <v>90</v>
      </c>
      <c r="H30" s="78" t="n">
        <v>85</v>
      </c>
      <c r="I30" s="78" t="n">
        <v>70</v>
      </c>
      <c r="J30" s="78" t="n">
        <v>65</v>
      </c>
      <c r="K30" s="78" t="n">
        <v>65</v>
      </c>
      <c r="L30" s="78" t="n">
        <v>35</v>
      </c>
      <c r="M30" s="78" t="n">
        <v>15</v>
      </c>
      <c r="N30" s="78" t="n">
        <v>295</v>
      </c>
      <c r="O30" s="78" t="n">
        <v>545</v>
      </c>
      <c r="P30" s="78"/>
      <c r="Q30" s="78"/>
      <c r="R30" s="78"/>
      <c r="S30" s="78"/>
    </row>
    <row r="31">
      <c r="A31" s="78" t="s">
        <v>1219</v>
      </c>
      <c r="B31" s="78" t="n">
        <v>30002</v>
      </c>
      <c r="C31" s="78" t="s">
        <v>1290</v>
      </c>
      <c r="D31" s="78" t="n">
        <v>0</v>
      </c>
      <c r="E31" s="78" t="n">
        <v>20</v>
      </c>
      <c r="F31" s="78" t="n">
        <v>65</v>
      </c>
      <c r="G31" s="78" t="n">
        <v>110</v>
      </c>
      <c r="H31" s="78" t="n">
        <v>135</v>
      </c>
      <c r="I31" s="78" t="n">
        <v>180</v>
      </c>
      <c r="J31" s="78" t="n">
        <v>230</v>
      </c>
      <c r="K31" s="78" t="n">
        <v>180</v>
      </c>
      <c r="L31" s="78" t="n">
        <v>60</v>
      </c>
      <c r="M31" s="78" t="n">
        <v>10</v>
      </c>
      <c r="N31" s="78" t="n">
        <v>330</v>
      </c>
      <c r="O31" s="78" t="n">
        <v>990</v>
      </c>
      <c r="P31" s="78"/>
      <c r="Q31" s="78"/>
      <c r="R31" s="78"/>
      <c r="S31" s="78"/>
    </row>
    <row r="32">
      <c r="A32" s="78" t="s">
        <v>1292</v>
      </c>
      <c r="B32" s="78" t="n">
        <v>13104</v>
      </c>
      <c r="C32" s="78" t="s">
        <v>1293</v>
      </c>
      <c r="D32" s="78" t="n">
        <v>0</v>
      </c>
      <c r="E32" s="78" t="n">
        <v>20</v>
      </c>
      <c r="F32" s="78" t="n">
        <v>145</v>
      </c>
      <c r="G32" s="78" t="n">
        <v>225</v>
      </c>
      <c r="H32" s="78" t="n">
        <v>238</v>
      </c>
      <c r="I32" s="78" t="n">
        <v>222</v>
      </c>
      <c r="J32" s="78" t="n">
        <v>206</v>
      </c>
      <c r="K32" s="78" t="n">
        <v>186</v>
      </c>
      <c r="L32" s="78" t="n">
        <v>165</v>
      </c>
      <c r="M32" s="78" t="n">
        <v>142</v>
      </c>
      <c r="N32" s="78" t="n">
        <v>628</v>
      </c>
      <c r="O32" s="78" t="n">
        <v>1550</v>
      </c>
      <c r="P32" s="78"/>
      <c r="Q32" s="78"/>
      <c r="R32" s="78"/>
      <c r="S32" s="78"/>
    </row>
    <row r="33">
      <c r="A33" s="78" t="s">
        <v>1294</v>
      </c>
      <c r="B33" s="78" t="n">
        <v>13105</v>
      </c>
      <c r="C33" s="78" t="s">
        <v>1293</v>
      </c>
      <c r="D33" s="78" t="n">
        <v>0</v>
      </c>
      <c r="E33" s="78" t="n">
        <v>0</v>
      </c>
      <c r="F33" s="78" t="n">
        <v>1050</v>
      </c>
      <c r="G33" s="78" t="n">
        <v>1692</v>
      </c>
      <c r="H33" s="78" t="n">
        <v>1781</v>
      </c>
      <c r="I33" s="78" t="n">
        <v>1842</v>
      </c>
      <c r="J33" s="78" t="n">
        <v>1901</v>
      </c>
      <c r="K33" s="78" t="n">
        <v>1944</v>
      </c>
      <c r="L33" s="78" t="n">
        <v>2054</v>
      </c>
      <c r="M33" s="78" t="n">
        <v>2137</v>
      </c>
      <c r="N33" s="78" t="n">
        <v>4522</v>
      </c>
      <c r="O33" s="78" t="n">
        <v>14401</v>
      </c>
      <c r="P33" s="78"/>
      <c r="Q33" s="78"/>
      <c r="R33" s="78"/>
      <c r="S33" s="78"/>
    </row>
    <row r="34">
      <c r="A34" s="78" t="s">
        <v>1256</v>
      </c>
      <c r="B34" s="78" t="n">
        <v>13204</v>
      </c>
      <c r="C34" s="78" t="s">
        <v>1293</v>
      </c>
      <c r="D34" s="78" t="n">
        <v>0</v>
      </c>
      <c r="E34" s="78" t="n">
        <v>59</v>
      </c>
      <c r="F34" s="78" t="n">
        <v>149</v>
      </c>
      <c r="G34" s="78" t="n">
        <v>244</v>
      </c>
      <c r="H34" s="78" t="n">
        <v>364</v>
      </c>
      <c r="I34" s="78" t="n">
        <v>498</v>
      </c>
      <c r="J34" s="78" t="n">
        <v>657</v>
      </c>
      <c r="K34" s="78" t="n">
        <v>851</v>
      </c>
      <c r="L34" s="78" t="n">
        <v>1086</v>
      </c>
      <c r="M34" s="78" t="n">
        <v>1410</v>
      </c>
      <c r="N34" s="78" t="n">
        <v>815</v>
      </c>
      <c r="O34" s="78" t="n">
        <v>5317</v>
      </c>
      <c r="P34" s="78"/>
      <c r="Q34" s="78"/>
      <c r="R34" s="78"/>
      <c r="S34" s="78"/>
    </row>
    <row r="35">
      <c r="A35" s="78" t="s">
        <v>1295</v>
      </c>
      <c r="B35" s="78" t="n">
        <v>13502</v>
      </c>
      <c r="C35" s="78" t="s">
        <v>1293</v>
      </c>
      <c r="D35" s="78" t="n">
        <v>0</v>
      </c>
      <c r="E35" s="78" t="n">
        <v>842</v>
      </c>
      <c r="F35" s="78" t="n">
        <v>1201</v>
      </c>
      <c r="G35" s="78" t="n">
        <v>1291</v>
      </c>
      <c r="H35" s="78" t="n">
        <v>1519</v>
      </c>
      <c r="I35" s="78" t="n">
        <v>1710</v>
      </c>
      <c r="J35" s="78" t="n">
        <v>1890</v>
      </c>
      <c r="K35" s="78" t="n">
        <v>2176</v>
      </c>
      <c r="L35" s="78" t="n">
        <v>2189</v>
      </c>
      <c r="M35" s="78" t="n">
        <v>1882</v>
      </c>
      <c r="N35" s="78" t="n">
        <v>4853</v>
      </c>
      <c r="O35" s="78" t="n">
        <v>14699</v>
      </c>
      <c r="P35" s="78"/>
      <c r="Q35" s="78"/>
      <c r="R35" s="78"/>
      <c r="S35" s="78"/>
    </row>
    <row r="36">
      <c r="A36" s="78" t="s">
        <v>1296</v>
      </c>
      <c r="B36" s="78" t="n">
        <v>13701</v>
      </c>
      <c r="C36" s="78" t="s">
        <v>1293</v>
      </c>
      <c r="D36" s="78" t="n">
        <v>0</v>
      </c>
      <c r="E36" s="78" t="n">
        <v>1</v>
      </c>
      <c r="F36" s="78" t="n">
        <v>1</v>
      </c>
      <c r="G36" s="78" t="n">
        <v>2</v>
      </c>
      <c r="H36" s="78" t="n">
        <v>2</v>
      </c>
      <c r="I36" s="78" t="n">
        <v>3</v>
      </c>
      <c r="J36" s="78" t="n">
        <v>3</v>
      </c>
      <c r="K36" s="78" t="n">
        <v>4</v>
      </c>
      <c r="L36" s="78" t="n">
        <v>5</v>
      </c>
      <c r="M36" s="78" t="n">
        <v>6</v>
      </c>
      <c r="N36" s="78" t="n">
        <v>6</v>
      </c>
      <c r="O36" s="78" t="n">
        <v>26</v>
      </c>
      <c r="P36" s="78"/>
      <c r="Q36" s="78"/>
      <c r="R36" s="78"/>
      <c r="S36" s="78"/>
    </row>
    <row r="37">
      <c r="A37" s="78" t="s">
        <v>1238</v>
      </c>
      <c r="B37" s="78" t="n">
        <v>21001</v>
      </c>
      <c r="C37" s="78" t="s">
        <v>1293</v>
      </c>
      <c r="D37" s="78" t="n">
        <v>0</v>
      </c>
      <c r="E37" s="78" t="n">
        <v>178</v>
      </c>
      <c r="F37" s="78" t="n">
        <v>716</v>
      </c>
      <c r="G37" s="78" t="n">
        <v>1268</v>
      </c>
      <c r="H37" s="78" t="n">
        <v>2150</v>
      </c>
      <c r="I37" s="78" t="n">
        <v>3000</v>
      </c>
      <c r="J37" s="78" t="n">
        <v>2906</v>
      </c>
      <c r="K37" s="78" t="n">
        <v>2533</v>
      </c>
      <c r="L37" s="78" t="n">
        <v>1750</v>
      </c>
      <c r="M37" s="78" t="n">
        <v>807</v>
      </c>
      <c r="N37" s="78" t="n">
        <v>4312</v>
      </c>
      <c r="O37" s="78" t="n">
        <v>15308</v>
      </c>
      <c r="P37" s="78"/>
      <c r="Q37" s="78"/>
      <c r="R37" s="78"/>
      <c r="S37" s="78"/>
    </row>
    <row r="38">
      <c r="A38" s="78" t="n">
        <v>0</v>
      </c>
      <c r="B38" s="78" t="n">
        <v>21002</v>
      </c>
      <c r="C38" s="78" t="s">
        <v>1293</v>
      </c>
      <c r="D38" s="78" t="n">
        <v>0</v>
      </c>
      <c r="E38" s="78" t="n">
        <v>86</v>
      </c>
      <c r="F38" s="78" t="n">
        <v>95</v>
      </c>
      <c r="G38" s="78" t="n">
        <v>125</v>
      </c>
      <c r="H38" s="78" t="n">
        <v>225</v>
      </c>
      <c r="I38" s="78" t="n">
        <v>225</v>
      </c>
      <c r="J38" s="78" t="n">
        <v>245</v>
      </c>
      <c r="K38" s="78" t="n">
        <v>240</v>
      </c>
      <c r="L38" s="78" t="n">
        <v>109</v>
      </c>
      <c r="M38" s="78" t="n">
        <v>50</v>
      </c>
      <c r="N38" s="78" t="n">
        <v>531</v>
      </c>
      <c r="O38" s="78" t="n">
        <v>1400</v>
      </c>
      <c r="P38" s="78"/>
      <c r="Q38" s="78"/>
      <c r="R38" s="78"/>
      <c r="S38" s="78"/>
    </row>
    <row r="39">
      <c r="A39" s="78" t="s">
        <v>1250</v>
      </c>
      <c r="B39" s="78" t="n">
        <v>22002</v>
      </c>
      <c r="C39" s="78" t="s">
        <v>1293</v>
      </c>
      <c r="D39" s="78" t="n">
        <v>0</v>
      </c>
      <c r="E39" s="78" t="n">
        <v>5</v>
      </c>
      <c r="F39" s="78" t="n">
        <v>41</v>
      </c>
      <c r="G39" s="78" t="n">
        <v>116</v>
      </c>
      <c r="H39" s="78" t="n">
        <v>284</v>
      </c>
      <c r="I39" s="78" t="n">
        <v>417</v>
      </c>
      <c r="J39" s="78" t="n">
        <v>459</v>
      </c>
      <c r="K39" s="78" t="n">
        <v>355</v>
      </c>
      <c r="L39" s="78" t="n">
        <v>210</v>
      </c>
      <c r="M39" s="78" t="n">
        <v>90</v>
      </c>
      <c r="N39" s="78" t="n">
        <v>446</v>
      </c>
      <c r="O39" s="78" t="n">
        <v>1977</v>
      </c>
      <c r="P39" s="78"/>
      <c r="Q39" s="78"/>
      <c r="R39" s="78"/>
      <c r="S39" s="78"/>
    </row>
    <row r="40">
      <c r="A40" s="78" t="s">
        <v>1266</v>
      </c>
      <c r="B40" s="78" t="n">
        <v>30001</v>
      </c>
      <c r="C40" s="78" t="s">
        <v>1293</v>
      </c>
      <c r="D40" s="78" t="n">
        <v>0</v>
      </c>
      <c r="E40" s="78" t="n">
        <v>25</v>
      </c>
      <c r="F40" s="78" t="n">
        <v>100</v>
      </c>
      <c r="G40" s="78" t="n">
        <v>125</v>
      </c>
      <c r="H40" s="78" t="n">
        <v>100</v>
      </c>
      <c r="I40" s="78" t="n">
        <v>75</v>
      </c>
      <c r="J40" s="78" t="n">
        <v>30</v>
      </c>
      <c r="K40" s="78" t="n">
        <v>20</v>
      </c>
      <c r="L40" s="78" t="n">
        <v>0</v>
      </c>
      <c r="M40" s="78" t="n">
        <v>0</v>
      </c>
      <c r="N40" s="78" t="n">
        <v>350</v>
      </c>
      <c r="O40" s="78" t="n">
        <v>475</v>
      </c>
      <c r="P40" s="78"/>
      <c r="Q40" s="78"/>
      <c r="R40" s="78"/>
      <c r="S40" s="78"/>
    </row>
    <row r="42">
      <c r="C42" s="1281" t="s">
        <v>1297</v>
      </c>
      <c r="D42" s="1281"/>
      <c r="E42" s="1281"/>
      <c r="F42" s="1281"/>
      <c r="G42" s="1281"/>
      <c r="H42" s="1281"/>
      <c r="I42" s="1281"/>
      <c r="J42" s="1281"/>
      <c r="K42" s="1281"/>
      <c r="L42" s="1281"/>
      <c r="M42" s="1281"/>
      <c r="N42" s="1281"/>
      <c r="O42" s="1281"/>
      <c r="P42" s="1281"/>
      <c r="Q42" s="1281"/>
      <c r="R42" s="1281"/>
      <c r="S42" s="1281"/>
    </row>
    <row r="43">
      <c r="A43" s="78" t="s">
        <v>1298</v>
      </c>
      <c r="B43" s="78" t="n">
        <v>10101</v>
      </c>
      <c r="C43" s="78" t="s">
        <v>1299</v>
      </c>
      <c r="D43" s="78" t="n">
        <v>0</v>
      </c>
      <c r="E43" s="78" t="n">
        <v>34679</v>
      </c>
      <c r="F43" s="78" t="n">
        <v>34258</v>
      </c>
      <c r="G43" s="78" t="n">
        <v>22039</v>
      </c>
      <c r="H43" s="78" t="n">
        <v>17702</v>
      </c>
      <c r="I43" s="78" t="n">
        <v>18699</v>
      </c>
      <c r="J43" s="78" t="n">
        <v>20798</v>
      </c>
      <c r="K43" s="78" t="n">
        <v>22756</v>
      </c>
      <c r="L43" s="78" t="n">
        <v>24658</v>
      </c>
      <c r="M43" s="78" t="n">
        <v>26659</v>
      </c>
      <c r="N43" s="78" t="n">
        <v>108678</v>
      </c>
      <c r="O43" s="78" t="n">
        <v>222248</v>
      </c>
      <c r="P43" s="78"/>
      <c r="Q43" s="78"/>
      <c r="R43" s="78"/>
      <c r="S43" s="78"/>
    </row>
    <row r="44">
      <c r="A44" s="78" t="s">
        <v>1300</v>
      </c>
      <c r="B44" s="78" t="s">
        <v>1301</v>
      </c>
      <c r="C44" s="78" t="s">
        <v>1299</v>
      </c>
      <c r="D44" s="78" t="n">
        <v>0</v>
      </c>
      <c r="E44" s="78" t="n">
        <v>113</v>
      </c>
      <c r="F44" s="78" t="n">
        <v>314</v>
      </c>
      <c r="G44" s="78" t="n">
        <v>470</v>
      </c>
      <c r="H44" s="78" t="n">
        <v>642</v>
      </c>
      <c r="I44" s="78" t="n">
        <v>812</v>
      </c>
      <c r="J44" s="78" t="n">
        <v>973</v>
      </c>
      <c r="K44" s="78" t="n">
        <v>1100</v>
      </c>
      <c r="L44" s="78" t="n">
        <v>1181</v>
      </c>
      <c r="M44" s="78" t="n">
        <v>1245</v>
      </c>
      <c r="N44" s="78" t="n">
        <v>1539</v>
      </c>
      <c r="O44" s="78" t="n">
        <v>6850</v>
      </c>
      <c r="P44" s="78"/>
      <c r="Q44" s="78"/>
      <c r="R44" s="78"/>
      <c r="S44" s="78"/>
    </row>
    <row r="45">
      <c r="A45" s="78" t="s">
        <v>1302</v>
      </c>
      <c r="B45" s="78" t="n">
        <v>13101</v>
      </c>
      <c r="C45" s="78" t="s">
        <v>1299</v>
      </c>
      <c r="D45" s="78" t="n">
        <v>0</v>
      </c>
      <c r="E45" s="78" t="n">
        <v>-1562</v>
      </c>
      <c r="F45" s="78" t="n">
        <v>-2183</v>
      </c>
      <c r="G45" s="78" t="n">
        <v>-3317</v>
      </c>
      <c r="H45" s="78" t="n">
        <v>-4822</v>
      </c>
      <c r="I45" s="78" t="n">
        <v>-6428</v>
      </c>
      <c r="J45" s="78" t="n">
        <v>-7677</v>
      </c>
      <c r="K45" s="78" t="n">
        <v>-8232</v>
      </c>
      <c r="L45" s="78" t="n">
        <v>-8329</v>
      </c>
      <c r="M45" s="78" t="n">
        <v>-8511</v>
      </c>
      <c r="N45" s="78" t="n">
        <v>-11885</v>
      </c>
      <c r="O45" s="78" t="n">
        <v>-51062</v>
      </c>
      <c r="P45" s="78"/>
      <c r="Q45" s="78"/>
      <c r="R45" s="78"/>
      <c r="S45" s="78"/>
    </row>
    <row r="46">
      <c r="A46" s="78" t="s">
        <v>1303</v>
      </c>
      <c r="B46" s="78" t="n">
        <v>13102</v>
      </c>
      <c r="C46" s="78" t="s">
        <v>1299</v>
      </c>
      <c r="D46" s="78" t="n">
        <v>0</v>
      </c>
      <c r="E46" s="78" t="n">
        <v>-2140</v>
      </c>
      <c r="F46" s="78" t="n">
        <v>-1559</v>
      </c>
      <c r="G46" s="78" t="n">
        <v>-2458</v>
      </c>
      <c r="H46" s="78" t="n">
        <v>-5367</v>
      </c>
      <c r="I46" s="78" t="n">
        <v>-2359</v>
      </c>
      <c r="J46" s="78" t="n">
        <v>-48</v>
      </c>
      <c r="K46" s="78" t="n">
        <v>-38</v>
      </c>
      <c r="L46" s="78" t="n">
        <v>-9</v>
      </c>
      <c r="M46" s="78" t="n">
        <v>15</v>
      </c>
      <c r="N46" s="78" t="n">
        <v>-11523</v>
      </c>
      <c r="O46" s="78" t="n">
        <v>-13962</v>
      </c>
      <c r="P46" s="78"/>
      <c r="Q46" s="78"/>
      <c r="R46" s="78"/>
      <c r="S46" s="78"/>
    </row>
    <row r="47">
      <c r="A47" s="78" t="s">
        <v>1304</v>
      </c>
      <c r="B47" s="78" t="n">
        <v>13104</v>
      </c>
      <c r="C47" s="78" t="s">
        <v>1299</v>
      </c>
      <c r="D47" s="78" t="n">
        <v>0</v>
      </c>
      <c r="E47" s="78" t="n">
        <v>-22</v>
      </c>
      <c r="F47" s="78" t="n">
        <v>-158</v>
      </c>
      <c r="G47" s="78" t="n">
        <v>-244</v>
      </c>
      <c r="H47" s="78" t="n">
        <v>-257</v>
      </c>
      <c r="I47" s="78" t="n">
        <v>-241</v>
      </c>
      <c r="J47" s="78" t="n">
        <v>-223</v>
      </c>
      <c r="K47" s="78" t="n">
        <v>-202</v>
      </c>
      <c r="L47" s="78" t="n">
        <v>-178</v>
      </c>
      <c r="M47" s="78" t="n">
        <v>-154</v>
      </c>
      <c r="N47" s="78" t="n">
        <v>-681</v>
      </c>
      <c r="O47" s="78" t="n">
        <v>-1679</v>
      </c>
      <c r="P47" s="78"/>
      <c r="Q47" s="78"/>
      <c r="R47" s="78"/>
      <c r="S47" s="78"/>
    </row>
    <row r="48">
      <c r="A48" s="78" t="s">
        <v>1305</v>
      </c>
      <c r="B48" s="78" t="n">
        <v>13105</v>
      </c>
      <c r="C48" s="78" t="s">
        <v>1299</v>
      </c>
      <c r="D48" s="78" t="n">
        <v>0</v>
      </c>
      <c r="E48" s="78" t="n">
        <v>0</v>
      </c>
      <c r="F48" s="78" t="n">
        <v>-1138</v>
      </c>
      <c r="G48" s="78" t="n">
        <v>-1832</v>
      </c>
      <c r="H48" s="78" t="n">
        <v>-1929</v>
      </c>
      <c r="I48" s="78" t="n">
        <v>-1996</v>
      </c>
      <c r="J48" s="78" t="n">
        <v>-2059</v>
      </c>
      <c r="K48" s="78" t="n">
        <v>-2106</v>
      </c>
      <c r="L48" s="78" t="n">
        <v>-2225</v>
      </c>
      <c r="M48" s="78" t="n">
        <v>-2315</v>
      </c>
      <c r="N48" s="78" t="n">
        <v>-4899</v>
      </c>
      <c r="O48" s="78" t="n">
        <v>-15600</v>
      </c>
      <c r="P48" s="78"/>
      <c r="Q48" s="78"/>
      <c r="R48" s="78"/>
      <c r="S48" s="78"/>
    </row>
    <row r="49">
      <c r="A49" s="78" t="s">
        <v>1306</v>
      </c>
      <c r="B49" s="78" t="n">
        <v>13303</v>
      </c>
      <c r="C49" s="78" t="s">
        <v>1299</v>
      </c>
      <c r="D49" s="78" t="n">
        <v>0</v>
      </c>
      <c r="E49" s="78" t="n">
        <v>-62</v>
      </c>
      <c r="F49" s="78" t="n">
        <v>-50</v>
      </c>
      <c r="G49" s="78" t="n">
        <v>-46</v>
      </c>
      <c r="H49" s="78" t="n">
        <v>-42</v>
      </c>
      <c r="I49" s="78" t="n">
        <v>-38</v>
      </c>
      <c r="J49" s="78" t="n">
        <v>-35</v>
      </c>
      <c r="K49" s="78" t="n">
        <v>-32</v>
      </c>
      <c r="L49" s="78" t="n">
        <v>-30</v>
      </c>
      <c r="M49" s="78" t="n">
        <v>-28</v>
      </c>
      <c r="N49" s="78" t="n">
        <v>-200</v>
      </c>
      <c r="O49" s="78" t="n">
        <v>-362</v>
      </c>
      <c r="P49" s="78"/>
      <c r="Q49" s="78"/>
      <c r="R49" s="78"/>
      <c r="S49" s="78"/>
    </row>
    <row r="50">
      <c r="A50" s="78" t="s">
        <v>1307</v>
      </c>
      <c r="B50" s="78" t="s">
        <v>1308</v>
      </c>
      <c r="C50" s="78" t="s">
        <v>1299</v>
      </c>
      <c r="D50" s="78" t="n">
        <v>0</v>
      </c>
      <c r="E50" s="78" t="n">
        <v>-2376</v>
      </c>
      <c r="F50" s="78" t="n">
        <v>-2679</v>
      </c>
      <c r="G50" s="78" t="n">
        <v>-2315</v>
      </c>
      <c r="H50" s="78" t="n">
        <v>-2572</v>
      </c>
      <c r="I50" s="78" t="n">
        <v>-2467</v>
      </c>
      <c r="J50" s="78" t="n">
        <v>-2490</v>
      </c>
      <c r="K50" s="78" t="n">
        <v>-2638</v>
      </c>
      <c r="L50" s="78" t="n">
        <v>-2569</v>
      </c>
      <c r="M50" s="78" t="n">
        <v>-2081</v>
      </c>
      <c r="N50" s="78" t="n">
        <v>-9943</v>
      </c>
      <c r="O50" s="78" t="n">
        <v>-22188</v>
      </c>
      <c r="P50" s="78"/>
      <c r="Q50" s="78"/>
      <c r="R50" s="78"/>
      <c r="S50" s="78"/>
    </row>
    <row r="51">
      <c r="A51" s="78" t="s">
        <v>1309</v>
      </c>
      <c r="B51" s="78" t="n">
        <v>13601</v>
      </c>
      <c r="C51" s="78" t="s">
        <v>1299</v>
      </c>
      <c r="D51" s="78" t="n">
        <v>0</v>
      </c>
      <c r="E51" s="78" t="n">
        <v>902</v>
      </c>
      <c r="F51" s="78" t="n">
        <v>1230</v>
      </c>
      <c r="G51" s="78" t="n">
        <v>1271</v>
      </c>
      <c r="H51" s="78" t="n">
        <v>1304</v>
      </c>
      <c r="I51" s="78" t="n">
        <v>1336</v>
      </c>
      <c r="J51" s="78" t="n">
        <v>1368</v>
      </c>
      <c r="K51" s="78" t="n">
        <v>1402</v>
      </c>
      <c r="L51" s="78" t="n">
        <v>1436</v>
      </c>
      <c r="M51" s="78" t="n">
        <v>1470</v>
      </c>
      <c r="N51" s="78" t="n">
        <v>4707</v>
      </c>
      <c r="O51" s="78" t="n">
        <v>11719</v>
      </c>
      <c r="P51" s="78"/>
      <c r="Q51" s="78"/>
      <c r="R51" s="78"/>
      <c r="S51" s="78"/>
    </row>
    <row r="52">
      <c r="A52" s="78" t="s">
        <v>1310</v>
      </c>
      <c r="B52" s="78" t="s">
        <v>1311</v>
      </c>
      <c r="C52" s="78" t="s">
        <v>1299</v>
      </c>
      <c r="D52" s="78" t="n">
        <v>0</v>
      </c>
      <c r="E52" s="78" t="n">
        <v>1</v>
      </c>
      <c r="F52" s="78" t="n">
        <v>1</v>
      </c>
      <c r="G52" s="78" t="n">
        <v>-678</v>
      </c>
      <c r="H52" s="78" t="n">
        <v>-858</v>
      </c>
      <c r="I52" s="78" t="n">
        <v>-7820</v>
      </c>
      <c r="J52" s="78" t="n">
        <v>-11303</v>
      </c>
      <c r="K52" s="78" t="n">
        <v>-12736</v>
      </c>
      <c r="L52" s="78" t="n">
        <v>-14927</v>
      </c>
      <c r="M52" s="78" t="n">
        <v>-17285</v>
      </c>
      <c r="N52" s="78" t="n">
        <v>-1535</v>
      </c>
      <c r="O52" s="78" t="n">
        <v>-65606</v>
      </c>
      <c r="P52" s="78"/>
      <c r="Q52" s="78"/>
      <c r="R52" s="78"/>
      <c r="S52" s="78"/>
    </row>
    <row r="53">
      <c r="A53" s="78" t="s">
        <v>1312</v>
      </c>
      <c r="B53" s="78" t="n">
        <v>13901</v>
      </c>
      <c r="C53" s="78" t="s">
        <v>1299</v>
      </c>
      <c r="D53" s="78" t="n">
        <v>0</v>
      </c>
      <c r="E53" s="78" t="n">
        <v>103</v>
      </c>
      <c r="F53" s="78" t="n">
        <v>135</v>
      </c>
      <c r="G53" s="78" t="n">
        <v>131</v>
      </c>
      <c r="H53" s="78" t="n">
        <v>130</v>
      </c>
      <c r="I53" s="78" t="n">
        <v>130</v>
      </c>
      <c r="J53" s="78" t="n">
        <v>131</v>
      </c>
      <c r="K53" s="78" t="n">
        <v>132</v>
      </c>
      <c r="L53" s="78" t="n">
        <v>133</v>
      </c>
      <c r="M53" s="78" t="n">
        <v>134</v>
      </c>
      <c r="N53" s="78" t="n">
        <v>498</v>
      </c>
      <c r="O53" s="78" t="n">
        <v>1159</v>
      </c>
      <c r="P53" s="78"/>
      <c r="Q53" s="78"/>
      <c r="R53" s="78"/>
      <c r="S53" s="78"/>
    </row>
    <row r="54">
      <c r="A54" s="78" t="s">
        <v>1313</v>
      </c>
      <c r="B54" s="78" t="n">
        <v>13902</v>
      </c>
      <c r="C54" s="78" t="s">
        <v>1299</v>
      </c>
      <c r="D54" s="78" t="n">
        <v>0</v>
      </c>
      <c r="E54" s="78" t="n">
        <v>-16</v>
      </c>
      <c r="F54" s="78" t="n">
        <v>-13</v>
      </c>
      <c r="G54" s="78" t="n">
        <v>-15</v>
      </c>
      <c r="H54" s="78" t="n">
        <v>-16</v>
      </c>
      <c r="I54" s="78" t="n">
        <v>-18</v>
      </c>
      <c r="J54" s="78" t="n">
        <v>-21</v>
      </c>
      <c r="K54" s="78" t="n">
        <v>-22</v>
      </c>
      <c r="L54" s="78" t="n">
        <v>-23</v>
      </c>
      <c r="M54" s="78" t="n">
        <v>-24</v>
      </c>
      <c r="N54" s="78" t="n">
        <v>-60</v>
      </c>
      <c r="O54" s="78" t="n">
        <v>-168</v>
      </c>
      <c r="P54" s="78"/>
      <c r="Q54" s="78"/>
      <c r="R54" s="78"/>
      <c r="S54" s="78"/>
    </row>
    <row r="55">
      <c r="A55" s="78" t="s">
        <v>1314</v>
      </c>
      <c r="B55" s="78" t="s">
        <v>1315</v>
      </c>
      <c r="C55" s="78" t="s">
        <v>1299</v>
      </c>
      <c r="D55" s="78" t="n">
        <v>0</v>
      </c>
      <c r="E55" s="78" t="n">
        <v>0</v>
      </c>
      <c r="F55" s="78" t="n">
        <v>0</v>
      </c>
      <c r="G55" s="78" t="n">
        <v>0</v>
      </c>
      <c r="H55" s="78" t="n">
        <v>0</v>
      </c>
      <c r="I55" s="78" t="n">
        <v>17666</v>
      </c>
      <c r="J55" s="78" t="n">
        <v>26198</v>
      </c>
      <c r="K55" s="78" t="n">
        <v>9453</v>
      </c>
      <c r="L55" s="78" t="n">
        <v>-274</v>
      </c>
      <c r="M55" s="78" t="n">
        <v>-284</v>
      </c>
      <c r="N55" s="78" t="n">
        <v>0</v>
      </c>
      <c r="O55" s="78" t="n">
        <v>52759</v>
      </c>
      <c r="P55" s="78"/>
      <c r="Q55" s="78"/>
      <c r="R55" s="78"/>
      <c r="S55" s="78"/>
    </row>
    <row r="56">
      <c r="A56" s="78" t="s">
        <v>1316</v>
      </c>
      <c r="B56" s="78" t="n">
        <v>60113</v>
      </c>
      <c r="C56" s="78" t="s">
        <v>1299</v>
      </c>
      <c r="D56" s="78" t="n">
        <v>0</v>
      </c>
      <c r="E56" s="78" t="n">
        <v>0</v>
      </c>
      <c r="F56" s="78" t="n">
        <v>0</v>
      </c>
      <c r="G56" s="78" t="n">
        <v>0</v>
      </c>
      <c r="H56" s="78" t="n">
        <v>850</v>
      </c>
      <c r="I56" s="88" t="n">
        <v>1350</v>
      </c>
      <c r="J56" s="88" t="n">
        <v>1400</v>
      </c>
      <c r="K56" s="88" t="n">
        <v>1200</v>
      </c>
      <c r="L56" s="88" t="n">
        <v>1050</v>
      </c>
      <c r="M56" s="78" t="n">
        <v>500</v>
      </c>
      <c r="N56" s="78" t="n">
        <v>850</v>
      </c>
      <c r="O56" s="88" t="n">
        <v>6350</v>
      </c>
      <c r="P56" s="88"/>
      <c r="Q56" s="88"/>
      <c r="R56" s="88"/>
      <c r="S56" s="88"/>
    </row>
    <row r="57">
      <c r="A57" s="78" t="s">
        <v>1317</v>
      </c>
      <c r="B57" s="78" t="n">
        <v>10201</v>
      </c>
      <c r="C57" s="78" t="s">
        <v>1299</v>
      </c>
      <c r="D57" s="78" t="n">
        <v>0</v>
      </c>
      <c r="E57" s="78" t="n">
        <v>5697</v>
      </c>
      <c r="F57" s="78" t="n">
        <v>7875</v>
      </c>
      <c r="G57" s="78" t="n">
        <v>8070</v>
      </c>
      <c r="H57" s="78" t="n">
        <v>8581</v>
      </c>
      <c r="I57" s="78" t="n">
        <v>8882</v>
      </c>
      <c r="J57" s="78" t="n">
        <v>8838</v>
      </c>
      <c r="K57" s="78" t="n">
        <v>8603</v>
      </c>
      <c r="L57" s="78" t="n">
        <v>8500</v>
      </c>
      <c r="M57" s="78" t="n">
        <v>8641</v>
      </c>
      <c r="N57" s="78" t="n">
        <v>30223</v>
      </c>
      <c r="O57" s="78" t="n">
        <v>73686</v>
      </c>
      <c r="P57" s="78"/>
      <c r="Q57" s="78"/>
      <c r="R57" s="78"/>
      <c r="S57" s="78"/>
    </row>
    <row r="58">
      <c r="A58" s="78" t="s">
        <v>1324</v>
      </c>
      <c r="B58" s="78" t="n">
        <v>13304</v>
      </c>
      <c r="C58" s="78" t="s">
        <v>1329</v>
      </c>
      <c r="D58" s="78" t="n">
        <v>0</v>
      </c>
      <c r="E58" s="78" t="n">
        <v>-273</v>
      </c>
      <c r="F58" s="78" t="n">
        <v>-193</v>
      </c>
      <c r="G58" s="78" t="n">
        <v>-203</v>
      </c>
      <c r="H58" s="78" t="n">
        <v>-216</v>
      </c>
      <c r="I58" s="78" t="n">
        <v>-230</v>
      </c>
      <c r="J58" s="78" t="n">
        <v>-241</v>
      </c>
      <c r="K58" s="78" t="n">
        <v>-240</v>
      </c>
      <c r="L58" s="78" t="n">
        <v>-229</v>
      </c>
      <c r="M58" s="78" t="n">
        <v>-217</v>
      </c>
      <c r="N58" s="78" t="n">
        <v>-887</v>
      </c>
      <c r="O58" s="78" t="n">
        <v>-2043</v>
      </c>
      <c r="P58" s="78"/>
      <c r="Q58" s="78"/>
      <c r="R58" s="78"/>
      <c r="S58" s="78"/>
    </row>
    <row r="59">
      <c r="A59" s="78" t="s">
        <v>1320</v>
      </c>
      <c r="B59" s="78" t="s">
        <v>1321</v>
      </c>
      <c r="C59" s="78" t="s">
        <v>1329</v>
      </c>
      <c r="D59" s="78" t="n">
        <v>0</v>
      </c>
      <c r="E59" s="78" t="n">
        <v>-2882</v>
      </c>
      <c r="F59" s="78" t="n">
        <v>-2038</v>
      </c>
      <c r="G59" s="78" t="n">
        <v>-1405</v>
      </c>
      <c r="H59" s="78" t="n">
        <v>-554</v>
      </c>
      <c r="I59" s="78" t="n">
        <v>-753</v>
      </c>
      <c r="J59" s="78" t="n">
        <v>-970</v>
      </c>
      <c r="K59" s="78" t="n">
        <v>-1231</v>
      </c>
      <c r="L59" s="78" t="n">
        <v>-1581</v>
      </c>
      <c r="M59" s="78" t="n">
        <v>-2108</v>
      </c>
      <c r="N59" s="78" t="n">
        <v>-6880</v>
      </c>
      <c r="O59" s="78" t="n">
        <v>-13523</v>
      </c>
      <c r="P59" s="78"/>
      <c r="Q59" s="78"/>
      <c r="R59" s="78"/>
      <c r="S59" s="78"/>
    </row>
    <row r="60">
      <c r="A60" s="1298" t="s">
        <v>1318</v>
      </c>
      <c r="B60" s="1299" t="n">
        <v>10301</v>
      </c>
      <c r="C60" s="1299" t="s">
        <v>172</v>
      </c>
      <c r="D60" s="1299" t="n">
        <v>0</v>
      </c>
      <c r="E60" s="1300" t="n">
        <v>2012</v>
      </c>
      <c r="F60" s="1300" t="n">
        <v>5106</v>
      </c>
      <c r="G60" s="1300" t="n">
        <v>11125</v>
      </c>
      <c r="H60" s="1300" t="n">
        <v>16116</v>
      </c>
      <c r="I60" s="1300" t="n">
        <v>21716</v>
      </c>
      <c r="J60" s="1300" t="n">
        <v>26314</v>
      </c>
      <c r="K60" s="1300" t="n">
        <v>31218</v>
      </c>
      <c r="L60" s="1300" t="n">
        <v>34877</v>
      </c>
      <c r="M60" s="1300" t="n">
        <v>31904</v>
      </c>
      <c r="N60" s="1300" t="n">
        <v>34359</v>
      </c>
      <c r="O60" s="1301" t="n">
        <v>180388</v>
      </c>
      <c r="P60" s="88"/>
      <c r="Q60" s="88"/>
      <c r="R60" s="88"/>
      <c r="S60" s="88"/>
    </row>
    <row r="61">
      <c r="A61" s="78" t="s">
        <v>1319</v>
      </c>
      <c r="B61" s="78" t="n">
        <v>12001</v>
      </c>
      <c r="C61" s="78" t="s">
        <v>172</v>
      </c>
      <c r="D61" s="78" t="n">
        <v>0</v>
      </c>
      <c r="E61" s="78" t="n">
        <v>1297</v>
      </c>
      <c r="F61" s="78" t="n">
        <v>-10555</v>
      </c>
      <c r="G61" s="78" t="n">
        <v>-10586</v>
      </c>
      <c r="H61" s="78" t="n">
        <v>-11431</v>
      </c>
      <c r="I61" s="78" t="n">
        <v>-154</v>
      </c>
      <c r="J61" s="78" t="n">
        <v>132</v>
      </c>
      <c r="K61" s="78" t="n">
        <v>53</v>
      </c>
      <c r="L61" s="78" t="n">
        <v>6</v>
      </c>
      <c r="M61" s="78" t="n">
        <v>0</v>
      </c>
      <c r="N61" s="78" t="n">
        <v>-31275</v>
      </c>
      <c r="O61" s="78" t="n">
        <v>-31238</v>
      </c>
      <c r="P61" s="78"/>
      <c r="Q61" s="78"/>
      <c r="R61" s="78"/>
      <c r="S61" s="78"/>
    </row>
    <row r="62">
      <c r="A62" s="78" t="s">
        <v>1322</v>
      </c>
      <c r="B62" s="78" t="n">
        <v>13301</v>
      </c>
      <c r="C62" s="78" t="s">
        <v>172</v>
      </c>
      <c r="D62" s="78" t="n">
        <v>0</v>
      </c>
      <c r="E62" s="78" t="n">
        <v>-1887</v>
      </c>
      <c r="F62" s="78" t="n">
        <v>-1348</v>
      </c>
      <c r="G62" s="78" t="n">
        <v>-1324</v>
      </c>
      <c r="H62" s="78" t="n">
        <v>-1345</v>
      </c>
      <c r="I62" s="78" t="n">
        <v>-1327</v>
      </c>
      <c r="J62" s="78" t="n">
        <v>-1277</v>
      </c>
      <c r="K62" s="78" t="n">
        <v>-1301</v>
      </c>
      <c r="L62" s="78" t="n">
        <v>-1314</v>
      </c>
      <c r="M62" s="78" t="n">
        <v>-1327</v>
      </c>
      <c r="N62" s="78" t="n">
        <v>-5904</v>
      </c>
      <c r="O62" s="78" t="n">
        <v>-12451</v>
      </c>
      <c r="P62" s="78"/>
      <c r="Q62" s="78"/>
      <c r="R62" s="78"/>
      <c r="S62" s="78"/>
    </row>
    <row r="63">
      <c r="A63" s="78" t="s">
        <v>1323</v>
      </c>
      <c r="B63" s="78" t="n">
        <v>13302</v>
      </c>
      <c r="C63" s="78" t="s">
        <v>172</v>
      </c>
      <c r="D63" s="78" t="n">
        <v>0</v>
      </c>
      <c r="E63" s="78" t="n">
        <v>-459</v>
      </c>
      <c r="F63" s="78" t="n">
        <v>-1021</v>
      </c>
      <c r="G63" s="78" t="n">
        <v>-2692</v>
      </c>
      <c r="H63" s="78" t="n">
        <v>-2770</v>
      </c>
      <c r="I63" s="78" t="n">
        <v>-2850</v>
      </c>
      <c r="J63" s="78" t="n">
        <v>-2935</v>
      </c>
      <c r="K63" s="78" t="n">
        <v>-3019</v>
      </c>
      <c r="L63" s="78" t="n">
        <v>-3092</v>
      </c>
      <c r="M63" s="78" t="n">
        <v>-3185</v>
      </c>
      <c r="N63" s="78" t="n">
        <v>-6942</v>
      </c>
      <c r="O63" s="78" t="n">
        <v>-22022</v>
      </c>
      <c r="P63" s="78"/>
      <c r="Q63" s="78"/>
      <c r="R63" s="78"/>
      <c r="S63" s="78"/>
    </row>
    <row r="64">
      <c r="A64" s="78" t="s">
        <v>1325</v>
      </c>
      <c r="B64" s="78" t="s">
        <v>1326</v>
      </c>
      <c r="C64" s="78" t="s">
        <v>172</v>
      </c>
      <c r="D64" s="78" t="n">
        <v>0</v>
      </c>
      <c r="E64" s="78" t="n">
        <v>-511</v>
      </c>
      <c r="F64" s="78" t="n">
        <v>-852</v>
      </c>
      <c r="G64" s="78" t="n">
        <v>-1050</v>
      </c>
      <c r="H64" s="78" t="n">
        <v>-1275</v>
      </c>
      <c r="I64" s="78" t="n">
        <v>-1572</v>
      </c>
      <c r="J64" s="78" t="n">
        <v>-1862</v>
      </c>
      <c r="K64" s="78" t="n">
        <v>-2104</v>
      </c>
      <c r="L64" s="78" t="n">
        <v>-2364</v>
      </c>
      <c r="M64" s="78" t="n">
        <v>-2615</v>
      </c>
      <c r="N64" s="78" t="n">
        <v>-3689</v>
      </c>
      <c r="O64" s="78" t="n">
        <v>-14209</v>
      </c>
      <c r="P64" s="78"/>
      <c r="Q64" s="78"/>
      <c r="R64" s="78"/>
      <c r="S64" s="78"/>
    </row>
    <row r="67">
      <c r="D67" s="1302" t="n">
        <v>2022</v>
      </c>
      <c r="E67" s="1302" t="n">
        <v>2023</v>
      </c>
      <c r="F67" s="1302" t="n">
        <v>2024</v>
      </c>
      <c r="G67" s="1302" t="n">
        <v>2025</v>
      </c>
      <c r="H67" s="1302" t="n">
        <v>2026</v>
      </c>
      <c r="I67" s="1302" t="n">
        <v>2027</v>
      </c>
      <c r="J67" s="1302" t="n">
        <v>2028</v>
      </c>
      <c r="K67" s="1302" t="n">
        <v>2029</v>
      </c>
      <c r="L67" s="1302" t="n">
        <v>2030</v>
      </c>
      <c r="M67" s="1303" t="n">
        <v>2031</v>
      </c>
      <c r="N67" s="1282" t="s">
        <v>1268</v>
      </c>
      <c r="O67" s="1304" t="s">
        <v>1269</v>
      </c>
      <c r="P67" s="1282"/>
      <c r="Q67" s="1282"/>
      <c r="R67" s="1282"/>
      <c r="S67" s="1282"/>
    </row>
    <row r="68">
      <c r="C68" s="1324" t="s">
        <v>1327</v>
      </c>
      <c r="D68" s="1325"/>
      <c r="E68" s="1325"/>
      <c r="F68" s="1325"/>
      <c r="G68" s="1325"/>
      <c r="H68" s="1325"/>
      <c r="I68" s="1325"/>
      <c r="J68" s="1325"/>
      <c r="K68" s="1325"/>
      <c r="L68" s="1325"/>
      <c r="M68" s="1325"/>
      <c r="N68" s="1325"/>
      <c r="O68" s="1326"/>
      <c r="P68" s="1281"/>
      <c r="Q68" s="1281"/>
      <c r="R68" s="1281"/>
      <c r="S68" s="1281"/>
    </row>
    <row r="69">
      <c r="C69" s="85" t="s">
        <v>1288</v>
      </c>
      <c r="D69" s="78" t="n">
        <f t="shared" ref="D69:O69" si="0">SUM(D3:D8)</f>
        <v>0</v>
      </c>
      <c r="E69" s="78" t="n">
        <f t="shared" si="0"/>
        <v>3947</v>
      </c>
      <c r="F69" s="78" t="n">
        <f t="shared" si="0"/>
        <v>4202</v>
      </c>
      <c r="G69" s="78" t="n">
        <f t="shared" si="0"/>
        <v>6275</v>
      </c>
      <c r="H69" s="78" t="n">
        <f t="shared" si="0"/>
        <v>7956</v>
      </c>
      <c r="I69" s="78" t="n">
        <f t="shared" si="0"/>
        <v>9969</v>
      </c>
      <c r="J69" s="78" t="n">
        <f t="shared" si="0"/>
        <v>12081</v>
      </c>
      <c r="K69" s="78" t="n">
        <f t="shared" si="0"/>
        <v>14493</v>
      </c>
      <c r="L69" s="78" t="n">
        <f t="shared" si="0"/>
        <v>16921</v>
      </c>
      <c r="M69" s="78" t="n">
        <f t="shared" si="0"/>
        <v>17112</v>
      </c>
      <c r="N69" s="78" t="n">
        <f t="shared" si="0"/>
        <v>22380</v>
      </c>
      <c r="O69" s="78" t="n">
        <f t="shared" si="0"/>
        <v>92956</v>
      </c>
      <c r="P69" s="78"/>
      <c r="Q69" s="78"/>
      <c r="R69" s="78"/>
      <c r="S69" s="78"/>
    </row>
    <row r="70">
      <c r="C70" s="85" t="s">
        <v>1156</v>
      </c>
      <c r="D70" s="78" t="n">
        <f t="shared" ref="D70:O70" si="1">SUM(D9)</f>
        <v>0</v>
      </c>
      <c r="E70" s="78" t="n">
        <f t="shared" si="1"/>
        <v>65</v>
      </c>
      <c r="F70" s="78" t="n">
        <f t="shared" si="1"/>
        <v>150</v>
      </c>
      <c r="G70" s="78" t="n">
        <f t="shared" si="1"/>
        <v>290</v>
      </c>
      <c r="H70" s="78" t="n">
        <f t="shared" si="1"/>
        <v>290</v>
      </c>
      <c r="I70" s="78" t="n">
        <f t="shared" si="1"/>
        <v>290</v>
      </c>
      <c r="J70" s="78" t="n">
        <f t="shared" si="1"/>
        <v>285</v>
      </c>
      <c r="K70" s="78" t="n">
        <f t="shared" si="1"/>
        <v>250</v>
      </c>
      <c r="L70" s="78" t="n">
        <f t="shared" si="1"/>
        <v>220</v>
      </c>
      <c r="M70" s="78" t="n">
        <f t="shared" si="1"/>
        <v>160</v>
      </c>
      <c r="N70" s="85" t="n">
        <f t="shared" si="1"/>
        <v>795</v>
      </c>
      <c r="O70" s="287" t="n">
        <f t="shared" si="1"/>
        <v>2000</v>
      </c>
      <c r="P70" s="78"/>
      <c r="Q70" s="78"/>
      <c r="R70" s="78"/>
      <c r="S70" s="78"/>
    </row>
    <row r="71">
      <c r="C71" s="85" t="s">
        <v>143</v>
      </c>
      <c r="D71" s="78" t="n">
        <f t="shared" ref="D71:O71" si="2">SUM(D10:D11)</f>
        <v>0</v>
      </c>
      <c r="E71" s="78" t="n">
        <f t="shared" si="2"/>
        <v>110</v>
      </c>
      <c r="F71" s="78" t="n">
        <f t="shared" si="2"/>
        <v>739</v>
      </c>
      <c r="G71" s="78" t="n">
        <f t="shared" si="2"/>
        <v>1195</v>
      </c>
      <c r="H71" s="78" t="n">
        <f t="shared" si="2"/>
        <v>1497</v>
      </c>
      <c r="I71" s="78" t="n">
        <f t="shared" si="2"/>
        <v>1910</v>
      </c>
      <c r="J71" s="78" t="n">
        <f t="shared" si="2"/>
        <v>2405</v>
      </c>
      <c r="K71" s="78" t="n">
        <f t="shared" si="2"/>
        <v>2922</v>
      </c>
      <c r="L71" s="78" t="n">
        <f t="shared" si="2"/>
        <v>3463</v>
      </c>
      <c r="M71" s="78" t="n">
        <f t="shared" si="2"/>
        <v>4007</v>
      </c>
      <c r="N71" s="85" t="n">
        <f t="shared" si="2"/>
        <v>3541</v>
      </c>
      <c r="O71" s="287" t="n">
        <f t="shared" si="2"/>
        <v>18248</v>
      </c>
      <c r="P71" s="78"/>
      <c r="Q71" s="78"/>
      <c r="R71" s="78"/>
      <c r="S71" s="78"/>
    </row>
    <row r="72">
      <c r="C72" s="85" t="s">
        <v>144</v>
      </c>
      <c r="D72" s="78" t="n">
        <f t="shared" ref="D72:O72" si="3">SUM(D12:D25)</f>
        <v>0</v>
      </c>
      <c r="E72" s="78" t="n">
        <f t="shared" si="3"/>
        <v>-415</v>
      </c>
      <c r="F72" s="78" t="n">
        <f t="shared" si="3"/>
        <v>2768</v>
      </c>
      <c r="G72" s="78" t="n">
        <f t="shared" si="3"/>
        <v>-12473</v>
      </c>
      <c r="H72" s="78" t="n">
        <f t="shared" si="3"/>
        <v>-5374</v>
      </c>
      <c r="I72" s="78" t="n">
        <f t="shared" si="3"/>
        <v>-25515</v>
      </c>
      <c r="J72" s="78" t="n">
        <f t="shared" si="3"/>
        <v>-43975</v>
      </c>
      <c r="K72" s="78" t="n">
        <f t="shared" si="3"/>
        <v>-46426</v>
      </c>
      <c r="L72" s="78" t="n">
        <f t="shared" si="3"/>
        <v>-56228</v>
      </c>
      <c r="M72" s="78" t="n">
        <f t="shared" si="3"/>
        <v>-60581</v>
      </c>
      <c r="N72" s="85" t="n">
        <f t="shared" si="3"/>
        <v>-15494</v>
      </c>
      <c r="O72" s="287" t="n">
        <f t="shared" si="3"/>
        <v>-248219</v>
      </c>
      <c r="P72" s="78"/>
      <c r="Q72" s="78"/>
      <c r="R72" s="78"/>
      <c r="S72" s="78"/>
    </row>
    <row r="73">
      <c r="C73" s="85" t="s">
        <v>1290</v>
      </c>
      <c r="D73" s="78" t="n">
        <f t="shared" ref="D73:O73" si="4">SUM(D26:D31)</f>
        <v>-622</v>
      </c>
      <c r="E73" s="78" t="n">
        <f t="shared" si="4"/>
        <v>21096</v>
      </c>
      <c r="F73" s="78" t="n">
        <f t="shared" si="4"/>
        <v>12256</v>
      </c>
      <c r="G73" s="78" t="n">
        <f t="shared" si="4"/>
        <v>11149</v>
      </c>
      <c r="H73" s="78" t="n">
        <f t="shared" si="4"/>
        <v>-6525</v>
      </c>
      <c r="I73" s="78" t="n">
        <f t="shared" si="4"/>
        <v>2029</v>
      </c>
      <c r="J73" s="78" t="n">
        <f t="shared" si="4"/>
        <v>2582</v>
      </c>
      <c r="K73" s="78" t="n">
        <f t="shared" si="4"/>
        <v>2236</v>
      </c>
      <c r="L73" s="78" t="n">
        <f t="shared" si="4"/>
        <v>1411</v>
      </c>
      <c r="M73" s="78" t="n">
        <f t="shared" si="4"/>
        <v>772</v>
      </c>
      <c r="N73" s="85" t="n">
        <f t="shared" si="4"/>
        <v>37354</v>
      </c>
      <c r="O73" s="287" t="n">
        <f t="shared" si="4"/>
        <v>46384</v>
      </c>
      <c r="P73" s="78"/>
      <c r="Q73" s="78"/>
      <c r="R73" s="78"/>
      <c r="S73" s="78"/>
    </row>
    <row r="74">
      <c r="C74" s="85" t="s">
        <v>1293</v>
      </c>
      <c r="D74" s="78" t="n">
        <f t="shared" ref="D74:O74" si="5">SUM(D32:D40)</f>
        <v>0</v>
      </c>
      <c r="E74" s="78" t="n">
        <f t="shared" si="5"/>
        <v>1216</v>
      </c>
      <c r="F74" s="78" t="n">
        <f t="shared" si="5"/>
        <v>3498</v>
      </c>
      <c r="G74" s="78" t="n">
        <f t="shared" si="5"/>
        <v>5088</v>
      </c>
      <c r="H74" s="78" t="n">
        <f t="shared" si="5"/>
        <v>6663</v>
      </c>
      <c r="I74" s="78" t="n">
        <f t="shared" si="5"/>
        <v>7992</v>
      </c>
      <c r="J74" s="78" t="n">
        <f t="shared" si="5"/>
        <v>8297</v>
      </c>
      <c r="K74" s="78" t="n">
        <f t="shared" si="5"/>
        <v>8309</v>
      </c>
      <c r="L74" s="78" t="n">
        <f t="shared" si="5"/>
        <v>7568</v>
      </c>
      <c r="M74" s="78" t="n">
        <f t="shared" si="5"/>
        <v>6524</v>
      </c>
      <c r="N74" s="302" t="n">
        <f t="shared" si="5"/>
        <v>16463</v>
      </c>
      <c r="O74" s="288" t="n">
        <f t="shared" si="5"/>
        <v>55153</v>
      </c>
      <c r="P74" s="78"/>
      <c r="Q74" s="78"/>
      <c r="R74" s="78"/>
      <c r="S74" s="78"/>
    </row>
    <row r="75">
      <c r="C75" s="1324" t="s">
        <v>1328</v>
      </c>
      <c r="D75" s="1325"/>
      <c r="E75" s="1325"/>
      <c r="F75" s="1325"/>
      <c r="G75" s="1325"/>
      <c r="H75" s="1325"/>
      <c r="I75" s="1325"/>
      <c r="J75" s="1325"/>
      <c r="K75" s="1325"/>
      <c r="L75" s="1325"/>
      <c r="M75" s="1325"/>
      <c r="N75" s="1325"/>
      <c r="O75" s="1326"/>
      <c r="P75" s="1281"/>
      <c r="Q75" s="1281"/>
      <c r="R75" s="1281"/>
      <c r="S75" s="1281"/>
    </row>
    <row r="76">
      <c r="C76" s="85" t="s">
        <v>296</v>
      </c>
      <c r="D76" s="78" t="n">
        <v>0</v>
      </c>
      <c r="E76" s="78" t="n">
        <v>596</v>
      </c>
      <c r="F76" s="78" t="n">
        <v>1406</v>
      </c>
      <c r="G76" s="78" t="n">
        <v>1885</v>
      </c>
      <c r="H76" s="78" t="n">
        <v>2113</v>
      </c>
      <c r="I76" s="78" t="n">
        <v>2058</v>
      </c>
      <c r="J76" s="78" t="n">
        <v>1745</v>
      </c>
      <c r="K76" s="78" t="n">
        <v>1369</v>
      </c>
      <c r="L76" s="78" t="n">
        <v>970</v>
      </c>
      <c r="M76" s="78" t="n">
        <v>369</v>
      </c>
      <c r="N76" s="308" t="n">
        <v>6000</v>
      </c>
      <c r="O76" s="307" t="n">
        <v>12511</v>
      </c>
      <c r="P76" s="78"/>
      <c r="Q76" s="78"/>
      <c r="R76" s="78"/>
      <c r="S76" s="78"/>
    </row>
    <row r="77">
      <c r="C77" s="85" t="s">
        <v>92</v>
      </c>
      <c r="D77" s="78" t="n">
        <v>0</v>
      </c>
      <c r="E77" s="78" t="n">
        <v>754</v>
      </c>
      <c r="F77" s="78" t="n">
        <v>2328</v>
      </c>
      <c r="G77" s="78" t="n">
        <v>3782</v>
      </c>
      <c r="H77" s="78" t="n">
        <v>5158</v>
      </c>
      <c r="I77" s="78" t="n">
        <v>4539</v>
      </c>
      <c r="J77" s="78" t="n">
        <v>3010</v>
      </c>
      <c r="K77" s="78" t="n">
        <v>1730</v>
      </c>
      <c r="L77" s="78" t="n">
        <v>790</v>
      </c>
      <c r="M77" s="78" t="n">
        <v>244</v>
      </c>
      <c r="N77" s="85" t="n">
        <v>12022</v>
      </c>
      <c r="O77" s="287" t="n">
        <v>22335</v>
      </c>
      <c r="P77" s="78"/>
      <c r="Q77" s="78"/>
      <c r="R77" s="78"/>
      <c r="S77" s="78"/>
    </row>
    <row r="78">
      <c r="C78" s="85" t="s">
        <v>125</v>
      </c>
      <c r="D78" s="78" t="n">
        <v>0</v>
      </c>
      <c r="E78" s="78" t="n">
        <v>68</v>
      </c>
      <c r="F78" s="78" t="n">
        <v>1363</v>
      </c>
      <c r="G78" s="78" t="n">
        <v>2433</v>
      </c>
      <c r="H78" s="78" t="n">
        <v>2803</v>
      </c>
      <c r="I78" s="78" t="n">
        <v>1741</v>
      </c>
      <c r="J78" s="78" t="n">
        <v>570</v>
      </c>
      <c r="K78" s="78" t="n">
        <v>35</v>
      </c>
      <c r="L78" s="78" t="n">
        <v>0</v>
      </c>
      <c r="M78" s="78" t="n">
        <v>0</v>
      </c>
      <c r="N78" s="85" t="n">
        <v>6667</v>
      </c>
      <c r="O78" s="287" t="n">
        <v>9013</v>
      </c>
      <c r="P78" s="78"/>
      <c r="Q78" s="78"/>
      <c r="R78" s="78"/>
      <c r="S78" s="78"/>
    </row>
    <row r="79">
      <c r="C79" s="85" t="s">
        <v>43</v>
      </c>
      <c r="D79" s="78" t="n">
        <v>0</v>
      </c>
      <c r="E79" s="78" t="n">
        <v>81</v>
      </c>
      <c r="F79" s="78" t="n">
        <v>350</v>
      </c>
      <c r="G79" s="78" t="n">
        <v>1354</v>
      </c>
      <c r="H79" s="78" t="n">
        <v>2869</v>
      </c>
      <c r="I79" s="78" t="n">
        <v>3890</v>
      </c>
      <c r="J79" s="78" t="n">
        <v>3430</v>
      </c>
      <c r="K79" s="78" t="n">
        <v>2260</v>
      </c>
      <c r="L79" s="78" t="n">
        <v>1320</v>
      </c>
      <c r="M79" s="78" t="n">
        <v>665</v>
      </c>
      <c r="N79" s="85" t="n">
        <v>4654</v>
      </c>
      <c r="O79" s="287" t="n">
        <v>16219</v>
      </c>
      <c r="P79" s="78"/>
      <c r="Q79" s="78"/>
      <c r="R79" s="78"/>
      <c r="S79" s="78"/>
    </row>
    <row r="80">
      <c r="C80" s="85" t="s">
        <v>48</v>
      </c>
      <c r="D80" s="78" t="n">
        <v>0</v>
      </c>
      <c r="E80" s="78" t="n">
        <v>794</v>
      </c>
      <c r="F80" s="78" t="n">
        <v>3183</v>
      </c>
      <c r="G80" s="78" t="n">
        <v>5818</v>
      </c>
      <c r="H80" s="78" t="n">
        <v>7253</v>
      </c>
      <c r="I80" s="78" t="n">
        <v>5628</v>
      </c>
      <c r="J80" s="78" t="n">
        <v>1977</v>
      </c>
      <c r="K80" s="78" t="n">
        <v>229</v>
      </c>
      <c r="L80" s="78" t="n">
        <v>33</v>
      </c>
      <c r="M80" s="78" t="n">
        <v>1</v>
      </c>
      <c r="N80" s="85" t="n">
        <v>17048</v>
      </c>
      <c r="O80" s="287" t="n">
        <v>24916</v>
      </c>
      <c r="P80" s="78"/>
      <c r="Q80" s="78"/>
      <c r="R80" s="78"/>
      <c r="S80" s="78"/>
    </row>
    <row r="81">
      <c r="C81" s="85"/>
      <c r="N81" s="302"/>
      <c r="O81" s="288"/>
      <c r="P81" s="78"/>
      <c r="Q81" s="78"/>
      <c r="R81" s="78"/>
      <c r="S81" s="78"/>
    </row>
    <row r="82">
      <c r="C82" s="1324" t="s">
        <v>1297</v>
      </c>
      <c r="D82" s="1325"/>
      <c r="E82" s="1325"/>
      <c r="F82" s="1325"/>
      <c r="G82" s="1325"/>
      <c r="H82" s="1325"/>
      <c r="I82" s="1325"/>
      <c r="J82" s="1325"/>
      <c r="K82" s="1325"/>
      <c r="L82" s="1325"/>
      <c r="M82" s="1325"/>
      <c r="N82" s="1325"/>
      <c r="O82" s="1326"/>
      <c r="P82" s="1281"/>
      <c r="Q82" s="1281"/>
      <c r="R82" s="1281"/>
      <c r="S82" s="1281"/>
    </row>
    <row r="83">
      <c r="C83" s="85" t="s">
        <v>1299</v>
      </c>
      <c r="D83" s="78" t="n">
        <f t="shared" ref="D83:O83" si="6">SUM(D43:D57)</f>
        <v>0</v>
      </c>
      <c r="E83" s="78" t="n">
        <f t="shared" si="6"/>
        <v>35317</v>
      </c>
      <c r="F83" s="78" t="n">
        <f t="shared" si="6"/>
        <v>36033</v>
      </c>
      <c r="G83" s="78" t="n">
        <f t="shared" si="6"/>
        <v>21076</v>
      </c>
      <c r="H83" s="78" t="n">
        <f t="shared" si="6"/>
        <v>13346</v>
      </c>
      <c r="I83" s="78" t="n">
        <f t="shared" si="6"/>
        <v>27508</v>
      </c>
      <c r="J83" s="78" t="n">
        <f t="shared" si="6"/>
        <v>35850</v>
      </c>
      <c r="K83" s="78" t="n">
        <f t="shared" si="6"/>
        <v>18640</v>
      </c>
      <c r="L83" s="78" t="n">
        <f t="shared" si="6"/>
        <v>8394</v>
      </c>
      <c r="M83" s="78" t="n">
        <f t="shared" si="6"/>
        <v>7982</v>
      </c>
      <c r="N83" s="78" t="n">
        <f t="shared" si="6"/>
        <v>105769</v>
      </c>
      <c r="O83" s="78" t="n">
        <f t="shared" si="6"/>
        <v>204144</v>
      </c>
      <c r="P83" s="78"/>
      <c r="Q83" s="78"/>
      <c r="R83" s="78"/>
      <c r="S83" s="78"/>
    </row>
    <row r="84">
      <c r="C84" s="85" t="s">
        <v>394</v>
      </c>
      <c r="D84" s="78" t="n">
        <f>SUM(D58:D59)</f>
        <v>0</v>
      </c>
      <c r="E84" s="78" t="n">
        <f t="shared" ref="E84:O84" si="7">SUM(E58:E59)</f>
        <v>-3155</v>
      </c>
      <c r="F84" s="78" t="n">
        <f t="shared" si="7"/>
        <v>-2231</v>
      </c>
      <c r="G84" s="78" t="n">
        <f t="shared" si="7"/>
        <v>-1608</v>
      </c>
      <c r="H84" s="78" t="n">
        <f t="shared" si="7"/>
        <v>-770</v>
      </c>
      <c r="I84" s="78" t="n">
        <f t="shared" si="7"/>
        <v>-983</v>
      </c>
      <c r="J84" s="78" t="n">
        <f t="shared" si="7"/>
        <v>-1211</v>
      </c>
      <c r="K84" s="78" t="n">
        <f t="shared" si="7"/>
        <v>-1471</v>
      </c>
      <c r="L84" s="78" t="n">
        <f t="shared" si="7"/>
        <v>-1810</v>
      </c>
      <c r="M84" s="78" t="n">
        <f t="shared" si="7"/>
        <v>-2325</v>
      </c>
      <c r="N84" s="78" t="n">
        <f t="shared" si="7"/>
        <v>-7767</v>
      </c>
      <c r="O84" s="78" t="n">
        <f t="shared" si="7"/>
        <v>-15566</v>
      </c>
      <c r="P84" s="78"/>
      <c r="Q84" s="78"/>
      <c r="R84" s="78"/>
      <c r="S84" s="78"/>
    </row>
    <row r="85">
      <c r="C85" s="85" t="s">
        <v>172</v>
      </c>
      <c r="D85" s="78" t="n">
        <f>SUM(D60:D64)</f>
        <v>0</v>
      </c>
      <c r="E85" s="78" t="n">
        <f t="shared" ref="E85:O85" si="8">SUM(E60:E64)</f>
        <v>452</v>
      </c>
      <c r="F85" s="78" t="n">
        <f t="shared" si="8"/>
        <v>-8670</v>
      </c>
      <c r="G85" s="78" t="n">
        <f t="shared" si="8"/>
        <v>-4527</v>
      </c>
      <c r="H85" s="78" t="n">
        <f t="shared" si="8"/>
        <v>-705</v>
      </c>
      <c r="I85" s="78" t="n">
        <f t="shared" si="8"/>
        <v>15813</v>
      </c>
      <c r="J85" s="78" t="n">
        <f t="shared" si="8"/>
        <v>20372</v>
      </c>
      <c r="K85" s="78" t="n">
        <f t="shared" si="8"/>
        <v>24847</v>
      </c>
      <c r="L85" s="78" t="n">
        <f t="shared" si="8"/>
        <v>28113</v>
      </c>
      <c r="M85" s="78" t="n">
        <f t="shared" si="8"/>
        <v>24777</v>
      </c>
      <c r="N85" s="78" t="n">
        <f t="shared" si="8"/>
        <v>-13451</v>
      </c>
      <c r="O85" s="78" t="n">
        <f t="shared" si="8"/>
        <v>100468</v>
      </c>
      <c r="P85" s="78"/>
      <c r="Q85" s="78"/>
      <c r="R85" s="78"/>
      <c r="S85" s="78"/>
    </row>
    <row r="87">
      <c r="A87" s="191" t="s">
        <v>1279</v>
      </c>
    </row>
    <row r="88">
      <c r="A88" s="1217" t="s">
        <v>1086</v>
      </c>
      <c r="B88" s="1218" t="s">
        <v>1087</v>
      </c>
      <c r="C88" s="1219" t="n">
        <v>2022</v>
      </c>
      <c r="D88" s="1219" t="n">
        <v>2023</v>
      </c>
      <c r="E88" s="1219" t="n">
        <v>2024</v>
      </c>
      <c r="F88" s="1219" t="n">
        <v>2025</v>
      </c>
      <c r="G88" s="1219" t="n">
        <v>2026</v>
      </c>
      <c r="H88" s="1219" t="n">
        <v>2027</v>
      </c>
      <c r="I88" s="1219" t="n">
        <v>2028</v>
      </c>
      <c r="J88" s="1219" t="n">
        <v>2029</v>
      </c>
      <c r="K88" s="1219" t="n">
        <v>2030</v>
      </c>
      <c r="L88" s="1219" t="n">
        <v>2031</v>
      </c>
      <c r="M88" s="1220" t="s">
        <v>1088</v>
      </c>
      <c r="N88" s="1220" t="s">
        <v>1089</v>
      </c>
      <c r="O88" s="1221" t="s">
        <v>1090</v>
      </c>
      <c r="P88" s="1221"/>
      <c r="Q88" s="1221"/>
      <c r="R88" s="1221"/>
      <c r="S88" s="1221"/>
      <c r="T88" s="1222" t="s">
        <v>1091</v>
      </c>
    </row>
    <row r="89">
      <c r="A89" s="1223" t="s">
        <v>1092</v>
      </c>
      <c r="B89" s="1224" t="s">
        <v>1093</v>
      </c>
      <c r="C89" s="1225" t="n">
        <v>0</v>
      </c>
      <c r="D89" s="1225" t="n">
        <v>3</v>
      </c>
      <c r="E89" s="1225" t="n">
        <v>3</v>
      </c>
      <c r="F89" s="1225" t="n">
        <v>3</v>
      </c>
      <c r="G89" s="1225" t="n">
        <v>3</v>
      </c>
      <c r="H89" s="1225" t="n">
        <v>1</v>
      </c>
      <c r="I89" s="1225" t="n">
        <v>0</v>
      </c>
      <c r="J89" s="1225" t="n">
        <v>0</v>
      </c>
      <c r="K89" s="1225" t="n">
        <v>0</v>
      </c>
      <c r="L89" s="1225" t="n">
        <v>0</v>
      </c>
      <c r="M89" s="1225" t="n">
        <v>12</v>
      </c>
      <c r="N89" s="1225" t="n">
        <v>13</v>
      </c>
      <c r="O89" s="1226" t="s">
        <v>1094</v>
      </c>
      <c r="P89" s="1226"/>
      <c r="Q89" s="1226"/>
      <c r="R89" s="1226"/>
      <c r="S89" s="1226"/>
      <c r="T89" s="1227"/>
    </row>
    <row r="90" ht="24" customHeight="1">
      <c r="A90" s="1223" t="s">
        <v>1095</v>
      </c>
      <c r="B90" s="1224" t="s">
        <v>1096</v>
      </c>
      <c r="C90" s="1225" t="n">
        <v>0</v>
      </c>
      <c r="D90" s="1225" t="n">
        <v>65</v>
      </c>
      <c r="E90" s="1225" t="n">
        <v>1360</v>
      </c>
      <c r="F90" s="1225" t="n">
        <v>2430</v>
      </c>
      <c r="G90" s="1225" t="n">
        <v>2800</v>
      </c>
      <c r="H90" s="1225" t="n">
        <v>1740</v>
      </c>
      <c r="I90" s="1225" t="n">
        <v>570</v>
      </c>
      <c r="J90" s="1225" t="n">
        <v>35</v>
      </c>
      <c r="K90" s="1225" t="n">
        <v>0</v>
      </c>
      <c r="L90" s="1225" t="n">
        <v>0</v>
      </c>
      <c r="M90" s="1225" t="n">
        <v>6655</v>
      </c>
      <c r="N90" s="1225" t="n">
        <v>9000</v>
      </c>
      <c r="O90" s="1226" t="s">
        <v>1094</v>
      </c>
      <c r="P90" s="1226"/>
      <c r="Q90" s="1226"/>
      <c r="R90" s="1226"/>
      <c r="S90" s="1226"/>
      <c r="T90" s="1228"/>
    </row>
    <row r="91">
      <c r="A91" s="1229" t="s">
        <v>1097</v>
      </c>
      <c r="B91" s="1230" t="s">
        <v>1098</v>
      </c>
      <c r="C91" s="1231" t="n">
        <v>0</v>
      </c>
      <c r="D91" s="1231" t="n">
        <v>0</v>
      </c>
      <c r="E91" s="1231" t="n">
        <v>601</v>
      </c>
      <c r="F91" s="1232" t="n">
        <v>1038</v>
      </c>
      <c r="G91" s="1232" t="n">
        <v>1251</v>
      </c>
      <c r="H91" s="1232" t="n">
        <v>1431</v>
      </c>
      <c r="I91" s="1232" t="n">
        <v>1492</v>
      </c>
      <c r="J91" s="1232" t="n">
        <v>1530</v>
      </c>
      <c r="K91" s="1232" t="n">
        <v>1567</v>
      </c>
      <c r="L91" s="1232" t="n">
        <v>1606</v>
      </c>
      <c r="M91" s="1232" t="n">
        <v>2890</v>
      </c>
      <c r="N91" s="1232" t="n">
        <v>10516</v>
      </c>
      <c r="O91" s="1233" t="s">
        <v>1099</v>
      </c>
      <c r="P91" s="1233"/>
      <c r="Q91" s="1233"/>
      <c r="R91" s="1233"/>
      <c r="S91" s="1233"/>
      <c r="T91" s="1234"/>
    </row>
    <row r="92">
      <c r="A92" s="1235" t="s">
        <v>1100</v>
      </c>
      <c r="B92" s="1236" t="s">
        <v>1101</v>
      </c>
      <c r="C92" s="1302" t="n">
        <v>0</v>
      </c>
      <c r="D92" s="1302" t="n">
        <v>30</v>
      </c>
      <c r="E92" s="1302" t="n">
        <v>120</v>
      </c>
      <c r="F92" s="1302" t="n">
        <v>165</v>
      </c>
      <c r="G92" s="1302" t="n">
        <v>370</v>
      </c>
      <c r="H92" s="1302" t="n">
        <v>470</v>
      </c>
      <c r="I92" s="1302" t="n">
        <v>420</v>
      </c>
      <c r="J92" s="1302" t="n">
        <v>285</v>
      </c>
      <c r="K92" s="1302" t="n">
        <v>220</v>
      </c>
      <c r="L92" s="1303" t="n">
        <v>65</v>
      </c>
      <c r="M92" s="1302" t="n">
        <v>685</v>
      </c>
      <c r="N92" s="1237" t="n">
        <v>2145</v>
      </c>
      <c r="O92" s="1238" t="s">
        <v>1102</v>
      </c>
      <c r="P92" s="1283"/>
      <c r="Q92" s="1283"/>
      <c r="R92" s="1283"/>
      <c r="S92" s="1283"/>
      <c r="T92" s="1239" t="s">
        <v>1103</v>
      </c>
    </row>
    <row r="93">
      <c r="A93" s="1223" t="s">
        <v>1104</v>
      </c>
      <c r="B93" s="1224" t="s">
        <v>1105</v>
      </c>
      <c r="C93" s="1225" t="n">
        <v>0</v>
      </c>
      <c r="D93" s="1225" t="n">
        <v>2</v>
      </c>
      <c r="E93" s="1225" t="n">
        <v>10</v>
      </c>
      <c r="F93" s="1225" t="n">
        <v>25</v>
      </c>
      <c r="G93" s="1225" t="n">
        <v>28</v>
      </c>
      <c r="H93" s="1225" t="n">
        <v>17</v>
      </c>
      <c r="I93" s="1225" t="n">
        <v>11</v>
      </c>
      <c r="J93" s="1225" t="n">
        <v>4</v>
      </c>
      <c r="K93" s="1225" t="n">
        <v>2</v>
      </c>
      <c r="L93" s="1225" t="n">
        <v>1</v>
      </c>
      <c r="M93" s="1225" t="n">
        <v>65</v>
      </c>
      <c r="N93" s="1225" t="n">
        <v>100</v>
      </c>
      <c r="O93" s="1226" t="s">
        <v>1102</v>
      </c>
      <c r="P93" s="1226"/>
      <c r="Q93" s="1226"/>
      <c r="R93" s="1226"/>
      <c r="S93" s="1226"/>
      <c r="T93" s="1227" t="s">
        <v>1106</v>
      </c>
    </row>
    <row r="94" ht="24" customHeight="1">
      <c r="A94" s="1240" t="s">
        <v>1107</v>
      </c>
      <c r="B94" s="1241" t="s">
        <v>1108</v>
      </c>
      <c r="C94" s="1225" t="n">
        <v>0</v>
      </c>
      <c r="D94" s="1225" t="n">
        <v>36</v>
      </c>
      <c r="E94" s="1225" t="n">
        <v>30</v>
      </c>
      <c r="F94" s="1225" t="n">
        <v>14</v>
      </c>
      <c r="G94" s="1225" t="n">
        <v>7</v>
      </c>
      <c r="H94" s="1225" t="n">
        <v>0</v>
      </c>
      <c r="I94" s="1225" t="n">
        <v>0</v>
      </c>
      <c r="J94" s="1225" t="n">
        <v>0</v>
      </c>
      <c r="K94" s="1225" t="n">
        <v>0</v>
      </c>
      <c r="L94" s="1225" t="n">
        <v>0</v>
      </c>
      <c r="M94" s="1225" t="n">
        <v>87</v>
      </c>
      <c r="N94" s="1225" t="n">
        <v>87</v>
      </c>
      <c r="O94" s="1226" t="s">
        <v>1102</v>
      </c>
      <c r="P94" s="1226"/>
      <c r="Q94" s="1226"/>
      <c r="R94" s="1226"/>
      <c r="S94" s="1226"/>
      <c r="T94" s="1227" t="s">
        <v>1109</v>
      </c>
    </row>
    <row r="95">
      <c r="A95" s="1223" t="s">
        <v>1110</v>
      </c>
      <c r="B95" s="1224" t="s">
        <v>1111</v>
      </c>
      <c r="C95" s="1225" t="n">
        <v>0</v>
      </c>
      <c r="D95" s="1242" t="n">
        <v>5240</v>
      </c>
      <c r="E95" s="1242" t="n">
        <v>4175</v>
      </c>
      <c r="F95" s="1242" t="n">
        <v>5215</v>
      </c>
      <c r="G95" s="1242" t="n">
        <v>6493</v>
      </c>
      <c r="H95" s="1242" t="n">
        <v>7982</v>
      </c>
      <c r="I95" s="1242" t="n">
        <v>9820</v>
      </c>
      <c r="J95" s="1242" t="n">
        <v>11813</v>
      </c>
      <c r="K95" s="1242" t="n">
        <v>14269</v>
      </c>
      <c r="L95" s="1242" t="n">
        <v>14605</v>
      </c>
      <c r="M95" s="1242" t="n">
        <v>21123</v>
      </c>
      <c r="N95" s="1242" t="n">
        <v>79612</v>
      </c>
      <c r="O95" s="1243" t="s">
        <v>1102</v>
      </c>
      <c r="P95" s="1243"/>
      <c r="Q95" s="1243"/>
      <c r="R95" s="1243"/>
      <c r="S95" s="1243"/>
      <c r="T95" s="1227"/>
    </row>
    <row r="96">
      <c r="A96" s="1223" t="s">
        <v>1112</v>
      </c>
      <c r="B96" s="1224" t="s">
        <v>1113</v>
      </c>
      <c r="C96" s="1244" t="n">
        <v>0</v>
      </c>
      <c r="D96" s="1244" t="n">
        <v>55</v>
      </c>
      <c r="E96" s="1244" t="n">
        <v>55</v>
      </c>
      <c r="F96" s="1244" t="n">
        <v>55</v>
      </c>
      <c r="G96" s="1244" t="n">
        <v>55</v>
      </c>
      <c r="H96" s="1244" t="n">
        <v>55</v>
      </c>
      <c r="I96" s="1244" t="n">
        <v>55</v>
      </c>
      <c r="J96" s="1244" t="n">
        <v>55</v>
      </c>
      <c r="K96" s="1244" t="n">
        <v>55</v>
      </c>
      <c r="L96" s="1244" t="n">
        <v>55</v>
      </c>
      <c r="M96" s="1244" t="n">
        <v>220</v>
      </c>
      <c r="N96" s="1244" t="n">
        <v>495</v>
      </c>
      <c r="O96" s="1245" t="s">
        <v>1102</v>
      </c>
      <c r="P96" s="1245"/>
      <c r="Q96" s="1245"/>
      <c r="R96" s="1245"/>
      <c r="S96" s="1245"/>
      <c r="T96" s="1228"/>
    </row>
    <row r="97">
      <c r="A97" s="1223" t="s">
        <v>1114</v>
      </c>
      <c r="B97" s="1224" t="s">
        <v>1115</v>
      </c>
      <c r="C97" s="1225" t="n">
        <v>0</v>
      </c>
      <c r="D97" s="1225" t="n">
        <v>19</v>
      </c>
      <c r="E97" s="1225" t="n">
        <v>26</v>
      </c>
      <c r="F97" s="1225" t="n">
        <v>27</v>
      </c>
      <c r="G97" s="1225" t="n">
        <v>17</v>
      </c>
      <c r="H97" s="1225" t="n">
        <v>7</v>
      </c>
      <c r="I97" s="1225" t="n">
        <v>3</v>
      </c>
      <c r="J97" s="1225" t="n">
        <v>1</v>
      </c>
      <c r="K97" s="1225" t="n">
        <v>0</v>
      </c>
      <c r="L97" s="1225" t="n">
        <v>0</v>
      </c>
      <c r="M97" s="1225" t="n">
        <v>89</v>
      </c>
      <c r="N97" s="1225" t="n">
        <v>100</v>
      </c>
      <c r="O97" s="1243" t="s">
        <v>1102</v>
      </c>
      <c r="P97" s="1243"/>
      <c r="Q97" s="1243"/>
      <c r="R97" s="1243"/>
      <c r="S97" s="1243"/>
      <c r="T97" s="1228"/>
    </row>
    <row r="98">
      <c r="A98" s="1223" t="s">
        <v>1116</v>
      </c>
      <c r="B98" s="1224" t="s">
        <v>1117</v>
      </c>
      <c r="C98" s="1225" t="n">
        <v>0</v>
      </c>
      <c r="D98" s="1225" t="n">
        <v>15</v>
      </c>
      <c r="E98" s="1225" t="n">
        <v>15</v>
      </c>
      <c r="F98" s="1225" t="n">
        <v>15</v>
      </c>
      <c r="G98" s="1225" t="n">
        <v>10</v>
      </c>
      <c r="H98" s="1225" t="n">
        <v>10</v>
      </c>
      <c r="I98" s="1225" t="n">
        <v>10</v>
      </c>
      <c r="J98" s="1225" t="n">
        <v>10</v>
      </c>
      <c r="K98" s="1225" t="n">
        <v>10</v>
      </c>
      <c r="L98" s="1225" t="n">
        <v>5</v>
      </c>
      <c r="M98" s="1225" t="n">
        <v>55</v>
      </c>
      <c r="N98" s="1225" t="n">
        <v>100</v>
      </c>
      <c r="O98" s="1226" t="s">
        <v>1102</v>
      </c>
      <c r="P98" s="1226"/>
      <c r="Q98" s="1226"/>
      <c r="R98" s="1226"/>
      <c r="S98" s="1226"/>
      <c r="T98" s="1228"/>
    </row>
    <row r="99" ht="36" customHeight="1">
      <c r="A99" s="1223" t="s">
        <v>1118</v>
      </c>
      <c r="B99" s="1224" t="s">
        <v>1119</v>
      </c>
      <c r="C99" s="1246" t="n">
        <v>0</v>
      </c>
      <c r="D99" s="1246" t="n">
        <v>22</v>
      </c>
      <c r="E99" s="1246" t="n">
        <v>96</v>
      </c>
      <c r="F99" s="1246" t="n">
        <v>170</v>
      </c>
      <c r="G99" s="1246" t="n">
        <v>213</v>
      </c>
      <c r="H99" s="1246" t="n">
        <v>160</v>
      </c>
      <c r="I99" s="1246" t="n">
        <v>47</v>
      </c>
      <c r="J99" s="1246" t="n">
        <v>2</v>
      </c>
      <c r="K99" s="1246" t="n">
        <v>0</v>
      </c>
      <c r="L99" s="1246" t="n">
        <v>0</v>
      </c>
      <c r="M99" s="1246" t="n">
        <v>501</v>
      </c>
      <c r="N99" s="1246" t="n">
        <v>710</v>
      </c>
      <c r="O99" s="1225" t="s">
        <v>1102</v>
      </c>
      <c r="P99" s="1225"/>
      <c r="Q99" s="1225"/>
      <c r="R99" s="1225"/>
      <c r="S99" s="1225"/>
      <c r="T99" s="1228"/>
    </row>
    <row r="100" ht="36" customHeight="1">
      <c r="A100" s="1223" t="s">
        <v>1120</v>
      </c>
      <c r="B100" s="1224" t="s">
        <v>1121</v>
      </c>
      <c r="C100" s="1247"/>
      <c r="D100" s="1247" t="n">
        <v>90</v>
      </c>
      <c r="E100" s="1247" t="n">
        <v>260</v>
      </c>
      <c r="F100" s="1247" t="n">
        <v>427</v>
      </c>
      <c r="G100" s="1247" t="n">
        <v>560</v>
      </c>
      <c r="H100" s="1247" t="n">
        <v>572</v>
      </c>
      <c r="I100" s="1247" t="n">
        <v>534</v>
      </c>
      <c r="J100" s="1247" t="n">
        <v>275</v>
      </c>
      <c r="K100" s="1247" t="n">
        <v>162</v>
      </c>
      <c r="L100" s="1247" t="n">
        <v>70</v>
      </c>
      <c r="M100" s="1247" t="n">
        <v>1347</v>
      </c>
      <c r="N100" s="1247" t="n">
        <v>2960</v>
      </c>
      <c r="O100" s="1248" t="s">
        <v>1102</v>
      </c>
      <c r="P100" s="1248"/>
      <c r="Q100" s="1248"/>
      <c r="R100" s="1248"/>
      <c r="S100" s="1248"/>
      <c r="T100" s="1228"/>
    </row>
    <row r="101">
      <c r="A101" s="1223" t="s">
        <v>1122</v>
      </c>
      <c r="B101" s="1224" t="s">
        <v>1123</v>
      </c>
      <c r="C101" s="1225" t="n">
        <v>0</v>
      </c>
      <c r="D101" s="1225" t="n">
        <v>40</v>
      </c>
      <c r="E101" s="1225" t="n">
        <v>60</v>
      </c>
      <c r="F101" s="1225" t="n">
        <v>52</v>
      </c>
      <c r="G101" s="1225" t="n">
        <v>40</v>
      </c>
      <c r="H101" s="1225" t="n">
        <v>27</v>
      </c>
      <c r="I101" s="1225" t="n">
        <v>19</v>
      </c>
      <c r="J101" s="1225" t="n">
        <v>10</v>
      </c>
      <c r="K101" s="1225" t="n">
        <v>2</v>
      </c>
      <c r="L101" s="1225" t="n">
        <v>0</v>
      </c>
      <c r="M101" s="1225" t="n">
        <v>192</v>
      </c>
      <c r="N101" s="1225" t="n">
        <v>250</v>
      </c>
      <c r="O101" s="1226" t="s">
        <v>1102</v>
      </c>
      <c r="P101" s="1226"/>
      <c r="Q101" s="1226"/>
      <c r="R101" s="1226"/>
      <c r="S101" s="1226"/>
      <c r="T101" s="1228"/>
    </row>
    <row r="102">
      <c r="A102" s="1240" t="s">
        <v>1124</v>
      </c>
      <c r="B102" s="1241" t="s">
        <v>1125</v>
      </c>
      <c r="C102" s="1225" t="n">
        <v>0</v>
      </c>
      <c r="D102" s="1225" t="n">
        <v>49</v>
      </c>
      <c r="E102" s="1225" t="n">
        <v>62</v>
      </c>
      <c r="F102" s="1225" t="n">
        <v>62</v>
      </c>
      <c r="G102" s="1225" t="n">
        <v>62</v>
      </c>
      <c r="H102" s="1225" t="n">
        <v>63</v>
      </c>
      <c r="I102" s="1225" t="n">
        <v>63</v>
      </c>
      <c r="J102" s="1225" t="n">
        <v>63</v>
      </c>
      <c r="K102" s="1225" t="n">
        <v>64</v>
      </c>
      <c r="L102" s="1225" t="n">
        <v>12</v>
      </c>
      <c r="M102" s="1225" t="n">
        <v>235</v>
      </c>
      <c r="N102" s="1225" t="n">
        <v>500</v>
      </c>
      <c r="O102" s="1226" t="s">
        <v>1102</v>
      </c>
      <c r="P102" s="1226"/>
      <c r="Q102" s="1226"/>
      <c r="R102" s="1226"/>
      <c r="S102" s="1226"/>
      <c r="T102" s="1228"/>
    </row>
    <row r="103">
      <c r="A103" s="1223" t="s">
        <v>1126</v>
      </c>
      <c r="B103" s="1224" t="s">
        <v>1127</v>
      </c>
      <c r="C103" s="1225" t="n">
        <v>0</v>
      </c>
      <c r="D103" s="1225" t="n">
        <v>0</v>
      </c>
      <c r="E103" s="1225" t="n">
        <v>0</v>
      </c>
      <c r="F103" s="1225" t="n">
        <v>0</v>
      </c>
      <c r="G103" s="1225" t="n">
        <v>-20</v>
      </c>
      <c r="H103" s="1225" t="n">
        <v>-28</v>
      </c>
      <c r="I103" s="1225" t="n">
        <v>-28</v>
      </c>
      <c r="J103" s="1225" t="n">
        <v>-28</v>
      </c>
      <c r="K103" s="1225" t="n">
        <v>-28</v>
      </c>
      <c r="L103" s="1225" t="n">
        <v>-28</v>
      </c>
      <c r="M103" s="1225" t="n">
        <v>-20</v>
      </c>
      <c r="N103" s="1225" t="n">
        <v>-160</v>
      </c>
      <c r="O103" s="1226" t="s">
        <v>1102</v>
      </c>
      <c r="P103" s="1226"/>
      <c r="Q103" s="1226"/>
      <c r="R103" s="1226"/>
      <c r="S103" s="1226"/>
      <c r="T103" s="1228"/>
    </row>
    <row r="104" ht="24" customHeight="1">
      <c r="A104" s="1223" t="s">
        <v>1128</v>
      </c>
      <c r="B104" s="1224" t="s">
        <v>1129</v>
      </c>
      <c r="C104" s="1225" t="n">
        <v>0</v>
      </c>
      <c r="D104" s="1225" t="n">
        <v>-235</v>
      </c>
      <c r="E104" s="1225" t="n">
        <v>-44</v>
      </c>
      <c r="F104" s="1225" t="n">
        <v>-22</v>
      </c>
      <c r="G104" s="1225" t="n">
        <v>-26</v>
      </c>
      <c r="H104" s="1225" t="n">
        <v>-23</v>
      </c>
      <c r="I104" s="1225" t="n">
        <v>-19</v>
      </c>
      <c r="J104" s="1225" t="n">
        <v>-41</v>
      </c>
      <c r="K104" s="1225" t="n">
        <v>-35</v>
      </c>
      <c r="L104" s="1225" t="n">
        <v>-39</v>
      </c>
      <c r="M104" s="1225" t="n">
        <v>-327</v>
      </c>
      <c r="N104" s="1225" t="n">
        <v>-484</v>
      </c>
      <c r="O104" s="1226" t="s">
        <v>1102</v>
      </c>
      <c r="P104" s="1226"/>
      <c r="Q104" s="1226"/>
      <c r="R104" s="1226"/>
      <c r="S104" s="1226"/>
      <c r="T104" s="1228"/>
    </row>
    <row r="105">
      <c r="A105" s="1223" t="s">
        <v>1130</v>
      </c>
      <c r="B105" s="1224" t="s">
        <v>1131</v>
      </c>
      <c r="C105" s="1225" t="n">
        <v>0</v>
      </c>
      <c r="D105" s="1225" t="n">
        <v>7</v>
      </c>
      <c r="E105" s="1225" t="n">
        <v>8</v>
      </c>
      <c r="F105" s="1225" t="n">
        <v>6</v>
      </c>
      <c r="G105" s="1225" t="n">
        <v>2</v>
      </c>
      <c r="H105" s="1225" t="n">
        <v>1</v>
      </c>
      <c r="I105" s="1225" t="n">
        <v>0</v>
      </c>
      <c r="J105" s="1225" t="n">
        <v>0</v>
      </c>
      <c r="K105" s="1225" t="n">
        <v>0</v>
      </c>
      <c r="L105" s="1225" t="n">
        <v>0</v>
      </c>
      <c r="M105" s="1225" t="n">
        <v>23</v>
      </c>
      <c r="N105" s="1225" t="n">
        <v>24</v>
      </c>
      <c r="O105" s="1226" t="s">
        <v>1102</v>
      </c>
      <c r="P105" s="1226"/>
      <c r="Q105" s="1226"/>
      <c r="R105" s="1226"/>
      <c r="S105" s="1226"/>
      <c r="T105" s="1228"/>
    </row>
    <row r="106" ht="36" customHeight="1">
      <c r="A106" s="1223" t="s">
        <v>1132</v>
      </c>
      <c r="B106" s="1224" t="s">
        <v>1133</v>
      </c>
      <c r="C106" s="1225" t="n">
        <v>0</v>
      </c>
      <c r="D106" s="1225" t="n">
        <v>50</v>
      </c>
      <c r="E106" s="1225" t="n">
        <v>77</v>
      </c>
      <c r="F106" s="1225" t="n">
        <v>87</v>
      </c>
      <c r="G106" s="1225" t="n">
        <v>81</v>
      </c>
      <c r="H106" s="1225" t="n">
        <v>50</v>
      </c>
      <c r="I106" s="1225" t="n">
        <v>30</v>
      </c>
      <c r="J106" s="1225" t="n">
        <v>10</v>
      </c>
      <c r="K106" s="1225" t="n">
        <v>0</v>
      </c>
      <c r="L106" s="1225" t="n">
        <v>0</v>
      </c>
      <c r="M106" s="1225" t="n">
        <v>295</v>
      </c>
      <c r="N106" s="1225" t="n">
        <v>385</v>
      </c>
      <c r="O106" s="1226" t="s">
        <v>1102</v>
      </c>
      <c r="P106" s="1226"/>
      <c r="Q106" s="1226"/>
      <c r="R106" s="1226"/>
      <c r="S106" s="1226"/>
      <c r="T106" s="1228"/>
    </row>
    <row r="107">
      <c r="A107" s="1240" t="s">
        <v>1134</v>
      </c>
      <c r="B107" s="1241" t="s">
        <v>1135</v>
      </c>
      <c r="C107" s="1225" t="n">
        <v>0</v>
      </c>
      <c r="D107" s="1225" t="n">
        <v>3</v>
      </c>
      <c r="E107" s="1225" t="n">
        <v>2</v>
      </c>
      <c r="F107" s="1225" t="n">
        <v>0</v>
      </c>
      <c r="G107" s="1225" t="n">
        <v>0</v>
      </c>
      <c r="H107" s="1225" t="n">
        <v>0</v>
      </c>
      <c r="I107" s="1225" t="n">
        <v>0</v>
      </c>
      <c r="J107" s="1225" t="n">
        <v>0</v>
      </c>
      <c r="K107" s="1225" t="n">
        <v>0</v>
      </c>
      <c r="L107" s="1225" t="n">
        <v>0</v>
      </c>
      <c r="M107" s="1225" t="n">
        <v>5</v>
      </c>
      <c r="N107" s="1225" t="n">
        <v>5</v>
      </c>
      <c r="O107" s="1226" t="s">
        <v>1136</v>
      </c>
      <c r="P107" s="1226"/>
      <c r="Q107" s="1226"/>
      <c r="R107" s="1226"/>
      <c r="S107" s="1226"/>
      <c r="T107" s="1228"/>
    </row>
    <row r="108">
      <c r="A108" s="1240" t="s">
        <v>1137</v>
      </c>
      <c r="B108" s="1241" t="s">
        <v>1138</v>
      </c>
      <c r="C108" s="1225" t="n">
        <v>0</v>
      </c>
      <c r="D108" s="1225" t="n">
        <v>70</v>
      </c>
      <c r="E108" s="1225" t="n">
        <v>80</v>
      </c>
      <c r="F108" s="1225" t="n">
        <v>62</v>
      </c>
      <c r="G108" s="1225" t="n">
        <v>25</v>
      </c>
      <c r="H108" s="1225" t="n">
        <v>13</v>
      </c>
      <c r="I108" s="1225" t="n">
        <v>0</v>
      </c>
      <c r="J108" s="1225" t="n">
        <v>0</v>
      </c>
      <c r="K108" s="1225" t="n">
        <v>0</v>
      </c>
      <c r="L108" s="1225" t="n">
        <v>0</v>
      </c>
      <c r="M108" s="1225" t="n">
        <v>237</v>
      </c>
      <c r="N108" s="1225" t="n">
        <v>250</v>
      </c>
      <c r="O108" s="1226" t="s">
        <v>1136</v>
      </c>
      <c r="P108" s="1226"/>
      <c r="Q108" s="1226"/>
      <c r="R108" s="1226"/>
      <c r="S108" s="1226"/>
      <c r="T108" s="1228"/>
    </row>
    <row r="109" ht="24" customHeight="1">
      <c r="A109" s="1240" t="s">
        <v>1139</v>
      </c>
      <c r="B109" s="1241" t="s">
        <v>1140</v>
      </c>
      <c r="C109" s="1244" t="n">
        <v>0</v>
      </c>
      <c r="D109" s="1244" t="n">
        <v>33</v>
      </c>
      <c r="E109" s="1244" t="n">
        <v>54</v>
      </c>
      <c r="F109" s="1244" t="n">
        <v>37</v>
      </c>
      <c r="G109" s="1244" t="n">
        <v>16</v>
      </c>
      <c r="H109" s="1244" t="n">
        <v>0</v>
      </c>
      <c r="I109" s="1244" t="n">
        <v>0</v>
      </c>
      <c r="J109" s="1244" t="n">
        <v>0</v>
      </c>
      <c r="K109" s="1244" t="n">
        <v>0</v>
      </c>
      <c r="L109" s="1244" t="n">
        <v>0</v>
      </c>
      <c r="M109" s="1244" t="n">
        <v>140</v>
      </c>
      <c r="N109" s="1244" t="n">
        <v>140</v>
      </c>
      <c r="O109" s="1226" t="s">
        <v>1102</v>
      </c>
      <c r="P109" s="1226"/>
      <c r="Q109" s="1226"/>
      <c r="R109" s="1226"/>
      <c r="S109" s="1226"/>
      <c r="T109" s="1228"/>
    </row>
    <row r="110">
      <c r="A110" s="1223" t="s">
        <v>1141</v>
      </c>
      <c r="B110" s="1224" t="s">
        <v>1142</v>
      </c>
      <c r="C110" s="1225" t="n">
        <v>0</v>
      </c>
      <c r="D110" s="1225" t="n">
        <v>40</v>
      </c>
      <c r="E110" s="1225" t="n">
        <v>40</v>
      </c>
      <c r="F110" s="1225" t="n">
        <v>30</v>
      </c>
      <c r="G110" s="1225" t="n">
        <v>10</v>
      </c>
      <c r="H110" s="1225" t="n">
        <v>5</v>
      </c>
      <c r="I110" s="1225" t="n">
        <v>0</v>
      </c>
      <c r="J110" s="1225" t="n">
        <v>0</v>
      </c>
      <c r="K110" s="1225" t="n">
        <v>0</v>
      </c>
      <c r="L110" s="1225" t="n">
        <v>0</v>
      </c>
      <c r="M110" s="1225" t="n">
        <v>120</v>
      </c>
      <c r="N110" s="1225" t="n">
        <v>125</v>
      </c>
      <c r="O110" s="1226" t="s">
        <v>1102</v>
      </c>
      <c r="P110" s="1226"/>
      <c r="Q110" s="1226"/>
      <c r="R110" s="1226"/>
      <c r="S110" s="1226"/>
      <c r="T110" s="1228"/>
    </row>
    <row r="111">
      <c r="A111" s="1240" t="s">
        <v>1143</v>
      </c>
      <c r="B111" s="1224" t="s">
        <v>1144</v>
      </c>
      <c r="C111" s="1225" t="n">
        <v>0</v>
      </c>
      <c r="D111" s="1225" t="n">
        <v>5</v>
      </c>
      <c r="E111" s="1225" t="n">
        <v>8</v>
      </c>
      <c r="F111" s="1225" t="n">
        <v>8</v>
      </c>
      <c r="G111" s="1225" t="n">
        <v>8</v>
      </c>
      <c r="H111" s="1225" t="n">
        <v>4</v>
      </c>
      <c r="I111" s="1225" t="n">
        <v>0</v>
      </c>
      <c r="J111" s="1225" t="n">
        <v>0</v>
      </c>
      <c r="K111" s="1225" t="n">
        <v>0</v>
      </c>
      <c r="L111" s="1225" t="n">
        <v>0</v>
      </c>
      <c r="M111" s="1225" t="n">
        <v>29</v>
      </c>
      <c r="N111" s="1225" t="n">
        <v>33</v>
      </c>
      <c r="O111" s="1226" t="s">
        <v>1102</v>
      </c>
      <c r="P111" s="1226"/>
      <c r="Q111" s="1226"/>
      <c r="R111" s="1226"/>
      <c r="S111" s="1226"/>
      <c r="T111" s="1228"/>
    </row>
    <row r="112">
      <c r="A112" s="1223" t="s">
        <v>1145</v>
      </c>
      <c r="B112" s="1241" t="s">
        <v>1146</v>
      </c>
      <c r="C112" s="1225" t="n">
        <v>0</v>
      </c>
      <c r="D112" s="1225" t="n">
        <v>3</v>
      </c>
      <c r="E112" s="1225" t="n">
        <v>8</v>
      </c>
      <c r="F112" s="1225" t="n">
        <v>8</v>
      </c>
      <c r="G112" s="1225" t="n">
        <v>8</v>
      </c>
      <c r="H112" s="1225" t="n">
        <v>3</v>
      </c>
      <c r="I112" s="1225" t="n">
        <v>0</v>
      </c>
      <c r="J112" s="1225" t="n">
        <v>0</v>
      </c>
      <c r="K112" s="1225" t="n">
        <v>0</v>
      </c>
      <c r="L112" s="1225" t="n">
        <v>0</v>
      </c>
      <c r="M112" s="1225" t="n">
        <v>27</v>
      </c>
      <c r="N112" s="1225" t="n">
        <v>30</v>
      </c>
      <c r="O112" s="1226" t="s">
        <v>1102</v>
      </c>
      <c r="P112" s="1226"/>
      <c r="Q112" s="1226"/>
      <c r="R112" s="1226"/>
      <c r="S112" s="1226"/>
      <c r="T112" s="1228"/>
    </row>
    <row r="113" ht="24" customHeight="1">
      <c r="A113" s="1223" t="s">
        <v>1147</v>
      </c>
      <c r="B113" s="1224" t="s">
        <v>1148</v>
      </c>
      <c r="C113" s="1244" t="n">
        <v>0</v>
      </c>
      <c r="D113" s="1244" t="n">
        <v>165</v>
      </c>
      <c r="E113" s="1244" t="n">
        <v>165</v>
      </c>
      <c r="F113" s="1244" t="n">
        <v>230</v>
      </c>
      <c r="G113" s="1244" t="n">
        <v>340</v>
      </c>
      <c r="H113" s="1244" t="n">
        <v>490</v>
      </c>
      <c r="I113" s="1244" t="n">
        <v>540</v>
      </c>
      <c r="J113" s="1244" t="n">
        <v>640</v>
      </c>
      <c r="K113" s="1244" t="n">
        <v>475</v>
      </c>
      <c r="L113" s="1244" t="n">
        <v>330</v>
      </c>
      <c r="M113" s="1244" t="n">
        <v>900</v>
      </c>
      <c r="N113" s="1244" t="n">
        <v>3375</v>
      </c>
      <c r="O113" s="1243" t="s">
        <v>1102</v>
      </c>
      <c r="P113" s="1243"/>
      <c r="Q113" s="1243"/>
      <c r="R113" s="1243"/>
      <c r="S113" s="1243"/>
      <c r="T113" s="1228"/>
    </row>
    <row r="114" ht="24" customHeight="1">
      <c r="A114" s="1249" t="s">
        <v>1118</v>
      </c>
      <c r="B114" s="1250" t="s">
        <v>1149</v>
      </c>
      <c r="C114" s="1225" t="n">
        <v>0</v>
      </c>
      <c r="D114" s="1225" t="n">
        <v>195</v>
      </c>
      <c r="E114" s="1225" t="n">
        <v>448</v>
      </c>
      <c r="F114" s="1225" t="n">
        <v>641</v>
      </c>
      <c r="G114" s="1225" t="n">
        <v>716</v>
      </c>
      <c r="H114" s="1225" t="n">
        <v>681</v>
      </c>
      <c r="I114" s="1225" t="n">
        <v>528</v>
      </c>
      <c r="J114" s="1225" t="n">
        <v>421</v>
      </c>
      <c r="K114" s="1225" t="n">
        <v>323</v>
      </c>
      <c r="L114" s="1225" t="n">
        <v>23</v>
      </c>
      <c r="M114" s="1242" t="n">
        <v>2000</v>
      </c>
      <c r="N114" s="1242" t="n">
        <v>3976</v>
      </c>
      <c r="O114" s="1243" t="s">
        <v>1102</v>
      </c>
      <c r="P114" s="1243"/>
      <c r="Q114" s="1243"/>
      <c r="R114" s="1243"/>
      <c r="S114" s="1243"/>
      <c r="T114" s="1251"/>
    </row>
    <row r="115" ht="30" customHeight="1">
      <c r="A115" s="1235" t="s">
        <v>1150</v>
      </c>
      <c r="B115" s="1236" t="s">
        <v>1151</v>
      </c>
      <c r="C115" s="1252" t="n">
        <v>0</v>
      </c>
      <c r="D115" s="1252" t="n">
        <v>20</v>
      </c>
      <c r="E115" s="1252" t="n">
        <v>57</v>
      </c>
      <c r="F115" s="1252" t="n">
        <v>96</v>
      </c>
      <c r="G115" s="1252" t="n">
        <v>150</v>
      </c>
      <c r="H115" s="1252" t="n">
        <v>200</v>
      </c>
      <c r="I115" s="1252" t="n">
        <v>185</v>
      </c>
      <c r="J115" s="1252" t="n">
        <v>147</v>
      </c>
      <c r="K115" s="1252" t="n">
        <v>106</v>
      </c>
      <c r="L115" s="1252" t="n">
        <v>39</v>
      </c>
      <c r="M115" s="1252" t="n">
        <v>323</v>
      </c>
      <c r="N115" s="1253" t="n">
        <v>1000</v>
      </c>
      <c r="O115" s="1254" t="s">
        <v>1152</v>
      </c>
      <c r="P115" s="1284"/>
      <c r="Q115" s="1284"/>
      <c r="R115" s="1284"/>
      <c r="S115" s="1284"/>
      <c r="T115" s="1255" t="s">
        <v>1153</v>
      </c>
    </row>
    <row r="116">
      <c r="A116" s="1240" t="s">
        <v>1154</v>
      </c>
      <c r="B116" s="1224" t="s">
        <v>1155</v>
      </c>
      <c r="C116" s="1225" t="n">
        <v>0</v>
      </c>
      <c r="D116" s="1225" t="n">
        <v>15</v>
      </c>
      <c r="E116" s="1225" t="n">
        <v>53</v>
      </c>
      <c r="F116" s="1225" t="n">
        <v>57</v>
      </c>
      <c r="G116" s="1225" t="n">
        <v>48</v>
      </c>
      <c r="H116" s="1225" t="n">
        <v>43</v>
      </c>
      <c r="I116" s="1225" t="n">
        <v>17</v>
      </c>
      <c r="J116" s="1225" t="n">
        <v>2</v>
      </c>
      <c r="K116" s="1225" t="n">
        <v>0</v>
      </c>
      <c r="L116" s="1225" t="n">
        <v>0</v>
      </c>
      <c r="M116" s="1225" t="n">
        <v>173</v>
      </c>
      <c r="N116" s="1225" t="n">
        <v>235</v>
      </c>
      <c r="O116" s="1226" t="s">
        <v>1156</v>
      </c>
      <c r="P116" s="1226"/>
      <c r="Q116" s="1226"/>
      <c r="R116" s="1226"/>
      <c r="S116" s="1226"/>
      <c r="T116" s="1227" t="s">
        <v>1157</v>
      </c>
    </row>
    <row r="117">
      <c r="A117" s="1223" t="s">
        <v>1158</v>
      </c>
      <c r="B117" s="1224" t="s">
        <v>1159</v>
      </c>
      <c r="C117" s="1225" t="n">
        <v>0</v>
      </c>
      <c r="D117" s="1225" t="n">
        <v>15</v>
      </c>
      <c r="E117" s="1225" t="n">
        <v>53</v>
      </c>
      <c r="F117" s="1225" t="n">
        <v>57</v>
      </c>
      <c r="G117" s="1225" t="n">
        <v>48</v>
      </c>
      <c r="H117" s="1225" t="n">
        <v>43</v>
      </c>
      <c r="I117" s="1225" t="n">
        <v>17</v>
      </c>
      <c r="J117" s="1225" t="n">
        <v>2</v>
      </c>
      <c r="K117" s="1225" t="n">
        <v>0</v>
      </c>
      <c r="L117" s="1225" t="n">
        <v>0</v>
      </c>
      <c r="M117" s="1225" t="n">
        <v>173</v>
      </c>
      <c r="N117" s="1225" t="n">
        <v>235</v>
      </c>
      <c r="O117" s="1226" t="s">
        <v>1156</v>
      </c>
      <c r="P117" s="1226"/>
      <c r="Q117" s="1226"/>
      <c r="R117" s="1226"/>
      <c r="S117" s="1226"/>
      <c r="T117" s="1227" t="s">
        <v>1157</v>
      </c>
    </row>
    <row r="118">
      <c r="A118" s="1240" t="s">
        <v>1160</v>
      </c>
      <c r="B118" s="1241" t="s">
        <v>1161</v>
      </c>
      <c r="C118" s="1225" t="n">
        <v>0</v>
      </c>
      <c r="D118" s="1225" t="n">
        <v>42</v>
      </c>
      <c r="E118" s="1225" t="n">
        <v>18</v>
      </c>
      <c r="F118" s="1225" t="n">
        <v>0</v>
      </c>
      <c r="G118" s="1225" t="n">
        <v>0</v>
      </c>
      <c r="H118" s="1225" t="n">
        <v>0</v>
      </c>
      <c r="I118" s="1225" t="n">
        <v>0</v>
      </c>
      <c r="J118" s="1225" t="n">
        <v>0</v>
      </c>
      <c r="K118" s="1225" t="n">
        <v>0</v>
      </c>
      <c r="L118" s="1225" t="n">
        <v>0</v>
      </c>
      <c r="M118" s="1225" t="n">
        <v>60</v>
      </c>
      <c r="N118" s="1225" t="n">
        <v>60</v>
      </c>
      <c r="O118" s="1226" t="s">
        <v>1152</v>
      </c>
      <c r="P118" s="1226"/>
      <c r="Q118" s="1226"/>
      <c r="R118" s="1226"/>
      <c r="S118" s="1226"/>
      <c r="T118" s="1228" t="s">
        <v>1162</v>
      </c>
    </row>
    <row r="119">
      <c r="A119" s="1223" t="s">
        <v>1163</v>
      </c>
      <c r="B119" s="1224" t="s">
        <v>1164</v>
      </c>
      <c r="C119" s="1225" t="n">
        <v>0</v>
      </c>
      <c r="D119" s="1225" t="n">
        <v>2</v>
      </c>
      <c r="E119" s="1225" t="n">
        <v>13</v>
      </c>
      <c r="F119" s="1225" t="n">
        <v>26</v>
      </c>
      <c r="G119" s="1225" t="n">
        <v>30</v>
      </c>
      <c r="H119" s="1225" t="n">
        <v>24</v>
      </c>
      <c r="I119" s="1225" t="n">
        <v>0</v>
      </c>
      <c r="J119" s="1225" t="n">
        <v>0</v>
      </c>
      <c r="K119" s="1225" t="n">
        <v>0</v>
      </c>
      <c r="L119" s="1225" t="n">
        <v>0</v>
      </c>
      <c r="M119" s="1225" t="n">
        <v>71</v>
      </c>
      <c r="N119" s="1225" t="n">
        <v>95</v>
      </c>
      <c r="O119" s="1226" t="s">
        <v>1152</v>
      </c>
      <c r="P119" s="1226"/>
      <c r="Q119" s="1226"/>
      <c r="R119" s="1226"/>
      <c r="S119" s="1226"/>
      <c r="T119" s="1227" t="s">
        <v>1165</v>
      </c>
    </row>
    <row r="120" ht="36" customHeight="1">
      <c r="A120" s="1223" t="s">
        <v>1166</v>
      </c>
      <c r="B120" s="1224" t="s">
        <v>1167</v>
      </c>
      <c r="C120" s="1225" t="n">
        <v>0</v>
      </c>
      <c r="D120" s="1225" t="n">
        <v>3</v>
      </c>
      <c r="E120" s="1225" t="n">
        <v>19</v>
      </c>
      <c r="F120" s="1225" t="n">
        <v>67</v>
      </c>
      <c r="G120" s="1225" t="n">
        <v>86</v>
      </c>
      <c r="H120" s="1225" t="n">
        <v>59</v>
      </c>
      <c r="I120" s="1225" t="n">
        <v>35</v>
      </c>
      <c r="J120" s="1225" t="n">
        <v>19</v>
      </c>
      <c r="K120" s="1225" t="n">
        <v>6</v>
      </c>
      <c r="L120" s="1225" t="n">
        <v>0</v>
      </c>
      <c r="M120" s="1225" t="n">
        <v>175</v>
      </c>
      <c r="N120" s="1225" t="n">
        <v>294</v>
      </c>
      <c r="O120" s="1226" t="s">
        <v>1152</v>
      </c>
      <c r="P120" s="1226"/>
      <c r="Q120" s="1226"/>
      <c r="R120" s="1226"/>
      <c r="S120" s="1226"/>
      <c r="T120" s="1251" t="s">
        <v>1168</v>
      </c>
    </row>
    <row r="121">
      <c r="A121" s="1223" t="s">
        <v>1169</v>
      </c>
      <c r="B121" s="1224" t="s">
        <v>1170</v>
      </c>
      <c r="C121" s="1225" t="n">
        <v>0</v>
      </c>
      <c r="D121" s="1225" t="n">
        <v>65</v>
      </c>
      <c r="E121" s="1225" t="n">
        <v>150</v>
      </c>
      <c r="F121" s="1225" t="n">
        <v>290</v>
      </c>
      <c r="G121" s="1225" t="n">
        <v>290</v>
      </c>
      <c r="H121" s="1225" t="n">
        <v>290</v>
      </c>
      <c r="I121" s="1225" t="n">
        <v>285</v>
      </c>
      <c r="J121" s="1225" t="n">
        <v>250</v>
      </c>
      <c r="K121" s="1225" t="n">
        <v>220</v>
      </c>
      <c r="L121" s="1225" t="n">
        <v>160</v>
      </c>
      <c r="M121" s="1225" t="n">
        <v>795</v>
      </c>
      <c r="N121" s="1242" t="n">
        <v>2000</v>
      </c>
      <c r="O121" s="1226" t="s">
        <v>1152</v>
      </c>
      <c r="P121" s="1226"/>
      <c r="Q121" s="1226"/>
      <c r="R121" s="1226"/>
      <c r="S121" s="1226"/>
      <c r="T121" s="1228"/>
    </row>
    <row r="122">
      <c r="A122" s="1223" t="s">
        <v>1171</v>
      </c>
      <c r="B122" s="1224" t="s">
        <v>1172</v>
      </c>
      <c r="C122" s="1225" t="n">
        <v>0</v>
      </c>
      <c r="D122" s="1225" t="n">
        <v>5</v>
      </c>
      <c r="E122" s="1225" t="n">
        <v>20</v>
      </c>
      <c r="F122" s="1225" t="n">
        <v>65</v>
      </c>
      <c r="G122" s="1225" t="n">
        <v>105</v>
      </c>
      <c r="H122" s="1225" t="n">
        <v>140</v>
      </c>
      <c r="I122" s="1225" t="n">
        <v>175</v>
      </c>
      <c r="J122" s="1225" t="n">
        <v>210</v>
      </c>
      <c r="K122" s="1225" t="n">
        <v>150</v>
      </c>
      <c r="L122" s="1225" t="n">
        <v>35</v>
      </c>
      <c r="M122" s="1225" t="n">
        <v>195</v>
      </c>
      <c r="N122" s="1225" t="n">
        <v>905</v>
      </c>
      <c r="O122" s="1256" t="s">
        <v>1152</v>
      </c>
      <c r="P122" s="1256"/>
      <c r="Q122" s="1256"/>
      <c r="R122" s="1256"/>
      <c r="S122" s="1256"/>
      <c r="T122" s="1257"/>
    </row>
    <row r="123">
      <c r="A123" s="1223" t="s">
        <v>1173</v>
      </c>
      <c r="B123" s="1224" t="s">
        <v>1174</v>
      </c>
      <c r="C123" s="1225" t="n">
        <v>0</v>
      </c>
      <c r="D123" s="1225" t="n">
        <v>10</v>
      </c>
      <c r="E123" s="1225" t="n">
        <v>150</v>
      </c>
      <c r="F123" s="1225" t="n">
        <v>300</v>
      </c>
      <c r="G123" s="1225" t="n">
        <v>590</v>
      </c>
      <c r="H123" s="1225" t="n">
        <v>460</v>
      </c>
      <c r="I123" s="1225" t="n">
        <v>295</v>
      </c>
      <c r="J123" s="1225" t="n">
        <v>195</v>
      </c>
      <c r="K123" s="1225" t="n">
        <v>0</v>
      </c>
      <c r="L123" s="1225" t="n">
        <v>0</v>
      </c>
      <c r="M123" s="1242" t="n">
        <v>1050</v>
      </c>
      <c r="N123" s="1242" t="n">
        <v>2000</v>
      </c>
      <c r="O123" s="1226" t="s">
        <v>1152</v>
      </c>
      <c r="P123" s="1226"/>
      <c r="Q123" s="1226"/>
      <c r="R123" s="1226"/>
      <c r="S123" s="1226"/>
      <c r="T123" s="1228"/>
    </row>
    <row r="124">
      <c r="A124" s="1223" t="s">
        <v>1175</v>
      </c>
      <c r="B124" s="1224" t="s">
        <v>1176</v>
      </c>
      <c r="C124" s="1225"/>
      <c r="D124" s="1225"/>
      <c r="E124" s="1225"/>
      <c r="F124" s="1225"/>
      <c r="G124" s="1225"/>
      <c r="H124" s="1225"/>
      <c r="I124" s="1225"/>
      <c r="J124" s="1225"/>
      <c r="K124" s="1225"/>
      <c r="L124" s="1225"/>
      <c r="M124" s="1225"/>
      <c r="N124" s="1225"/>
      <c r="O124" s="1226"/>
      <c r="P124" s="1226"/>
      <c r="Q124" s="1226"/>
      <c r="R124" s="1226"/>
      <c r="S124" s="1226"/>
      <c r="T124" s="1228"/>
    </row>
    <row r="125" ht="24" customHeight="1">
      <c r="A125" s="1240" t="s">
        <v>1177</v>
      </c>
      <c r="B125" s="1241" t="s">
        <v>1178</v>
      </c>
      <c r="C125" s="1244" t="n">
        <v>0</v>
      </c>
      <c r="D125" s="1244" t="n">
        <v>72</v>
      </c>
      <c r="E125" s="1244" t="n">
        <v>123</v>
      </c>
      <c r="F125" s="1244" t="n">
        <v>122</v>
      </c>
      <c r="G125" s="1244" t="n">
        <v>115</v>
      </c>
      <c r="H125" s="1244" t="n">
        <v>55</v>
      </c>
      <c r="I125" s="1244" t="n">
        <v>55</v>
      </c>
      <c r="J125" s="1244" t="n">
        <v>33</v>
      </c>
      <c r="K125" s="1244" t="n">
        <v>0</v>
      </c>
      <c r="L125" s="1244" t="n">
        <v>0</v>
      </c>
      <c r="M125" s="1244" t="n">
        <v>432</v>
      </c>
      <c r="N125" s="1244" t="n">
        <v>575</v>
      </c>
      <c r="O125" s="1225" t="s">
        <v>1152</v>
      </c>
      <c r="P125" s="1225"/>
      <c r="Q125" s="1225"/>
      <c r="R125" s="1225"/>
      <c r="S125" s="1225"/>
      <c r="T125" s="1228"/>
    </row>
    <row r="126">
      <c r="A126" s="1223" t="s">
        <v>1179</v>
      </c>
      <c r="B126" s="1224" t="s">
        <v>1180</v>
      </c>
      <c r="C126" s="1225" t="n">
        <v>0</v>
      </c>
      <c r="D126" s="1225" t="n">
        <v>1</v>
      </c>
      <c r="E126" s="1225" t="n">
        <v>2</v>
      </c>
      <c r="F126" s="1225" t="n">
        <v>2</v>
      </c>
      <c r="G126" s="1225" t="n">
        <v>2</v>
      </c>
      <c r="H126" s="1225" t="n">
        <v>2</v>
      </c>
      <c r="I126" s="1225" t="n">
        <v>2</v>
      </c>
      <c r="J126" s="1225" t="n">
        <v>2</v>
      </c>
      <c r="K126" s="1225" t="n">
        <v>2</v>
      </c>
      <c r="L126" s="1225" t="n">
        <v>1</v>
      </c>
      <c r="M126" s="1225" t="n">
        <v>7</v>
      </c>
      <c r="N126" s="1225" t="n">
        <v>16</v>
      </c>
      <c r="O126" s="1226" t="s">
        <v>1152</v>
      </c>
      <c r="P126" s="1226"/>
      <c r="Q126" s="1226"/>
      <c r="R126" s="1226"/>
      <c r="S126" s="1226"/>
      <c r="T126" s="1228"/>
    </row>
    <row r="127">
      <c r="A127" s="1223" t="s">
        <v>1181</v>
      </c>
      <c r="B127" s="1224" t="s">
        <v>1182</v>
      </c>
      <c r="C127" s="1225" t="n">
        <v>0</v>
      </c>
      <c r="D127" s="1225" t="n">
        <v>49</v>
      </c>
      <c r="E127" s="1225" t="n">
        <v>190</v>
      </c>
      <c r="F127" s="1225" t="n">
        <v>379</v>
      </c>
      <c r="G127" s="1225" t="n">
        <v>531</v>
      </c>
      <c r="H127" s="1225" t="n">
        <v>619</v>
      </c>
      <c r="I127" s="1225" t="n">
        <v>580</v>
      </c>
      <c r="J127" s="1225" t="n">
        <v>387</v>
      </c>
      <c r="K127" s="1225" t="n">
        <v>196</v>
      </c>
      <c r="L127" s="1225" t="n">
        <v>69</v>
      </c>
      <c r="M127" s="1242" t="n">
        <v>1149</v>
      </c>
      <c r="N127" s="1242" t="n">
        <v>3000</v>
      </c>
      <c r="O127" s="1226" t="s">
        <v>1152</v>
      </c>
      <c r="P127" s="1226"/>
      <c r="Q127" s="1226"/>
      <c r="R127" s="1226"/>
      <c r="S127" s="1226"/>
      <c r="T127" s="1228"/>
    </row>
    <row r="128">
      <c r="A128" s="1240" t="s">
        <v>1183</v>
      </c>
      <c r="B128" s="1241" t="s">
        <v>1184</v>
      </c>
      <c r="C128" s="1225" t="n">
        <v>0</v>
      </c>
      <c r="D128" s="1225" t="n">
        <v>22</v>
      </c>
      <c r="E128" s="1225" t="n">
        <v>22</v>
      </c>
      <c r="F128" s="1225" t="n">
        <v>6</v>
      </c>
      <c r="G128" s="1225" t="n">
        <v>0</v>
      </c>
      <c r="H128" s="1225" t="n">
        <v>0</v>
      </c>
      <c r="I128" s="1225" t="n">
        <v>0</v>
      </c>
      <c r="J128" s="1225" t="n">
        <v>0</v>
      </c>
      <c r="K128" s="1225" t="n">
        <v>0</v>
      </c>
      <c r="L128" s="1225" t="n">
        <v>0</v>
      </c>
      <c r="M128" s="1225" t="n">
        <v>50</v>
      </c>
      <c r="N128" s="1225" t="n">
        <v>50</v>
      </c>
      <c r="O128" s="1226" t="s">
        <v>1152</v>
      </c>
      <c r="P128" s="1226"/>
      <c r="Q128" s="1226"/>
      <c r="R128" s="1226"/>
      <c r="S128" s="1226"/>
      <c r="T128" s="1227"/>
    </row>
    <row r="129">
      <c r="A129" s="1223" t="s">
        <v>1185</v>
      </c>
      <c r="B129" s="1224" t="s">
        <v>1186</v>
      </c>
      <c r="C129" s="1225" t="n">
        <v>0</v>
      </c>
      <c r="D129" s="1225" t="n">
        <v>30</v>
      </c>
      <c r="E129" s="1225" t="n">
        <v>30</v>
      </c>
      <c r="F129" s="1225" t="n">
        <v>40</v>
      </c>
      <c r="G129" s="1225" t="n">
        <v>15</v>
      </c>
      <c r="H129" s="1225" t="n">
        <v>5</v>
      </c>
      <c r="I129" s="1225" t="n">
        <v>5</v>
      </c>
      <c r="J129" s="1225" t="n">
        <v>0</v>
      </c>
      <c r="K129" s="1225" t="n">
        <v>0</v>
      </c>
      <c r="L129" s="1225" t="n">
        <v>0</v>
      </c>
      <c r="M129" s="1225" t="n">
        <v>115</v>
      </c>
      <c r="N129" s="1225" t="n">
        <v>125</v>
      </c>
      <c r="O129" s="1226" t="s">
        <v>1152</v>
      </c>
      <c r="P129" s="1226"/>
      <c r="Q129" s="1226"/>
      <c r="R129" s="1226"/>
      <c r="S129" s="1226"/>
      <c r="T129" s="1228"/>
    </row>
    <row r="130">
      <c r="A130" s="1223" t="s">
        <v>1187</v>
      </c>
      <c r="B130" s="1224" t="s">
        <v>1188</v>
      </c>
      <c r="C130" s="1225" t="n">
        <v>0</v>
      </c>
      <c r="D130" s="1225" t="n">
        <v>10</v>
      </c>
      <c r="E130" s="1225" t="n">
        <v>230</v>
      </c>
      <c r="F130" s="1225" t="n">
        <v>660</v>
      </c>
      <c r="G130" s="1225" t="n">
        <v>945</v>
      </c>
      <c r="H130" s="1225" t="n">
        <v>605</v>
      </c>
      <c r="I130" s="1225" t="n">
        <v>100</v>
      </c>
      <c r="J130" s="1225" t="n">
        <v>0</v>
      </c>
      <c r="K130" s="1225" t="n">
        <v>0</v>
      </c>
      <c r="L130" s="1225" t="n">
        <v>0</v>
      </c>
      <c r="M130" s="1242" t="n">
        <v>1845</v>
      </c>
      <c r="N130" s="1242" t="n">
        <v>2550</v>
      </c>
      <c r="O130" s="1226" t="s">
        <v>1152</v>
      </c>
      <c r="P130" s="1226"/>
      <c r="Q130" s="1226"/>
      <c r="R130" s="1226"/>
      <c r="S130" s="1226"/>
      <c r="T130" s="1228"/>
    </row>
    <row r="131">
      <c r="A131" s="1223" t="s">
        <v>1189</v>
      </c>
      <c r="B131" s="1224" t="s">
        <v>1190</v>
      </c>
      <c r="C131" s="1225" t="n">
        <v>0</v>
      </c>
      <c r="D131" s="1225" t="n">
        <v>10</v>
      </c>
      <c r="E131" s="1225" t="n">
        <v>45</v>
      </c>
      <c r="F131" s="1225" t="n">
        <v>70</v>
      </c>
      <c r="G131" s="1225" t="n">
        <v>100</v>
      </c>
      <c r="H131" s="1225" t="n">
        <v>100</v>
      </c>
      <c r="I131" s="1225" t="n">
        <v>100</v>
      </c>
      <c r="J131" s="1225" t="n">
        <v>100</v>
      </c>
      <c r="K131" s="1225" t="n">
        <v>100</v>
      </c>
      <c r="L131" s="1225" t="n">
        <v>100</v>
      </c>
      <c r="M131" s="1225" t="n">
        <v>225</v>
      </c>
      <c r="N131" s="1225" t="n">
        <v>725</v>
      </c>
      <c r="O131" s="1226" t="s">
        <v>1152</v>
      </c>
      <c r="P131" s="1226"/>
      <c r="Q131" s="1226"/>
      <c r="R131" s="1226"/>
      <c r="S131" s="1226"/>
      <c r="T131" s="1228"/>
    </row>
    <row r="132">
      <c r="A132" s="1240" t="s">
        <v>1191</v>
      </c>
      <c r="B132" s="1241" t="s">
        <v>1192</v>
      </c>
      <c r="C132" s="1225" t="n">
        <v>0</v>
      </c>
      <c r="D132" s="1225" t="n">
        <v>14</v>
      </c>
      <c r="E132" s="1225" t="n">
        <v>11</v>
      </c>
      <c r="F132" s="1225" t="n">
        <v>0</v>
      </c>
      <c r="G132" s="1225" t="n">
        <v>0</v>
      </c>
      <c r="H132" s="1225" t="n">
        <v>0</v>
      </c>
      <c r="I132" s="1225" t="n">
        <v>0</v>
      </c>
      <c r="J132" s="1225" t="n">
        <v>0</v>
      </c>
      <c r="K132" s="1225" t="n">
        <v>0</v>
      </c>
      <c r="L132" s="1225" t="n">
        <v>0</v>
      </c>
      <c r="M132" s="1225" t="n">
        <v>25</v>
      </c>
      <c r="N132" s="1225" t="n">
        <v>25</v>
      </c>
      <c r="O132" s="1226" t="s">
        <v>1156</v>
      </c>
      <c r="P132" s="1226"/>
      <c r="Q132" s="1226"/>
      <c r="R132" s="1226"/>
      <c r="S132" s="1226"/>
      <c r="T132" s="1227"/>
    </row>
    <row r="133">
      <c r="A133" s="1240" t="s">
        <v>1193</v>
      </c>
      <c r="B133" s="1241" t="s">
        <v>1194</v>
      </c>
      <c r="C133" s="1225" t="n">
        <v>0</v>
      </c>
      <c r="D133" s="1225" t="n">
        <v>84</v>
      </c>
      <c r="E133" s="1225" t="n">
        <v>320</v>
      </c>
      <c r="F133" s="1225" t="n">
        <v>638</v>
      </c>
      <c r="G133" s="1225" t="n">
        <v>928</v>
      </c>
      <c r="H133" s="1225" t="n">
        <v>940</v>
      </c>
      <c r="I133" s="1225" t="n">
        <v>720</v>
      </c>
      <c r="J133" s="1225" t="n">
        <v>300</v>
      </c>
      <c r="K133" s="1225" t="n">
        <v>120</v>
      </c>
      <c r="L133" s="1225" t="n">
        <v>0</v>
      </c>
      <c r="M133" s="1242" t="n">
        <v>1970</v>
      </c>
      <c r="N133" s="1242" t="n">
        <v>4050</v>
      </c>
      <c r="O133" s="1226" t="s">
        <v>1156</v>
      </c>
      <c r="P133" s="1226"/>
      <c r="Q133" s="1226"/>
      <c r="R133" s="1226"/>
      <c r="S133" s="1226"/>
      <c r="T133" s="1228"/>
    </row>
    <row r="134">
      <c r="A134" s="1223" t="s">
        <v>1195</v>
      </c>
      <c r="B134" s="1224" t="s">
        <v>1196</v>
      </c>
      <c r="C134" s="1225" t="n">
        <v>0</v>
      </c>
      <c r="D134" s="1225" t="n">
        <v>40</v>
      </c>
      <c r="E134" s="1225" t="n">
        <v>200</v>
      </c>
      <c r="F134" s="1225" t="n">
        <v>400</v>
      </c>
      <c r="G134" s="1225" t="n">
        <v>660</v>
      </c>
      <c r="H134" s="1225" t="n">
        <v>640</v>
      </c>
      <c r="I134" s="1225" t="n">
        <v>515</v>
      </c>
      <c r="J134" s="1225" t="n">
        <v>240</v>
      </c>
      <c r="K134" s="1225" t="n">
        <v>105</v>
      </c>
      <c r="L134" s="1225" t="n">
        <v>0</v>
      </c>
      <c r="M134" s="1242" t="n">
        <v>1300</v>
      </c>
      <c r="N134" s="1242" t="n">
        <v>2800</v>
      </c>
      <c r="O134" s="1226" t="s">
        <v>1156</v>
      </c>
      <c r="P134" s="1226"/>
      <c r="Q134" s="1226"/>
      <c r="R134" s="1226"/>
      <c r="S134" s="1226"/>
      <c r="T134" s="1228"/>
    </row>
    <row r="135">
      <c r="A135" s="1223" t="s">
        <v>1197</v>
      </c>
      <c r="B135" s="1224" t="s">
        <v>1198</v>
      </c>
      <c r="C135" s="1258" t="n">
        <v>0</v>
      </c>
      <c r="D135" s="1258" t="n">
        <v>138</v>
      </c>
      <c r="E135" s="1258" t="n">
        <v>566</v>
      </c>
      <c r="F135" s="1258" t="n">
        <v>994</v>
      </c>
      <c r="G135" s="1259" t="n">
        <v>1328</v>
      </c>
      <c r="H135" s="1259" t="n">
        <v>1791</v>
      </c>
      <c r="I135" s="1259" t="n">
        <v>2350</v>
      </c>
      <c r="J135" s="1259" t="n">
        <v>2928</v>
      </c>
      <c r="K135" s="1259" t="n">
        <v>3548</v>
      </c>
      <c r="L135" s="1259" t="n">
        <v>4162</v>
      </c>
      <c r="M135" s="1259" t="n">
        <v>3026</v>
      </c>
      <c r="N135" s="1259" t="n">
        <v>17805</v>
      </c>
      <c r="O135" s="1260" t="s">
        <v>45</v>
      </c>
      <c r="P135" s="1260"/>
      <c r="Q135" s="1260"/>
      <c r="R135" s="1260"/>
      <c r="S135" s="1260"/>
      <c r="T135" s="1261"/>
    </row>
    <row r="136">
      <c r="A136" s="1223" t="s">
        <v>1199</v>
      </c>
      <c r="B136" s="1224" t="s">
        <v>1200</v>
      </c>
      <c r="C136" s="1258" t="n">
        <v>0</v>
      </c>
      <c r="D136" s="1258" t="n">
        <v>0</v>
      </c>
      <c r="E136" s="1258" t="n">
        <v>235</v>
      </c>
      <c r="F136" s="1258" t="n">
        <v>317</v>
      </c>
      <c r="G136" s="1258" t="n">
        <v>304</v>
      </c>
      <c r="H136" s="1258" t="n">
        <v>314</v>
      </c>
      <c r="I136" s="1258" t="n">
        <v>324</v>
      </c>
      <c r="J136" s="1258" t="n">
        <v>335</v>
      </c>
      <c r="K136" s="1258" t="n">
        <v>346</v>
      </c>
      <c r="L136" s="1258" t="n">
        <v>359</v>
      </c>
      <c r="M136" s="1258" t="n">
        <v>856</v>
      </c>
      <c r="N136" s="1259" t="n">
        <v>2534</v>
      </c>
      <c r="O136" s="1260" t="s">
        <v>45</v>
      </c>
      <c r="P136" s="1260"/>
      <c r="Q136" s="1260"/>
      <c r="R136" s="1260"/>
      <c r="S136" s="1260"/>
      <c r="T136" s="1228"/>
    </row>
    <row r="137" ht="24" customHeight="1">
      <c r="A137" s="1223" t="s">
        <v>1201</v>
      </c>
      <c r="B137" s="1224" t="s">
        <v>1202</v>
      </c>
      <c r="C137" s="1262"/>
      <c r="D137" s="1262" t="n">
        <v>333</v>
      </c>
      <c r="E137" s="1262" t="n">
        <v>314</v>
      </c>
      <c r="F137" s="1262" t="n">
        <v>314</v>
      </c>
      <c r="G137" s="1262" t="n">
        <v>-4530</v>
      </c>
      <c r="H137" s="1262" t="n">
        <v>-9118</v>
      </c>
      <c r="I137" s="1262" t="n">
        <v>-18184</v>
      </c>
      <c r="J137" s="1262" t="n">
        <v>-20493</v>
      </c>
      <c r="K137" s="1262" t="n">
        <v>-23289</v>
      </c>
      <c r="L137" s="1262" t="n">
        <v>-24298</v>
      </c>
      <c r="M137" s="1262" t="n">
        <v>-569</v>
      </c>
      <c r="N137" s="1262" t="n">
        <v>-95951</v>
      </c>
      <c r="O137" s="1263" t="s">
        <v>46</v>
      </c>
      <c r="P137" s="1263"/>
      <c r="Q137" s="1263"/>
      <c r="R137" s="1263"/>
      <c r="S137" s="1263"/>
      <c r="T137" s="1264"/>
    </row>
    <row r="138" ht="36" customHeight="1">
      <c r="A138" s="1223" t="s">
        <v>1197</v>
      </c>
      <c r="B138" s="1224" t="s">
        <v>1203</v>
      </c>
      <c r="C138" s="1265" t="n">
        <v>0</v>
      </c>
      <c r="D138" s="1265" t="n">
        <v>-2447</v>
      </c>
      <c r="E138" s="1265" t="n">
        <v>-3716</v>
      </c>
      <c r="F138" s="1265" t="n">
        <v>-19171</v>
      </c>
      <c r="G138" s="1265" t="n">
        <v>-7014</v>
      </c>
      <c r="H138" s="1265" t="n">
        <v>-7706</v>
      </c>
      <c r="I138" s="1265" t="n">
        <v>-8497</v>
      </c>
      <c r="J138" s="1265" t="n">
        <v>-9360</v>
      </c>
      <c r="K138" s="1265" t="n">
        <v>-10602</v>
      </c>
      <c r="L138" s="1265" t="n">
        <v>-11603</v>
      </c>
      <c r="M138" s="1265" t="n">
        <v>-32348</v>
      </c>
      <c r="N138" s="1265" t="n">
        <v>-80116</v>
      </c>
      <c r="O138" s="1263" t="s">
        <v>46</v>
      </c>
      <c r="P138" s="1263"/>
      <c r="Q138" s="1263"/>
      <c r="R138" s="1263"/>
      <c r="S138" s="1263"/>
      <c r="T138" s="1228"/>
    </row>
    <row r="139">
      <c r="A139" s="1223" t="s">
        <v>1204</v>
      </c>
      <c r="B139" s="1224" t="s">
        <v>1205</v>
      </c>
      <c r="C139" s="1262" t="n">
        <v>0</v>
      </c>
      <c r="D139" s="1262" t="n">
        <v>53</v>
      </c>
      <c r="E139" s="1262" t="n">
        <v>1991</v>
      </c>
      <c r="F139" s="1262" t="n">
        <v>3308</v>
      </c>
      <c r="G139" s="1262" t="n">
        <v>3545</v>
      </c>
      <c r="H139" s="1262" t="n">
        <v>4537</v>
      </c>
      <c r="I139" s="1262" t="n">
        <v>4476</v>
      </c>
      <c r="J139" s="1262" t="n">
        <v>3947</v>
      </c>
      <c r="K139" s="1262" t="n">
        <v>1781</v>
      </c>
      <c r="L139" s="1262" t="n">
        <v>1462</v>
      </c>
      <c r="M139" s="1262" t="n">
        <v>8897</v>
      </c>
      <c r="N139" s="1262" t="n">
        <v>25100</v>
      </c>
      <c r="O139" s="1263" t="s">
        <v>46</v>
      </c>
      <c r="P139" s="1263"/>
      <c r="Q139" s="1263"/>
      <c r="R139" s="1263"/>
      <c r="S139" s="1263"/>
      <c r="T139" s="1228"/>
    </row>
    <row r="140">
      <c r="A140" s="1223" t="s">
        <v>1206</v>
      </c>
      <c r="B140" s="1224" t="s">
        <v>1207</v>
      </c>
      <c r="C140" s="1266" t="n">
        <v>0</v>
      </c>
      <c r="D140" s="1266" t="n">
        <v>0</v>
      </c>
      <c r="E140" s="1266" t="n">
        <v>0</v>
      </c>
      <c r="F140" s="1266" t="n">
        <v>0</v>
      </c>
      <c r="G140" s="1266" t="n">
        <v>0</v>
      </c>
      <c r="H140" s="1267" t="n">
        <v>-16290</v>
      </c>
      <c r="I140" s="1267" t="n">
        <v>-25656</v>
      </c>
      <c r="J140" s="1267" t="n">
        <v>-23394</v>
      </c>
      <c r="K140" s="1267" t="n">
        <v>-27561</v>
      </c>
      <c r="L140" s="1267" t="n">
        <v>-29250</v>
      </c>
      <c r="M140" s="1266" t="n">
        <v>0</v>
      </c>
      <c r="N140" s="1267" t="n">
        <v>-122151</v>
      </c>
      <c r="O140" s="1263" t="s">
        <v>46</v>
      </c>
      <c r="P140" s="1263"/>
      <c r="Q140" s="1263"/>
      <c r="R140" s="1263"/>
      <c r="S140" s="1263"/>
      <c r="T140" s="1228"/>
    </row>
    <row r="141" ht="36" customHeight="1">
      <c r="A141" s="1223" t="s">
        <v>1208</v>
      </c>
      <c r="B141" s="1224" t="s">
        <v>1209</v>
      </c>
      <c r="C141" s="1262" t="n">
        <v>0</v>
      </c>
      <c r="D141" s="1262" t="n">
        <v>-70</v>
      </c>
      <c r="E141" s="1262" t="n">
        <v>300</v>
      </c>
      <c r="F141" s="1262" t="n">
        <v>862</v>
      </c>
      <c r="G141" s="1262" t="n">
        <v>577</v>
      </c>
      <c r="H141" s="1262" t="n">
        <v>464</v>
      </c>
      <c r="I141" s="1262" t="n">
        <v>549</v>
      </c>
      <c r="J141" s="1262" t="n">
        <v>501</v>
      </c>
      <c r="K141" s="1262" t="n">
        <v>591</v>
      </c>
      <c r="L141" s="1262" t="n">
        <v>630</v>
      </c>
      <c r="M141" s="1262" t="n">
        <v>1669</v>
      </c>
      <c r="N141" s="1262" t="n">
        <v>4404</v>
      </c>
      <c r="O141" s="1263" t="s">
        <v>46</v>
      </c>
      <c r="P141" s="1263"/>
      <c r="Q141" s="1263"/>
      <c r="R141" s="1263"/>
      <c r="S141" s="1263"/>
      <c r="T141" s="1228"/>
    </row>
    <row r="142">
      <c r="A142" s="1223" t="s">
        <v>1210</v>
      </c>
      <c r="B142" s="1224" t="s">
        <v>1211</v>
      </c>
      <c r="C142" s="1266" t="n">
        <v>0</v>
      </c>
      <c r="D142" s="1266" t="n">
        <v>0</v>
      </c>
      <c r="E142" s="1266" t="n">
        <v>195</v>
      </c>
      <c r="F142" s="1266" t="n">
        <v>230</v>
      </c>
      <c r="G142" s="1266" t="n">
        <v>248</v>
      </c>
      <c r="H142" s="1266" t="n">
        <v>266</v>
      </c>
      <c r="I142" s="1266" t="n">
        <v>311</v>
      </c>
      <c r="J142" s="1266" t="n">
        <v>281</v>
      </c>
      <c r="K142" s="1266" t="n">
        <v>327</v>
      </c>
      <c r="L142" s="1266" t="n">
        <v>347</v>
      </c>
      <c r="M142" s="1266" t="n">
        <v>673</v>
      </c>
      <c r="N142" s="1267" t="n">
        <v>2205</v>
      </c>
      <c r="O142" s="1263" t="s">
        <v>46</v>
      </c>
      <c r="P142" s="1263"/>
      <c r="Q142" s="1263"/>
      <c r="R142" s="1263"/>
      <c r="S142" s="1263"/>
      <c r="T142" s="1228"/>
    </row>
    <row r="143">
      <c r="A143" s="1240" t="s">
        <v>1212</v>
      </c>
      <c r="B143" s="1241" t="s">
        <v>1213</v>
      </c>
      <c r="C143" s="1268" t="n">
        <v>0</v>
      </c>
      <c r="D143" s="1268" t="n">
        <v>70</v>
      </c>
      <c r="E143" s="1268" t="n">
        <v>132</v>
      </c>
      <c r="F143" s="1268" t="n">
        <v>51</v>
      </c>
      <c r="G143" s="1268" t="n">
        <v>20</v>
      </c>
      <c r="H143" s="1268" t="n">
        <v>8</v>
      </c>
      <c r="I143" s="1268" t="n">
        <v>0</v>
      </c>
      <c r="J143" s="1268" t="n">
        <v>0</v>
      </c>
      <c r="K143" s="1268" t="n">
        <v>0</v>
      </c>
      <c r="L143" s="1268" t="n">
        <v>0</v>
      </c>
      <c r="M143" s="1268" t="n">
        <v>273</v>
      </c>
      <c r="N143" s="1268" t="n">
        <v>281</v>
      </c>
      <c r="O143" s="1269" t="s">
        <v>1214</v>
      </c>
      <c r="P143" s="1269"/>
      <c r="Q143" s="1269"/>
      <c r="R143" s="1269"/>
      <c r="S143" s="1269"/>
      <c r="T143" s="1228" t="s">
        <v>1215</v>
      </c>
    </row>
    <row r="144">
      <c r="A144" s="1240" t="s">
        <v>1216</v>
      </c>
      <c r="B144" s="1241" t="s">
        <v>1217</v>
      </c>
      <c r="C144" s="1268" t="n">
        <v>0</v>
      </c>
      <c r="D144" s="1268" t="n">
        <v>465</v>
      </c>
      <c r="E144" s="1270" t="n">
        <v>2420</v>
      </c>
      <c r="F144" s="1270" t="n">
        <v>4755</v>
      </c>
      <c r="G144" s="1270" t="n">
        <v>5980</v>
      </c>
      <c r="H144" s="1270" t="n">
        <v>4694</v>
      </c>
      <c r="I144" s="1270" t="n">
        <v>1573</v>
      </c>
      <c r="J144" s="1268" t="n">
        <v>93</v>
      </c>
      <c r="K144" s="1268" t="n">
        <v>0</v>
      </c>
      <c r="L144" s="1268" t="n">
        <v>0</v>
      </c>
      <c r="M144" s="1270" t="n">
        <v>13620</v>
      </c>
      <c r="N144" s="1270" t="n">
        <v>19980</v>
      </c>
      <c r="O144" s="1269" t="s">
        <v>1214</v>
      </c>
      <c r="P144" s="1269"/>
      <c r="Q144" s="1269"/>
      <c r="R144" s="1269"/>
      <c r="S144" s="1269"/>
      <c r="T144" s="1228" t="s">
        <v>1218</v>
      </c>
    </row>
    <row r="145">
      <c r="A145" s="1223" t="s">
        <v>1219</v>
      </c>
      <c r="B145" s="1224" t="s">
        <v>1220</v>
      </c>
      <c r="C145" s="1268" t="n">
        <v>0</v>
      </c>
      <c r="D145" s="1268" t="n">
        <v>20</v>
      </c>
      <c r="E145" s="1268" t="n">
        <v>65</v>
      </c>
      <c r="F145" s="1268" t="n">
        <v>110</v>
      </c>
      <c r="G145" s="1268" t="n">
        <v>135</v>
      </c>
      <c r="H145" s="1268" t="n">
        <v>180</v>
      </c>
      <c r="I145" s="1268" t="n">
        <v>230</v>
      </c>
      <c r="J145" s="1268" t="n">
        <v>180</v>
      </c>
      <c r="K145" s="1268" t="n">
        <v>60</v>
      </c>
      <c r="L145" s="1268" t="n">
        <v>10</v>
      </c>
      <c r="M145" s="1268" t="n">
        <v>330</v>
      </c>
      <c r="N145" s="1268" t="n">
        <v>990</v>
      </c>
      <c r="O145" s="1269" t="s">
        <v>1214</v>
      </c>
      <c r="P145" s="1269"/>
      <c r="Q145" s="1269"/>
      <c r="R145" s="1269"/>
      <c r="S145" s="1269"/>
      <c r="T145" s="1251" t="s">
        <v>1221</v>
      </c>
    </row>
    <row r="146">
      <c r="A146" s="1223" t="s">
        <v>1222</v>
      </c>
      <c r="B146" s="1224" t="s">
        <v>1223</v>
      </c>
      <c r="C146" s="1268" t="n">
        <v>0</v>
      </c>
      <c r="D146" s="1270" t="n">
        <v>20892</v>
      </c>
      <c r="E146" s="1270" t="n">
        <v>11288</v>
      </c>
      <c r="F146" s="1270" t="n">
        <v>9651</v>
      </c>
      <c r="G146" s="1270" t="n">
        <v>-8548</v>
      </c>
      <c r="H146" s="1268" t="n">
        <v>-463</v>
      </c>
      <c r="I146" s="1268" t="n">
        <v>0</v>
      </c>
      <c r="J146" s="1268" t="n">
        <v>0</v>
      </c>
      <c r="K146" s="1268" t="n">
        <v>0</v>
      </c>
      <c r="L146" s="1268" t="n">
        <v>0</v>
      </c>
      <c r="M146" s="1270" t="n">
        <v>33283</v>
      </c>
      <c r="N146" s="1270" t="n">
        <v>32820</v>
      </c>
      <c r="O146" s="1271" t="s">
        <v>1214</v>
      </c>
      <c r="P146" s="1271"/>
      <c r="Q146" s="1271"/>
      <c r="R146" s="1271"/>
      <c r="S146" s="1271"/>
      <c r="T146" s="1228"/>
    </row>
    <row r="147">
      <c r="A147" s="1223" t="s">
        <v>1224</v>
      </c>
      <c r="B147" s="1224" t="s">
        <v>1225</v>
      </c>
      <c r="C147" s="1268" t="n">
        <v>0</v>
      </c>
      <c r="D147" s="1268" t="n">
        <v>24</v>
      </c>
      <c r="E147" s="1268" t="n">
        <v>65</v>
      </c>
      <c r="F147" s="1268" t="n">
        <v>112</v>
      </c>
      <c r="G147" s="1268" t="n">
        <v>130</v>
      </c>
      <c r="H147" s="1268" t="n">
        <v>98</v>
      </c>
      <c r="I147" s="1268" t="n">
        <v>56</v>
      </c>
      <c r="J147" s="1268" t="n">
        <v>15</v>
      </c>
      <c r="K147" s="1268" t="n">
        <v>0</v>
      </c>
      <c r="L147" s="1268" t="n">
        <v>0</v>
      </c>
      <c r="M147" s="1268" t="n">
        <v>331</v>
      </c>
      <c r="N147" s="1268" t="n">
        <v>500</v>
      </c>
      <c r="O147" s="1271" t="s">
        <v>1214</v>
      </c>
      <c r="P147" s="1271"/>
      <c r="Q147" s="1271"/>
      <c r="R147" s="1271"/>
      <c r="S147" s="1271"/>
      <c r="T147" s="1228"/>
    </row>
    <row r="148">
      <c r="A148" s="1272" t="s">
        <v>1226</v>
      </c>
      <c r="B148" s="1273" t="s">
        <v>1227</v>
      </c>
      <c r="C148" s="1268" t="n">
        <v>0</v>
      </c>
      <c r="D148" s="1268" t="n">
        <v>50</v>
      </c>
      <c r="E148" s="1268" t="n">
        <v>500</v>
      </c>
      <c r="F148" s="1268" t="n">
        <v>920</v>
      </c>
      <c r="G148" s="1270" t="n">
        <v>1310</v>
      </c>
      <c r="H148" s="1270" t="n">
        <v>1680</v>
      </c>
      <c r="I148" s="1270" t="n">
        <v>1780</v>
      </c>
      <c r="J148" s="1270" t="n">
        <v>1640</v>
      </c>
      <c r="K148" s="1270" t="n">
        <v>1090</v>
      </c>
      <c r="L148" s="1268" t="n">
        <v>630</v>
      </c>
      <c r="M148" s="1270" t="n">
        <v>2780</v>
      </c>
      <c r="N148" s="1270" t="n">
        <v>9600</v>
      </c>
      <c r="O148" s="1271" t="s">
        <v>1214</v>
      </c>
      <c r="P148" s="1271"/>
      <c r="Q148" s="1271"/>
      <c r="R148" s="1271"/>
      <c r="S148" s="1271"/>
      <c r="T148" s="1274"/>
    </row>
    <row r="149">
      <c r="A149" s="1223" t="s">
        <v>1228</v>
      </c>
      <c r="B149" s="1224" t="s">
        <v>1229</v>
      </c>
      <c r="C149" s="1268" t="n">
        <v>0</v>
      </c>
      <c r="D149" s="1268" t="n">
        <v>30</v>
      </c>
      <c r="E149" s="1268" t="n">
        <v>90</v>
      </c>
      <c r="F149" s="1268" t="n">
        <v>90</v>
      </c>
      <c r="G149" s="1268" t="n">
        <v>85</v>
      </c>
      <c r="H149" s="1268" t="n">
        <v>70</v>
      </c>
      <c r="I149" s="1268" t="n">
        <v>65</v>
      </c>
      <c r="J149" s="1268" t="n">
        <v>65</v>
      </c>
      <c r="K149" s="1268" t="n">
        <v>35</v>
      </c>
      <c r="L149" s="1268" t="n">
        <v>15</v>
      </c>
      <c r="M149" s="1268" t="n">
        <v>295</v>
      </c>
      <c r="N149" s="1268" t="n">
        <v>545</v>
      </c>
      <c r="O149" s="1271" t="s">
        <v>1214</v>
      </c>
      <c r="P149" s="1271"/>
      <c r="Q149" s="1271"/>
      <c r="R149" s="1271"/>
      <c r="S149" s="1271"/>
      <c r="T149" s="1228"/>
    </row>
    <row r="150">
      <c r="A150" s="1223" t="s">
        <v>1230</v>
      </c>
      <c r="B150" s="1224" t="s">
        <v>1231</v>
      </c>
      <c r="C150" s="1268" t="n">
        <v>0</v>
      </c>
      <c r="D150" s="1268" t="n">
        <v>185</v>
      </c>
      <c r="E150" s="1268" t="n">
        <v>394</v>
      </c>
      <c r="F150" s="1268" t="n">
        <v>639</v>
      </c>
      <c r="G150" s="1268" t="n">
        <v>722</v>
      </c>
      <c r="H150" s="1268" t="n">
        <v>595</v>
      </c>
      <c r="I150" s="1268" t="n">
        <v>346</v>
      </c>
      <c r="J150" s="1268" t="n">
        <v>101</v>
      </c>
      <c r="K150" s="1268" t="n">
        <v>18</v>
      </c>
      <c r="L150" s="1268" t="n">
        <v>0</v>
      </c>
      <c r="M150" s="1270" t="n">
        <v>1940</v>
      </c>
      <c r="N150" s="1270" t="n">
        <v>3000</v>
      </c>
      <c r="O150" s="1269" t="s">
        <v>1214</v>
      </c>
      <c r="P150" s="1269"/>
      <c r="Q150" s="1269"/>
      <c r="R150" s="1269"/>
      <c r="S150" s="1269"/>
      <c r="T150" s="1228"/>
    </row>
    <row r="151">
      <c r="A151" s="1223" t="s">
        <v>1232</v>
      </c>
      <c r="B151" s="1224" t="s">
        <v>1233</v>
      </c>
      <c r="C151" s="1268" t="n">
        <v>0</v>
      </c>
      <c r="D151" s="1268" t="n">
        <v>8</v>
      </c>
      <c r="E151" s="1268" t="n">
        <v>26</v>
      </c>
      <c r="F151" s="1268" t="n">
        <v>41</v>
      </c>
      <c r="G151" s="1268" t="n">
        <v>38</v>
      </c>
      <c r="H151" s="1268" t="n">
        <v>22</v>
      </c>
      <c r="I151" s="1268" t="n">
        <v>11</v>
      </c>
      <c r="J151" s="1268" t="n">
        <v>4</v>
      </c>
      <c r="K151" s="1268" t="n">
        <v>0</v>
      </c>
      <c r="L151" s="1268" t="n">
        <v>0</v>
      </c>
      <c r="M151" s="1268" t="n">
        <v>113</v>
      </c>
      <c r="N151" s="1268" t="n">
        <v>150</v>
      </c>
      <c r="O151" s="1269" t="s">
        <v>1214</v>
      </c>
      <c r="P151" s="1269"/>
      <c r="Q151" s="1269"/>
      <c r="R151" s="1269"/>
      <c r="S151" s="1269"/>
      <c r="T151" s="1228"/>
    </row>
    <row r="152" ht="24" customHeight="1">
      <c r="A152" s="1240" t="s">
        <v>1234</v>
      </c>
      <c r="B152" s="1241" t="s">
        <v>1235</v>
      </c>
      <c r="C152" s="1275" t="n">
        <v>0</v>
      </c>
      <c r="D152" s="1276" t="n">
        <v>77</v>
      </c>
      <c r="E152" s="1276" t="n">
        <v>232</v>
      </c>
      <c r="F152" s="1276" t="n">
        <v>341</v>
      </c>
      <c r="G152" s="1276" t="n">
        <v>496</v>
      </c>
      <c r="H152" s="1276" t="n">
        <v>310</v>
      </c>
      <c r="I152" s="1276" t="n">
        <v>47</v>
      </c>
      <c r="J152" s="1276" t="n">
        <v>31</v>
      </c>
      <c r="K152" s="1276" t="n">
        <v>15</v>
      </c>
      <c r="L152" s="1276" t="n">
        <v>1</v>
      </c>
      <c r="M152" s="1277" t="n">
        <v>1146</v>
      </c>
      <c r="N152" s="1277" t="n">
        <v>1550</v>
      </c>
      <c r="O152" s="1278" t="s">
        <v>1236</v>
      </c>
      <c r="P152" s="1285"/>
      <c r="Q152" s="1285"/>
      <c r="R152" s="1285"/>
      <c r="S152" s="1285"/>
      <c r="T152" s="1228" t="s">
        <v>1237</v>
      </c>
    </row>
    <row r="153" ht="30" customHeight="1">
      <c r="A153" s="1223" t="s">
        <v>1238</v>
      </c>
      <c r="B153" s="1224" t="s">
        <v>1239</v>
      </c>
      <c r="C153" s="1279" t="n">
        <v>0</v>
      </c>
      <c r="D153" s="1279" t="n">
        <v>264</v>
      </c>
      <c r="E153" s="1279" t="n">
        <v>715</v>
      </c>
      <c r="F153" s="1279" t="n">
        <v>1393</v>
      </c>
      <c r="G153" s="1279" t="n">
        <v>2492</v>
      </c>
      <c r="H153" s="1279" t="n">
        <v>3364</v>
      </c>
      <c r="I153" s="1279" t="n">
        <v>3209</v>
      </c>
      <c r="J153" s="1279" t="n">
        <v>2750</v>
      </c>
      <c r="K153" s="1279" t="n">
        <v>1783</v>
      </c>
      <c r="L153" s="1279" t="n">
        <v>744</v>
      </c>
      <c r="M153" s="1280" t="n">
        <v>4864</v>
      </c>
      <c r="N153" s="1280" t="n">
        <v>16714</v>
      </c>
      <c r="O153" s="1286" t="s">
        <v>43</v>
      </c>
      <c r="P153" s="1286"/>
      <c r="Q153" s="1286"/>
      <c r="R153" s="1286"/>
      <c r="S153" s="1286"/>
      <c r="T153" s="1287" t="s">
        <v>1240</v>
      </c>
    </row>
    <row r="154">
      <c r="A154" s="1223" t="s">
        <v>1241</v>
      </c>
      <c r="B154" s="1224" t="s">
        <v>1242</v>
      </c>
      <c r="C154" s="1288" t="n">
        <v>0</v>
      </c>
      <c r="D154" s="1288" t="n">
        <v>0</v>
      </c>
      <c r="E154" s="1288" t="n">
        <v>50</v>
      </c>
      <c r="F154" s="1288" t="n">
        <v>270</v>
      </c>
      <c r="G154" s="1288" t="n">
        <v>680</v>
      </c>
      <c r="H154" s="1288" t="n">
        <v>850</v>
      </c>
      <c r="I154" s="1288" t="n">
        <v>730</v>
      </c>
      <c r="J154" s="1288" t="n">
        <v>485</v>
      </c>
      <c r="K154" s="1288" t="n">
        <v>285</v>
      </c>
      <c r="L154" s="1288" t="n">
        <v>145</v>
      </c>
      <c r="M154" s="1289" t="n">
        <v>1000</v>
      </c>
      <c r="N154" s="1289" t="n">
        <v>3495</v>
      </c>
      <c r="O154" s="1290" t="s">
        <v>43</v>
      </c>
      <c r="P154" s="1290"/>
      <c r="Q154" s="1290"/>
      <c r="R154" s="1290"/>
      <c r="S154" s="1290"/>
      <c r="T154" s="1291" t="s">
        <v>1243</v>
      </c>
    </row>
    <row r="155">
      <c r="A155" s="1223" t="s">
        <v>1244</v>
      </c>
      <c r="B155" s="1224" t="s">
        <v>1245</v>
      </c>
      <c r="C155" s="1288" t="n">
        <v>0</v>
      </c>
      <c r="D155" s="1288" t="n">
        <v>5</v>
      </c>
      <c r="E155" s="1288" t="n">
        <v>5</v>
      </c>
      <c r="F155" s="1288" t="n">
        <v>10</v>
      </c>
      <c r="G155" s="1288" t="n">
        <v>25</v>
      </c>
      <c r="H155" s="1288" t="n">
        <v>70</v>
      </c>
      <c r="I155" s="1288" t="n">
        <v>175</v>
      </c>
      <c r="J155" s="1288" t="n">
        <v>385</v>
      </c>
      <c r="K155" s="1288" t="n">
        <v>460</v>
      </c>
      <c r="L155" s="1288" t="n">
        <v>325</v>
      </c>
      <c r="M155" s="1288" t="n">
        <v>45</v>
      </c>
      <c r="N155" s="1289" t="n">
        <v>1460</v>
      </c>
      <c r="O155" s="1292" t="s">
        <v>43</v>
      </c>
      <c r="P155" s="1292"/>
      <c r="Q155" s="1292"/>
      <c r="R155" s="1292"/>
      <c r="S155" s="1292"/>
      <c r="T155" s="1291" t="s">
        <v>1246</v>
      </c>
    </row>
    <row r="156">
      <c r="A156" s="1240" t="s">
        <v>1247</v>
      </c>
      <c r="B156" s="1241" t="s">
        <v>1248</v>
      </c>
      <c r="C156" s="1288" t="n">
        <v>0</v>
      </c>
      <c r="D156" s="1288" t="n">
        <v>6</v>
      </c>
      <c r="E156" s="1288" t="n">
        <v>8</v>
      </c>
      <c r="F156" s="1288" t="n">
        <v>1</v>
      </c>
      <c r="G156" s="1288" t="n">
        <v>0</v>
      </c>
      <c r="H156" s="1288" t="n">
        <v>0</v>
      </c>
      <c r="I156" s="1288" t="n">
        <v>0</v>
      </c>
      <c r="J156" s="1288" t="n">
        <v>0</v>
      </c>
      <c r="K156" s="1288" t="n">
        <v>0</v>
      </c>
      <c r="L156" s="1288" t="n">
        <v>0</v>
      </c>
      <c r="M156" s="1288" t="n">
        <v>15</v>
      </c>
      <c r="N156" s="1288" t="n">
        <v>15</v>
      </c>
      <c r="O156" s="1292" t="s">
        <v>43</v>
      </c>
      <c r="P156" s="1292"/>
      <c r="Q156" s="1292"/>
      <c r="R156" s="1292"/>
      <c r="S156" s="1292"/>
      <c r="T156" s="1291" t="s">
        <v>1249</v>
      </c>
    </row>
    <row r="157" ht="24" customHeight="1">
      <c r="A157" s="1223" t="s">
        <v>1250</v>
      </c>
      <c r="B157" s="1224" t="s">
        <v>1251</v>
      </c>
      <c r="C157" s="1288" t="n">
        <v>0</v>
      </c>
      <c r="D157" s="1288" t="n">
        <v>5</v>
      </c>
      <c r="E157" s="1288" t="n">
        <v>41</v>
      </c>
      <c r="F157" s="1288" t="n">
        <v>116</v>
      </c>
      <c r="G157" s="1288" t="n">
        <v>284</v>
      </c>
      <c r="H157" s="1288" t="n">
        <v>417</v>
      </c>
      <c r="I157" s="1288" t="n">
        <v>459</v>
      </c>
      <c r="J157" s="1288" t="n">
        <v>355</v>
      </c>
      <c r="K157" s="1288" t="n">
        <v>210</v>
      </c>
      <c r="L157" s="1288" t="n">
        <v>90</v>
      </c>
      <c r="M157" s="1288" t="n">
        <v>446</v>
      </c>
      <c r="N157" s="1289" t="n">
        <v>1977</v>
      </c>
      <c r="O157" s="1293" t="s">
        <v>43</v>
      </c>
      <c r="P157" s="1293"/>
      <c r="Q157" s="1293"/>
      <c r="R157" s="1293"/>
      <c r="S157" s="1293"/>
      <c r="T157" s="1294" t="s">
        <v>1252</v>
      </c>
    </row>
    <row r="158" ht="24" customHeight="1">
      <c r="A158" s="1223" t="s">
        <v>1253</v>
      </c>
      <c r="B158" s="1224" t="s">
        <v>1254</v>
      </c>
      <c r="C158" s="1288" t="n">
        <v>0</v>
      </c>
      <c r="D158" s="1288" t="n">
        <v>20</v>
      </c>
      <c r="E158" s="1288" t="n">
        <v>100</v>
      </c>
      <c r="F158" s="1288" t="n">
        <v>460</v>
      </c>
      <c r="G158" s="1289" t="n">
        <v>1070</v>
      </c>
      <c r="H158" s="1289" t="n">
        <v>1430</v>
      </c>
      <c r="I158" s="1289" t="n">
        <v>1110</v>
      </c>
      <c r="J158" s="1288" t="n">
        <v>660</v>
      </c>
      <c r="K158" s="1288" t="n">
        <v>300</v>
      </c>
      <c r="L158" s="1288" t="n">
        <v>100</v>
      </c>
      <c r="M158" s="1289" t="n">
        <v>1650</v>
      </c>
      <c r="N158" s="1289" t="n">
        <v>5250</v>
      </c>
      <c r="O158" s="1292" t="s">
        <v>43</v>
      </c>
      <c r="P158" s="1292"/>
      <c r="Q158" s="1292"/>
      <c r="R158" s="1292"/>
      <c r="S158" s="1292"/>
      <c r="T158" s="1291" t="s">
        <v>1255</v>
      </c>
    </row>
    <row r="159">
      <c r="A159" s="1223" t="s">
        <v>1256</v>
      </c>
      <c r="B159" s="1224" t="s">
        <v>1257</v>
      </c>
      <c r="C159" s="1306" t="n">
        <v>0</v>
      </c>
      <c r="D159" s="1306" t="n">
        <v>56</v>
      </c>
      <c r="E159" s="1306" t="n">
        <v>141</v>
      </c>
      <c r="F159" s="1306" t="n">
        <v>230</v>
      </c>
      <c r="G159" s="1306" t="n">
        <v>343</v>
      </c>
      <c r="H159" s="1306" t="n">
        <v>470</v>
      </c>
      <c r="I159" s="1306" t="n">
        <v>620</v>
      </c>
      <c r="J159" s="1306" t="n">
        <v>802</v>
      </c>
      <c r="K159" s="1306" t="n">
        <v>1024</v>
      </c>
      <c r="L159" s="1306" t="n">
        <v>1330</v>
      </c>
      <c r="M159" s="1306" t="n">
        <v>769</v>
      </c>
      <c r="N159" s="1306" t="n">
        <v>5015</v>
      </c>
      <c r="O159" s="1290" t="s">
        <v>43</v>
      </c>
      <c r="P159" s="1290"/>
      <c r="Q159" s="1290"/>
      <c r="R159" s="1290"/>
      <c r="S159" s="1290"/>
      <c r="T159" s="1228"/>
    </row>
    <row r="160">
      <c r="A160" s="1223" t="s">
        <v>1258</v>
      </c>
      <c r="B160" s="1224" t="s">
        <v>1259</v>
      </c>
      <c r="C160" s="1288"/>
      <c r="D160" s="1288"/>
      <c r="E160" s="1288"/>
      <c r="F160" s="1288"/>
      <c r="G160" s="1288"/>
      <c r="H160" s="1288"/>
      <c r="I160" s="1288"/>
      <c r="J160" s="1288"/>
      <c r="K160" s="1288"/>
      <c r="L160" s="1288"/>
      <c r="M160" s="1288"/>
      <c r="N160" s="1289"/>
      <c r="O160" s="1293"/>
      <c r="P160" s="1293"/>
      <c r="Q160" s="1293"/>
      <c r="R160" s="1293"/>
      <c r="S160" s="1293"/>
      <c r="T160" s="1228"/>
    </row>
    <row r="161">
      <c r="A161" s="1223" t="s">
        <v>1260</v>
      </c>
      <c r="B161" s="1224" t="s">
        <v>1261</v>
      </c>
      <c r="C161" s="1288"/>
      <c r="D161" s="1288"/>
      <c r="E161" s="1288"/>
      <c r="F161" s="1288"/>
      <c r="G161" s="1288"/>
      <c r="H161" s="1288"/>
      <c r="I161" s="1288"/>
      <c r="J161" s="1288"/>
      <c r="K161" s="1288"/>
      <c r="L161" s="1288"/>
      <c r="M161" s="1288"/>
      <c r="N161" s="1289"/>
      <c r="O161" s="1307"/>
      <c r="P161" s="1307"/>
      <c r="Q161" s="1307"/>
      <c r="R161" s="1307"/>
      <c r="S161" s="1307"/>
      <c r="T161" s="1308"/>
    </row>
    <row r="162">
      <c r="A162" s="1223" t="s">
        <v>1262</v>
      </c>
      <c r="B162" s="1224" t="s">
        <v>1263</v>
      </c>
      <c r="C162" s="1288" t="n">
        <v>0</v>
      </c>
      <c r="D162" s="1288" t="n">
        <v>20</v>
      </c>
      <c r="E162" s="1288" t="n">
        <v>70</v>
      </c>
      <c r="F162" s="1288" t="n">
        <v>130</v>
      </c>
      <c r="G162" s="1288" t="n">
        <v>155</v>
      </c>
      <c r="H162" s="1288" t="n">
        <v>155</v>
      </c>
      <c r="I162" s="1288" t="n">
        <v>155</v>
      </c>
      <c r="J162" s="1288" t="n">
        <v>135</v>
      </c>
      <c r="K162" s="1288" t="n">
        <v>80</v>
      </c>
      <c r="L162" s="1288" t="n">
        <v>20</v>
      </c>
      <c r="M162" s="1288" t="n">
        <v>375</v>
      </c>
      <c r="N162" s="1288" t="n">
        <v>920</v>
      </c>
      <c r="O162" s="1292" t="s">
        <v>43</v>
      </c>
      <c r="P162" s="1292"/>
      <c r="Q162" s="1292"/>
      <c r="R162" s="1292"/>
      <c r="S162" s="1292"/>
      <c r="T162" s="1228"/>
    </row>
    <row r="163">
      <c r="A163" s="1240" t="s">
        <v>1264</v>
      </c>
      <c r="B163" s="1241" t="s">
        <v>1265</v>
      </c>
      <c r="C163" s="1288" t="n">
        <v>0</v>
      </c>
      <c r="D163" s="1288" t="n">
        <v>15</v>
      </c>
      <c r="E163" s="1288" t="n">
        <v>12</v>
      </c>
      <c r="F163" s="1288" t="n">
        <v>8</v>
      </c>
      <c r="G163" s="1288" t="n">
        <v>4</v>
      </c>
      <c r="H163" s="1288" t="n">
        <v>0</v>
      </c>
      <c r="I163" s="1288" t="n">
        <v>0</v>
      </c>
      <c r="J163" s="1288" t="n">
        <v>0</v>
      </c>
      <c r="K163" s="1288" t="n">
        <v>0</v>
      </c>
      <c r="L163" s="1288" t="n">
        <v>0</v>
      </c>
      <c r="M163" s="1288" t="n">
        <v>39</v>
      </c>
      <c r="N163" s="1288" t="n">
        <v>39</v>
      </c>
      <c r="O163" s="1292" t="s">
        <v>43</v>
      </c>
      <c r="P163" s="1292"/>
      <c r="Q163" s="1292"/>
      <c r="R163" s="1292"/>
      <c r="S163" s="1292"/>
      <c r="T163" s="1228"/>
    </row>
    <row r="164">
      <c r="A164" s="1223" t="s">
        <v>1266</v>
      </c>
      <c r="B164" s="1224" t="s">
        <v>1267</v>
      </c>
      <c r="C164" s="1309" t="n">
        <v>0</v>
      </c>
      <c r="D164" s="1309" t="n">
        <v>25</v>
      </c>
      <c r="E164" s="1309" t="n">
        <v>100</v>
      </c>
      <c r="F164" s="1309" t="n">
        <v>125</v>
      </c>
      <c r="G164" s="1309" t="n">
        <v>100</v>
      </c>
      <c r="H164" s="1309" t="n">
        <v>75</v>
      </c>
      <c r="I164" s="1309" t="n">
        <v>30</v>
      </c>
      <c r="J164" s="1309" t="n">
        <v>20</v>
      </c>
      <c r="K164" s="1309" t="n">
        <v>0</v>
      </c>
      <c r="L164" s="1309" t="n">
        <v>0</v>
      </c>
      <c r="M164" s="1309" t="n">
        <v>350</v>
      </c>
      <c r="N164" s="1309" t="n">
        <v>475</v>
      </c>
      <c r="O164" s="1310" t="s">
        <v>43</v>
      </c>
      <c r="P164" s="1310"/>
      <c r="Q164" s="1310"/>
      <c r="R164" s="1310"/>
      <c r="S164" s="1310"/>
      <c r="T164" s="1228"/>
    </row>
    <row r="165">
      <c r="A165" s="1321"/>
      <c r="B165" s="1171"/>
      <c r="C165" s="1322"/>
      <c r="D165" s="1322"/>
      <c r="E165" s="1322"/>
      <c r="F165" s="1322"/>
      <c r="G165" s="1322"/>
      <c r="H165" s="1322"/>
      <c r="I165" s="1322"/>
      <c r="J165" s="1322"/>
      <c r="K165" s="1322"/>
      <c r="L165" s="1322"/>
      <c r="M165" s="1322"/>
      <c r="N165" s="1322"/>
      <c r="O165" s="1321"/>
      <c r="P165" s="1321"/>
      <c r="Q165" s="1321"/>
      <c r="R165" s="1321"/>
      <c r="S165" s="1321"/>
      <c r="T165" s="1171"/>
    </row>
    <row r="167">
      <c r="A167" s="434" t="s">
        <v>1275</v>
      </c>
    </row>
    <row r="168">
      <c r="A168" s="1311"/>
      <c r="B168" s="1311"/>
      <c r="C168" s="1295"/>
      <c r="D168" s="1295" t="n">
        <v>2022</v>
      </c>
      <c r="E168" s="1295" t="n">
        <v>2023</v>
      </c>
      <c r="F168" s="1295" t="n">
        <v>2024</v>
      </c>
      <c r="G168" s="1295" t="n">
        <v>2025</v>
      </c>
      <c r="H168" s="1295" t="n">
        <v>2026</v>
      </c>
      <c r="I168" s="1295" t="n">
        <v>2027</v>
      </c>
      <c r="J168" s="1295" t="n">
        <v>2028</v>
      </c>
      <c r="K168" s="1295" t="n">
        <v>2029</v>
      </c>
      <c r="L168" s="1295" t="n">
        <v>2030</v>
      </c>
      <c r="M168" s="1296" t="n">
        <v>2031</v>
      </c>
      <c r="N168" s="1297" t="s">
        <v>1268</v>
      </c>
      <c r="O168" s="1297" t="s">
        <v>1269</v>
      </c>
      <c r="P168" s="1282"/>
      <c r="Q168" s="1282"/>
      <c r="R168" s="1282"/>
      <c r="S168" s="1282"/>
      <c r="U168" s="76"/>
    </row>
    <row r="169">
      <c r="A169" s="1312" t="s">
        <v>1270</v>
      </c>
      <c r="B169" s="1312"/>
      <c r="C169" s="1318"/>
      <c r="D169" s="1318" t="n">
        <f t="shared" ref="D169:O169" si="9">D78/1000</f>
        <v>0</v>
      </c>
      <c r="E169" s="1318" t="n">
        <f t="shared" si="9"/>
        <v>6.8000000000000005E-2</v>
      </c>
      <c r="F169" s="1318" t="n">
        <f t="shared" si="9"/>
        <v>1.363</v>
      </c>
      <c r="G169" s="1318" t="n">
        <f t="shared" si="9"/>
        <v>2.4329999999999998</v>
      </c>
      <c r="H169" s="1318" t="n">
        <f t="shared" si="9"/>
        <v>2.8029999999999999</v>
      </c>
      <c r="I169" s="1318" t="n">
        <f t="shared" si="9"/>
        <v>1.7410000000000001</v>
      </c>
      <c r="J169" s="1318" t="n">
        <f t="shared" si="9"/>
        <v>0.56999999999999995</v>
      </c>
      <c r="K169" s="1318" t="n">
        <f t="shared" si="9"/>
        <v>3.5000000000000003E-2</v>
      </c>
      <c r="L169" s="1318" t="n">
        <f t="shared" si="9"/>
        <v>0</v>
      </c>
      <c r="M169" s="1318" t="n">
        <f t="shared" si="9"/>
        <v>0</v>
      </c>
      <c r="N169" s="1318" t="n">
        <f t="shared" si="9"/>
        <v>6.6669999999999998</v>
      </c>
      <c r="O169" s="1318" t="n">
        <f t="shared" si="9"/>
        <v>9.0129999999999999</v>
      </c>
      <c r="P169" s="1318"/>
      <c r="Q169" s="1318"/>
      <c r="R169" s="1318"/>
      <c r="S169" s="1318"/>
      <c r="U169" s="76"/>
    </row>
    <row r="170">
      <c r="A170" s="1312" t="s">
        <v>1271</v>
      </c>
      <c r="B170" s="1312"/>
      <c r="C170" s="1318"/>
      <c r="D170" s="1318" t="n">
        <f t="shared" ref="D170:O170" si="10">(D77+D70)/1000</f>
        <v>0</v>
      </c>
      <c r="E170" s="1318" t="n">
        <f t="shared" si="10"/>
        <v>0.81899999999999995</v>
      </c>
      <c r="F170" s="1318" t="n">
        <f t="shared" si="10"/>
        <v>2.4780000000000002</v>
      </c>
      <c r="G170" s="1318" t="n">
        <f t="shared" si="10"/>
        <v>4.0720000000000001</v>
      </c>
      <c r="H170" s="1318" t="n">
        <f t="shared" si="10"/>
        <v>5.4480000000000004</v>
      </c>
      <c r="I170" s="1318" t="n">
        <f t="shared" si="10"/>
        <v>4.8289999999999997</v>
      </c>
      <c r="J170" s="1318" t="n">
        <f t="shared" si="10"/>
        <v>3.2949999999999999</v>
      </c>
      <c r="K170" s="1318" t="n">
        <f t="shared" si="10"/>
        <v>1.98</v>
      </c>
      <c r="L170" s="1318" t="n">
        <f t="shared" si="10"/>
        <v>1.01</v>
      </c>
      <c r="M170" s="1318" t="n">
        <f t="shared" si="10"/>
        <v>0.40400000000000003</v>
      </c>
      <c r="N170" s="1318" t="n">
        <f t="shared" si="10"/>
        <v>12.817</v>
      </c>
      <c r="O170" s="1318" t="n">
        <f t="shared" si="10"/>
        <v>24.335000000000001</v>
      </c>
      <c r="P170" s="1318"/>
      <c r="Q170" s="1318"/>
      <c r="R170" s="1318"/>
      <c r="S170" s="1318"/>
      <c r="U170" s="76"/>
    </row>
    <row r="171">
      <c r="A171" s="1312" t="s">
        <v>1272</v>
      </c>
      <c r="B171" s="1312"/>
      <c r="C171" s="1318"/>
      <c r="D171" s="1318" t="n">
        <f t="shared" ref="D171:O171" si="11">(D69+D76)/1000</f>
        <v>0</v>
      </c>
      <c r="E171" s="1318" t="n">
        <f t="shared" si="11"/>
        <v>4.5430000000000001</v>
      </c>
      <c r="F171" s="1318" t="n">
        <f t="shared" si="11"/>
        <v>5.6079999999999997</v>
      </c>
      <c r="G171" s="1318" t="n">
        <f t="shared" si="11"/>
        <v>8.16</v>
      </c>
      <c r="H171" s="1318" t="n">
        <f t="shared" si="11"/>
        <v>10.069000000000001</v>
      </c>
      <c r="I171" s="1318" t="n">
        <f t="shared" si="11"/>
        <v>12.026999999999999</v>
      </c>
      <c r="J171" s="1318" t="n">
        <f t="shared" si="11"/>
        <v>13.826000000000001</v>
      </c>
      <c r="K171" s="1318" t="n">
        <f t="shared" si="11"/>
        <v>15.862</v>
      </c>
      <c r="L171" s="1318" t="n">
        <f t="shared" si="11"/>
        <v>17.890999999999998</v>
      </c>
      <c r="M171" s="1318" t="n">
        <f t="shared" si="11"/>
        <v>17.481000000000002</v>
      </c>
      <c r="N171" s="1318" t="n">
        <f t="shared" si="11"/>
        <v>28.38</v>
      </c>
      <c r="O171" s="1318" t="n">
        <f t="shared" si="11"/>
        <v>105.467</v>
      </c>
      <c r="P171" s="1318"/>
      <c r="Q171" s="1318"/>
      <c r="R171" s="1318"/>
      <c r="S171" s="1318"/>
      <c r="U171" s="76"/>
    </row>
    <row r="172">
      <c r="A172" s="1313" t="s">
        <v>43</v>
      </c>
      <c r="B172" s="1313"/>
      <c r="C172" s="1318"/>
      <c r="D172" s="1318" t="n">
        <f t="shared" ref="D172:O172" si="12">(D79+D74)/1000</f>
        <v>0</v>
      </c>
      <c r="E172" s="1318" t="n">
        <f t="shared" si="12"/>
        <v>1.2969999999999999</v>
      </c>
      <c r="F172" s="1318" t="n">
        <f t="shared" si="12"/>
        <v>3.8479999999999999</v>
      </c>
      <c r="G172" s="1318" t="n">
        <f t="shared" si="12"/>
        <v>6.4420000000000002</v>
      </c>
      <c r="H172" s="1318" t="n">
        <f t="shared" si="12"/>
        <v>9.532</v>
      </c>
      <c r="I172" s="1318" t="n">
        <f t="shared" si="12"/>
        <v>11.882</v>
      </c>
      <c r="J172" s="1318" t="n">
        <f t="shared" si="12"/>
        <v>11.727</v>
      </c>
      <c r="K172" s="1318" t="n">
        <f t="shared" si="12"/>
        <v>10.569000000000001</v>
      </c>
      <c r="L172" s="1318" t="n">
        <f t="shared" si="12"/>
        <v>8.8879999999999999</v>
      </c>
      <c r="M172" s="1318" t="n">
        <f t="shared" si="12"/>
        <v>7.1890000000000001</v>
      </c>
      <c r="N172" s="1318" t="n">
        <f t="shared" si="12"/>
        <v>21.117000000000001</v>
      </c>
      <c r="O172" s="1318" t="n">
        <f t="shared" si="12"/>
        <v>71.372</v>
      </c>
      <c r="P172" s="1318"/>
      <c r="Q172" s="1318"/>
      <c r="R172" s="1318"/>
      <c r="S172" s="1318"/>
      <c r="U172" s="76"/>
    </row>
    <row r="173">
      <c r="A173" s="1314" t="s">
        <v>438</v>
      </c>
      <c r="B173" s="1314"/>
      <c r="C173" s="1318"/>
      <c r="D173" s="1318"/>
      <c r="E173" s="1318"/>
      <c r="F173" s="1318"/>
      <c r="G173" s="1318"/>
      <c r="H173" s="1318"/>
      <c r="I173" s="1318"/>
      <c r="J173" s="1318"/>
      <c r="K173" s="1318"/>
      <c r="L173" s="1318"/>
      <c r="M173" s="1318"/>
      <c r="N173" s="1318"/>
      <c r="O173" s="1318"/>
      <c r="P173" s="1318"/>
      <c r="Q173" s="1318"/>
      <c r="R173" s="1318"/>
      <c r="S173" s="1318"/>
      <c r="U173" s="76"/>
    </row>
    <row r="174">
      <c r="A174" s="1315" t="s">
        <v>45</v>
      </c>
      <c r="B174" s="1315"/>
      <c r="C174" s="1318"/>
      <c r="D174" s="1318" t="n">
        <f t="shared" ref="D174:O174" si="13">D71/1000</f>
        <v>0</v>
      </c>
      <c r="E174" s="1318" t="n">
        <f t="shared" si="13"/>
        <v>0.11</v>
      </c>
      <c r="F174" s="1318" t="n">
        <f t="shared" si="13"/>
        <v>0.73899999999999999</v>
      </c>
      <c r="G174" s="1318" t="n">
        <f t="shared" si="13"/>
        <v>1.1950000000000001</v>
      </c>
      <c r="H174" s="1318" t="n">
        <f t="shared" si="13"/>
        <v>1.4970000000000001</v>
      </c>
      <c r="I174" s="1318" t="n">
        <f t="shared" si="13"/>
        <v>1.91</v>
      </c>
      <c r="J174" s="1318" t="n">
        <f t="shared" si="13"/>
        <v>2.4049999999999998</v>
      </c>
      <c r="K174" s="1318" t="n">
        <f t="shared" si="13"/>
        <v>2.9220000000000002</v>
      </c>
      <c r="L174" s="1318" t="n">
        <f t="shared" si="13"/>
        <v>3.4630000000000001</v>
      </c>
      <c r="M174" s="1318" t="n">
        <f t="shared" si="13"/>
        <v>4.0069999999999997</v>
      </c>
      <c r="N174" s="1318" t="n">
        <f t="shared" si="13"/>
        <v>3.5409999999999999</v>
      </c>
      <c r="O174" s="1318" t="n">
        <f t="shared" si="13"/>
        <v>18.248000000000001</v>
      </c>
      <c r="P174" s="1318"/>
      <c r="Q174" s="1318"/>
      <c r="R174" s="1318"/>
      <c r="S174" s="1318"/>
      <c r="U174" s="76"/>
    </row>
    <row r="175">
      <c r="A175" s="1315" t="s">
        <v>1273</v>
      </c>
      <c r="B175" s="1315"/>
      <c r="C175" s="1318"/>
      <c r="D175" s="1318" t="n">
        <f t="shared" ref="D175:O175" si="14">D72/1000</f>
        <v>0</v>
      </c>
      <c r="E175" s="1318" t="n">
        <f t="shared" si="14"/>
        <v>-0.41499999999999998</v>
      </c>
      <c r="F175" s="1318" t="n">
        <f t="shared" si="14"/>
        <v>2.7679999999999998</v>
      </c>
      <c r="G175" s="1318" t="n">
        <f t="shared" si="14"/>
        <v>-12.473000000000001</v>
      </c>
      <c r="H175" s="1318" t="n">
        <f t="shared" si="14"/>
        <v>-5.3739999999999997</v>
      </c>
      <c r="I175" s="1318" t="n">
        <f t="shared" si="14"/>
        <v>-25.515000000000001</v>
      </c>
      <c r="J175" s="1318" t="n">
        <f t="shared" si="14"/>
        <v>-43.975000000000001</v>
      </c>
      <c r="K175" s="1318" t="n">
        <f t="shared" si="14"/>
        <v>-46.426000000000002</v>
      </c>
      <c r="L175" s="1318" t="n">
        <f t="shared" si="14"/>
        <v>-56.228000000000002</v>
      </c>
      <c r="M175" s="1318" t="n">
        <f t="shared" si="14"/>
        <v>-60.581000000000003</v>
      </c>
      <c r="N175" s="1318" t="n">
        <f t="shared" si="14"/>
        <v>-15.494</v>
      </c>
      <c r="O175" s="1318" t="n">
        <f t="shared" si="14"/>
        <v>-248.21899999999999</v>
      </c>
      <c r="P175" s="1318"/>
      <c r="Q175" s="1318"/>
      <c r="R175" s="1318"/>
      <c r="S175" s="1318"/>
      <c r="U175" s="76"/>
    </row>
    <row r="176">
      <c r="A176" s="1316" t="s">
        <v>48</v>
      </c>
      <c r="B176" s="1316"/>
      <c r="C176" s="1318"/>
      <c r="D176" s="1318" t="n">
        <f t="shared" ref="D176:O176" si="15">(D80+D73)/1000</f>
        <v>-0.622</v>
      </c>
      <c r="E176" s="1318" t="n">
        <f t="shared" si="15"/>
        <v>21.89</v>
      </c>
      <c r="F176" s="1318" t="n">
        <f t="shared" si="15"/>
        <v>15.439</v>
      </c>
      <c r="G176" s="1318" t="n">
        <f t="shared" si="15"/>
        <v>16.966999999999999</v>
      </c>
      <c r="H176" s="1318" t="n">
        <f t="shared" si="15"/>
        <v>0.72799999999999998</v>
      </c>
      <c r="I176" s="1318" t="n">
        <f t="shared" si="15"/>
        <v>7.657</v>
      </c>
      <c r="J176" s="1318" t="n">
        <f t="shared" si="15"/>
        <v>4.5590000000000002</v>
      </c>
      <c r="K176" s="1318" t="n">
        <f t="shared" si="15"/>
        <v>2.4649999999999999</v>
      </c>
      <c r="L176" s="1318" t="n">
        <f t="shared" si="15"/>
        <v>1.444</v>
      </c>
      <c r="M176" s="1318" t="n">
        <f t="shared" si="15"/>
        <v>0.77300000000000002</v>
      </c>
      <c r="N176" s="1318" t="n">
        <f t="shared" si="15"/>
        <v>54.402000000000001</v>
      </c>
      <c r="O176" s="1318" t="n">
        <f t="shared" si="15"/>
        <v>71.3</v>
      </c>
      <c r="P176" s="1318"/>
      <c r="Q176" s="1318"/>
      <c r="R176" s="1318"/>
      <c r="S176" s="1318"/>
      <c r="U176" s="76"/>
    </row>
    <row r="177">
      <c r="A177" s="1317" t="s">
        <v>1329</v>
      </c>
      <c r="B177" s="1317"/>
      <c r="C177" s="1318"/>
      <c r="D177" s="1305" t="n">
        <f t="shared" ref="D177:O177" si="16">D84/1000</f>
        <v>0</v>
      </c>
      <c r="E177" s="1305" t="n">
        <f t="shared" si="16"/>
        <v>-3.1549999999999998</v>
      </c>
      <c r="F177" s="1305" t="n">
        <f t="shared" si="16"/>
        <v>-2.2309999999999999</v>
      </c>
      <c r="G177" s="1305" t="n">
        <f t="shared" si="16"/>
        <v>-1.6080000000000001</v>
      </c>
      <c r="H177" s="1305" t="n">
        <f t="shared" si="16"/>
        <v>-0.77</v>
      </c>
      <c r="I177" s="1305" t="n">
        <f t="shared" si="16"/>
        <v>-0.98299999999999998</v>
      </c>
      <c r="J177" s="1305" t="n">
        <f t="shared" si="16"/>
        <v>-1.2110000000000001</v>
      </c>
      <c r="K177" s="1305" t="n">
        <f t="shared" si="16"/>
        <v>-1.4710000000000001</v>
      </c>
      <c r="L177" s="1305" t="n">
        <f t="shared" si="16"/>
        <v>-1.81</v>
      </c>
      <c r="M177" s="1305" t="n">
        <f t="shared" si="16"/>
        <v>-2.3250000000000002</v>
      </c>
      <c r="N177" s="1305" t="n">
        <f t="shared" si="16"/>
        <v>-7.7670000000000003</v>
      </c>
      <c r="O177" s="1305" t="n">
        <f t="shared" si="16"/>
        <v>-15.566000000000001</v>
      </c>
      <c r="P177" s="1305"/>
      <c r="Q177" s="1305"/>
      <c r="R177" s="1305"/>
      <c r="S177" s="1305"/>
      <c r="U177" s="76"/>
    </row>
    <row r="178">
      <c r="A178" s="1317" t="s">
        <v>172</v>
      </c>
      <c r="B178" s="1317"/>
      <c r="C178" s="1318"/>
      <c r="D178" s="1305" t="n">
        <f t="shared" ref="D178:O178" si="17">D85/1000</f>
        <v>0</v>
      </c>
      <c r="E178" s="1305" t="n">
        <f t="shared" si="17"/>
        <v>0.45200000000000001</v>
      </c>
      <c r="F178" s="1305" t="n">
        <f t="shared" si="17"/>
        <v>-8.67</v>
      </c>
      <c r="G178" s="1305" t="n">
        <f t="shared" si="17"/>
        <v>-4.5270000000000001</v>
      </c>
      <c r="H178" s="1305" t="n">
        <f t="shared" si="17"/>
        <v>-0.70499999999999996</v>
      </c>
      <c r="I178" s="1305" t="n">
        <f t="shared" si="17"/>
        <v>15.813000000000001</v>
      </c>
      <c r="J178" s="1305" t="n">
        <f t="shared" si="17"/>
        <v>20.372</v>
      </c>
      <c r="K178" s="1305" t="n">
        <f t="shared" si="17"/>
        <v>24.847000000000001</v>
      </c>
      <c r="L178" s="1305" t="n">
        <f t="shared" si="17"/>
        <v>28.113</v>
      </c>
      <c r="M178" s="1305" t="n">
        <f t="shared" si="17"/>
        <v>24.777000000000001</v>
      </c>
      <c r="N178" s="1305" t="n">
        <f t="shared" si="17"/>
        <v>-13.451000000000001</v>
      </c>
      <c r="O178" s="1305" t="n">
        <f t="shared" si="17"/>
        <v>100.468</v>
      </c>
      <c r="P178" s="1305"/>
      <c r="Q178" s="1305"/>
      <c r="R178" s="1305"/>
      <c r="S178" s="1305"/>
      <c r="U178" s="76"/>
    </row>
    <row r="179">
      <c r="A179" s="1317" t="s">
        <v>80</v>
      </c>
      <c r="B179" s="1317"/>
      <c r="C179" s="1318"/>
      <c r="D179" s="1305" t="n">
        <f t="shared" ref="D179:O179" si="18">D83/1000</f>
        <v>0</v>
      </c>
      <c r="E179" s="1305" t="n">
        <f t="shared" si="18"/>
        <v>35.317</v>
      </c>
      <c r="F179" s="1305" t="n">
        <f t="shared" si="18"/>
        <v>36.033000000000001</v>
      </c>
      <c r="G179" s="1305" t="n">
        <f t="shared" si="18"/>
        <v>21.076000000000001</v>
      </c>
      <c r="H179" s="1305" t="n">
        <f t="shared" si="18"/>
        <v>13.346</v>
      </c>
      <c r="I179" s="1305" t="n">
        <f t="shared" si="18"/>
        <v>27.507999999999999</v>
      </c>
      <c r="J179" s="1305" t="n">
        <f t="shared" si="18"/>
        <v>35.85</v>
      </c>
      <c r="K179" s="1305" t="n">
        <f t="shared" si="18"/>
        <v>18.64</v>
      </c>
      <c r="L179" s="1305" t="n">
        <f t="shared" si="18"/>
        <v>8.3940000000000001</v>
      </c>
      <c r="M179" s="1305" t="n">
        <f t="shared" si="18"/>
        <v>7.9820000000000002</v>
      </c>
      <c r="N179" s="1305" t="n">
        <f t="shared" si="18"/>
        <v>105.76900000000001</v>
      </c>
      <c r="O179" s="1305" t="n">
        <f t="shared" si="18"/>
        <v>204.14400000000001</v>
      </c>
      <c r="P179" s="1305"/>
      <c r="Q179" s="1305"/>
      <c r="R179" s="1305"/>
      <c r="S179" s="1305"/>
      <c r="U179" s="76"/>
    </row>
    <row r="182">
      <c r="A182" s="434" t="s">
        <v>1274</v>
      </c>
    </row>
    <row r="183">
      <c r="A183" s="1311"/>
      <c r="B183" s="1311"/>
      <c r="C183" s="1311"/>
      <c r="D183" s="1311" t="s">
        <v>116</v>
      </c>
      <c r="E183" s="1311" t="s">
        <v>117</v>
      </c>
      <c r="F183" s="1311" t="s">
        <v>118</v>
      </c>
      <c r="G183" s="1311" t="s">
        <v>119</v>
      </c>
      <c r="H183" s="1311" t="s">
        <v>120</v>
      </c>
      <c r="I183" s="1311" t="s">
        <v>121</v>
      </c>
      <c r="J183" s="1311" t="s">
        <v>122</v>
      </c>
      <c r="K183" s="1311" t="s">
        <v>123</v>
      </c>
      <c r="L183" s="1311" t="s">
        <v>124</v>
      </c>
      <c r="M183" s="1311" t="s">
        <v>108</v>
      </c>
      <c r="N183" s="1311" t="s">
        <v>109</v>
      </c>
      <c r="O183" s="1311" t="s">
        <v>110</v>
      </c>
      <c r="P183" s="1311" t="s">
        <v>675</v>
      </c>
      <c r="Q183" s="1311" t="s">
        <v>676</v>
      </c>
      <c r="R183" s="1311" t="s">
        <v>677</v>
      </c>
      <c r="S183" s="1311" t="s">
        <v>1057</v>
      </c>
      <c r="U183" s="76"/>
    </row>
    <row r="184">
      <c r="A184" s="1312" t="s">
        <v>1270</v>
      </c>
      <c r="B184" s="1312"/>
      <c r="C184" s="1319"/>
      <c r="D184" s="1319" t="n">
        <f t="shared" ref="D184:D191" si="19">D169</f>
        <v>0</v>
      </c>
      <c r="E184" s="1319" t="n">
        <f>D184</f>
        <v>0</v>
      </c>
      <c r="F184" s="1319" t="n">
        <f t="shared" ref="F184:F191" si="20">E169</f>
        <v>6.8000000000000005E-2</v>
      </c>
      <c r="G184" s="1319" t="n">
        <f>F184</f>
        <v>6.8000000000000005E-2</v>
      </c>
      <c r="H184" s="1319" t="n">
        <f>G184</f>
        <v>6.8000000000000005E-2</v>
      </c>
      <c r="I184" s="1319" t="n">
        <f>H184</f>
        <v>6.8000000000000005E-2</v>
      </c>
      <c r="J184" s="1319" t="n">
        <f t="shared" ref="J184:J191" si="21">F169</f>
        <v>1.363</v>
      </c>
      <c r="K184" s="1319" t="n">
        <f t="shared" ref="K184:M191" si="22">J184</f>
        <v>1.363</v>
      </c>
      <c r="L184" s="1319" t="n">
        <f t="shared" si="22"/>
        <v>1.363</v>
      </c>
      <c r="M184" s="1319" t="n">
        <f>L184</f>
        <v>1.363</v>
      </c>
      <c r="N184" s="1319" t="n">
        <f>G169</f>
        <v>2.4329999999999998</v>
      </c>
      <c r="O184" s="1319" t="n">
        <f>N184</f>
        <v>2.4329999999999998</v>
      </c>
      <c r="P184" s="1319" t="n">
        <f t="shared" ref="P184:Q184" si="23">O184</f>
        <v>2.4329999999999998</v>
      </c>
      <c r="Q184" s="1319" t="n">
        <f t="shared" si="23"/>
        <v>2.4329999999999998</v>
      </c>
      <c r="R184" s="1319" t="n">
        <f>H169</f>
        <v>2.8029999999999999</v>
      </c>
      <c r="S184" s="1319" t="n">
        <f>R184</f>
        <v>2.8029999999999999</v>
      </c>
      <c r="U184" s="76"/>
    </row>
    <row r="185">
      <c r="A185" s="1312" t="s">
        <v>1271</v>
      </c>
      <c r="B185" s="1312"/>
      <c r="C185" s="1319"/>
      <c r="D185" s="1319" t="n">
        <f t="shared" si="19"/>
        <v>0</v>
      </c>
      <c r="E185" s="1319" t="n">
        <f t="shared" ref="E185:E191" si="24">D185</f>
        <v>0</v>
      </c>
      <c r="F185" s="1319" t="n">
        <f t="shared" si="20"/>
        <v>0.81899999999999995</v>
      </c>
      <c r="G185" s="1319" t="n">
        <f t="shared" ref="G185:I191" si="25">F185</f>
        <v>0.81899999999999995</v>
      </c>
      <c r="H185" s="1319" t="n">
        <f t="shared" si="25"/>
        <v>0.81899999999999995</v>
      </c>
      <c r="I185" s="1319" t="n">
        <f t="shared" si="25"/>
        <v>0.81899999999999995</v>
      </c>
      <c r="J185" s="1319" t="n">
        <f>F170</f>
        <v>2.4780000000000002</v>
      </c>
      <c r="K185" s="1319" t="n">
        <f t="shared" si="22"/>
        <v>2.4780000000000002</v>
      </c>
      <c r="L185" s="1319" t="n">
        <f t="shared" si="22"/>
        <v>2.4780000000000002</v>
      </c>
      <c r="M185" s="1319" t="n">
        <f>L185</f>
        <v>2.4780000000000002</v>
      </c>
      <c r="N185" s="1319" t="n">
        <f>G170</f>
        <v>4.0720000000000001</v>
      </c>
      <c r="O185" s="1319" t="n">
        <f>N185</f>
        <v>4.0720000000000001</v>
      </c>
      <c r="P185" s="1319" t="n">
        <f t="shared" ref="P185:Q194" si="26">O185</f>
        <v>4.0720000000000001</v>
      </c>
      <c r="Q185" s="1319" t="n">
        <f t="shared" si="26"/>
        <v>4.0720000000000001</v>
      </c>
      <c r="R185" s="1319" t="n">
        <f>H170</f>
        <v>5.4480000000000004</v>
      </c>
      <c r="S185" s="1319" t="n">
        <f t="shared" ref="S185:S194" si="27">R185</f>
        <v>5.4480000000000004</v>
      </c>
      <c r="U185" s="76"/>
    </row>
    <row r="186">
      <c r="A186" s="1312" t="s">
        <v>1272</v>
      </c>
      <c r="B186" s="1312"/>
      <c r="C186" s="1319"/>
      <c r="D186" s="1319" t="n">
        <f t="shared" si="19"/>
        <v>0</v>
      </c>
      <c r="E186" s="1319" t="n">
        <f t="shared" si="24"/>
        <v>0</v>
      </c>
      <c r="F186" s="1319" t="n">
        <f t="shared" si="20"/>
        <v>4.5430000000000001</v>
      </c>
      <c r="G186" s="1319" t="n">
        <f t="shared" si="25"/>
        <v>4.5430000000000001</v>
      </c>
      <c r="H186" s="1319" t="n">
        <f t="shared" si="25"/>
        <v>4.5430000000000001</v>
      </c>
      <c r="I186" s="1319" t="n">
        <f t="shared" si="25"/>
        <v>4.5430000000000001</v>
      </c>
      <c r="J186" s="1319" t="n">
        <f t="shared" si="21"/>
        <v>5.6079999999999997</v>
      </c>
      <c r="K186" s="1319" t="n">
        <f t="shared" si="22"/>
        <v>5.6079999999999997</v>
      </c>
      <c r="L186" s="1319" t="n">
        <f t="shared" si="22"/>
        <v>5.6079999999999997</v>
      </c>
      <c r="M186" s="1319" t="n">
        <f t="shared" si="22"/>
        <v>5.6079999999999997</v>
      </c>
      <c r="N186" s="1319" t="n">
        <f>G171</f>
        <v>8.16</v>
      </c>
      <c r="O186" s="1319" t="n">
        <f t="shared" ref="O186:O191" si="28">N186</f>
        <v>8.16</v>
      </c>
      <c r="P186" s="1319" t="n">
        <f t="shared" si="26"/>
        <v>8.16</v>
      </c>
      <c r="Q186" s="1319" t="n">
        <f t="shared" si="26"/>
        <v>8.16</v>
      </c>
      <c r="R186" s="1319" t="n">
        <f t="shared" ref="R186:R194" si="29">H171</f>
        <v>10.069000000000001</v>
      </c>
      <c r="S186" s="1319" t="n">
        <f t="shared" si="27"/>
        <v>10.069000000000001</v>
      </c>
      <c r="U186" s="76"/>
    </row>
    <row r="187">
      <c r="A187" s="1313" t="s">
        <v>43</v>
      </c>
      <c r="B187" s="1313"/>
      <c r="C187" s="1319"/>
      <c r="D187" s="1319" t="n">
        <f t="shared" si="19"/>
        <v>0</v>
      </c>
      <c r="E187" s="1319" t="n">
        <f t="shared" si="24"/>
        <v>0</v>
      </c>
      <c r="F187" s="1319" t="n">
        <f t="shared" si="20"/>
        <v>1.2969999999999999</v>
      </c>
      <c r="G187" s="1319" t="n">
        <f t="shared" si="25"/>
        <v>1.2969999999999999</v>
      </c>
      <c r="H187" s="1319" t="n">
        <f t="shared" si="25"/>
        <v>1.2969999999999999</v>
      </c>
      <c r="I187" s="1319" t="n">
        <f t="shared" si="25"/>
        <v>1.2969999999999999</v>
      </c>
      <c r="J187" s="1319" t="n">
        <f t="shared" si="21"/>
        <v>3.8479999999999999</v>
      </c>
      <c r="K187" s="1319" t="n">
        <f t="shared" si="22"/>
        <v>3.8479999999999999</v>
      </c>
      <c r="L187" s="1319" t="n">
        <f t="shared" si="22"/>
        <v>3.8479999999999999</v>
      </c>
      <c r="M187" s="1319" t="n">
        <f t="shared" si="22"/>
        <v>3.8479999999999999</v>
      </c>
      <c r="N187" s="1319" t="n">
        <f t="shared" ref="N187:N191" si="30">G172</f>
        <v>6.4420000000000002</v>
      </c>
      <c r="O187" s="1319" t="n">
        <f t="shared" si="28"/>
        <v>6.4420000000000002</v>
      </c>
      <c r="P187" s="1319" t="n">
        <f t="shared" si="26"/>
        <v>6.4420000000000002</v>
      </c>
      <c r="Q187" s="1319" t="n">
        <f t="shared" si="26"/>
        <v>6.4420000000000002</v>
      </c>
      <c r="R187" s="1319" t="n">
        <f t="shared" si="29"/>
        <v>9.532</v>
      </c>
      <c r="S187" s="1319" t="n">
        <f t="shared" si="27"/>
        <v>9.532</v>
      </c>
      <c r="U187" s="76"/>
    </row>
    <row r="188">
      <c r="A188" s="1314" t="s">
        <v>438</v>
      </c>
      <c r="B188" s="1314"/>
      <c r="C188" s="1319"/>
      <c r="D188" s="1319" t="n">
        <f t="shared" si="19"/>
        <v>0</v>
      </c>
      <c r="E188" s="1319" t="n">
        <f t="shared" si="24"/>
        <v>0</v>
      </c>
      <c r="F188" s="1319" t="n">
        <f t="shared" si="20"/>
        <v>0</v>
      </c>
      <c r="G188" s="1319" t="n">
        <f t="shared" si="25"/>
        <v>0</v>
      </c>
      <c r="H188" s="1319" t="n">
        <f t="shared" si="25"/>
        <v>0</v>
      </c>
      <c r="I188" s="1319" t="n">
        <f t="shared" si="25"/>
        <v>0</v>
      </c>
      <c r="J188" s="1319" t="n">
        <f t="shared" si="21"/>
        <v>0</v>
      </c>
      <c r="K188" s="1319" t="n">
        <f t="shared" si="22"/>
        <v>0</v>
      </c>
      <c r="L188" s="1319" t="n">
        <f t="shared" si="22"/>
        <v>0</v>
      </c>
      <c r="M188" s="1319" t="n">
        <f t="shared" si="22"/>
        <v>0</v>
      </c>
      <c r="N188" s="1319" t="n">
        <f t="shared" si="30"/>
        <v>0</v>
      </c>
      <c r="O188" s="1319" t="n">
        <f t="shared" si="28"/>
        <v>0</v>
      </c>
      <c r="P188" s="1319" t="n">
        <f t="shared" si="26"/>
        <v>0</v>
      </c>
      <c r="Q188" s="1319" t="n">
        <f t="shared" si="26"/>
        <v>0</v>
      </c>
      <c r="R188" s="1319" t="n">
        <f t="shared" si="29"/>
        <v>0</v>
      </c>
      <c r="S188" s="1319" t="n">
        <f t="shared" si="27"/>
        <v>0</v>
      </c>
      <c r="U188" s="76"/>
    </row>
    <row r="189">
      <c r="A189" s="1315" t="s">
        <v>45</v>
      </c>
      <c r="B189" s="1315"/>
      <c r="C189" s="1319"/>
      <c r="D189" s="1319" t="n">
        <f t="shared" si="19"/>
        <v>0</v>
      </c>
      <c r="E189" s="1319" t="n">
        <f t="shared" si="24"/>
        <v>0</v>
      </c>
      <c r="F189" s="1319" t="n">
        <f t="shared" si="20"/>
        <v>0.11</v>
      </c>
      <c r="G189" s="1319" t="n">
        <f t="shared" si="25"/>
        <v>0.11</v>
      </c>
      <c r="H189" s="1319" t="n">
        <f t="shared" si="25"/>
        <v>0.11</v>
      </c>
      <c r="I189" s="1319" t="n">
        <f t="shared" si="25"/>
        <v>0.11</v>
      </c>
      <c r="J189" s="1319" t="n">
        <f t="shared" si="21"/>
        <v>0.73899999999999999</v>
      </c>
      <c r="K189" s="1319" t="n">
        <f t="shared" si="22"/>
        <v>0.73899999999999999</v>
      </c>
      <c r="L189" s="1319" t="n">
        <f t="shared" si="22"/>
        <v>0.73899999999999999</v>
      </c>
      <c r="M189" s="1319" t="n">
        <f t="shared" si="22"/>
        <v>0.73899999999999999</v>
      </c>
      <c r="N189" s="1319" t="n">
        <f t="shared" si="30"/>
        <v>1.1950000000000001</v>
      </c>
      <c r="O189" s="1319" t="n">
        <f t="shared" si="28"/>
        <v>1.1950000000000001</v>
      </c>
      <c r="P189" s="1319" t="n">
        <f t="shared" si="26"/>
        <v>1.1950000000000001</v>
      </c>
      <c r="Q189" s="1319" t="n">
        <f t="shared" si="26"/>
        <v>1.1950000000000001</v>
      </c>
      <c r="R189" s="1319" t="n">
        <f t="shared" si="29"/>
        <v>1.4970000000000001</v>
      </c>
      <c r="S189" s="1319" t="n">
        <f t="shared" si="27"/>
        <v>1.4970000000000001</v>
      </c>
      <c r="U189" s="76"/>
    </row>
    <row r="190">
      <c r="A190" s="1315" t="s">
        <v>1273</v>
      </c>
      <c r="B190" s="1315"/>
      <c r="C190" s="1319"/>
      <c r="D190" s="1319" t="n">
        <f t="shared" si="19"/>
        <v>0</v>
      </c>
      <c r="E190" s="1319" t="n">
        <f t="shared" si="24"/>
        <v>0</v>
      </c>
      <c r="F190" s="1319" t="n">
        <f t="shared" si="20"/>
        <v>-0.41499999999999998</v>
      </c>
      <c r="G190" s="1319" t="n">
        <f t="shared" si="25"/>
        <v>-0.41499999999999998</v>
      </c>
      <c r="H190" s="1319" t="n">
        <f t="shared" si="25"/>
        <v>-0.41499999999999998</v>
      </c>
      <c r="I190" s="1319" t="n">
        <f t="shared" si="25"/>
        <v>-0.41499999999999998</v>
      </c>
      <c r="J190" s="1319" t="n">
        <f t="shared" si="21"/>
        <v>2.7679999999999998</v>
      </c>
      <c r="K190" s="1319" t="n">
        <f t="shared" si="22"/>
        <v>2.7679999999999998</v>
      </c>
      <c r="L190" s="1319" t="n">
        <f t="shared" si="22"/>
        <v>2.7679999999999998</v>
      </c>
      <c r="M190" s="1319" t="n">
        <f t="shared" si="22"/>
        <v>2.7679999999999998</v>
      </c>
      <c r="N190" s="1319" t="n">
        <f t="shared" si="30"/>
        <v>-12.473000000000001</v>
      </c>
      <c r="O190" s="1319" t="n">
        <f t="shared" si="28"/>
        <v>-12.473000000000001</v>
      </c>
      <c r="P190" s="1319" t="n">
        <f t="shared" si="26"/>
        <v>-12.473000000000001</v>
      </c>
      <c r="Q190" s="1319" t="n">
        <f t="shared" si="26"/>
        <v>-12.473000000000001</v>
      </c>
      <c r="R190" s="1319" t="n">
        <f t="shared" si="29"/>
        <v>-5.3739999999999997</v>
      </c>
      <c r="S190" s="1319" t="n">
        <f t="shared" si="27"/>
        <v>-5.3739999999999997</v>
      </c>
      <c r="U190" s="76"/>
    </row>
    <row r="191">
      <c r="A191" s="1316" t="s">
        <v>48</v>
      </c>
      <c r="B191" s="1316"/>
      <c r="C191" s="1319"/>
      <c r="D191" s="1319" t="n">
        <f t="shared" si="19"/>
        <v>-0.622</v>
      </c>
      <c r="E191" s="1319" t="n">
        <f t="shared" si="24"/>
        <v>-0.622</v>
      </c>
      <c r="F191" s="1319" t="n">
        <f t="shared" si="20"/>
        <v>21.89</v>
      </c>
      <c r="G191" s="1319" t="n">
        <f t="shared" si="25"/>
        <v>21.89</v>
      </c>
      <c r="H191" s="1319" t="n">
        <f t="shared" si="25"/>
        <v>21.89</v>
      </c>
      <c r="I191" s="1319" t="n">
        <f t="shared" si="25"/>
        <v>21.89</v>
      </c>
      <c r="J191" s="1319" t="n">
        <f t="shared" si="21"/>
        <v>15.439</v>
      </c>
      <c r="K191" s="1319" t="n">
        <f t="shared" si="22"/>
        <v>15.439</v>
      </c>
      <c r="L191" s="1319" t="n">
        <f t="shared" si="22"/>
        <v>15.439</v>
      </c>
      <c r="M191" s="1319" t="n">
        <f t="shared" si="22"/>
        <v>15.439</v>
      </c>
      <c r="N191" s="1319" t="n">
        <f t="shared" si="30"/>
        <v>16.966999999999999</v>
      </c>
      <c r="O191" s="1319" t="n">
        <f t="shared" si="28"/>
        <v>16.966999999999999</v>
      </c>
      <c r="P191" s="1319" t="n">
        <f t="shared" si="26"/>
        <v>16.966999999999999</v>
      </c>
      <c r="Q191" s="1319" t="n">
        <f t="shared" si="26"/>
        <v>16.966999999999999</v>
      </c>
      <c r="R191" s="1319" t="n">
        <f t="shared" si="29"/>
        <v>0.72799999999999998</v>
      </c>
      <c r="S191" s="1319" t="n">
        <f t="shared" si="27"/>
        <v>0.72799999999999998</v>
      </c>
      <c r="U191" s="76"/>
    </row>
    <row r="192">
      <c r="A192" s="1317" t="s">
        <v>396</v>
      </c>
      <c r="B192" s="1317"/>
      <c r="C192" s="1319"/>
      <c r="D192" s="1305" t="n">
        <f t="shared" ref="D192:D194" si="31">D177</f>
        <v>0</v>
      </c>
      <c r="E192" s="1305" t="n">
        <f t="shared" ref="E192:E194" si="32">D192</f>
        <v>0</v>
      </c>
      <c r="F192" s="1305" t="n">
        <f t="shared" ref="F192:F194" si="33">E177</f>
        <v>-3.1549999999999998</v>
      </c>
      <c r="G192" s="1305" t="n">
        <f t="shared" ref="G192:G194" si="34">F192</f>
        <v>-3.1549999999999998</v>
      </c>
      <c r="H192" s="1305" t="n">
        <f t="shared" ref="H192:H194" si="35">G192</f>
        <v>-3.1549999999999998</v>
      </c>
      <c r="I192" s="1305" t="n">
        <f t="shared" ref="I192:I194" si="36">H192</f>
        <v>-3.1549999999999998</v>
      </c>
      <c r="J192" s="1305" t="n">
        <f t="shared" ref="J192:J194" si="37">F177</f>
        <v>-2.2309999999999999</v>
      </c>
      <c r="K192" s="1305" t="n">
        <f t="shared" ref="K192:K194" si="38">J192</f>
        <v>-2.2309999999999999</v>
      </c>
      <c r="L192" s="1305" t="n">
        <f t="shared" ref="L192:L194" si="39">K192</f>
        <v>-2.2309999999999999</v>
      </c>
      <c r="M192" s="1305" t="n">
        <f t="shared" ref="M192:M194" si="40">L192</f>
        <v>-2.2309999999999999</v>
      </c>
      <c r="N192" s="1305" t="n">
        <f t="shared" ref="N192:N194" si="41">G177</f>
        <v>-1.6080000000000001</v>
      </c>
      <c r="O192" s="1305" t="n">
        <f t="shared" ref="O192:O194" si="42">N192</f>
        <v>-1.6080000000000001</v>
      </c>
      <c r="P192" s="1305" t="n">
        <f t="shared" si="26"/>
        <v>-1.6080000000000001</v>
      </c>
      <c r="Q192" s="1305" t="n">
        <f t="shared" si="26"/>
        <v>-1.6080000000000001</v>
      </c>
      <c r="R192" s="1319" t="n">
        <f t="shared" si="29"/>
        <v>-0.77</v>
      </c>
      <c r="S192" s="1319" t="n">
        <f t="shared" si="27"/>
        <v>-0.77</v>
      </c>
      <c r="U192" s="76"/>
    </row>
    <row r="193">
      <c r="A193" s="1317" t="s">
        <v>394</v>
      </c>
      <c r="B193" s="1317"/>
      <c r="C193" s="1319"/>
      <c r="D193" s="1305" t="n">
        <f t="shared" si="31"/>
        <v>0</v>
      </c>
      <c r="E193" s="1305" t="n">
        <f t="shared" si="32"/>
        <v>0</v>
      </c>
      <c r="F193" s="1305" t="n">
        <f t="shared" si="33"/>
        <v>0.45200000000000001</v>
      </c>
      <c r="G193" s="1305" t="n">
        <f t="shared" si="34"/>
        <v>0.45200000000000001</v>
      </c>
      <c r="H193" s="1305" t="n">
        <f t="shared" si="35"/>
        <v>0.45200000000000001</v>
      </c>
      <c r="I193" s="1305" t="n">
        <f t="shared" si="36"/>
        <v>0.45200000000000001</v>
      </c>
      <c r="J193" s="1305" t="n">
        <f t="shared" si="37"/>
        <v>-8.67</v>
      </c>
      <c r="K193" s="1305" t="n">
        <f t="shared" si="38"/>
        <v>-8.67</v>
      </c>
      <c r="L193" s="1305" t="n">
        <f t="shared" si="39"/>
        <v>-8.67</v>
      </c>
      <c r="M193" s="1305" t="n">
        <f t="shared" si="40"/>
        <v>-8.67</v>
      </c>
      <c r="N193" s="1305" t="n">
        <f t="shared" si="41"/>
        <v>-4.5270000000000001</v>
      </c>
      <c r="O193" s="1305" t="n">
        <f t="shared" si="42"/>
        <v>-4.5270000000000001</v>
      </c>
      <c r="P193" s="1305" t="n">
        <f t="shared" si="26"/>
        <v>-4.5270000000000001</v>
      </c>
      <c r="Q193" s="1305" t="n">
        <f t="shared" si="26"/>
        <v>-4.5270000000000001</v>
      </c>
      <c r="R193" s="1319" t="n">
        <f t="shared" si="29"/>
        <v>-0.70499999999999996</v>
      </c>
      <c r="S193" s="1319" t="n">
        <f t="shared" si="27"/>
        <v>-0.70499999999999996</v>
      </c>
      <c r="U193" s="76"/>
    </row>
    <row r="194">
      <c r="A194" s="1317" t="s">
        <v>80</v>
      </c>
      <c r="B194" s="1317"/>
      <c r="C194" s="1319"/>
      <c r="D194" s="1305" t="n">
        <f t="shared" si="31"/>
        <v>0</v>
      </c>
      <c r="E194" s="1305" t="n">
        <f t="shared" si="32"/>
        <v>0</v>
      </c>
      <c r="F194" s="1305" t="n">
        <f t="shared" si="33"/>
        <v>35.317</v>
      </c>
      <c r="G194" s="1305" t="n">
        <f t="shared" si="34"/>
        <v>35.317</v>
      </c>
      <c r="H194" s="1305" t="n">
        <f t="shared" si="35"/>
        <v>35.317</v>
      </c>
      <c r="I194" s="1305" t="n">
        <f t="shared" si="36"/>
        <v>35.317</v>
      </c>
      <c r="J194" s="1305" t="n">
        <f t="shared" si="37"/>
        <v>36.033000000000001</v>
      </c>
      <c r="K194" s="1305" t="n">
        <f t="shared" si="38"/>
        <v>36.033000000000001</v>
      </c>
      <c r="L194" s="1305" t="n">
        <f t="shared" si="39"/>
        <v>36.033000000000001</v>
      </c>
      <c r="M194" s="1305" t="n">
        <f t="shared" si="40"/>
        <v>36.033000000000001</v>
      </c>
      <c r="N194" s="1305" t="n">
        <f t="shared" si="41"/>
        <v>21.076000000000001</v>
      </c>
      <c r="O194" s="1305" t="n">
        <f t="shared" si="42"/>
        <v>21.076000000000001</v>
      </c>
      <c r="P194" s="1305" t="n">
        <f t="shared" si="26"/>
        <v>21.076000000000001</v>
      </c>
      <c r="Q194" s="1305" t="n">
        <f t="shared" si="26"/>
        <v>21.076000000000001</v>
      </c>
      <c r="R194" s="1319" t="n">
        <f t="shared" si="29"/>
        <v>13.346</v>
      </c>
      <c r="S194" s="1319" t="n">
        <f t="shared" si="27"/>
        <v>13.346</v>
      </c>
      <c r="U194" s="76"/>
    </row>
    <row r="197">
      <c r="A197" s="434" t="s">
        <v>1276</v>
      </c>
    </row>
    <row r="198">
      <c r="A198" s="1313" t="s">
        <v>43</v>
      </c>
      <c r="D198" s="1320" t="n">
        <v>0</v>
      </c>
      <c r="E198" s="1320" t="n">
        <v>0</v>
      </c>
      <c r="F198" s="1320" t="n">
        <v>2.3250000000000002</v>
      </c>
      <c r="G198" s="1320" t="n">
        <v>2.3250000000000002</v>
      </c>
      <c r="H198" s="1320" t="n">
        <v>2.3250000000000002</v>
      </c>
      <c r="I198" s="1320" t="n">
        <v>2.3250000000000002</v>
      </c>
      <c r="J198" s="1320" t="n">
        <v>5.5830000000000002</v>
      </c>
      <c r="K198" s="1320" t="n">
        <v>5.5830000000000002</v>
      </c>
      <c r="L198" s="1320" t="n">
        <v>5.5830000000000002</v>
      </c>
      <c r="M198" s="1320" t="n">
        <v>5.5830000000000002</v>
      </c>
      <c r="N198" s="1320" t="n">
        <v>8.0220000000000002</v>
      </c>
      <c r="O198" s="1320" t="n">
        <v>8.0220000000000002</v>
      </c>
      <c r="P198" s="1320"/>
      <c r="Q198" s="1320"/>
      <c r="R198" s="1320"/>
      <c r="S198" s="1320"/>
    </row>
  </sheetData>
  <mergeCells count="5">
    <mergeCell ref="C2:O2"/>
    <mergeCell ref="C42:O42"/>
    <mergeCell ref="C68:O68"/>
    <mergeCell ref="C75:O75"/>
    <mergeCell ref="C82:O82"/>
  </mergeCells>
  <hyperlinks>
    <hyperlink ref="T157" r:id="rId1h"/>
    <hyperlink ref="T115" r:id="rId2h"/>
    <hyperlink ref="T153" r:id="rId3h" location=":~:text=Who%20is%20eligible%20for%20Conservation,resource%20concerns%20when%20they%20apply."/>
    <hyperlink ref="A1" r:id="rId4h"/>
  </hyperlinks>
  <pageMargins left="0.7" right="0.7" top="0.75" bottom="0.75" header="0.3" footer="0.3"/>
  <pageSetup orientation="portrait" horizontalDpi="1200" verticalDpi="120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workbookViewId="0">
      <selection activeCell="F40" sqref="F40"/>
    </sheetView>
  </sheetViews>
  <sheetFormatPr defaultRowHeight="15.0" baseColWidth="10"/>
  <cols>
    <col min="1" max="1" width="77.81640625" hidden="0" customWidth="1"/>
    <col min="2" max="2" width="21" hidden="0" customWidth="1"/>
    <col min="5" max="5" width="37.453125" hidden="0" customWidth="1"/>
    <col min="6" max="6" width="16" hidden="0" customWidth="1"/>
  </cols>
  <sheetData>
    <row r="1">
      <c r="A1" s="289" t="s">
        <v>464</v>
      </c>
    </row>
    <row r="2" ht="20.9" customHeight="1">
      <c r="A2" s="1331" t="s">
        <v>465</v>
      </c>
      <c r="B2" s="1331" t="s">
        <v>466</v>
      </c>
      <c r="C2" s="1331" t="s">
        <v>467</v>
      </c>
      <c r="D2" s="1331" t="s">
        <v>468</v>
      </c>
    </row>
    <row r="3">
      <c r="A3" s="1332" t="s">
        <v>469</v>
      </c>
      <c r="B3" s="1103" t="n">
        <f>SUM(B4:B7)</f>
        <v>325</v>
      </c>
      <c r="E3" s="1336" t="s">
        <v>470</v>
      </c>
      <c r="F3" s="1336"/>
    </row>
    <row r="4">
      <c r="A4" s="1071" t="s">
        <v>471</v>
      </c>
      <c r="B4" s="1103" t="n">
        <v>284</v>
      </c>
      <c r="E4" s="680" t="s">
        <v>42</v>
      </c>
      <c r="F4" s="680" t="s">
        <v>472</v>
      </c>
    </row>
    <row r="5">
      <c r="A5" s="1071" t="s">
        <v>324</v>
      </c>
      <c r="B5" s="1103" t="n">
        <v>20</v>
      </c>
      <c r="E5" s="289" t="s">
        <v>102</v>
      </c>
      <c r="F5" s="289" t="n">
        <f>SUM(B11:B16)</f>
        <v>82</v>
      </c>
    </row>
    <row r="6">
      <c r="A6" s="1071" t="s">
        <v>331</v>
      </c>
      <c r="B6" s="1103" t="n">
        <v>15</v>
      </c>
      <c r="E6" s="289" t="s">
        <v>40</v>
      </c>
      <c r="F6" s="289" t="n">
        <f>B23</f>
        <v>3</v>
      </c>
    </row>
    <row r="7">
      <c r="A7" s="1071" t="s">
        <v>332</v>
      </c>
      <c r="B7" s="1103" t="n">
        <v>6</v>
      </c>
      <c r="E7" s="289" t="s">
        <v>254</v>
      </c>
      <c r="F7" s="289" t="n">
        <f>B27-B28</f>
        <v>29</v>
      </c>
    </row>
    <row r="8">
      <c r="A8" s="680" t="s">
        <v>473</v>
      </c>
      <c r="B8" s="1103" t="n">
        <v>121</v>
      </c>
      <c r="E8" s="289" t="s">
        <v>271</v>
      </c>
      <c r="F8" s="289" t="n">
        <f>B42</f>
        <v>2</v>
      </c>
    </row>
    <row r="9">
      <c r="A9" s="1333" t="s">
        <v>474</v>
      </c>
      <c r="B9" s="1103" t="n">
        <v>166</v>
      </c>
      <c r="E9" s="289" t="s">
        <v>475</v>
      </c>
      <c r="F9" s="289" t="n">
        <f>B18+B20+B21</f>
        <v>34</v>
      </c>
    </row>
    <row r="10">
      <c r="A10" s="1330" t="s">
        <v>476</v>
      </c>
      <c r="B10" s="1103" t="n">
        <v>82</v>
      </c>
      <c r="E10" s="680" t="s">
        <v>477</v>
      </c>
      <c r="F10" s="680" t="s">
        <v>478</v>
      </c>
    </row>
    <row r="11">
      <c r="A11" s="1071" t="s">
        <v>479</v>
      </c>
      <c r="B11" s="1103" t="n">
        <v>54</v>
      </c>
      <c r="E11" s="289" t="s">
        <v>227</v>
      </c>
      <c r="F11" s="289" t="n">
        <f>B4</f>
        <v>284</v>
      </c>
    </row>
    <row r="12">
      <c r="A12" s="1071" t="s">
        <v>480</v>
      </c>
      <c r="B12" s="1103" t="n">
        <v>20</v>
      </c>
      <c r="E12" s="289" t="s">
        <v>481</v>
      </c>
      <c r="F12" s="289" t="n">
        <f>B5</f>
        <v>20</v>
      </c>
    </row>
    <row r="13">
      <c r="A13" s="1071" t="s">
        <v>482</v>
      </c>
      <c r="B13" s="1103" t="n">
        <v>4</v>
      </c>
      <c r="E13" s="289" t="s">
        <v>331</v>
      </c>
      <c r="F13" s="289" t="n">
        <f>B6</f>
        <v>15</v>
      </c>
    </row>
    <row r="14" ht="27.65" customHeight="1">
      <c r="A14" s="1071" t="s">
        <v>483</v>
      </c>
      <c r="B14" s="1103" t="n">
        <v>2</v>
      </c>
      <c r="E14" s="427" t="s">
        <v>332</v>
      </c>
      <c r="F14" s="289" t="n">
        <f>B7</f>
        <v>6</v>
      </c>
    </row>
    <row r="15" ht="27.65" customHeight="1">
      <c r="A15" s="1071" t="s">
        <v>484</v>
      </c>
      <c r="B15" s="1103" t="n">
        <v>1</v>
      </c>
      <c r="E15" s="427" t="s">
        <v>485</v>
      </c>
      <c r="F15" s="289" t="n">
        <f>B28</f>
        <v>15</v>
      </c>
    </row>
    <row r="16">
      <c r="A16" s="1071" t="s">
        <v>486</v>
      </c>
      <c r="B16" s="1103" t="n">
        <v>1</v>
      </c>
      <c r="E16" s="289" t="s">
        <v>487</v>
      </c>
      <c r="F16" s="289" t="n">
        <f>B37</f>
        <v>12</v>
      </c>
    </row>
    <row r="17">
      <c r="A17" s="680" t="s">
        <v>488</v>
      </c>
      <c r="B17" s="1103" t="n">
        <v>72</v>
      </c>
      <c r="E17" s="289" t="s">
        <v>489</v>
      </c>
      <c r="F17" s="289" t="n">
        <f>B38</f>
        <v>10</v>
      </c>
    </row>
    <row r="18">
      <c r="A18" s="1071" t="s">
        <v>490</v>
      </c>
      <c r="B18" s="1103" t="n">
        <v>22</v>
      </c>
      <c r="C18" s="289" t="s">
        <v>491</v>
      </c>
    </row>
    <row r="19">
      <c r="A19" s="1071" t="s">
        <v>492</v>
      </c>
      <c r="B19" s="1103" t="n">
        <v>20</v>
      </c>
      <c r="C19" s="289" t="s">
        <v>81</v>
      </c>
    </row>
    <row r="20">
      <c r="A20" s="1071" t="s">
        <v>493</v>
      </c>
      <c r="B20" s="1103" t="n">
        <v>8</v>
      </c>
      <c r="C20" s="289" t="s">
        <v>491</v>
      </c>
    </row>
    <row r="21">
      <c r="A21" s="1071" t="s">
        <v>494</v>
      </c>
      <c r="B21" s="1103" t="n">
        <v>4</v>
      </c>
      <c r="C21" s="289" t="s">
        <v>42</v>
      </c>
    </row>
    <row r="22">
      <c r="A22" s="1071" t="s">
        <v>495</v>
      </c>
      <c r="B22" s="1103" t="n">
        <v>4</v>
      </c>
      <c r="C22" s="289" t="s">
        <v>81</v>
      </c>
    </row>
    <row r="23">
      <c r="A23" s="1071" t="s">
        <v>496</v>
      </c>
      <c r="B23" s="1103" t="n">
        <v>3</v>
      </c>
      <c r="C23" s="289" t="s">
        <v>497</v>
      </c>
    </row>
    <row r="24">
      <c r="A24" s="1071" t="s">
        <v>498</v>
      </c>
      <c r="B24" s="1103" t="n">
        <v>3</v>
      </c>
      <c r="C24" s="289" t="s">
        <v>499</v>
      </c>
    </row>
    <row r="25">
      <c r="A25" s="1334" t="s">
        <v>500</v>
      </c>
      <c r="B25" s="1103" t="n">
        <v>3</v>
      </c>
      <c r="C25" s="289" t="s">
        <v>46</v>
      </c>
    </row>
    <row r="26">
      <c r="A26" s="1071" t="s">
        <v>501</v>
      </c>
      <c r="B26" s="1103" t="n">
        <v>4</v>
      </c>
      <c r="C26" s="289" t="s">
        <v>502</v>
      </c>
    </row>
    <row r="27">
      <c r="A27" s="680" t="s">
        <v>254</v>
      </c>
      <c r="B27" s="1103" t="n">
        <v>44</v>
      </c>
    </row>
    <row r="28">
      <c r="A28" s="1327" t="s">
        <v>485</v>
      </c>
      <c r="B28" s="1328" t="n">
        <v>15</v>
      </c>
    </row>
    <row r="29">
      <c r="A29" s="1071" t="s">
        <v>503</v>
      </c>
      <c r="B29" s="1103" t="n">
        <v>14</v>
      </c>
    </row>
    <row r="30">
      <c r="A30" s="1071" t="s">
        <v>504</v>
      </c>
      <c r="B30" s="1103" t="n">
        <v>10</v>
      </c>
    </row>
    <row r="31">
      <c r="A31" s="1071" t="s">
        <v>505</v>
      </c>
      <c r="B31" s="1103" t="n">
        <v>2</v>
      </c>
    </row>
    <row r="32">
      <c r="A32" s="1071" t="s">
        <v>506</v>
      </c>
      <c r="B32" s="1103" t="n">
        <v>2</v>
      </c>
    </row>
    <row r="33">
      <c r="A33" s="1071" t="s">
        <v>507</v>
      </c>
      <c r="B33" s="1103" t="n">
        <v>1</v>
      </c>
    </row>
    <row r="34">
      <c r="A34" s="680" t="s">
        <v>508</v>
      </c>
      <c r="B34" s="1103" t="n">
        <v>88</v>
      </c>
    </row>
    <row r="35">
      <c r="A35" s="1334" t="s">
        <v>509</v>
      </c>
      <c r="B35" s="1103" t="n">
        <v>26</v>
      </c>
    </row>
    <row r="36">
      <c r="A36" s="1071" t="s">
        <v>510</v>
      </c>
      <c r="B36" s="1103" t="n">
        <v>25</v>
      </c>
    </row>
    <row r="37">
      <c r="A37" s="1071" t="s">
        <v>487</v>
      </c>
      <c r="B37" s="1103" t="n">
        <v>12</v>
      </c>
      <c r="C37" s="289" t="s">
        <v>511</v>
      </c>
      <c r="E37" s="289" t="s">
        <v>512</v>
      </c>
      <c r="F37" s="289" t="s">
        <v>513</v>
      </c>
    </row>
    <row r="38">
      <c r="A38" s="1071" t="s">
        <v>489</v>
      </c>
      <c r="B38" s="1103" t="n">
        <v>10</v>
      </c>
      <c r="C38" s="289" t="s">
        <v>511</v>
      </c>
      <c r="E38" s="289" t="s">
        <v>514</v>
      </c>
      <c r="F38" s="289" t="s">
        <v>515</v>
      </c>
    </row>
    <row r="39">
      <c r="A39" s="1071" t="s">
        <v>516</v>
      </c>
      <c r="B39" s="1103" t="n">
        <v>7</v>
      </c>
      <c r="C39" s="289" t="s">
        <v>502</v>
      </c>
      <c r="E39" s="289" t="s">
        <v>517</v>
      </c>
      <c r="F39" s="289" t="s">
        <v>518</v>
      </c>
    </row>
    <row r="40">
      <c r="A40" s="1071" t="s">
        <v>519</v>
      </c>
      <c r="B40" s="1103" t="n">
        <v>5</v>
      </c>
      <c r="C40" s="289" t="s">
        <v>81</v>
      </c>
      <c r="E40" s="289" t="s">
        <v>520</v>
      </c>
    </row>
    <row r="41">
      <c r="A41" s="1071" t="s">
        <v>521</v>
      </c>
      <c r="B41" s="1103" t="n">
        <v>2</v>
      </c>
      <c r="C41" s="289" t="s">
        <v>502</v>
      </c>
      <c r="E41" s="289" t="s">
        <v>522</v>
      </c>
    </row>
    <row r="42">
      <c r="A42" s="1071" t="s">
        <v>523</v>
      </c>
      <c r="B42" s="1103" t="n">
        <v>2</v>
      </c>
      <c r="C42" s="289" t="s">
        <v>491</v>
      </c>
      <c r="E42" s="1329" t="s">
        <v>524</v>
      </c>
    </row>
    <row r="43">
      <c r="A43" s="1071" t="s">
        <v>525</v>
      </c>
      <c r="B43" s="1103" t="n">
        <v>0</v>
      </c>
      <c r="E43" s="289" t="s">
        <v>526</v>
      </c>
    </row>
    <row r="44">
      <c r="A44" s="680" t="s">
        <v>527</v>
      </c>
      <c r="B44" s="1103" t="n">
        <v>40</v>
      </c>
    </row>
    <row r="45">
      <c r="A45" s="1334" t="s">
        <v>528</v>
      </c>
      <c r="B45" s="1335" t="n">
        <v>21</v>
      </c>
    </row>
    <row r="46">
      <c r="A46" s="1071" t="s">
        <v>529</v>
      </c>
      <c r="B46" s="1103" t="n">
        <v>6</v>
      </c>
    </row>
    <row r="47">
      <c r="A47" s="1334" t="s">
        <v>530</v>
      </c>
      <c r="B47" s="1335" t="n">
        <v>4</v>
      </c>
    </row>
    <row r="48">
      <c r="A48" s="1071" t="s">
        <v>531</v>
      </c>
      <c r="B48" s="1103" t="n">
        <v>4</v>
      </c>
    </row>
    <row r="49">
      <c r="A49" s="1334" t="s">
        <v>532</v>
      </c>
      <c r="B49" s="1335" t="n">
        <v>3</v>
      </c>
    </row>
    <row r="50">
      <c r="A50" s="1071" t="s">
        <v>533</v>
      </c>
      <c r="B50" s="1103" t="n">
        <v>2</v>
      </c>
    </row>
  </sheetData>
  <mergeCells count="1">
    <mergeCell ref="E3:F3"/>
  </mergeCells>
  <pageMargins left="0.7" right="0.7" top="0.75" bottom="0.75" header="0.3" footer="0.3"/>
  <pageSetup orientation="portrait" horizontalDpi="300" verticalDpi="300"/>
  <drawing r:id="rId1"/>
  <legacyDrawing r:id="rIdvml"/>
  <tableParts count="1">
    <tablePart r:id="rId3"/>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105" zoomScaleNormal="90" workbookViewId="0">
      <pane xSplit="1" ySplit="4" topLeftCell="AV5" activePane="bottomRight" state="frozen"/>
      <selection pane="topRight" activeCell="B1" sqref="B1"/>
      <selection pane="bottomLeft" activeCell="A5" sqref="A5"/>
      <selection pane="bottomRight" activeCell="BJ2" sqref="BJ2"/>
    </sheetView>
  </sheetViews>
  <sheetFormatPr defaultRowHeight="15.0" baseColWidth="10"/>
  <cols>
    <col min="1" max="1" width="6.453125" hidden="0" customWidth="1"/>
    <col min="2" max="2" width="8.1796875" hidden="0" customWidth="1"/>
    <col min="4" max="4" width="7.1796875" hidden="0" customWidth="1"/>
    <col min="5" max="5" width="8.81640625" hidden="0" customWidth="1"/>
    <col min="7" max="7" width="8.1796875" hidden="0" customWidth="1"/>
    <col min="8" max="8" width="7.1796875" hidden="0" customWidth="1"/>
    <col min="10" max="10" width="8.453125" hidden="0" customWidth="1"/>
    <col min="12" max="12" width="8.453125" hidden="0" customWidth="1"/>
    <col min="13" max="13" width="8.453125" hidden="0" customWidth="1"/>
    <col min="14" max="14" width="7.453125" hidden="0" customWidth="1"/>
    <col min="15" max="15" width="8.453125" hidden="0" customWidth="1"/>
    <col min="16" max="16" width="8.453125" hidden="0" customWidth="1"/>
    <col min="17" max="17" width="8.453125" hidden="0" customWidth="1"/>
    <col min="18" max="18" width="8.453125" hidden="0" customWidth="1"/>
    <col min="19" max="19" width="8.453125" hidden="0" customWidth="1"/>
    <col min="20" max="20" width="8.453125" hidden="0" customWidth="1"/>
    <col min="21" max="21" width="8.453125" hidden="0" customWidth="1"/>
    <col min="22" max="22" width="8.453125" hidden="0" customWidth="1"/>
    <col min="23" max="23" width="8.453125" hidden="0" customWidth="1"/>
    <col min="24" max="24" width="8.453125" hidden="0" customWidth="1"/>
    <col min="25" max="25" width="8.453125" hidden="0" customWidth="1"/>
    <col min="26" max="26" width="8.453125" hidden="0" customWidth="1"/>
    <col min="27" max="27" width="8.453125" hidden="0" customWidth="1"/>
    <col min="28" max="28" width="8.453125" hidden="0" customWidth="1"/>
    <col min="29" max="29" width="8.453125" hidden="0" customWidth="1"/>
    <col min="30" max="30" width="8.453125" hidden="0" customWidth="1"/>
    <col min="31" max="31" width="8.453125" hidden="0" customWidth="1"/>
    <col min="32" max="32" width="8.453125" hidden="0" customWidth="1"/>
    <col min="33" max="33" width="8.453125" hidden="0" customWidth="1"/>
    <col min="34" max="34" width="8.453125" hidden="0" customWidth="1"/>
    <col min="35" max="35" width="8.453125" hidden="0" customWidth="1"/>
    <col min="36" max="36" width="8.453125" hidden="0" customWidth="1"/>
    <col min="37" max="37" width="8.453125" hidden="0" customWidth="1"/>
    <col min="38" max="38" width="8.453125" hidden="0" customWidth="1"/>
    <col min="39" max="39" width="8.453125" hidden="0" customWidth="1"/>
    <col min="40" max="40" width="8.453125" hidden="0" customWidth="1"/>
    <col min="41" max="41" width="8.453125" hidden="0" customWidth="1"/>
    <col min="42" max="42" width="8.453125" hidden="0" customWidth="1"/>
    <col min="43" max="43" width="8.453125" hidden="0" customWidth="1"/>
    <col min="44" max="44" width="8.453125" hidden="0" customWidth="1"/>
    <col min="45" max="45" width="8.453125" hidden="0" customWidth="1"/>
    <col min="46" max="46" width="8.453125" hidden="0" customWidth="1"/>
    <col min="47" max="47" width="8.453125" hidden="0" customWidth="1"/>
    <col min="48" max="48" width="8.453125" hidden="0" customWidth="1"/>
    <col min="49" max="49" width="8.453125" hidden="0" customWidth="1"/>
    <col min="50" max="50" width="8.453125" hidden="0" customWidth="1"/>
    <col min="51" max="51" width="8.453125" hidden="0" customWidth="1"/>
    <col min="52" max="52" width="8.453125" hidden="0" customWidth="1"/>
    <col min="53" max="53" width="8.453125" hidden="0" customWidth="1"/>
    <col min="54" max="54" width="8.453125" hidden="0" customWidth="1"/>
    <col min="55" max="55" width="8.453125" hidden="0" customWidth="1"/>
    <col min="56" max="56" width="8.453125" hidden="0" customWidth="1"/>
    <col min="57" max="57" width="8.453125" hidden="0" customWidth="1"/>
    <col min="58" max="58" width="8.453125" hidden="0" customWidth="1"/>
    <col min="59" max="59" width="8.453125" hidden="0" customWidth="1"/>
    <col min="60" max="60" width="8.453125" hidden="0" customWidth="1"/>
    <col min="61" max="61" width="8.453125" hidden="0" customWidth="1"/>
    <col min="62" max="62" width="8.453125" hidden="0" customWidth="1"/>
  </cols>
  <sheetData>
    <row r="1">
      <c r="A1" s="78" t="s">
        <v>740</v>
      </c>
      <c r="I1" s="1385"/>
      <c r="J1" s="1385"/>
      <c r="K1" s="1385"/>
    </row>
    <row r="2" ht="13.4" customHeight="1">
      <c r="A2" s="1348"/>
      <c r="O2" s="1374" t="s">
        <v>705</v>
      </c>
      <c r="P2" s="1388" t="s">
        <v>534</v>
      </c>
      <c r="Q2" s="1388"/>
      <c r="R2" s="1388"/>
      <c r="S2" s="1388"/>
      <c r="T2" s="1377"/>
      <c r="U2" s="1377"/>
      <c r="V2" s="1377"/>
      <c r="W2" s="1377"/>
      <c r="X2" s="1377"/>
      <c r="Y2" s="1377" t="s">
        <v>535</v>
      </c>
      <c r="Z2" s="45"/>
      <c r="AA2" s="45"/>
      <c r="AB2" s="45"/>
      <c r="AC2" s="45"/>
      <c r="AD2" s="45"/>
      <c r="AE2" s="1377"/>
      <c r="AF2" s="1377"/>
      <c r="AG2" s="1386" t="s">
        <v>536</v>
      </c>
      <c r="AH2" s="45"/>
      <c r="AI2" s="45"/>
      <c r="AJ2" s="1378" t="s">
        <v>537</v>
      </c>
      <c r="AK2" s="1378"/>
      <c r="AL2" s="1378"/>
      <c r="AM2" s="1378"/>
      <c r="AN2" s="1378"/>
      <c r="AO2" s="1378"/>
      <c r="AP2" s="1378"/>
      <c r="AQ2" s="1378"/>
      <c r="AR2" s="1378"/>
      <c r="AS2" s="1378"/>
      <c r="AT2" s="1378"/>
      <c r="AU2" s="1387" t="s">
        <v>296</v>
      </c>
      <c r="AV2" s="1387"/>
      <c r="AW2" s="1387"/>
      <c r="AX2" s="1387"/>
      <c r="AY2" s="1387"/>
      <c r="AZ2" s="1387"/>
      <c r="BA2" s="1387"/>
      <c r="BB2" s="1359"/>
      <c r="BC2" s="1359"/>
      <c r="BD2" s="1359"/>
      <c r="BE2" s="1359"/>
      <c r="BF2" s="1359"/>
      <c r="BG2" s="1359"/>
      <c r="BH2" s="1359"/>
      <c r="BI2" s="1359"/>
      <c r="BJ2" s="1365" t="s">
        <v>538</v>
      </c>
    </row>
    <row r="3" ht="43.4" customHeight="1">
      <c r="A3" s="1349"/>
      <c r="B3" s="1349"/>
      <c r="C3" s="1349"/>
      <c r="D3" s="1349"/>
      <c r="E3" s="1349"/>
      <c r="F3" s="1349"/>
      <c r="G3" s="1349"/>
      <c r="H3" s="1349"/>
      <c r="I3" s="1349"/>
      <c r="J3" s="1349"/>
      <c r="K3" s="1349"/>
      <c r="L3" s="1349"/>
      <c r="M3" s="1349"/>
      <c r="N3" s="1349"/>
      <c r="O3" s="1375" t="s">
        <v>539</v>
      </c>
      <c r="P3" s="1358" t="s">
        <v>540</v>
      </c>
      <c r="Q3" s="1358" t="s">
        <v>541</v>
      </c>
      <c r="R3" s="1358" t="s">
        <v>542</v>
      </c>
      <c r="S3" s="1358" t="s">
        <v>543</v>
      </c>
      <c r="T3" s="1358" t="s">
        <v>544</v>
      </c>
      <c r="U3" s="1358" t="s">
        <v>545</v>
      </c>
      <c r="V3" s="1358" t="s">
        <v>546</v>
      </c>
      <c r="W3" s="1358" t="s">
        <v>547</v>
      </c>
      <c r="X3" s="1358" t="s">
        <v>548</v>
      </c>
      <c r="Y3" s="1358" t="s">
        <v>549</v>
      </c>
      <c r="Z3" s="1358"/>
      <c r="AA3" s="1358"/>
      <c r="AB3" s="1358"/>
      <c r="AC3" s="1358" t="s">
        <v>550</v>
      </c>
      <c r="AD3" s="1358" t="s">
        <v>551</v>
      </c>
      <c r="AE3" s="1358" t="s">
        <v>552</v>
      </c>
      <c r="AF3" s="1358" t="s">
        <v>553</v>
      </c>
      <c r="AG3" s="1358" t="s">
        <v>554</v>
      </c>
      <c r="AH3" s="1358" t="s">
        <v>555</v>
      </c>
      <c r="AI3" s="1358" t="s">
        <v>556</v>
      </c>
      <c r="AJ3" s="1358" t="s">
        <v>557</v>
      </c>
      <c r="AK3" s="1358" t="s">
        <v>558</v>
      </c>
      <c r="AL3" s="1358" t="s">
        <v>559</v>
      </c>
      <c r="AM3" s="1358" t="s">
        <v>560</v>
      </c>
      <c r="AN3" s="1358" t="s">
        <v>561</v>
      </c>
      <c r="AO3" s="1358" t="s">
        <v>562</v>
      </c>
      <c r="AP3" s="1358" t="s">
        <v>563</v>
      </c>
      <c r="AQ3" s="1371" t="s">
        <v>564</v>
      </c>
      <c r="AR3" s="1358" t="s">
        <v>565</v>
      </c>
      <c r="AS3" s="1358" t="s">
        <v>566</v>
      </c>
      <c r="AT3" s="1358" t="s">
        <v>567</v>
      </c>
      <c r="AU3" s="1358" t="s">
        <v>568</v>
      </c>
      <c r="AV3" s="1358" t="s">
        <v>569</v>
      </c>
      <c r="AW3" s="1358" t="s">
        <v>570</v>
      </c>
      <c r="AX3" s="1358" t="s">
        <v>571</v>
      </c>
      <c r="AY3" s="1358" t="s">
        <v>572</v>
      </c>
      <c r="AZ3" s="1358" t="s">
        <v>573</v>
      </c>
      <c r="BA3" s="1358" t="s">
        <v>550</v>
      </c>
      <c r="BB3" s="1366" t="s">
        <v>574</v>
      </c>
      <c r="BC3" s="1366" t="s">
        <v>575</v>
      </c>
      <c r="BD3" s="1366" t="s">
        <v>576</v>
      </c>
      <c r="BE3" s="1366" t="s">
        <v>577</v>
      </c>
      <c r="BF3" s="1366" t="s">
        <v>578</v>
      </c>
      <c r="BG3" s="1366" t="s">
        <v>579</v>
      </c>
      <c r="BH3" s="1366" t="s">
        <v>580</v>
      </c>
      <c r="BI3" s="1366" t="s">
        <v>581</v>
      </c>
      <c r="BJ3" s="1360" t="s">
        <v>582</v>
      </c>
    </row>
    <row r="4" ht="63" customHeight="1">
      <c r="A4" s="1369" t="s">
        <v>583</v>
      </c>
      <c r="B4" s="1348" t="s">
        <v>47</v>
      </c>
      <c r="C4" s="1348" t="s">
        <v>584</v>
      </c>
      <c r="D4" s="1348" t="s">
        <v>454</v>
      </c>
      <c r="E4" s="1348" t="s">
        <v>585</v>
      </c>
      <c r="F4" s="1348" t="s">
        <v>586</v>
      </c>
      <c r="G4" s="1348" t="s">
        <v>587</v>
      </c>
      <c r="H4" s="1348" t="s">
        <v>90</v>
      </c>
      <c r="I4" s="1355" t="s">
        <v>259</v>
      </c>
      <c r="J4" s="1355" t="s">
        <v>102</v>
      </c>
      <c r="K4" s="1355" t="s">
        <v>588</v>
      </c>
      <c r="L4" s="1353" t="s">
        <v>105</v>
      </c>
      <c r="M4" s="1348" t="s">
        <v>81</v>
      </c>
      <c r="N4" s="1348" t="s">
        <v>589</v>
      </c>
      <c r="O4" s="1376" t="s">
        <v>590</v>
      </c>
      <c r="P4" s="1366" t="s">
        <v>591</v>
      </c>
      <c r="Q4" s="1366" t="s">
        <v>592</v>
      </c>
      <c r="R4" s="1366" t="s">
        <v>593</v>
      </c>
      <c r="S4" s="1366" t="s">
        <v>594</v>
      </c>
      <c r="T4" s="1366" t="s">
        <v>595</v>
      </c>
      <c r="U4" s="1366" t="s">
        <v>596</v>
      </c>
      <c r="V4" s="1366" t="s">
        <v>597</v>
      </c>
      <c r="W4" s="1366" t="s">
        <v>598</v>
      </c>
      <c r="X4" s="1366" t="s">
        <v>599</v>
      </c>
      <c r="Y4" s="1366" t="s">
        <v>600</v>
      </c>
      <c r="Z4" s="1366" t="s">
        <v>601</v>
      </c>
      <c r="AA4" s="1366" t="s">
        <v>602</v>
      </c>
      <c r="AB4" s="1366" t="s">
        <v>603</v>
      </c>
      <c r="AC4" s="1366" t="s">
        <v>604</v>
      </c>
      <c r="AD4" s="1366" t="s">
        <v>605</v>
      </c>
      <c r="AE4" s="1366" t="s">
        <v>606</v>
      </c>
      <c r="AF4" s="1366" t="s">
        <v>607</v>
      </c>
      <c r="AG4" s="1366" t="s">
        <v>143</v>
      </c>
      <c r="AH4" s="1366" t="s">
        <v>144</v>
      </c>
      <c r="AI4" s="1366" t="s">
        <v>608</v>
      </c>
      <c r="AJ4" s="1366" t="s">
        <v>609</v>
      </c>
      <c r="AK4" s="1366" t="s">
        <v>610</v>
      </c>
      <c r="AL4" s="1366" t="s">
        <v>611</v>
      </c>
      <c r="AM4" s="1366" t="s">
        <v>612</v>
      </c>
      <c r="AN4" s="1366" t="s">
        <v>613</v>
      </c>
      <c r="AO4" s="1366" t="s">
        <v>614</v>
      </c>
      <c r="AP4" s="1366" t="s">
        <v>615</v>
      </c>
      <c r="AQ4" s="1367" t="s">
        <v>616</v>
      </c>
      <c r="AR4" s="1366" t="s">
        <v>617</v>
      </c>
      <c r="AS4" s="1366" t="s">
        <v>618</v>
      </c>
      <c r="AT4" s="1366" t="s">
        <v>619</v>
      </c>
      <c r="AU4" s="1366" t="s">
        <v>620</v>
      </c>
      <c r="AV4" s="1366" t="s">
        <v>621</v>
      </c>
      <c r="AW4" s="1366" t="s">
        <v>622</v>
      </c>
      <c r="AX4" s="1366" t="s">
        <v>623</v>
      </c>
      <c r="AY4" s="1366" t="s">
        <v>624</v>
      </c>
      <c r="AZ4" s="1366" t="s">
        <v>625</v>
      </c>
      <c r="BA4" s="1366"/>
      <c r="BB4" s="1366" t="s">
        <v>336</v>
      </c>
      <c r="BC4" s="1366" t="s">
        <v>626</v>
      </c>
      <c r="BD4" s="1366" t="s">
        <v>627</v>
      </c>
      <c r="BE4" s="1366" t="s">
        <v>628</v>
      </c>
      <c r="BF4" s="1366" t="s">
        <v>629</v>
      </c>
      <c r="BG4" s="1366" t="s">
        <v>630</v>
      </c>
      <c r="BH4" s="1366" t="s">
        <v>631</v>
      </c>
      <c r="BI4" s="1366" t="s">
        <v>632</v>
      </c>
      <c r="BJ4" s="1368" t="s">
        <v>633</v>
      </c>
    </row>
    <row r="5">
      <c r="A5" s="1350" t="n">
        <v>2021</v>
      </c>
      <c r="B5" s="1352" t="n">
        <f>Q5</f>
        <v>394.202</v>
      </c>
      <c r="C5" s="1352" t="n">
        <f>SUM(Y5:AB5)</f>
        <v>195.7</v>
      </c>
      <c r="D5" s="1352" t="n">
        <f>T5</f>
        <v>18.823</v>
      </c>
      <c r="E5" s="1352" t="n">
        <f>SUM(P5:S5)-B5</f>
        <v>0.77600000000001046</v>
      </c>
      <c r="F5" s="1352" t="n">
        <f>SUM(T5:AF5)-C5-L5-D5 - 28</f>
        <v>19.722000000000016</v>
      </c>
      <c r="G5" s="1352" t="n">
        <f>SUM(BB5:BI5)-BC5</f>
        <v>81.642999999999986</v>
      </c>
      <c r="H5" s="1352" t="n">
        <f>SUM(AG5:AI5)</f>
        <v>7.798</v>
      </c>
      <c r="I5" s="1352" t="n">
        <f>AJ5</f>
        <v>283.95749999999998</v>
      </c>
      <c r="J5" s="1352" t="n">
        <f>AL5</f>
        <v>12.347</v>
      </c>
      <c r="K5" s="1352" t="n">
        <f>SUM(AM5:AT5)</f>
        <v>29.628</v>
      </c>
      <c r="L5" s="1356" t="n">
        <f>103/4</f>
        <v>25.75</v>
      </c>
      <c r="M5" s="1352" t="n">
        <f t="shared" ref="M5:M16" si="0">SUM(AU5:BA5)</f>
        <v>31.939</v>
      </c>
      <c r="N5" s="1352" t="n">
        <f>AK5</f>
        <v>3.4</v>
      </c>
      <c r="O5" s="1379" t="n">
        <v>50</v>
      </c>
      <c r="P5" s="1373" t="n">
        <v>0.55000000000000004</v>
      </c>
      <c r="Q5" s="311" t="n">
        <v>394.202</v>
      </c>
      <c r="R5" s="1381" t="n">
        <v>0.14599999999999999</v>
      </c>
      <c r="S5" s="1381" t="n">
        <v>0.08</v>
      </c>
      <c r="T5" s="1381" t="n">
        <v>18.823</v>
      </c>
      <c r="U5" s="311" t="n">
        <v>19</v>
      </c>
      <c r="V5" s="1381" t="n">
        <v>11.481999999999999</v>
      </c>
      <c r="W5" s="920" t="n">
        <v>1.5580000000000001</v>
      </c>
      <c r="X5" s="920" t="n">
        <v>0.74</v>
      </c>
      <c r="Y5" s="311" t="n">
        <v>0.2</v>
      </c>
      <c r="Z5" s="311" t="n">
        <v>43.1</v>
      </c>
      <c r="AA5" s="311" t="n">
        <v>33.9</v>
      </c>
      <c r="AB5" s="311" t="n">
        <v>118.5</v>
      </c>
      <c r="AC5" s="311" t="n">
        <v>28</v>
      </c>
      <c r="AD5" s="920" t="n">
        <v>-2.0379999999999998</v>
      </c>
      <c r="AE5" s="311" t="n">
        <v>14.31</v>
      </c>
      <c r="AF5" s="1381" t="n">
        <v>0.42</v>
      </c>
      <c r="AG5" s="1381" t="n">
        <v>7.7279999999999998</v>
      </c>
      <c r="AH5" s="311" t="n">
        <v>7.0000000000000007E-2</v>
      </c>
      <c r="AI5" s="311" t="n">
        <v>0</v>
      </c>
      <c r="AJ5" s="311" t="n">
        <v>283.95749999999998</v>
      </c>
      <c r="AK5" s="1372" t="n">
        <v>3.4</v>
      </c>
      <c r="AL5" s="1372" t="n">
        <v>12.347</v>
      </c>
      <c r="AM5" s="1382" t="n">
        <v>0.28599999999999998</v>
      </c>
      <c r="AN5" s="1372" t="n">
        <v>2</v>
      </c>
      <c r="AO5" s="311" t="n">
        <v>0.81</v>
      </c>
      <c r="AP5" s="1372" t="n">
        <v>0.52100000000000002</v>
      </c>
      <c r="AQ5" s="1383" t="n">
        <v>10</v>
      </c>
      <c r="AR5" s="1372" t="n">
        <v>2.7</v>
      </c>
      <c r="AS5" s="1372" t="n">
        <v>0.751</v>
      </c>
      <c r="AT5" s="311" t="n">
        <v>12.56</v>
      </c>
      <c r="AU5" s="311" t="n">
        <v>0</v>
      </c>
      <c r="AV5" s="1372" t="n">
        <v>1.415</v>
      </c>
      <c r="AW5" s="1372" t="n">
        <v>10.51</v>
      </c>
      <c r="AX5" s="1372" t="n">
        <v>2.6</v>
      </c>
      <c r="AY5" s="311" t="n">
        <v>-0.33</v>
      </c>
      <c r="AZ5" s="1372" t="n">
        <v>17.744</v>
      </c>
      <c r="BA5" s="311" t="n">
        <v>0</v>
      </c>
      <c r="BB5" s="1372" t="n">
        <v>4.0999999999999996</v>
      </c>
      <c r="BC5" s="1372" t="n">
        <v>7.25</v>
      </c>
      <c r="BD5" s="1372" t="n">
        <v>48.4</v>
      </c>
      <c r="BE5" s="1381" t="n">
        <v>0.83</v>
      </c>
      <c r="BF5" s="920" t="n">
        <v>4.5110000000000001</v>
      </c>
      <c r="BG5" s="311" t="n">
        <v>3.0739999999999998</v>
      </c>
      <c r="BH5" s="1337" t="n">
        <v>-0.28399999999999997</v>
      </c>
      <c r="BI5" s="1372" t="n">
        <v>21.012</v>
      </c>
      <c r="BJ5" s="1361" t="n">
        <v>1.1599999999999999</v>
      </c>
    </row>
    <row r="6">
      <c r="A6" s="1350" t="n">
        <v>2022</v>
      </c>
      <c r="B6" s="1352" t="n">
        <f t="shared" ref="B6:B15" si="1">Q6</f>
        <v>17.465</v>
      </c>
      <c r="C6" s="1352" t="n">
        <f t="shared" ref="C6:C15" si="2">SUM(Y6:AB6)</f>
        <v>10.1</v>
      </c>
      <c r="D6" s="1352" t="n">
        <f t="shared" ref="D6:D15" si="3">T6</f>
        <v>2.5950000000000002</v>
      </c>
      <c r="E6" s="1352" t="n">
        <f t="shared" ref="E6:E15" si="4">SUM(P6:S6)-B6</f>
        <v>19.719000000000005</v>
      </c>
      <c r="F6" s="1352" t="n">
        <f>SUM(T6:AF6)-C6-L6-D6</f>
        <v>52.756999999999998</v>
      </c>
      <c r="G6" s="1352" t="n">
        <f t="shared" ref="G6:G16" si="5">SUM(BB6:BI6)-BC6</f>
        <v>110.24799999999999</v>
      </c>
      <c r="H6" s="1352" t="n">
        <f t="shared" ref="H6:H15" si="6">SUM(AG6:AI6)</f>
        <v>7.9489999999999998</v>
      </c>
      <c r="I6" s="1352" t="n">
        <f t="shared" ref="I6:I15" si="7">AJ6</f>
        <v>77.092500000000001</v>
      </c>
      <c r="J6" s="1352" t="n">
        <f t="shared" ref="J6:J15" si="8">AL6</f>
        <v>46.79</v>
      </c>
      <c r="K6" s="1352" t="n">
        <f t="shared" ref="K6:K16" si="9">SUM(AM6:AT6)</f>
        <v>35.671000000000006</v>
      </c>
      <c r="L6" s="1356" t="n">
        <v>0</v>
      </c>
      <c r="M6" s="1352" t="n">
        <f t="shared" si="0"/>
        <v>56.412999999999997</v>
      </c>
      <c r="N6" s="1352" t="n">
        <f t="shared" ref="N6:N15" si="10">AK6</f>
        <v>5.0999999999999996</v>
      </c>
      <c r="O6" s="1379" t="n">
        <v>55</v>
      </c>
      <c r="P6" s="1373" t="n">
        <v>15.61</v>
      </c>
      <c r="Q6" s="311" t="n">
        <v>17.465</v>
      </c>
      <c r="R6" s="1381" t="n">
        <v>0.317</v>
      </c>
      <c r="S6" s="1381" t="n">
        <v>3.7919999999999998</v>
      </c>
      <c r="T6" s="311" t="n">
        <v>2.5950000000000002</v>
      </c>
      <c r="U6" s="1372" t="n">
        <v>14.5</v>
      </c>
      <c r="V6" s="311" t="n">
        <v>25.070999999999998</v>
      </c>
      <c r="W6" s="920" t="n">
        <v>1.952</v>
      </c>
      <c r="X6" s="920" t="n">
        <v>0.61399999999999999</v>
      </c>
      <c r="Y6" s="1372" t="n">
        <v>0</v>
      </c>
      <c r="Z6" s="1372" t="n">
        <v>2.2999999999999998</v>
      </c>
      <c r="AA6" s="1372" t="n">
        <v>1.6</v>
      </c>
      <c r="AB6" s="1372" t="n">
        <v>6.2</v>
      </c>
      <c r="AC6" s="311" t="n">
        <v>0</v>
      </c>
      <c r="AD6" s="311" t="n">
        <v>1.31</v>
      </c>
      <c r="AE6" s="311" t="n">
        <v>8.61</v>
      </c>
      <c r="AF6" s="311" t="n">
        <v>0.7</v>
      </c>
      <c r="AG6" s="1381" t="n">
        <v>7.782</v>
      </c>
      <c r="AH6" s="311" t="n">
        <v>0.12</v>
      </c>
      <c r="AI6" s="311" t="n">
        <v>4.7E-2</v>
      </c>
      <c r="AJ6" s="311" t="n">
        <v>77.092500000000001</v>
      </c>
      <c r="AK6" s="1372" t="n">
        <v>5.0999999999999996</v>
      </c>
      <c r="AL6" s="1372" t="n">
        <v>46.79</v>
      </c>
      <c r="AM6" s="1337" t="n">
        <v>0.30499999999999999</v>
      </c>
      <c r="AN6" s="1372" t="n">
        <v>4.3</v>
      </c>
      <c r="AO6" s="920" t="n">
        <v>1.1000000000000001</v>
      </c>
      <c r="AP6" s="1372" t="n">
        <v>1.575</v>
      </c>
      <c r="AQ6" s="1383" t="n">
        <v>10</v>
      </c>
      <c r="AR6" s="1372" t="n">
        <v>4.5</v>
      </c>
      <c r="AS6" s="1372" t="n">
        <v>1.9810000000000001</v>
      </c>
      <c r="AT6" s="311" t="n">
        <v>11.91</v>
      </c>
      <c r="AU6" s="311" t="n">
        <v>0</v>
      </c>
      <c r="AV6" s="1372" t="n">
        <v>3.927</v>
      </c>
      <c r="AW6" s="1372" t="n">
        <v>4.2880000000000003</v>
      </c>
      <c r="AX6" s="1372" t="n">
        <v>3.7</v>
      </c>
      <c r="AY6" s="311" t="n">
        <v>-1.34</v>
      </c>
      <c r="AZ6" s="1372" t="n">
        <v>45.838000000000001</v>
      </c>
      <c r="BA6" s="311" t="n">
        <v>0</v>
      </c>
      <c r="BB6" s="1372" t="n">
        <v>11.3</v>
      </c>
      <c r="BC6" s="1372" t="n">
        <v>0</v>
      </c>
      <c r="BD6" s="1372" t="n">
        <v>1.1000000000000001</v>
      </c>
      <c r="BE6" s="1381" t="n">
        <v>1.75</v>
      </c>
      <c r="BF6" s="920" t="n">
        <v>1.7330000000000001</v>
      </c>
      <c r="BG6" s="920" t="n">
        <v>7.1440000000000001</v>
      </c>
      <c r="BH6" s="1338" t="n">
        <v>81.608999999999995</v>
      </c>
      <c r="BI6" s="1372" t="n">
        <v>5.6120000000000001</v>
      </c>
      <c r="BJ6" s="1361" t="n">
        <v>4.2</v>
      </c>
    </row>
    <row r="7">
      <c r="A7" s="1350" t="n">
        <v>2023</v>
      </c>
      <c r="B7" s="1352" t="n">
        <f t="shared" si="1"/>
        <v>0.48599999999999999</v>
      </c>
      <c r="C7" s="1352" t="n">
        <f t="shared" si="2"/>
        <v>0</v>
      </c>
      <c r="D7" s="1352" t="n">
        <f t="shared" si="3"/>
        <v>0.93700000000000006</v>
      </c>
      <c r="E7" s="1352" t="n">
        <f t="shared" si="4"/>
        <v>1.4159999999999999</v>
      </c>
      <c r="F7" s="1352" t="n">
        <f t="shared" ref="F7:F15" si="11">SUM(T7:AF7)-C7-L7-D7</f>
        <v>12</v>
      </c>
      <c r="G7" s="1352" t="n">
        <f t="shared" si="5"/>
        <v>12.726000000000001</v>
      </c>
      <c r="H7" s="1352" t="n">
        <f t="shared" si="6"/>
        <v>4.7519999999999998</v>
      </c>
      <c r="I7" s="1352" t="n">
        <f t="shared" si="7"/>
        <v>1</v>
      </c>
      <c r="J7" s="1352" t="n">
        <f t="shared" si="8"/>
        <v>38.595999999999997</v>
      </c>
      <c r="K7" s="1352" t="n">
        <f t="shared" si="9"/>
        <v>24.216000000000001</v>
      </c>
      <c r="L7" s="1356" t="n">
        <v>0</v>
      </c>
      <c r="M7" s="1352" t="n">
        <f t="shared" si="0"/>
        <v>15.652999999999999</v>
      </c>
      <c r="N7" s="1352" t="n">
        <f t="shared" si="10"/>
        <v>0</v>
      </c>
      <c r="O7" s="1379" t="n">
        <v>0.7</v>
      </c>
      <c r="P7" s="1373" t="n">
        <v>0.96</v>
      </c>
      <c r="Q7" s="311" t="n">
        <v>0.48599999999999999</v>
      </c>
      <c r="R7" s="1381" t="n">
        <v>0.45600000000000002</v>
      </c>
      <c r="S7" s="311" t="n">
        <v>0</v>
      </c>
      <c r="T7" s="1339" t="n">
        <v>0.93700000000000006</v>
      </c>
      <c r="U7" s="1372" t="n">
        <v>3</v>
      </c>
      <c r="V7" s="1381" t="n">
        <v>7.891</v>
      </c>
      <c r="W7" s="920" t="n">
        <v>0.61699999999999999</v>
      </c>
      <c r="X7" s="920" t="n">
        <v>8.4000000000000005E-2</v>
      </c>
      <c r="Y7" s="1372" t="n">
        <v>0</v>
      </c>
      <c r="Z7" s="1372" t="n">
        <v>0</v>
      </c>
      <c r="AA7" s="1372" t="n">
        <v>0</v>
      </c>
      <c r="AB7" s="1372" t="n">
        <v>0</v>
      </c>
      <c r="AC7" s="311" t="n">
        <v>0</v>
      </c>
      <c r="AD7" s="311" t="n">
        <v>0.318</v>
      </c>
      <c r="AE7" s="1381" t="n">
        <v>-0.11000000000000001</v>
      </c>
      <c r="AF7" s="311" t="n">
        <v>0.2</v>
      </c>
      <c r="AG7" s="1381" t="n">
        <v>4.6749999999999998</v>
      </c>
      <c r="AH7" s="311" t="n">
        <v>0.06</v>
      </c>
      <c r="AI7" s="311" t="n">
        <v>1.7000000000000001E-2</v>
      </c>
      <c r="AJ7" s="311" t="n">
        <v>1</v>
      </c>
      <c r="AK7" s="1372" t="n">
        <v>0</v>
      </c>
      <c r="AL7" s="1372" t="n">
        <v>38.595999999999997</v>
      </c>
      <c r="AM7" s="311" t="n">
        <v>0.14899999999999999</v>
      </c>
      <c r="AN7" s="1372" t="n">
        <v>1.2</v>
      </c>
      <c r="AO7" s="920" t="n">
        <v>0.53</v>
      </c>
      <c r="AP7" s="1372" t="n">
        <v>0.38100000000000001</v>
      </c>
      <c r="AQ7" s="1383" t="n">
        <v>8</v>
      </c>
      <c r="AR7" s="1372" t="n">
        <v>4.5</v>
      </c>
      <c r="AS7" s="1372" t="n">
        <v>0.76600000000000001</v>
      </c>
      <c r="AT7" s="311" t="n">
        <v>8.69</v>
      </c>
      <c r="AU7" s="311" t="n">
        <v>0</v>
      </c>
      <c r="AV7" s="1372" t="n">
        <v>1.93</v>
      </c>
      <c r="AW7" s="1372" t="n">
        <v>1.4379999999999999</v>
      </c>
      <c r="AX7" s="1372" t="n">
        <v>2.6</v>
      </c>
      <c r="AY7" s="920" t="n">
        <v>-2.48</v>
      </c>
      <c r="AZ7" s="1372" t="n">
        <v>12.164999999999999</v>
      </c>
      <c r="BA7" s="920" t="n">
        <v>0</v>
      </c>
      <c r="BB7" s="1372" t="n">
        <v>8.4</v>
      </c>
      <c r="BC7" s="1372" t="n">
        <v>0</v>
      </c>
      <c r="BD7" s="1372" t="n">
        <v>0.3</v>
      </c>
      <c r="BE7" s="1381" t="n">
        <v>1.8</v>
      </c>
      <c r="BF7" s="920" t="n">
        <v>0</v>
      </c>
      <c r="BG7" s="920" t="n">
        <v>0</v>
      </c>
      <c r="BH7" s="1337" t="n">
        <v>1.3759999999999999</v>
      </c>
      <c r="BI7" s="1372" t="n">
        <v>0.85</v>
      </c>
      <c r="BJ7" s="1361" t="n">
        <v>2.7</v>
      </c>
    </row>
    <row r="8">
      <c r="A8" s="1350" t="n">
        <v>2024</v>
      </c>
      <c r="B8" s="1352" t="n">
        <f t="shared" si="1"/>
        <v>0</v>
      </c>
      <c r="C8" s="1352" t="n">
        <f t="shared" si="2"/>
        <v>0</v>
      </c>
      <c r="D8" s="1352" t="n">
        <f t="shared" si="3"/>
        <v>0.16</v>
      </c>
      <c r="E8" s="1352" t="n">
        <f t="shared" si="4"/>
        <v>1.4790000000000001</v>
      </c>
      <c r="F8" s="1352" t="n">
        <f t="shared" si="11"/>
        <v>4.2219999999999995</v>
      </c>
      <c r="G8" s="1352" t="n">
        <f t="shared" si="5"/>
        <v>1.365</v>
      </c>
      <c r="H8" s="1352" t="n">
        <f t="shared" si="6"/>
        <v>4.637999999999999</v>
      </c>
      <c r="I8" s="1352" t="n">
        <f t="shared" si="7"/>
        <v>0</v>
      </c>
      <c r="J8" s="1352" t="n">
        <f t="shared" si="8"/>
        <v>31.911000000000001</v>
      </c>
      <c r="K8" s="1352" t="n">
        <f t="shared" si="9"/>
        <v>9.6430000000000007</v>
      </c>
      <c r="L8" s="1356" t="n">
        <v>0</v>
      </c>
      <c r="M8" s="1352" t="n">
        <f t="shared" si="0"/>
        <v>3.9320000000000004</v>
      </c>
      <c r="N8" s="1352" t="n">
        <f t="shared" si="10"/>
        <v>0</v>
      </c>
      <c r="O8" s="1379" t="n">
        <v>0.7</v>
      </c>
      <c r="P8" s="1373" t="n">
        <v>0.96</v>
      </c>
      <c r="Q8" s="1372" t="n">
        <v>0</v>
      </c>
      <c r="R8" s="1381" t="n">
        <v>0.51900000000000002</v>
      </c>
      <c r="S8" s="311" t="n">
        <v>0</v>
      </c>
      <c r="T8" s="1340" t="n">
        <v>0.16</v>
      </c>
      <c r="U8" s="1372" t="n">
        <v>2.8</v>
      </c>
      <c r="V8" s="311" t="n">
        <v>0.504</v>
      </c>
      <c r="W8" s="920" t="n">
        <v>0.47199999999999998</v>
      </c>
      <c r="X8" s="920" t="n">
        <v>2E-3</v>
      </c>
      <c r="Y8" s="1372" t="n">
        <v>0</v>
      </c>
      <c r="Z8" s="1372" t="n">
        <v>0</v>
      </c>
      <c r="AA8" s="1372" t="n">
        <v>0</v>
      </c>
      <c r="AB8" s="1372" t="n">
        <v>0</v>
      </c>
      <c r="AC8" s="311" t="n">
        <v>0</v>
      </c>
      <c r="AD8" s="311" t="n">
        <v>0.34399999999999997</v>
      </c>
      <c r="AE8" s="1381" t="n">
        <v>0</v>
      </c>
      <c r="AF8" s="1381" t="n">
        <v>0.1</v>
      </c>
      <c r="AG8" s="1381" t="n">
        <v>4.5739999999999998</v>
      </c>
      <c r="AH8" s="311" t="n">
        <v>0.06</v>
      </c>
      <c r="AI8" s="311" t="n">
        <v>4.0000000000000001E-3</v>
      </c>
      <c r="AJ8" s="311" t="n">
        <v>0</v>
      </c>
      <c r="AK8" s="1372" t="n">
        <v>0</v>
      </c>
      <c r="AL8" s="1372" t="n">
        <v>31.911000000000001</v>
      </c>
      <c r="AM8" s="311" t="n">
        <v>4.1000000000000002E-2</v>
      </c>
      <c r="AN8" s="1372" t="n">
        <v>0.4</v>
      </c>
      <c r="AO8" s="920" t="n">
        <v>0.41</v>
      </c>
      <c r="AP8" s="1372" t="n">
        <v>0.13100000000000001</v>
      </c>
      <c r="AQ8" s="1383" t="n">
        <v>0</v>
      </c>
      <c r="AR8" s="1372" t="n">
        <v>3</v>
      </c>
      <c r="AS8" s="1372" t="n">
        <v>0.30099999999999999</v>
      </c>
      <c r="AT8" s="920" t="n">
        <v>5.36</v>
      </c>
      <c r="AU8" s="311" t="n">
        <v>0</v>
      </c>
      <c r="AV8" s="1372" t="n">
        <v>0.79600000000000004</v>
      </c>
      <c r="AW8" s="1372" t="n">
        <v>0.27500000000000002</v>
      </c>
      <c r="AX8" s="1372" t="n">
        <v>1</v>
      </c>
      <c r="AY8" s="920" t="n">
        <v>-2.6</v>
      </c>
      <c r="AZ8" s="1372" t="n">
        <v>4.4610000000000003</v>
      </c>
      <c r="BA8" s="920" t="n">
        <v>0</v>
      </c>
      <c r="BB8" s="1372" t="n">
        <v>0.2</v>
      </c>
      <c r="BC8" s="1372" t="n">
        <v>0</v>
      </c>
      <c r="BD8" s="1372" t="n">
        <v>0</v>
      </c>
      <c r="BE8" s="1381" t="n">
        <v>1.95</v>
      </c>
      <c r="BF8" s="920" t="n">
        <v>0</v>
      </c>
      <c r="BG8" s="920" t="n">
        <v>0</v>
      </c>
      <c r="BH8" s="1337" t="n">
        <v>-0.875</v>
      </c>
      <c r="BI8" s="1372" t="n">
        <v>0.09</v>
      </c>
      <c r="BJ8" s="1362" t="n">
        <v>0.87</v>
      </c>
    </row>
    <row r="9">
      <c r="A9" s="1350" t="n">
        <v>2025</v>
      </c>
      <c r="B9" s="1352" t="n">
        <f t="shared" si="1"/>
        <v>0</v>
      </c>
      <c r="C9" s="1352" t="n">
        <f t="shared" si="2"/>
        <v>0</v>
      </c>
      <c r="D9" s="1352" t="n">
        <f t="shared" si="3"/>
        <v>3.3000000000000002E-2</v>
      </c>
      <c r="E9" s="1352" t="n">
        <f t="shared" si="4"/>
        <v>1.63</v>
      </c>
      <c r="F9" s="1352" t="n">
        <f t="shared" si="11"/>
        <v>2.3719999999999999</v>
      </c>
      <c r="G9" s="1352" t="n">
        <f t="shared" si="5"/>
        <v>-0.90100000000000025</v>
      </c>
      <c r="H9" s="1352" t="n">
        <f t="shared" si="6"/>
        <v>1.8800000000000001</v>
      </c>
      <c r="I9" s="1352" t="n">
        <f t="shared" si="7"/>
        <v>0</v>
      </c>
      <c r="J9" s="1352" t="n">
        <f t="shared" si="8"/>
        <v>23.099</v>
      </c>
      <c r="K9" s="1352" t="n">
        <f t="shared" si="9"/>
        <v>4.5789999999999997</v>
      </c>
      <c r="L9" s="1356" t="n">
        <v>0</v>
      </c>
      <c r="M9" s="1352" t="n">
        <f t="shared" si="0"/>
        <v>-0.74299999999999988</v>
      </c>
      <c r="N9" s="1352" t="n">
        <f t="shared" si="10"/>
        <v>0</v>
      </c>
      <c r="O9" s="1379" t="n">
        <v>0.7</v>
      </c>
      <c r="P9" s="1373" t="n">
        <v>1.06</v>
      </c>
      <c r="Q9" s="1372" t="n">
        <v>0</v>
      </c>
      <c r="R9" s="1381" t="n">
        <v>0.56999999999999995</v>
      </c>
      <c r="S9" s="311" t="n">
        <v>0</v>
      </c>
      <c r="T9" s="1341" t="n">
        <v>3.3000000000000002E-2</v>
      </c>
      <c r="U9" s="1372" t="n">
        <v>2</v>
      </c>
      <c r="V9" s="1341" t="n">
        <v>0</v>
      </c>
      <c r="W9" s="920" t="n">
        <v>0.21299999999999999</v>
      </c>
      <c r="X9" s="920" t="n">
        <v>2E-3</v>
      </c>
      <c r="Y9" s="1372" t="n">
        <v>0</v>
      </c>
      <c r="Z9" s="1372" t="n">
        <v>0</v>
      </c>
      <c r="AA9" s="1372" t="n">
        <v>0</v>
      </c>
      <c r="AB9" s="1372" t="n">
        <v>0</v>
      </c>
      <c r="AC9" s="311" t="n">
        <v>0</v>
      </c>
      <c r="AD9" s="311" t="n">
        <v>0.157</v>
      </c>
      <c r="AE9" s="1381" t="n">
        <v>0</v>
      </c>
      <c r="AF9" s="1381" t="n">
        <v>0</v>
      </c>
      <c r="AG9" s="311" t="n">
        <v>1.81</v>
      </c>
      <c r="AH9" s="311" t="n">
        <v>7.0000000000000007E-2</v>
      </c>
      <c r="AI9" s="311" t="n">
        <v>0</v>
      </c>
      <c r="AJ9" s="1372" t="n">
        <v>0</v>
      </c>
      <c r="AK9" s="1372" t="n">
        <v>0</v>
      </c>
      <c r="AL9" s="1372" t="n">
        <v>23.099</v>
      </c>
      <c r="AM9" s="311" t="n">
        <v>1.2999999999999999E-2</v>
      </c>
      <c r="AN9" s="1372" t="n">
        <v>0.3</v>
      </c>
      <c r="AO9" s="1370" t="n">
        <v>0.15</v>
      </c>
      <c r="AP9" s="1372" t="n">
        <v>0.112</v>
      </c>
      <c r="AQ9" s="1383" t="n">
        <v>0</v>
      </c>
      <c r="AR9" s="1372" t="n">
        <v>0.2</v>
      </c>
      <c r="AS9" s="1372" t="n">
        <v>7.3999999999999996E-2</v>
      </c>
      <c r="AT9" s="920" t="n">
        <v>3.73</v>
      </c>
      <c r="AU9" s="311" t="n">
        <v>0</v>
      </c>
      <c r="AV9" s="1372" t="n">
        <v>5.3999999999999999E-2</v>
      </c>
      <c r="AW9" s="1372" t="n">
        <v>0.13100000000000001</v>
      </c>
      <c r="AX9" s="1372" t="n">
        <v>0</v>
      </c>
      <c r="AY9" s="920" t="n">
        <v>-2.71</v>
      </c>
      <c r="AZ9" s="1372" t="n">
        <v>1.782</v>
      </c>
      <c r="BA9" s="920" t="n">
        <v>0</v>
      </c>
      <c r="BB9" s="1372" t="n">
        <v>0</v>
      </c>
      <c r="BC9" s="1372" t="n">
        <v>0</v>
      </c>
      <c r="BD9" s="1372" t="n">
        <v>0</v>
      </c>
      <c r="BE9" s="1381" t="n">
        <v>1.43</v>
      </c>
      <c r="BF9" s="920" t="n">
        <v>0</v>
      </c>
      <c r="BG9" s="920" t="n">
        <v>0</v>
      </c>
      <c r="BH9" s="1337" t="n">
        <v>-2.3410000000000002</v>
      </c>
      <c r="BI9" s="1372" t="n">
        <v>0.01</v>
      </c>
      <c r="BJ9" s="1362" t="n">
        <v>0.33</v>
      </c>
    </row>
    <row r="10">
      <c r="A10" s="1350" t="n">
        <v>2026</v>
      </c>
      <c r="B10" s="1352" t="n">
        <f t="shared" si="1"/>
        <v>0</v>
      </c>
      <c r="C10" s="1352" t="n">
        <f t="shared" si="2"/>
        <v>0</v>
      </c>
      <c r="D10" s="1352" t="n">
        <f t="shared" si="3"/>
        <v>3.2000000000000001E-2</v>
      </c>
      <c r="E10" s="1352" t="n">
        <f t="shared" si="4"/>
        <v>1.671</v>
      </c>
      <c r="F10" s="1352" t="n">
        <f t="shared" si="11"/>
        <v>0.49</v>
      </c>
      <c r="G10" s="1352" t="n">
        <f t="shared" si="5"/>
        <v>-2.1500000000000004</v>
      </c>
      <c r="H10" s="1352" t="n">
        <f t="shared" si="6"/>
        <v>1.446</v>
      </c>
      <c r="I10" s="1352" t="n">
        <f t="shared" si="7"/>
        <v>0</v>
      </c>
      <c r="J10" s="1352" t="n">
        <f t="shared" si="8"/>
        <v>10.766999999999999</v>
      </c>
      <c r="K10" s="1352" t="n">
        <f t="shared" si="9"/>
        <v>2.9130000000000003</v>
      </c>
      <c r="L10" s="1356"/>
      <c r="M10" s="1352" t="n">
        <f t="shared" si="0"/>
        <v>-21.606000000000002</v>
      </c>
      <c r="N10" s="1352" t="n">
        <f t="shared" si="10"/>
        <v>0</v>
      </c>
      <c r="O10" s="1379" t="n">
        <v>0.7</v>
      </c>
      <c r="P10" s="1373" t="n">
        <v>1.07</v>
      </c>
      <c r="Q10" s="1372" t="n">
        <v>0</v>
      </c>
      <c r="R10" s="1381" t="n">
        <v>0.60099999999999998</v>
      </c>
      <c r="S10" s="311" t="n">
        <v>0</v>
      </c>
      <c r="T10" s="1337" t="n">
        <v>3.2000000000000001E-2</v>
      </c>
      <c r="U10" s="1372" t="n">
        <v>0.3</v>
      </c>
      <c r="V10" s="1381" t="n">
        <v>0</v>
      </c>
      <c r="W10" s="920" t="n">
        <v>0.188</v>
      </c>
      <c r="X10" s="920" t="n">
        <v>2E-3</v>
      </c>
      <c r="Y10" s="1372" t="n">
        <v>0</v>
      </c>
      <c r="Z10" s="1372" t="n">
        <v>0</v>
      </c>
      <c r="AA10" s="1372" t="n">
        <v>0</v>
      </c>
      <c r="AB10" s="1372" t="n">
        <v>0</v>
      </c>
      <c r="AC10" s="311" t="n">
        <v>0</v>
      </c>
      <c r="AD10" s="311" t="n">
        <v>0</v>
      </c>
      <c r="AE10" s="311" t="n">
        <v>0</v>
      </c>
      <c r="AF10" s="1381" t="n">
        <v>0</v>
      </c>
      <c r="AG10" s="311" t="n">
        <v>1.3759999999999999</v>
      </c>
      <c r="AH10" s="311" t="n">
        <v>7.0000000000000007E-2</v>
      </c>
      <c r="AI10" s="311" t="n">
        <v>0</v>
      </c>
      <c r="AJ10" s="1342" t="n">
        <v>0</v>
      </c>
      <c r="AK10" s="1372" t="n">
        <v>0</v>
      </c>
      <c r="AL10" s="1372" t="n">
        <v>10.766999999999999</v>
      </c>
      <c r="AM10" s="311" t="n">
        <v>3.0000000000000001E-3</v>
      </c>
      <c r="AN10" s="1372" t="n">
        <v>0.2</v>
      </c>
      <c r="AO10" s="1370" t="n">
        <v>0.1</v>
      </c>
      <c r="AP10" s="1372" t="n">
        <v>0.05</v>
      </c>
      <c r="AQ10" s="1383" t="n">
        <v>0</v>
      </c>
      <c r="AR10" s="1372" t="n">
        <v>0</v>
      </c>
      <c r="AS10" s="1372" t="n">
        <v>0</v>
      </c>
      <c r="AT10" s="920" t="n">
        <v>2.56</v>
      </c>
      <c r="AU10" s="311" t="n">
        <v>0</v>
      </c>
      <c r="AV10" s="1372" t="n">
        <v>3.7999999999999999E-2</v>
      </c>
      <c r="AW10" s="1372" t="n">
        <v>2.5999999999999999E-2</v>
      </c>
      <c r="AX10" s="1372" t="n">
        <v>0</v>
      </c>
      <c r="AY10" s="920" t="n">
        <v>-2.6700000000000004</v>
      </c>
      <c r="AZ10" s="1372" t="n">
        <v>0</v>
      </c>
      <c r="BA10" s="920" t="n">
        <v>-19</v>
      </c>
      <c r="BB10" s="1372" t="n">
        <v>0</v>
      </c>
      <c r="BC10" s="1372" t="n">
        <v>0</v>
      </c>
      <c r="BD10" s="1372" t="n">
        <v>0</v>
      </c>
      <c r="BE10" s="920" t="n">
        <v>0.88</v>
      </c>
      <c r="BF10" s="920" t="n">
        <v>0</v>
      </c>
      <c r="BG10" s="920" t="n">
        <v>0</v>
      </c>
      <c r="BH10" s="311" t="n">
        <v>-2.8200000000000003</v>
      </c>
      <c r="BI10" s="1372" t="n">
        <v>-0.21</v>
      </c>
      <c r="BJ10" s="1362" t="n">
        <v>0.17</v>
      </c>
    </row>
    <row r="11">
      <c r="A11" s="1350" t="n">
        <v>2027</v>
      </c>
      <c r="B11" s="1352" t="n">
        <f t="shared" si="1"/>
        <v>0</v>
      </c>
      <c r="C11" s="1352" t="n">
        <f t="shared" si="2"/>
        <v>0</v>
      </c>
      <c r="D11" s="1352" t="n">
        <f t="shared" si="3"/>
        <v>3.2000000000000001E-2</v>
      </c>
      <c r="E11" s="1352" t="n">
        <f t="shared" si="4"/>
        <v>1.7130000000000001</v>
      </c>
      <c r="F11" s="1352" t="n">
        <f t="shared" si="11"/>
        <v>0</v>
      </c>
      <c r="G11" s="1352" t="n">
        <f t="shared" si="5"/>
        <v>-4.8169999999999993</v>
      </c>
      <c r="H11" s="1352" t="n">
        <f t="shared" si="6"/>
        <v>0.65699999999999992</v>
      </c>
      <c r="I11" s="1352" t="n">
        <f t="shared" si="7"/>
        <v>0</v>
      </c>
      <c r="J11" s="1352" t="n">
        <f t="shared" si="8"/>
        <v>4.0789999999999997</v>
      </c>
      <c r="K11" s="1352" t="n">
        <f t="shared" si="9"/>
        <v>2.46</v>
      </c>
      <c r="L11" s="1356"/>
      <c r="M11" s="1352" t="n">
        <f t="shared" si="0"/>
        <v>-14.713000000000001</v>
      </c>
      <c r="N11" s="1352" t="n">
        <f t="shared" si="10"/>
        <v>0</v>
      </c>
      <c r="O11" s="1379" t="n">
        <v>0.3</v>
      </c>
      <c r="P11" s="1373" t="n">
        <v>1.08</v>
      </c>
      <c r="Q11" s="1372" t="n">
        <v>0</v>
      </c>
      <c r="R11" s="1381" t="n">
        <v>0.63300000000000001</v>
      </c>
      <c r="S11" s="1340" t="n">
        <v>0</v>
      </c>
      <c r="T11" s="1372" t="n">
        <v>3.2000000000000001E-2</v>
      </c>
      <c r="U11" s="1372" t="n">
        <v>0</v>
      </c>
      <c r="V11" s="311" t="n">
        <v>0</v>
      </c>
      <c r="W11" s="920" t="n">
        <v>0</v>
      </c>
      <c r="X11" s="920" t="n">
        <v>0</v>
      </c>
      <c r="Y11" s="1372" t="n">
        <v>0</v>
      </c>
      <c r="Z11" s="1372" t="n">
        <v>0</v>
      </c>
      <c r="AA11" s="1372" t="n">
        <v>0</v>
      </c>
      <c r="AB11" s="1372" t="n">
        <v>0</v>
      </c>
      <c r="AC11" s="311" t="n">
        <v>0</v>
      </c>
      <c r="AD11" s="1381" t="n">
        <v>0</v>
      </c>
      <c r="AE11" s="311" t="n">
        <v>0</v>
      </c>
      <c r="AF11" s="1381" t="n">
        <v>0</v>
      </c>
      <c r="AG11" s="311" t="n">
        <v>0.57699999999999996</v>
      </c>
      <c r="AH11" s="311" t="n">
        <v>0.08</v>
      </c>
      <c r="AI11" s="311" t="n">
        <v>0</v>
      </c>
      <c r="AJ11" s="311" t="n">
        <v>0</v>
      </c>
      <c r="AK11" s="1372" t="n">
        <v>0</v>
      </c>
      <c r="AL11" s="1372" t="n">
        <v>4.0789999999999997</v>
      </c>
      <c r="AM11" s="1372" t="n">
        <v>0</v>
      </c>
      <c r="AN11" s="1372" t="n">
        <v>0.1</v>
      </c>
      <c r="AO11" s="1370" t="n">
        <v>0.1</v>
      </c>
      <c r="AP11" s="1372" t="n">
        <v>0.03</v>
      </c>
      <c r="AQ11" s="1383" t="n">
        <v>0</v>
      </c>
      <c r="AR11" s="1372" t="n">
        <v>0</v>
      </c>
      <c r="AS11" s="1372" t="n">
        <v>0</v>
      </c>
      <c r="AT11" s="1370" t="n">
        <v>2.23</v>
      </c>
      <c r="AU11" s="311" t="n">
        <v>0</v>
      </c>
      <c r="AV11" s="1372" t="n">
        <v>1.7000000000000001E-2</v>
      </c>
      <c r="AW11" s="1372" t="n">
        <v>0</v>
      </c>
      <c r="AX11" s="1372" t="n">
        <v>0</v>
      </c>
      <c r="AY11" s="920" t="n">
        <v>-2.73</v>
      </c>
      <c r="AZ11" s="1372" t="n">
        <v>0</v>
      </c>
      <c r="BA11" s="920" t="n">
        <v>-12</v>
      </c>
      <c r="BB11" s="1372" t="n">
        <v>0</v>
      </c>
      <c r="BC11" s="1372" t="n">
        <v>0</v>
      </c>
      <c r="BD11" s="1372" t="n">
        <v>0</v>
      </c>
      <c r="BE11" s="920" t="n">
        <v>0.28000000000000003</v>
      </c>
      <c r="BF11" s="920" t="n">
        <v>0</v>
      </c>
      <c r="BG11" s="920" t="n">
        <v>0</v>
      </c>
      <c r="BH11" s="1341" t="n">
        <v>-5.0069999999999997</v>
      </c>
      <c r="BI11" s="1372" t="n">
        <v>-0.09</v>
      </c>
      <c r="BJ11" s="1363" t="n">
        <v>0.06</v>
      </c>
    </row>
    <row r="12">
      <c r="A12" s="1350" t="n">
        <v>2028</v>
      </c>
      <c r="B12" s="1352" t="n">
        <f t="shared" si="1"/>
        <v>0</v>
      </c>
      <c r="C12" s="1352" t="n">
        <f t="shared" si="2"/>
        <v>0</v>
      </c>
      <c r="D12" s="1352" t="n">
        <f t="shared" si="3"/>
        <v>3.3000000000000002E-2</v>
      </c>
      <c r="E12" s="1352" t="n">
        <f t="shared" si="4"/>
        <v>1.7130000000000001</v>
      </c>
      <c r="F12" s="1352" t="n">
        <f t="shared" si="11"/>
        <v>0</v>
      </c>
      <c r="G12" s="1352" t="n">
        <f t="shared" si="5"/>
        <v>-5.0590000000000002</v>
      </c>
      <c r="H12" s="1352" t="n">
        <f t="shared" si="6"/>
        <v>-1.071</v>
      </c>
      <c r="I12" s="1352" t="n">
        <f t="shared" si="7"/>
        <v>0</v>
      </c>
      <c r="J12" s="1352" t="n">
        <f t="shared" si="8"/>
        <v>1.635</v>
      </c>
      <c r="K12" s="1352" t="n">
        <f t="shared" si="9"/>
        <v>1.81</v>
      </c>
      <c r="L12" s="1356"/>
      <c r="M12" s="1352" t="n">
        <f t="shared" si="0"/>
        <v>-2.7690000000000001</v>
      </c>
      <c r="N12" s="1352" t="n">
        <f t="shared" si="10"/>
        <v>0</v>
      </c>
      <c r="O12" s="1379" t="n">
        <v>0.3</v>
      </c>
      <c r="P12" s="1373" t="n">
        <v>1.08</v>
      </c>
      <c r="Q12" s="1372" t="n">
        <v>0</v>
      </c>
      <c r="R12" s="1381" t="n">
        <v>0.63300000000000001</v>
      </c>
      <c r="S12" s="1340" t="n">
        <v>0</v>
      </c>
      <c r="T12" s="1343" t="n">
        <v>3.3000000000000002E-2</v>
      </c>
      <c r="U12" s="1372" t="n">
        <v>0</v>
      </c>
      <c r="V12" s="311" t="n">
        <v>0</v>
      </c>
      <c r="W12" s="920" t="n">
        <v>0</v>
      </c>
      <c r="X12" s="920" t="n">
        <v>0</v>
      </c>
      <c r="Y12" s="1372" t="n">
        <v>0</v>
      </c>
      <c r="Z12" s="1372" t="n">
        <v>0</v>
      </c>
      <c r="AA12" s="1372" t="n">
        <v>0</v>
      </c>
      <c r="AB12" s="1372" t="n">
        <v>0</v>
      </c>
      <c r="AC12" s="311" t="n">
        <v>0</v>
      </c>
      <c r="AD12" s="311" t="n">
        <v>0</v>
      </c>
      <c r="AE12" s="311" t="n">
        <v>0</v>
      </c>
      <c r="AF12" s="311" t="n">
        <v>0</v>
      </c>
      <c r="AG12" s="311" t="n">
        <v>-1.151</v>
      </c>
      <c r="AH12" s="311" t="n">
        <v>0.08</v>
      </c>
      <c r="AI12" s="311" t="n">
        <v>0</v>
      </c>
      <c r="AJ12" s="311" t="n">
        <v>0</v>
      </c>
      <c r="AK12" s="1372" t="n">
        <v>0</v>
      </c>
      <c r="AL12" s="1372" t="n">
        <v>1.635</v>
      </c>
      <c r="AM12" s="1372" t="n">
        <v>0</v>
      </c>
      <c r="AN12" s="1372" t="n">
        <v>0.1</v>
      </c>
      <c r="AO12" s="920" t="n">
        <v>0</v>
      </c>
      <c r="AP12" s="1372" t="n">
        <v>0</v>
      </c>
      <c r="AQ12" s="1383" t="n">
        <v>0</v>
      </c>
      <c r="AR12" s="1372" t="n">
        <v>0</v>
      </c>
      <c r="AS12" s="1372" t="n">
        <v>0</v>
      </c>
      <c r="AT12" s="1370" t="n">
        <v>1.71</v>
      </c>
      <c r="AU12" s="311" t="n">
        <v>0</v>
      </c>
      <c r="AV12" s="1372" t="n">
        <v>1E-3</v>
      </c>
      <c r="AW12" s="1372" t="n">
        <v>0</v>
      </c>
      <c r="AX12" s="1372" t="n">
        <v>0</v>
      </c>
      <c r="AY12" s="920" t="n">
        <v>-2.77</v>
      </c>
      <c r="AZ12" s="1372" t="n">
        <v>0</v>
      </c>
      <c r="BA12" s="920" t="n">
        <v>0</v>
      </c>
      <c r="BB12" s="1372" t="n">
        <v>0</v>
      </c>
      <c r="BC12" s="1372" t="n">
        <v>0</v>
      </c>
      <c r="BD12" s="1372" t="n">
        <v>0</v>
      </c>
      <c r="BE12" s="920" t="n">
        <v>0.1</v>
      </c>
      <c r="BF12" s="920" t="n">
        <v>0</v>
      </c>
      <c r="BG12" s="920" t="n">
        <v>0</v>
      </c>
      <c r="BH12" s="1341" t="n">
        <v>-5.069</v>
      </c>
      <c r="BI12" s="1372" t="n">
        <v>-0.09</v>
      </c>
      <c r="BJ12" s="1363" t="n">
        <v>0.03</v>
      </c>
    </row>
    <row r="13">
      <c r="A13" s="1350" t="n">
        <v>2029</v>
      </c>
      <c r="B13" s="1352" t="n">
        <f t="shared" si="1"/>
        <v>0</v>
      </c>
      <c r="C13" s="1352" t="n">
        <f t="shared" si="2"/>
        <v>0</v>
      </c>
      <c r="D13" s="1352" t="n">
        <f t="shared" si="3"/>
        <v>3.3000000000000002E-2</v>
      </c>
      <c r="E13" s="1352" t="n">
        <f t="shared" si="4"/>
        <v>1.7130000000000001</v>
      </c>
      <c r="F13" s="1352" t="n">
        <f t="shared" si="11"/>
        <v>0</v>
      </c>
      <c r="G13" s="1352" t="n">
        <f t="shared" si="5"/>
        <v>-5.218</v>
      </c>
      <c r="H13" s="1352" t="n">
        <f t="shared" si="6"/>
        <v>-1.964</v>
      </c>
      <c r="I13" s="1352" t="n">
        <f t="shared" si="7"/>
        <v>0</v>
      </c>
      <c r="J13" s="1352" t="n">
        <f t="shared" si="8"/>
        <v>-1.7000000000000001E-2</v>
      </c>
      <c r="K13" s="1352" t="n">
        <f t="shared" si="9"/>
        <v>1</v>
      </c>
      <c r="L13" s="1356"/>
      <c r="M13" s="1352" t="n">
        <f t="shared" si="0"/>
        <v>-2.75</v>
      </c>
      <c r="N13" s="1352" t="n">
        <f t="shared" si="10"/>
        <v>0</v>
      </c>
      <c r="O13" s="1379" t="n">
        <v>0.3</v>
      </c>
      <c r="P13" s="1373" t="n">
        <v>1.08</v>
      </c>
      <c r="Q13" s="1372" t="n">
        <v>0</v>
      </c>
      <c r="R13" s="1381" t="n">
        <v>0.63300000000000001</v>
      </c>
      <c r="S13" s="1340" t="n">
        <v>0</v>
      </c>
      <c r="T13" s="311" t="n">
        <v>3.3000000000000002E-2</v>
      </c>
      <c r="U13" s="1372" t="n">
        <v>0</v>
      </c>
      <c r="V13" s="311" t="n">
        <v>0</v>
      </c>
      <c r="W13" s="920" t="n">
        <v>0</v>
      </c>
      <c r="X13" s="920" t="n">
        <v>0</v>
      </c>
      <c r="Y13" s="1372" t="n">
        <v>0</v>
      </c>
      <c r="Z13" s="1372" t="n">
        <v>0</v>
      </c>
      <c r="AA13" s="1372" t="n">
        <v>0</v>
      </c>
      <c r="AB13" s="1372" t="n">
        <v>0</v>
      </c>
      <c r="AC13" s="311" t="n">
        <v>0</v>
      </c>
      <c r="AD13" s="311" t="n">
        <v>0</v>
      </c>
      <c r="AE13" s="311" t="n">
        <v>0</v>
      </c>
      <c r="AF13" s="311" t="n">
        <v>0</v>
      </c>
      <c r="AG13" s="1372" t="n">
        <v>-2.044</v>
      </c>
      <c r="AH13" s="311" t="n">
        <v>0.08</v>
      </c>
      <c r="AI13" s="311" t="n">
        <v>0</v>
      </c>
      <c r="AJ13" s="1344" t="n">
        <v>0</v>
      </c>
      <c r="AK13" s="1372" t="n">
        <v>0</v>
      </c>
      <c r="AL13" s="1372" t="n">
        <v>-1.7000000000000001E-2</v>
      </c>
      <c r="AM13" s="1372" t="n">
        <v>0</v>
      </c>
      <c r="AN13" s="1372" t="n">
        <v>0</v>
      </c>
      <c r="AO13" s="920" t="n">
        <v>0</v>
      </c>
      <c r="AP13" s="1372" t="n">
        <v>0</v>
      </c>
      <c r="AQ13" s="1383" t="n">
        <v>0</v>
      </c>
      <c r="AR13" s="1372" t="n">
        <v>0</v>
      </c>
      <c r="AS13" s="1372" t="n">
        <v>0</v>
      </c>
      <c r="AT13" s="1370" t="n">
        <v>1</v>
      </c>
      <c r="AU13" s="311" t="n">
        <v>0</v>
      </c>
      <c r="AV13" s="1372" t="n">
        <v>0</v>
      </c>
      <c r="AW13" s="1372" t="n">
        <v>0</v>
      </c>
      <c r="AX13" s="1372" t="n">
        <v>0</v>
      </c>
      <c r="AY13" s="920" t="n">
        <v>-2.75</v>
      </c>
      <c r="AZ13" s="1372" t="n">
        <v>0</v>
      </c>
      <c r="BA13" s="920" t="n">
        <v>0</v>
      </c>
      <c r="BB13" s="1372" t="n">
        <v>0</v>
      </c>
      <c r="BC13" s="1372" t="n">
        <v>0</v>
      </c>
      <c r="BD13" s="1372" t="n">
        <v>0</v>
      </c>
      <c r="BE13" s="920" t="n">
        <v>0</v>
      </c>
      <c r="BF13" s="1345" t="n">
        <v>0</v>
      </c>
      <c r="BG13" s="920" t="n">
        <v>0</v>
      </c>
      <c r="BH13" s="1341" t="n">
        <v>-5.1180000000000003</v>
      </c>
      <c r="BI13" s="1372" t="n">
        <v>-0.1</v>
      </c>
      <c r="BJ13" s="1363" t="n">
        <v>0.01</v>
      </c>
    </row>
    <row r="14">
      <c r="A14" s="1350" t="n">
        <v>2030</v>
      </c>
      <c r="B14" s="1352" t="n">
        <f t="shared" si="1"/>
        <v>0</v>
      </c>
      <c r="C14" s="1352" t="n">
        <f t="shared" si="2"/>
        <v>0</v>
      </c>
      <c r="D14" s="1352" t="n">
        <f t="shared" si="3"/>
        <v>3.3000000000000002E-2</v>
      </c>
      <c r="E14" s="1352" t="n">
        <f t="shared" si="4"/>
        <v>1.8130000000000002</v>
      </c>
      <c r="F14" s="1352" t="n">
        <f t="shared" si="11"/>
        <v>0</v>
      </c>
      <c r="G14" s="1352" t="n">
        <f t="shared" si="5"/>
        <v>-5.9420000000000002</v>
      </c>
      <c r="H14" s="1352" t="n">
        <f t="shared" si="6"/>
        <v>-2.0210000000000004</v>
      </c>
      <c r="I14" s="1352" t="n">
        <f t="shared" si="7"/>
        <v>0</v>
      </c>
      <c r="J14" s="1352" t="n">
        <f t="shared" si="8"/>
        <v>-1.9E-2</v>
      </c>
      <c r="K14" s="1352" t="n">
        <f t="shared" si="9"/>
        <v>0.8</v>
      </c>
      <c r="L14" s="1356"/>
      <c r="M14" s="1352" t="n">
        <f t="shared" si="0"/>
        <v>-8.1189999999999998</v>
      </c>
      <c r="N14" s="1352" t="n">
        <f t="shared" si="10"/>
        <v>0</v>
      </c>
      <c r="O14" s="1379" t="n">
        <v>0.3</v>
      </c>
      <c r="P14" s="1373" t="n">
        <v>1.1800000000000002</v>
      </c>
      <c r="Q14" s="1372" t="n">
        <v>0</v>
      </c>
      <c r="R14" s="1381" t="n">
        <v>0.63300000000000001</v>
      </c>
      <c r="S14" s="1340" t="n">
        <v>0</v>
      </c>
      <c r="T14" s="311" t="n">
        <v>3.3000000000000002E-2</v>
      </c>
      <c r="U14" s="1372" t="n">
        <v>0</v>
      </c>
      <c r="V14" s="311" t="n">
        <v>0</v>
      </c>
      <c r="W14" s="920" t="n">
        <v>0</v>
      </c>
      <c r="X14" s="920" t="n">
        <v>0</v>
      </c>
      <c r="Y14" s="1372" t="n">
        <v>0</v>
      </c>
      <c r="Z14" s="1372" t="n">
        <v>0</v>
      </c>
      <c r="AA14" s="1372" t="n">
        <v>0</v>
      </c>
      <c r="AB14" s="1372" t="n">
        <v>0</v>
      </c>
      <c r="AC14" s="311" t="n">
        <v>0</v>
      </c>
      <c r="AD14" s="1381" t="n">
        <v>0</v>
      </c>
      <c r="AE14" s="1372" t="n">
        <v>0</v>
      </c>
      <c r="AF14" s="311" t="n">
        <v>0</v>
      </c>
      <c r="AG14" s="311" t="n">
        <v>-2.1110000000000002</v>
      </c>
      <c r="AH14" s="311" t="n">
        <v>0.09</v>
      </c>
      <c r="AI14" s="311" t="n">
        <v>0</v>
      </c>
      <c r="AJ14" s="1346" t="n">
        <v>0</v>
      </c>
      <c r="AK14" s="1372" t="n">
        <v>0</v>
      </c>
      <c r="AL14" s="1372" t="n">
        <v>-1.9E-2</v>
      </c>
      <c r="AM14" s="1372" t="n">
        <v>0</v>
      </c>
      <c r="AN14" s="1372" t="n">
        <v>0</v>
      </c>
      <c r="AO14" s="920" t="n">
        <v>0</v>
      </c>
      <c r="AP14" s="1372" t="n">
        <v>0</v>
      </c>
      <c r="AQ14" s="1383" t="n">
        <v>0</v>
      </c>
      <c r="AR14" s="1372" t="n">
        <v>0</v>
      </c>
      <c r="AS14" s="1372" t="n">
        <v>0</v>
      </c>
      <c r="AT14" s="920" t="n">
        <v>0.8</v>
      </c>
      <c r="AU14" s="311" t="n">
        <v>-5.4089999999999998</v>
      </c>
      <c r="AV14" s="1372" t="n">
        <v>0</v>
      </c>
      <c r="AW14" s="1372" t="n">
        <v>0</v>
      </c>
      <c r="AX14" s="1372" t="n">
        <v>0</v>
      </c>
      <c r="AY14" s="920" t="n">
        <v>-2.71</v>
      </c>
      <c r="AZ14" s="1372" t="n">
        <v>0</v>
      </c>
      <c r="BA14" s="920" t="n">
        <v>0</v>
      </c>
      <c r="BB14" s="1372" t="n">
        <v>0</v>
      </c>
      <c r="BC14" s="1372" t="n">
        <v>0</v>
      </c>
      <c r="BD14" s="1372" t="n">
        <v>0</v>
      </c>
      <c r="BE14" s="1372" t="n">
        <v>0</v>
      </c>
      <c r="BF14" s="920" t="n">
        <v>0</v>
      </c>
      <c r="BG14" s="920" t="n">
        <v>0</v>
      </c>
      <c r="BH14" s="311" t="n">
        <v>-5.8319999999999999</v>
      </c>
      <c r="BI14" s="1372" t="n">
        <v>-0.11</v>
      </c>
      <c r="BJ14" s="1362" t="n">
        <v>0.01</v>
      </c>
    </row>
    <row r="15" ht="17.25" customHeight="1">
      <c r="A15" s="1350" t="n">
        <v>2031</v>
      </c>
      <c r="B15" s="1352" t="n">
        <f t="shared" si="1"/>
        <v>0</v>
      </c>
      <c r="C15" s="1352" t="n">
        <f t="shared" si="2"/>
        <v>0</v>
      </c>
      <c r="D15" s="1352" t="n">
        <f t="shared" si="3"/>
        <v>0</v>
      </c>
      <c r="E15" s="1352" t="n">
        <f t="shared" si="4"/>
        <v>1.8230000000000002</v>
      </c>
      <c r="F15" s="1352" t="n">
        <f t="shared" si="11"/>
        <v>0</v>
      </c>
      <c r="G15" s="1352" t="n">
        <f t="shared" si="5"/>
        <v>-7.7250000000000005</v>
      </c>
      <c r="H15" s="1352" t="n">
        <f t="shared" si="6"/>
        <v>-2.4630000000000001</v>
      </c>
      <c r="I15" s="1352" t="n">
        <f t="shared" si="7"/>
        <v>0</v>
      </c>
      <c r="J15" s="1352" t="n">
        <f t="shared" si="8"/>
        <v>-1.9E-2</v>
      </c>
      <c r="K15" s="1352" t="n">
        <f t="shared" si="9"/>
        <v>0</v>
      </c>
      <c r="L15" s="1356"/>
      <c r="M15" s="1352" t="n">
        <f t="shared" si="0"/>
        <v>-3.0390000000000001</v>
      </c>
      <c r="N15" s="1352" t="n">
        <f t="shared" si="10"/>
        <v>0</v>
      </c>
      <c r="O15" s="1379" t="n">
        <v>0.3</v>
      </c>
      <c r="P15" s="1373" t="n">
        <v>1.1900000000000002</v>
      </c>
      <c r="Q15" s="1372" t="n">
        <v>0</v>
      </c>
      <c r="R15" s="1381" t="n">
        <v>0.63300000000000001</v>
      </c>
      <c r="S15" s="1340" t="n">
        <v>0</v>
      </c>
      <c r="T15" s="920" t="n">
        <v>0</v>
      </c>
      <c r="U15" s="1372" t="n">
        <v>0</v>
      </c>
      <c r="V15" s="1372" t="n">
        <v>0</v>
      </c>
      <c r="W15" s="920" t="n">
        <v>0</v>
      </c>
      <c r="X15" s="920" t="n">
        <v>0</v>
      </c>
      <c r="Y15" s="1372" t="n">
        <v>0</v>
      </c>
      <c r="Z15" s="1372" t="n">
        <v>0</v>
      </c>
      <c r="AA15" s="1372" t="n">
        <v>0</v>
      </c>
      <c r="AB15" s="1372" t="n">
        <v>0</v>
      </c>
      <c r="AC15" s="311" t="n">
        <v>0</v>
      </c>
      <c r="AD15" s="1372" t="n">
        <v>0</v>
      </c>
      <c r="AE15" s="311" t="n">
        <v>0</v>
      </c>
      <c r="AF15" s="311" t="n">
        <v>0</v>
      </c>
      <c r="AG15" s="311" t="n">
        <v>-2.5529999999999999</v>
      </c>
      <c r="AH15" s="311" t="n">
        <v>0.09</v>
      </c>
      <c r="AI15" s="311" t="n">
        <v>0</v>
      </c>
      <c r="AJ15" s="1347" t="n">
        <v>0</v>
      </c>
      <c r="AK15" s="1372" t="n">
        <v>0</v>
      </c>
      <c r="AL15" s="1372" t="n">
        <v>-1.9E-2</v>
      </c>
      <c r="AM15" s="1372" t="n">
        <v>0</v>
      </c>
      <c r="AN15" s="1372" t="n">
        <v>0</v>
      </c>
      <c r="AO15" s="920" t="n">
        <v>0</v>
      </c>
      <c r="AP15" s="1372" t="n">
        <v>0</v>
      </c>
      <c r="AQ15" s="1383" t="n">
        <v>0</v>
      </c>
      <c r="AR15" s="1372" t="n">
        <v>0</v>
      </c>
      <c r="AS15" s="1372" t="n">
        <v>0</v>
      </c>
      <c r="AT15" s="920" t="n">
        <v>0</v>
      </c>
      <c r="AU15" s="311" t="n">
        <v>-0.26900000000000002</v>
      </c>
      <c r="AV15" s="1372" t="n">
        <v>0</v>
      </c>
      <c r="AW15" s="1372" t="n">
        <v>0</v>
      </c>
      <c r="AX15" s="1372" t="n">
        <v>0</v>
      </c>
      <c r="AY15" s="920" t="n">
        <v>-2.77</v>
      </c>
      <c r="AZ15" s="1372" t="n">
        <v>0</v>
      </c>
      <c r="BA15" s="920" t="n">
        <v>0</v>
      </c>
      <c r="BB15" s="1372" t="n">
        <v>0</v>
      </c>
      <c r="BC15" s="1372" t="n">
        <v>0</v>
      </c>
      <c r="BD15" s="1372" t="n">
        <v>0</v>
      </c>
      <c r="BE15" s="1372" t="n">
        <v>0</v>
      </c>
      <c r="BF15" s="920" t="n">
        <v>0</v>
      </c>
      <c r="BG15" s="920" t="n">
        <v>0</v>
      </c>
      <c r="BH15" s="311" t="n">
        <v>-5.4350000000000005</v>
      </c>
      <c r="BI15" s="1372" t="n">
        <v>-2.29</v>
      </c>
      <c r="BJ15" s="1362" t="n">
        <v>0</v>
      </c>
    </row>
    <row r="16">
      <c r="A16" s="1351" t="s">
        <v>223</v>
      </c>
      <c r="B16" s="1351" t="n">
        <f>SUM(B5:B15)</f>
        <v>412.15299999999996</v>
      </c>
      <c r="C16" s="1351" t="n">
        <f>SUM(C5:C15)</f>
        <v>205.79999999999998</v>
      </c>
      <c r="D16" s="1351" t="n">
        <f>SUM(D5:D15)</f>
        <v>22.711000000000006</v>
      </c>
      <c r="E16" s="1351" t="n">
        <f t="shared" ref="E16:H16" si="12">SUM(E5:E15)</f>
        <v>35.466000000000015</v>
      </c>
      <c r="F16" s="1351" t="n">
        <f t="shared" si="12"/>
        <v>91.563000000000002</v>
      </c>
      <c r="G16" s="1352" t="n">
        <f t="shared" si="5"/>
        <v>174.17</v>
      </c>
      <c r="H16" s="1351" t="n">
        <f t="shared" si="12"/>
        <v>21.600999999999996</v>
      </c>
      <c r="I16" s="1356" t="n">
        <f t="shared" ref="I16" si="13">SUM(I5:I15)</f>
        <v>362.04999999999995</v>
      </c>
      <c r="J16" s="1356" t="n">
        <f t="shared" ref="J16" si="14">SUM(J5:J15)</f>
        <v>169.16899999999998</v>
      </c>
      <c r="K16" s="1352" t="n">
        <f t="shared" si="9"/>
        <v>112.72</v>
      </c>
      <c r="L16" s="1356" t="n">
        <f>SUM(L5:L15)</f>
        <v>25.75</v>
      </c>
      <c r="M16" s="1352" t="n">
        <f t="shared" si="0"/>
        <v>85.197999999999993</v>
      </c>
      <c r="N16" s="1352" t="n">
        <f>AK16</f>
        <v>8.5</v>
      </c>
      <c r="O16" s="1380" t="n">
        <f t="shared" ref="O16:BI16" si="15">SUM(O5:O15)</f>
        <v>109.3</v>
      </c>
      <c r="P16" s="1372" t="n">
        <f t="shared" si="15"/>
        <v>25.819999999999997</v>
      </c>
      <c r="Q16" s="1372" t="n">
        <f t="shared" si="15"/>
        <v>412.15299999999996</v>
      </c>
      <c r="R16" s="1372" t="n">
        <f t="shared" si="15"/>
        <v>5.774</v>
      </c>
      <c r="S16" s="1372" t="n">
        <f t="shared" si="15"/>
        <v>3.8719999999999999</v>
      </c>
      <c r="T16" s="1372" t="n">
        <f t="shared" si="15"/>
        <v>22.711000000000006</v>
      </c>
      <c r="U16" s="1372" t="n">
        <f t="shared" si="15"/>
        <v>41.599999999999994</v>
      </c>
      <c r="V16" s="1372" t="n">
        <f t="shared" si="15"/>
        <v>44.947999999999993</v>
      </c>
      <c r="W16" s="1372" t="n">
        <f t="shared" si="15"/>
        <v>5</v>
      </c>
      <c r="X16" s="1372" t="n">
        <f t="shared" si="15"/>
        <v>1.4440000000000002</v>
      </c>
      <c r="Y16" s="1372" t="n">
        <f t="shared" si="15"/>
        <v>0.2</v>
      </c>
      <c r="Z16" s="1372" t="n">
        <f t="shared" si="15"/>
        <v>45.4</v>
      </c>
      <c r="AA16" s="1372" t="n">
        <f t="shared" si="15"/>
        <v>35.5</v>
      </c>
      <c r="AB16" s="1372" t="n">
        <f t="shared" si="15"/>
        <v>124.7</v>
      </c>
      <c r="AC16" s="1372" t="n">
        <f t="shared" si="15"/>
        <v>28</v>
      </c>
      <c r="AD16" s="1372" t="n">
        <f t="shared" si="15"/>
        <v>9.100000000000022E-2</v>
      </c>
      <c r="AE16" s="1372" t="n">
        <f t="shared" si="15"/>
        <v>22.810000000000002</v>
      </c>
      <c r="AF16" s="1372" t="n">
        <f t="shared" si="15"/>
        <v>1.42</v>
      </c>
      <c r="AG16" s="1372" t="n">
        <f t="shared" si="15"/>
        <v>20.662999999999997</v>
      </c>
      <c r="AH16" s="1372" t="n">
        <f t="shared" si="15"/>
        <v>0.86999999999999988</v>
      </c>
      <c r="AI16" s="1372" t="n">
        <f t="shared" si="15"/>
        <v>6.8000000000000005E-2</v>
      </c>
      <c r="AJ16" s="1372" t="n">
        <f t="shared" si="15"/>
        <v>362.04999999999995</v>
      </c>
      <c r="AK16" s="1372" t="n">
        <f t="shared" ref="AK16:AO16" si="16">SUM(AK5:AK15)</f>
        <v>8.5</v>
      </c>
      <c r="AL16" s="1372" t="n">
        <f t="shared" si="16"/>
        <v>169.16899999999998</v>
      </c>
      <c r="AM16" s="1354" t="n">
        <f t="shared" si="16"/>
        <v>0.79700000000000004</v>
      </c>
      <c r="AN16" s="1372" t="n">
        <f t="shared" si="16"/>
        <v>8.6</v>
      </c>
      <c r="AO16" s="1372" t="n">
        <f t="shared" si="16"/>
        <v>3.2000000000000006</v>
      </c>
      <c r="AP16" s="1372" t="n">
        <f t="shared" si="15"/>
        <v>2.8000000000000003</v>
      </c>
      <c r="AQ16" s="1357" t="n">
        <f>SUM(AQ5:AQ15)</f>
        <v>28</v>
      </c>
      <c r="AR16" s="1372" t="n">
        <f>SUM(AR5:AR15)</f>
        <v>14.899999999999999</v>
      </c>
      <c r="AS16" s="1372" t="n">
        <f>SUM(AS5:AS15)</f>
        <v>3.8730000000000002</v>
      </c>
      <c r="AT16" s="1372" t="n">
        <f t="shared" ref="AT16" si="17">SUM(AT5:AT15)</f>
        <v>50.54999999999999</v>
      </c>
      <c r="AU16" s="1372" t="n">
        <f t="shared" si="15"/>
        <v>-5.6779999999999999</v>
      </c>
      <c r="AV16" s="1372" t="n">
        <f t="shared" si="15"/>
        <v>8.177999999999999</v>
      </c>
      <c r="AW16" s="1372" t="n">
        <f t="shared" si="15"/>
        <v>16.667999999999999</v>
      </c>
      <c r="AX16" s="1372" t="n">
        <f t="shared" si="15"/>
        <v>9.9</v>
      </c>
      <c r="AY16" s="1372" t="n">
        <f t="shared" si="15"/>
        <v>-25.860000000000003</v>
      </c>
      <c r="AZ16" s="1372" t="n">
        <f t="shared" si="15"/>
        <v>81.99</v>
      </c>
      <c r="BA16" s="1372" t="n">
        <v>0</v>
      </c>
      <c r="BB16" s="1372" t="n">
        <f t="shared" si="15"/>
        <v>24</v>
      </c>
      <c r="BC16" s="1372" t="n">
        <f t="shared" si="15"/>
        <v>7.25</v>
      </c>
      <c r="BD16" s="1372" t="n">
        <f t="shared" si="15"/>
        <v>49.8</v>
      </c>
      <c r="BE16" s="1372" t="n">
        <f t="shared" si="15"/>
        <v>9.02</v>
      </c>
      <c r="BF16" s="1372" t="n">
        <f t="shared" si="15"/>
        <v>6.2439999999999998</v>
      </c>
      <c r="BG16" s="1372" t="n">
        <f t="shared" si="15"/>
        <v>10.218</v>
      </c>
      <c r="BH16" s="1372" t="n">
        <f t="shared" si="15"/>
        <v>50.203999999999979</v>
      </c>
      <c r="BI16" s="1372" t="n">
        <f t="shared" si="15"/>
        <v>24.684000000000005</v>
      </c>
      <c r="BJ16" s="1364" t="n">
        <f>SUM(BJ5:BJ15)</f>
        <v>9.5399999999999991</v>
      </c>
    </row>
    <row r="17">
      <c r="R17" s="1381"/>
      <c r="S17" s="1381"/>
      <c r="W17" s="1381"/>
      <c r="X17" s="1381"/>
      <c r="AE17" s="1381"/>
      <c r="AF17" s="1381"/>
      <c r="AV17" s="1381"/>
      <c r="AW17" s="1381"/>
      <c r="AX17" s="1381"/>
      <c r="AY17" s="1381"/>
      <c r="AZ17" s="1381"/>
      <c r="BA17" s="1381"/>
      <c r="BC17" s="1381"/>
      <c r="BE17" s="1381"/>
      <c r="BF17" s="1381"/>
      <c r="BG17" s="1381"/>
    </row>
    <row r="18">
      <c r="R18" s="1381"/>
      <c r="S18" s="1381"/>
      <c r="W18" s="1381"/>
      <c r="X18" s="1381"/>
      <c r="AE18" s="1381"/>
      <c r="AF18" s="1381"/>
      <c r="AV18" s="1381"/>
      <c r="AW18" s="1381"/>
      <c r="AX18" s="1381"/>
      <c r="AY18" s="1381"/>
      <c r="AZ18" s="1381"/>
      <c r="BA18" s="1381"/>
      <c r="BC18" s="1381" t="s">
        <v>634</v>
      </c>
      <c r="BD18" s="1381" t="s">
        <v>634</v>
      </c>
      <c r="BE18" s="1381"/>
      <c r="BF18" s="1381" t="s">
        <v>634</v>
      </c>
      <c r="BG18" s="1381" t="s">
        <v>634</v>
      </c>
      <c r="BI18" s="1381" t="s">
        <v>634</v>
      </c>
    </row>
    <row r="19">
      <c r="B19" s="1384"/>
      <c r="C19" s="1384"/>
      <c r="D19" s="1384"/>
      <c r="E19" s="1384"/>
      <c r="F19" s="1384"/>
      <c r="H19" s="1384"/>
      <c r="I19" s="1384"/>
      <c r="J19" s="1384"/>
      <c r="K19" s="1384"/>
      <c r="M19" s="1384"/>
      <c r="N19" s="1384"/>
      <c r="R19" s="1381"/>
      <c r="S19" s="1381"/>
      <c r="W19" s="1381"/>
      <c r="X19" s="1381"/>
      <c r="AE19" s="1381"/>
      <c r="AF19" s="1381"/>
      <c r="AV19" s="1381"/>
      <c r="AW19" s="1381"/>
      <c r="AX19" s="1381"/>
      <c r="AY19" s="1381"/>
      <c r="AZ19" s="1381"/>
      <c r="BA19" s="1381"/>
      <c r="BC19" s="1381"/>
      <c r="BD19" t="s">
        <v>635</v>
      </c>
      <c r="BE19" s="1381"/>
      <c r="BF19" s="1381"/>
      <c r="BG19" s="1381"/>
    </row>
    <row r="20">
      <c r="R20" s="1381"/>
      <c r="S20" s="1381"/>
      <c r="W20" s="1381"/>
      <c r="X20" s="1381"/>
      <c r="AE20" s="1381"/>
      <c r="AF20" s="1381"/>
      <c r="AV20" s="1381"/>
      <c r="AW20" s="1381"/>
      <c r="AX20" s="1381"/>
      <c r="AY20" s="1381"/>
      <c r="AZ20" s="1381"/>
      <c r="BA20" s="1381"/>
      <c r="BC20" s="1381"/>
      <c r="BE20" s="1381"/>
      <c r="BF20" s="1381"/>
      <c r="BG20" s="1381"/>
    </row>
    <row r="21">
      <c r="R21" s="1381"/>
      <c r="S21" s="1381"/>
      <c r="W21" s="1381"/>
      <c r="X21" s="1381"/>
      <c r="AE21" s="1381"/>
      <c r="AF21" s="1381"/>
      <c r="AV21" s="1381"/>
      <c r="AW21" s="1381"/>
      <c r="AX21" s="1381"/>
      <c r="AY21" s="1381"/>
      <c r="AZ21" s="1381"/>
      <c r="BA21" s="1381"/>
      <c r="BC21" s="1381"/>
      <c r="BE21" s="1381"/>
      <c r="BF21" s="1381"/>
      <c r="BG21" s="1381"/>
    </row>
    <row r="22">
      <c r="B22" s="1384"/>
      <c r="R22" s="1381"/>
      <c r="S22" s="1381"/>
      <c r="W22" s="1381"/>
      <c r="X22" s="1381"/>
      <c r="AE22" s="1381"/>
      <c r="AF22" s="1381"/>
      <c r="AV22" s="1381"/>
      <c r="AW22" s="1381"/>
      <c r="AX22" s="1381"/>
      <c r="AY22" s="1381"/>
      <c r="AZ22" s="1381"/>
      <c r="BA22" s="1381"/>
      <c r="BC22" s="1381"/>
      <c r="BE22" s="1381"/>
      <c r="BF22" s="1381"/>
      <c r="BG22" s="1381"/>
    </row>
    <row r="23">
      <c r="B23" s="1384"/>
      <c r="R23" s="1381"/>
      <c r="S23" s="1381"/>
      <c r="W23" s="1381"/>
      <c r="X23" s="1381"/>
      <c r="AE23" s="1381"/>
      <c r="AF23" s="1381"/>
      <c r="AV23" s="1381"/>
      <c r="AW23" s="1381"/>
      <c r="AX23" s="1381"/>
      <c r="AY23" s="1381"/>
      <c r="AZ23" s="1381"/>
      <c r="BA23" s="1381"/>
      <c r="BC23" s="1381"/>
      <c r="BE23" s="1381"/>
      <c r="BF23" s="1381"/>
      <c r="BG23" s="1381"/>
    </row>
    <row r="24">
      <c r="B24" s="1384"/>
      <c r="R24" s="1381"/>
      <c r="S24" s="1381"/>
      <c r="W24" s="1381"/>
      <c r="X24" s="1381"/>
      <c r="AE24" s="1381"/>
      <c r="AF24" s="1381"/>
      <c r="AV24" s="1381"/>
      <c r="AW24" s="1381"/>
      <c r="AX24" s="1381"/>
      <c r="AY24" s="1381"/>
      <c r="AZ24" s="1381"/>
      <c r="BA24" s="1381"/>
      <c r="BC24" s="1381"/>
      <c r="BE24" s="1381"/>
      <c r="BF24" s="1381"/>
      <c r="BG24" s="1381"/>
    </row>
    <row r="25">
      <c r="B25" s="1384"/>
      <c r="R25" s="1381"/>
      <c r="S25" s="1381"/>
      <c r="W25" s="1381"/>
      <c r="X25" s="1381"/>
      <c r="AE25" s="1381"/>
      <c r="AF25" s="1381"/>
      <c r="AV25" s="1381"/>
      <c r="AW25" s="1381"/>
      <c r="AX25" s="1381"/>
      <c r="AY25" s="1381"/>
      <c r="AZ25" s="1381"/>
      <c r="BA25" s="1381"/>
      <c r="BC25" s="1381"/>
      <c r="BE25" s="1381"/>
      <c r="BF25" s="1381"/>
      <c r="BG25" s="1381"/>
    </row>
    <row r="26">
      <c r="B26" s="1384"/>
      <c r="R26" s="1381"/>
      <c r="S26" s="1381"/>
      <c r="W26" s="1381"/>
      <c r="X26" s="1381"/>
      <c r="AE26" s="1381"/>
      <c r="AF26" s="1381"/>
      <c r="AV26" s="1381"/>
      <c r="AW26" s="1381"/>
      <c r="AX26" s="1381"/>
      <c r="AY26" s="1381"/>
      <c r="AZ26" s="1381"/>
      <c r="BA26" s="1381"/>
      <c r="BC26" s="1381"/>
      <c r="BE26" s="1381"/>
      <c r="BF26" s="1381"/>
      <c r="BG26" s="1381"/>
    </row>
    <row r="27">
      <c r="B27" s="1384"/>
      <c r="R27" s="1381"/>
      <c r="S27" s="1381"/>
      <c r="W27" s="1381"/>
      <c r="X27" s="1381"/>
      <c r="AE27" s="1381"/>
      <c r="AF27" s="1381"/>
      <c r="AV27" s="1381"/>
      <c r="AW27" s="1381"/>
      <c r="AX27" s="1381"/>
      <c r="AY27" s="1381"/>
      <c r="AZ27" s="1381"/>
      <c r="BA27" s="1381"/>
      <c r="BC27" s="1381"/>
      <c r="BE27" s="1381"/>
      <c r="BF27" s="1381"/>
      <c r="BG27" s="1381"/>
    </row>
    <row r="28">
      <c r="B28" s="1384"/>
      <c r="R28" s="1381"/>
      <c r="S28" s="1381"/>
      <c r="W28" s="1381"/>
      <c r="X28" s="1381"/>
      <c r="AE28" s="1381"/>
      <c r="AF28" s="1381"/>
      <c r="AV28" s="1381"/>
      <c r="AW28" s="1381"/>
      <c r="AX28" s="1381"/>
      <c r="AY28" s="1381"/>
      <c r="AZ28" s="1381"/>
      <c r="BA28" s="1381"/>
      <c r="BC28" s="1381"/>
      <c r="BE28" s="1381"/>
      <c r="BF28" s="1381"/>
      <c r="BG28" s="1381"/>
    </row>
    <row r="29">
      <c r="R29" s="1381"/>
      <c r="S29" s="1381"/>
      <c r="W29" s="1381"/>
      <c r="X29" s="1381"/>
      <c r="AE29" s="1381"/>
      <c r="AF29" s="1381"/>
      <c r="AV29" s="1381"/>
      <c r="AW29" s="1381"/>
      <c r="AX29" s="1381"/>
      <c r="AY29" s="1381"/>
      <c r="AZ29" s="1381"/>
      <c r="BA29" s="1381"/>
      <c r="BC29" s="1381"/>
      <c r="BE29" s="1381"/>
      <c r="BF29" s="1381"/>
      <c r="BG29" s="1381"/>
    </row>
    <row r="30">
      <c r="R30" s="1381"/>
      <c r="S30" s="1381"/>
      <c r="W30" s="1381"/>
      <c r="X30" s="1381"/>
      <c r="AE30" s="1381"/>
      <c r="AF30" s="1381"/>
      <c r="AV30" s="1381"/>
      <c r="AW30" s="1381"/>
      <c r="AX30" s="1381"/>
      <c r="AY30" s="1381"/>
      <c r="AZ30" s="1381"/>
      <c r="BA30" s="1381"/>
      <c r="BC30" s="1381"/>
      <c r="BE30" s="1381"/>
      <c r="BF30" s="1381"/>
      <c r="BG30" s="1381"/>
    </row>
    <row r="31">
      <c r="R31" s="1381"/>
      <c r="S31" s="1381"/>
      <c r="W31" s="1381"/>
      <c r="X31" s="1381"/>
      <c r="AE31" s="1381"/>
      <c r="AF31" s="1381"/>
      <c r="AV31" s="1381"/>
      <c r="AW31" s="1381"/>
      <c r="AX31" s="1381"/>
      <c r="AY31" s="1381"/>
      <c r="AZ31" s="1381"/>
      <c r="BA31" s="1381"/>
      <c r="BC31" s="1381"/>
      <c r="BE31" s="1381"/>
      <c r="BF31" s="1381"/>
      <c r="BG31" s="1381"/>
    </row>
    <row r="32">
      <c r="R32" s="1381"/>
      <c r="S32" s="1381"/>
      <c r="W32" s="1381"/>
      <c r="X32" s="1381"/>
      <c r="AE32" s="1381"/>
      <c r="AF32" s="1381"/>
      <c r="AV32" s="1381"/>
      <c r="AW32" s="1381"/>
      <c r="AX32" s="1381"/>
      <c r="AY32" s="1381"/>
      <c r="AZ32" s="1381"/>
      <c r="BA32" s="1381"/>
      <c r="BC32" s="1381"/>
      <c r="BE32" s="1381"/>
      <c r="BF32" s="1381"/>
      <c r="BG32" s="1381"/>
    </row>
    <row r="33">
      <c r="R33" s="1381"/>
      <c r="S33" s="1381"/>
      <c r="W33" s="1381"/>
      <c r="X33" s="1381"/>
      <c r="AE33" s="1381"/>
      <c r="AF33" s="1381"/>
      <c r="AV33" s="1381"/>
      <c r="AW33" s="1381"/>
      <c r="AX33" s="1381"/>
      <c r="AY33" s="1381"/>
      <c r="AZ33" s="1381"/>
      <c r="BA33" s="1381"/>
      <c r="BC33" s="1381"/>
      <c r="BE33" s="1381"/>
      <c r="BF33" s="1381"/>
      <c r="BG33" s="1381"/>
    </row>
    <row r="34">
      <c r="R34" s="1381"/>
      <c r="S34" s="1381"/>
      <c r="W34" s="1381"/>
      <c r="X34" s="1381"/>
      <c r="AE34" s="1381"/>
      <c r="AF34" s="1381"/>
      <c r="AV34" s="1381"/>
      <c r="AW34" s="1381"/>
      <c r="AX34" s="1381"/>
      <c r="AY34" s="1381"/>
      <c r="AZ34" s="1381"/>
      <c r="BA34" s="1381"/>
      <c r="BC34" s="1381"/>
      <c r="BE34" s="1381"/>
      <c r="BF34" s="1381"/>
      <c r="BG34" s="1381"/>
    </row>
    <row r="35">
      <c r="R35" s="1381"/>
      <c r="S35" s="1381"/>
      <c r="W35" s="1381"/>
      <c r="X35" s="1381"/>
      <c r="AE35" s="1381"/>
      <c r="AF35" s="1381"/>
      <c r="AV35" s="1381"/>
      <c r="AW35" s="1381"/>
      <c r="AX35" s="1381"/>
      <c r="AY35" s="1381"/>
      <c r="AZ35" s="1381"/>
      <c r="BA35" s="1381"/>
      <c r="BC35" s="1381"/>
      <c r="BE35" s="1381"/>
      <c r="BF35" s="1381"/>
      <c r="BG35" s="1381"/>
    </row>
    <row r="36">
      <c r="R36" s="1381"/>
      <c r="S36" s="1381"/>
      <c r="W36" s="1381"/>
      <c r="X36" s="1381"/>
      <c r="AE36" s="1381"/>
      <c r="AF36" s="1381"/>
      <c r="AV36" s="1381"/>
      <c r="AW36" s="1381"/>
      <c r="AX36" s="1381"/>
      <c r="AY36" s="1381"/>
      <c r="AZ36" s="1381"/>
      <c r="BA36" s="1381"/>
      <c r="BC36" s="1381"/>
      <c r="BE36" s="1381"/>
      <c r="BF36" s="1381"/>
      <c r="BG36" s="1381"/>
    </row>
    <row r="37">
      <c r="R37" s="1381"/>
      <c r="S37" s="1381"/>
      <c r="W37" s="1381"/>
      <c r="X37" s="1381"/>
      <c r="AE37" s="1381"/>
      <c r="AF37" s="1381"/>
      <c r="AV37" s="1381"/>
      <c r="AW37" s="1381"/>
      <c r="AX37" s="1381"/>
      <c r="AY37" s="1381"/>
      <c r="AZ37" s="1381"/>
      <c r="BA37" s="1381"/>
      <c r="BC37" s="1381"/>
      <c r="BE37" s="1381"/>
      <c r="BF37" s="1381"/>
      <c r="BG37" s="1381"/>
    </row>
    <row r="38">
      <c r="R38" s="1381"/>
      <c r="S38" s="1381"/>
      <c r="W38" s="1381"/>
      <c r="X38" s="1381"/>
      <c r="AE38" s="1381"/>
      <c r="AF38" s="1381"/>
      <c r="AV38" s="1381"/>
      <c r="AW38" s="1381"/>
      <c r="AX38" s="1381"/>
      <c r="AY38" s="1381"/>
      <c r="AZ38" s="1381"/>
      <c r="BA38" s="1381"/>
      <c r="BC38" s="1381"/>
      <c r="BE38" s="1381"/>
      <c r="BF38" s="1381"/>
      <c r="BG38" s="1381"/>
    </row>
    <row r="39">
      <c r="R39" s="1381"/>
      <c r="S39" s="1381"/>
      <c r="W39" s="1381"/>
      <c r="X39" s="1381"/>
      <c r="AE39" s="1381"/>
      <c r="AF39" s="1381"/>
      <c r="AV39" s="1381"/>
      <c r="AW39" s="1381"/>
      <c r="AX39" s="1381"/>
      <c r="AY39" s="1381"/>
      <c r="AZ39" s="1381"/>
      <c r="BA39" s="1381"/>
      <c r="BC39" s="1381"/>
      <c r="BE39" s="1381"/>
      <c r="BF39" s="1381"/>
      <c r="BG39" s="1381"/>
    </row>
    <row r="40">
      <c r="R40" s="1381"/>
      <c r="S40" s="1381"/>
      <c r="W40" s="1381"/>
      <c r="X40" s="1381"/>
      <c r="AE40" s="1381"/>
      <c r="AF40" s="1381"/>
      <c r="AV40" s="1381"/>
      <c r="AW40" s="1381"/>
      <c r="AX40" s="1381"/>
      <c r="AY40" s="1381"/>
      <c r="AZ40" s="1381"/>
      <c r="BA40" s="1381"/>
      <c r="BC40" s="1381"/>
      <c r="BE40" s="1381"/>
      <c r="BF40" s="1381"/>
      <c r="BG40" s="1381"/>
    </row>
    <row r="41">
      <c r="R41" s="1381"/>
      <c r="S41" s="1381"/>
      <c r="W41" s="1381"/>
      <c r="X41" s="1381"/>
      <c r="AE41" s="1381"/>
      <c r="AF41" s="1381"/>
      <c r="AV41" s="1381"/>
      <c r="AW41" s="1381"/>
      <c r="AX41" s="1381"/>
      <c r="AY41" s="1381"/>
      <c r="AZ41" s="1381"/>
      <c r="BA41" s="1381"/>
      <c r="BC41" s="1381"/>
      <c r="BE41" s="1381"/>
      <c r="BF41" s="1381"/>
      <c r="BG41" s="1381"/>
    </row>
    <row r="42">
      <c r="R42" s="1381"/>
      <c r="S42" s="1381"/>
      <c r="W42" s="1381"/>
      <c r="X42" s="1381"/>
      <c r="AE42" s="1381"/>
      <c r="AF42" s="1381"/>
      <c r="AV42" s="1381"/>
      <c r="AW42" s="1381"/>
      <c r="AX42" s="1381"/>
      <c r="AY42" s="1381"/>
      <c r="AZ42" s="1381"/>
      <c r="BA42" s="1381"/>
      <c r="BC42" s="1381"/>
      <c r="BE42" s="1381"/>
      <c r="BF42" s="1381"/>
      <c r="BG42" s="1381"/>
    </row>
    <row r="43">
      <c r="R43" s="1381"/>
      <c r="S43" s="1381"/>
      <c r="W43" s="1381"/>
      <c r="X43" s="1381"/>
      <c r="AE43" s="1381"/>
      <c r="AF43" s="1381"/>
      <c r="AV43" s="1381"/>
      <c r="AW43" s="1381"/>
      <c r="AX43" s="1381"/>
      <c r="AY43" s="1381"/>
      <c r="AZ43" s="1381"/>
      <c r="BA43" s="1381"/>
      <c r="BC43" s="1381"/>
      <c r="BE43" s="1381"/>
      <c r="BF43" s="1381"/>
      <c r="BG43" s="1381"/>
    </row>
    <row r="44">
      <c r="R44" s="1381"/>
      <c r="S44" s="1381"/>
      <c r="W44" s="1381"/>
      <c r="X44" s="1381"/>
      <c r="AE44" s="1381"/>
      <c r="AF44" s="1381"/>
      <c r="AV44" s="1381"/>
      <c r="AW44" s="1381"/>
      <c r="AX44" s="1381"/>
      <c r="AY44" s="1381"/>
      <c r="AZ44" s="1381"/>
      <c r="BA44" s="1381"/>
      <c r="BC44" s="1381"/>
      <c r="BE44" s="1381"/>
      <c r="BF44" s="1381"/>
      <c r="BG44" s="1381"/>
    </row>
    <row r="45">
      <c r="R45" s="1381"/>
      <c r="S45" s="1381"/>
      <c r="W45" s="1381"/>
      <c r="X45" s="1381"/>
      <c r="AE45" s="1381"/>
      <c r="AF45" s="1381"/>
      <c r="AV45" s="1381"/>
      <c r="AW45" s="1381"/>
      <c r="AX45" s="1381"/>
      <c r="AY45" s="1381"/>
      <c r="AZ45" s="1381"/>
      <c r="BA45" s="1381"/>
      <c r="BC45" s="1381"/>
      <c r="BE45" s="1381"/>
      <c r="BF45" s="1381"/>
      <c r="BG45" s="1381"/>
    </row>
    <row r="46">
      <c r="R46" s="1381"/>
      <c r="S46" s="1381"/>
      <c r="W46" s="1381"/>
      <c r="X46" s="1381"/>
      <c r="AE46" s="1381"/>
      <c r="AF46" s="1381"/>
      <c r="AV46" s="1381"/>
      <c r="AW46" s="1381"/>
      <c r="AX46" s="1381"/>
      <c r="AY46" s="1381"/>
      <c r="AZ46" s="1381"/>
      <c r="BA46" s="1381"/>
      <c r="BC46" s="1381"/>
      <c r="BE46" s="1381"/>
      <c r="BF46" s="1381"/>
      <c r="BG46" s="1381"/>
    </row>
    <row r="47">
      <c r="R47" s="1381"/>
      <c r="S47" s="1381"/>
      <c r="W47" s="1381"/>
      <c r="X47" s="1381"/>
      <c r="AE47" s="1381"/>
      <c r="AF47" s="1381"/>
      <c r="AV47" s="1381"/>
      <c r="AW47" s="1381"/>
      <c r="AX47" s="1381"/>
      <c r="AY47" s="1381"/>
      <c r="AZ47" s="1381"/>
      <c r="BA47" s="1381"/>
      <c r="BC47" s="1381"/>
      <c r="BE47" s="1381"/>
      <c r="BF47" s="1381"/>
      <c r="BG47" s="1381"/>
    </row>
    <row r="48">
      <c r="R48" s="1381"/>
      <c r="S48" s="1381"/>
      <c r="W48" s="1381"/>
      <c r="X48" s="1381"/>
      <c r="AE48" s="1381"/>
      <c r="AF48" s="1381"/>
      <c r="AV48" s="1381"/>
      <c r="AW48" s="1381"/>
      <c r="AX48" s="1381"/>
      <c r="AY48" s="1381"/>
      <c r="AZ48" s="1381"/>
      <c r="BA48" s="1381"/>
      <c r="BC48" s="1381"/>
      <c r="BE48" s="1381"/>
      <c r="BF48" s="1381"/>
      <c r="BG48" s="1381"/>
    </row>
    <row r="49">
      <c r="R49" s="1381"/>
      <c r="S49" s="1381"/>
      <c r="W49" s="1381"/>
      <c r="X49" s="1381"/>
      <c r="AE49" s="1381"/>
      <c r="AF49" s="1381"/>
      <c r="AV49" s="1381"/>
      <c r="AW49" s="1381"/>
      <c r="AX49" s="1381"/>
      <c r="AY49" s="1381"/>
      <c r="AZ49" s="1381"/>
      <c r="BA49" s="1381"/>
      <c r="BC49" s="1381"/>
      <c r="BE49" s="1381"/>
      <c r="BF49" s="1381"/>
      <c r="BG49" s="1381"/>
    </row>
    <row r="50">
      <c r="R50" s="1381"/>
      <c r="S50" s="1381"/>
      <c r="W50" s="1381"/>
      <c r="X50" s="1381"/>
      <c r="AE50" s="1381"/>
      <c r="AF50" s="1381"/>
      <c r="AV50" s="1381"/>
      <c r="AW50" s="1381"/>
      <c r="AX50" s="1381"/>
      <c r="AY50" s="1381"/>
      <c r="AZ50" s="1381"/>
      <c r="BA50" s="1381"/>
      <c r="BC50" s="1381"/>
      <c r="BE50" s="1381"/>
      <c r="BF50" s="1381"/>
      <c r="BG50" s="1381"/>
    </row>
    <row r="51">
      <c r="R51" s="1381"/>
      <c r="S51" s="1381"/>
      <c r="W51" s="1381"/>
      <c r="X51" s="1381"/>
      <c r="AE51" s="1381"/>
      <c r="AF51" s="1381"/>
      <c r="AV51" s="1381"/>
      <c r="AW51" s="1381"/>
      <c r="AX51" s="1381"/>
      <c r="AY51" s="1381"/>
      <c r="AZ51" s="1381"/>
      <c r="BA51" s="1381"/>
      <c r="BC51" s="1381"/>
      <c r="BE51" s="1381"/>
      <c r="BF51" s="1381"/>
      <c r="BG51" s="1381"/>
    </row>
    <row r="52">
      <c r="R52" s="1381"/>
      <c r="S52" s="1381"/>
      <c r="W52" s="1381"/>
      <c r="X52" s="1381"/>
      <c r="AE52" s="1381"/>
      <c r="AF52" s="1381"/>
      <c r="AV52" s="1381"/>
      <c r="AW52" s="1381"/>
      <c r="AX52" s="1381"/>
      <c r="AY52" s="1381"/>
      <c r="AZ52" s="1381"/>
      <c r="BA52" s="1381"/>
      <c r="BC52" s="1381"/>
      <c r="BE52" s="1381"/>
      <c r="BF52" s="1381"/>
      <c r="BG52" s="1381"/>
    </row>
    <row r="53">
      <c r="R53" s="1381"/>
      <c r="S53" s="1381"/>
      <c r="W53" s="1381"/>
      <c r="X53" s="1381"/>
      <c r="AE53" s="1381"/>
      <c r="AF53" s="1381"/>
      <c r="AV53" s="1381"/>
      <c r="AW53" s="1381"/>
      <c r="AX53" s="1381"/>
      <c r="AY53" s="1381"/>
      <c r="AZ53" s="1381"/>
      <c r="BA53" s="1381"/>
      <c r="BC53" s="1381"/>
      <c r="BE53" s="1381"/>
      <c r="BF53" s="1381"/>
      <c r="BG53" s="1381"/>
    </row>
    <row r="54">
      <c r="R54" s="1381"/>
      <c r="S54" s="1381"/>
      <c r="W54" s="1381"/>
      <c r="X54" s="1381"/>
      <c r="AE54" s="1381"/>
      <c r="AF54" s="1381"/>
      <c r="AV54" s="1381"/>
      <c r="AW54" s="1381"/>
      <c r="AX54" s="1381"/>
      <c r="AY54" s="1381"/>
      <c r="AZ54" s="1381"/>
      <c r="BA54" s="1381"/>
      <c r="BC54" s="1381"/>
      <c r="BE54" s="1381"/>
      <c r="BF54" s="1381"/>
      <c r="BG54" s="1381"/>
    </row>
    <row r="55">
      <c r="R55" s="1381"/>
      <c r="S55" s="1381"/>
      <c r="W55" s="1381"/>
      <c r="X55" s="1381"/>
      <c r="AE55" s="1381"/>
      <c r="AF55" s="1381"/>
      <c r="AV55" s="1381"/>
      <c r="AW55" s="1381"/>
      <c r="AX55" s="1381"/>
      <c r="AY55" s="1381"/>
      <c r="AZ55" s="1381"/>
      <c r="BA55" s="1381"/>
      <c r="BC55" s="1381"/>
      <c r="BE55" s="1381"/>
      <c r="BF55" s="1381"/>
      <c r="BG55" s="1381"/>
    </row>
    <row r="56">
      <c r="R56" s="1381"/>
      <c r="S56" s="1381"/>
      <c r="W56" s="1381"/>
      <c r="X56" s="1381"/>
      <c r="AE56" s="1381"/>
      <c r="AF56" s="1381"/>
      <c r="AV56" s="1381"/>
      <c r="AW56" s="1381"/>
      <c r="AX56" s="1381"/>
      <c r="AY56" s="1381"/>
      <c r="AZ56" s="1381"/>
      <c r="BA56" s="1381"/>
      <c r="BC56" s="1381"/>
      <c r="BE56" s="1381"/>
      <c r="BF56" s="1381"/>
      <c r="BG56" s="1381"/>
    </row>
    <row r="57">
      <c r="R57" s="1381"/>
      <c r="S57" s="1381"/>
      <c r="W57" s="1381"/>
      <c r="X57" s="1381"/>
      <c r="AE57" s="1381"/>
      <c r="AF57" s="1381"/>
      <c r="AV57" s="1381"/>
      <c r="AW57" s="1381"/>
      <c r="AX57" s="1381"/>
      <c r="AY57" s="1381"/>
      <c r="AZ57" s="1381"/>
      <c r="BA57" s="1381"/>
      <c r="BC57" s="1381"/>
      <c r="BE57" s="1381"/>
      <c r="BF57" s="1381"/>
      <c r="BG57" s="1381"/>
    </row>
    <row r="58">
      <c r="R58" s="1381"/>
      <c r="S58" s="1381"/>
      <c r="W58" s="1381"/>
      <c r="X58" s="1381"/>
      <c r="AE58" s="1381"/>
      <c r="AF58" s="1381"/>
      <c r="AV58" s="1381"/>
      <c r="AW58" s="1381"/>
      <c r="AX58" s="1381"/>
      <c r="AY58" s="1381"/>
      <c r="AZ58" s="1381"/>
      <c r="BA58" s="1381"/>
      <c r="BC58" s="1381"/>
      <c r="BE58" s="1381"/>
      <c r="BF58" s="1381"/>
      <c r="BG58" s="1381"/>
    </row>
    <row r="59">
      <c r="R59" s="1381"/>
      <c r="S59" s="1381"/>
      <c r="W59" s="1381"/>
      <c r="X59" s="1381"/>
      <c r="AE59" s="1381"/>
      <c r="AF59" s="1381"/>
      <c r="AV59" s="1381"/>
      <c r="AW59" s="1381"/>
      <c r="AX59" s="1381"/>
      <c r="AY59" s="1381"/>
      <c r="AZ59" s="1381"/>
      <c r="BA59" s="1381"/>
      <c r="BC59" s="1381"/>
      <c r="BE59" s="1381"/>
      <c r="BF59" s="1381"/>
      <c r="BG59" s="1381"/>
    </row>
    <row r="60">
      <c r="R60" s="1381"/>
      <c r="S60" s="1381"/>
      <c r="W60" s="1381"/>
      <c r="X60" s="1381"/>
      <c r="AE60" s="1381"/>
      <c r="AF60" s="1381"/>
      <c r="AV60" s="1381"/>
      <c r="AW60" s="1381"/>
      <c r="AX60" s="1381"/>
      <c r="AY60" s="1381"/>
      <c r="AZ60" s="1381"/>
      <c r="BA60" s="1381"/>
      <c r="BC60" s="1381"/>
      <c r="BE60" s="1381"/>
      <c r="BF60" s="1381"/>
      <c r="BG60" s="1381"/>
    </row>
    <row r="61">
      <c r="R61" s="1381"/>
      <c r="S61" s="1381"/>
      <c r="W61" s="1381"/>
      <c r="X61" s="1381"/>
      <c r="AE61" s="1381"/>
      <c r="AF61" s="1381"/>
      <c r="AV61" s="1381"/>
      <c r="AW61" s="1381"/>
      <c r="AX61" s="1381"/>
      <c r="AY61" s="1381"/>
      <c r="AZ61" s="1381"/>
      <c r="BA61" s="1381"/>
      <c r="BC61" s="1381"/>
      <c r="BE61" s="1381"/>
      <c r="BF61" s="1381"/>
      <c r="BG61" s="1381"/>
    </row>
    <row r="62">
      <c r="R62" s="1381"/>
      <c r="S62" s="1381"/>
      <c r="W62" s="1381"/>
      <c r="X62" s="1381"/>
      <c r="AE62" s="1381"/>
      <c r="AF62" s="1381"/>
      <c r="AV62" s="1381"/>
      <c r="AW62" s="1381"/>
      <c r="AX62" s="1381"/>
      <c r="AY62" s="1381"/>
      <c r="AZ62" s="1381"/>
      <c r="BA62" s="1381"/>
      <c r="BC62" s="1381"/>
      <c r="BE62" s="1381"/>
      <c r="BF62" s="1381"/>
      <c r="BG62" s="1381"/>
    </row>
    <row r="63">
      <c r="R63" s="1381"/>
      <c r="S63" s="1381"/>
      <c r="W63" s="1381"/>
      <c r="X63" s="1381"/>
      <c r="AE63" s="1381"/>
      <c r="AF63" s="1381"/>
      <c r="AV63" s="1381"/>
      <c r="AW63" s="1381"/>
      <c r="AX63" s="1381"/>
      <c r="AY63" s="1381"/>
      <c r="AZ63" s="1381"/>
      <c r="BA63" s="1381"/>
      <c r="BC63" s="1381"/>
      <c r="BE63" s="1381"/>
      <c r="BF63" s="1381"/>
      <c r="BG63" s="1381"/>
    </row>
    <row r="64">
      <c r="R64" s="1381"/>
      <c r="S64" s="1381"/>
      <c r="W64" s="1381"/>
      <c r="X64" s="1381"/>
      <c r="AE64" s="1381"/>
      <c r="AF64" s="1381"/>
      <c r="AV64" s="1381"/>
      <c r="AW64" s="1381"/>
      <c r="AX64" s="1381"/>
      <c r="AY64" s="1381"/>
      <c r="AZ64" s="1381"/>
      <c r="BA64" s="1381"/>
      <c r="BC64" s="1381"/>
      <c r="BE64" s="1381"/>
      <c r="BF64" s="1381"/>
      <c r="BG64" s="1381"/>
    </row>
    <row r="65">
      <c r="R65" s="1381"/>
      <c r="S65" s="1381"/>
      <c r="W65" s="1381"/>
      <c r="X65" s="1381"/>
      <c r="AE65" s="1381"/>
      <c r="AF65" s="1381"/>
      <c r="AV65" s="1381"/>
      <c r="AW65" s="1381"/>
      <c r="AX65" s="1381"/>
      <c r="AY65" s="1381"/>
      <c r="AZ65" s="1381"/>
      <c r="BA65" s="1381"/>
      <c r="BC65" s="1381"/>
      <c r="BE65" s="1381"/>
      <c r="BF65" s="1381"/>
      <c r="BG65" s="1381"/>
    </row>
    <row r="66">
      <c r="R66" s="1381"/>
      <c r="S66" s="1381"/>
      <c r="W66" s="1381"/>
      <c r="X66" s="1381"/>
      <c r="AE66" s="1381"/>
      <c r="AF66" s="1381"/>
      <c r="AV66" s="1381"/>
      <c r="AW66" s="1381"/>
      <c r="AX66" s="1381"/>
      <c r="AY66" s="1381"/>
      <c r="AZ66" s="1381"/>
      <c r="BA66" s="1381"/>
      <c r="BC66" s="1381"/>
      <c r="BE66" s="1381"/>
      <c r="BF66" s="1381"/>
      <c r="BG66" s="1381"/>
    </row>
    <row r="67">
      <c r="R67" s="1381"/>
      <c r="S67" s="1381"/>
      <c r="W67" s="1381"/>
      <c r="X67" s="1381"/>
      <c r="AE67" s="1381"/>
      <c r="AF67" s="1381"/>
      <c r="AV67" s="1381"/>
      <c r="AW67" s="1381"/>
      <c r="AX67" s="1381"/>
      <c r="AY67" s="1381"/>
      <c r="AZ67" s="1381"/>
      <c r="BA67" s="1381"/>
      <c r="BC67" s="1381"/>
      <c r="BE67" s="1381"/>
      <c r="BF67" s="1381"/>
      <c r="BG67" s="1381"/>
    </row>
    <row r="68">
      <c r="R68" s="1381"/>
      <c r="S68" s="1381"/>
      <c r="W68" s="1381"/>
      <c r="X68" s="1381"/>
      <c r="AE68" s="1381"/>
      <c r="AF68" s="1381"/>
      <c r="AV68" s="1381"/>
      <c r="AW68" s="1381"/>
      <c r="AX68" s="1381"/>
      <c r="AY68" s="1381"/>
      <c r="AZ68" s="1381"/>
      <c r="BA68" s="1381"/>
      <c r="BC68" s="1381"/>
      <c r="BE68" s="1381"/>
      <c r="BF68" s="1381"/>
      <c r="BG68" s="1381"/>
    </row>
    <row r="69">
      <c r="R69" s="1381"/>
      <c r="S69" s="1381"/>
      <c r="W69" s="1381"/>
      <c r="X69" s="1381"/>
      <c r="AE69" s="1381"/>
      <c r="AF69" s="1381"/>
      <c r="AV69" s="1381"/>
      <c r="AW69" s="1381"/>
      <c r="AX69" s="1381"/>
      <c r="AY69" s="1381"/>
      <c r="AZ69" s="1381"/>
      <c r="BA69" s="1381"/>
      <c r="BC69" s="1381"/>
      <c r="BE69" s="1381"/>
      <c r="BF69" s="1381"/>
      <c r="BG69" s="1381"/>
    </row>
    <row r="70">
      <c r="R70" s="1381"/>
      <c r="S70" s="1381"/>
      <c r="W70" s="1381"/>
      <c r="X70" s="1381"/>
      <c r="AE70" s="1381"/>
      <c r="AF70" s="1381"/>
      <c r="AV70" s="1381"/>
      <c r="AW70" s="1381"/>
      <c r="AX70" s="1381"/>
      <c r="AY70" s="1381"/>
      <c r="AZ70" s="1381"/>
      <c r="BA70" s="1381"/>
      <c r="BC70" s="1381"/>
      <c r="BE70" s="1381"/>
      <c r="BF70" s="1381"/>
      <c r="BG70" s="1381"/>
    </row>
    <row r="71">
      <c r="R71" s="1381"/>
      <c r="S71" s="1381"/>
      <c r="W71" s="1381"/>
      <c r="X71" s="1381"/>
      <c r="AE71" s="1381"/>
      <c r="AF71" s="1381"/>
      <c r="AV71" s="1381"/>
      <c r="AW71" s="1381"/>
      <c r="AX71" s="1381"/>
      <c r="AY71" s="1381"/>
      <c r="AZ71" s="1381"/>
      <c r="BA71" s="1381"/>
      <c r="BC71" s="1381"/>
      <c r="BE71" s="1381"/>
      <c r="BF71" s="1381"/>
      <c r="BG71" s="1381"/>
    </row>
    <row r="72">
      <c r="R72" s="1381"/>
      <c r="S72" s="1381"/>
      <c r="W72" s="1381"/>
      <c r="X72" s="1381"/>
      <c r="AE72" s="1381"/>
      <c r="AF72" s="1381"/>
      <c r="AV72" s="1381"/>
      <c r="AW72" s="1381"/>
      <c r="AX72" s="1381"/>
      <c r="AY72" s="1381"/>
      <c r="AZ72" s="1381"/>
      <c r="BA72" s="1381"/>
      <c r="BC72" s="1381"/>
      <c r="BE72" s="1381"/>
      <c r="BF72" s="1381"/>
      <c r="BG72" s="1381"/>
    </row>
    <row r="73">
      <c r="R73" s="1381"/>
      <c r="S73" s="1381"/>
      <c r="W73" s="1381"/>
      <c r="X73" s="1381"/>
      <c r="AE73" s="1381"/>
      <c r="AF73" s="1381"/>
      <c r="AV73" s="1381"/>
      <c r="AW73" s="1381"/>
      <c r="AX73" s="1381"/>
      <c r="AY73" s="1381"/>
      <c r="AZ73" s="1381"/>
      <c r="BA73" s="1381"/>
      <c r="BC73" s="1381"/>
      <c r="BE73" s="1381"/>
      <c r="BF73" s="1381"/>
      <c r="BG73" s="1381"/>
    </row>
    <row r="74">
      <c r="R74" s="1381"/>
      <c r="S74" s="1381"/>
      <c r="W74" s="1381"/>
      <c r="X74" s="1381"/>
      <c r="AE74" s="1381"/>
      <c r="AF74" s="1381"/>
      <c r="AV74" s="1381"/>
      <c r="AW74" s="1381"/>
      <c r="AX74" s="1381"/>
      <c r="AY74" s="1381"/>
      <c r="AZ74" s="1381"/>
      <c r="BA74" s="1381"/>
      <c r="BC74" s="1381"/>
      <c r="BE74" s="1381"/>
      <c r="BF74" s="1381"/>
      <c r="BG74" s="1381"/>
    </row>
    <row r="75">
      <c r="R75" s="1381"/>
      <c r="S75" s="1381"/>
      <c r="W75" s="1381"/>
      <c r="X75" s="1381"/>
      <c r="AE75" s="1381"/>
      <c r="AF75" s="1381"/>
      <c r="AV75" s="1381"/>
      <c r="AW75" s="1381"/>
      <c r="AX75" s="1381"/>
      <c r="AY75" s="1381"/>
      <c r="AZ75" s="1381"/>
      <c r="BA75" s="1381"/>
      <c r="BC75" s="1381"/>
      <c r="BE75" s="1381"/>
      <c r="BF75" s="1381"/>
      <c r="BG75" s="1381"/>
    </row>
    <row r="76">
      <c r="R76" s="1381"/>
      <c r="S76" s="1381"/>
      <c r="W76" s="1381"/>
      <c r="X76" s="1381"/>
      <c r="AE76" s="1381"/>
      <c r="AF76" s="1381"/>
      <c r="AV76" s="1381"/>
      <c r="AW76" s="1381"/>
      <c r="AX76" s="1381"/>
      <c r="AY76" s="1381"/>
      <c r="AZ76" s="1381"/>
      <c r="BA76" s="1381"/>
      <c r="BC76" s="1381"/>
      <c r="BE76" s="1381"/>
      <c r="BF76" s="1381"/>
      <c r="BG76" s="1381"/>
    </row>
    <row r="77">
      <c r="R77" s="1381"/>
      <c r="S77" s="1381"/>
      <c r="W77" s="1381"/>
      <c r="X77" s="1381"/>
      <c r="AE77" s="1381"/>
      <c r="AF77" s="1381"/>
      <c r="AV77" s="1381"/>
      <c r="AW77" s="1381"/>
      <c r="AX77" s="1381"/>
      <c r="AY77" s="1381"/>
      <c r="AZ77" s="1381"/>
      <c r="BA77" s="1381"/>
      <c r="BC77" s="1381"/>
      <c r="BE77" s="1381"/>
      <c r="BF77" s="1381"/>
      <c r="BG77" s="1381"/>
    </row>
    <row r="78">
      <c r="R78" s="1381"/>
      <c r="S78" s="1381"/>
      <c r="W78" s="1381"/>
      <c r="X78" s="1381"/>
      <c r="AE78" s="1381"/>
      <c r="AF78" s="1381"/>
      <c r="AV78" s="1381"/>
      <c r="AW78" s="1381"/>
      <c r="AX78" s="1381"/>
      <c r="AY78" s="1381"/>
      <c r="AZ78" s="1381"/>
      <c r="BA78" s="1381"/>
      <c r="BC78" s="1381"/>
      <c r="BE78" s="1381"/>
      <c r="BF78" s="1381"/>
      <c r="BG78" s="1381"/>
    </row>
    <row r="79">
      <c r="R79" s="1381"/>
      <c r="S79" s="1381"/>
      <c r="W79" s="1381"/>
      <c r="X79" s="1381"/>
      <c r="AE79" s="1381"/>
      <c r="AF79" s="1381"/>
      <c r="AV79" s="1381"/>
      <c r="AW79" s="1381"/>
      <c r="AX79" s="1381"/>
      <c r="AY79" s="1381"/>
      <c r="AZ79" s="1381"/>
      <c r="BA79" s="1381"/>
      <c r="BC79" s="1381"/>
      <c r="BE79" s="1381"/>
      <c r="BF79" s="1381"/>
      <c r="BG79" s="1381"/>
    </row>
    <row r="80">
      <c r="R80" s="1381"/>
      <c r="S80" s="1381"/>
      <c r="W80" s="1381"/>
      <c r="X80" s="1381"/>
      <c r="AE80" s="1381"/>
      <c r="AF80" s="1381"/>
      <c r="AV80" s="1381"/>
      <c r="AW80" s="1381"/>
      <c r="AX80" s="1381"/>
      <c r="AY80" s="1381"/>
      <c r="AZ80" s="1381"/>
      <c r="BA80" s="1381"/>
      <c r="BC80" s="1381"/>
      <c r="BE80" s="1381"/>
      <c r="BF80" s="1381"/>
      <c r="BG80" s="1381"/>
    </row>
    <row r="81">
      <c r="R81" s="1381"/>
      <c r="S81" s="1381"/>
      <c r="W81" s="1381"/>
      <c r="X81" s="1381"/>
      <c r="AE81" s="1381"/>
      <c r="AF81" s="1381"/>
      <c r="AV81" s="1381"/>
      <c r="AW81" s="1381"/>
      <c r="AX81" s="1381"/>
      <c r="AY81" s="1381"/>
      <c r="AZ81" s="1381"/>
      <c r="BA81" s="1381"/>
      <c r="BC81" s="1381"/>
      <c r="BE81" s="1381"/>
      <c r="BF81" s="1381"/>
      <c r="BG81" s="1381"/>
    </row>
    <row r="82">
      <c r="R82" s="1381"/>
      <c r="S82" s="1381"/>
      <c r="W82" s="1381"/>
      <c r="X82" s="1381"/>
      <c r="AE82" s="1381"/>
      <c r="AF82" s="1381"/>
      <c r="AV82" s="1381"/>
      <c r="AW82" s="1381"/>
      <c r="AX82" s="1381"/>
      <c r="AY82" s="1381"/>
      <c r="AZ82" s="1381"/>
      <c r="BA82" s="1381"/>
      <c r="BC82" s="1381"/>
      <c r="BE82" s="1381"/>
      <c r="BF82" s="1381"/>
      <c r="BG82" s="1381"/>
    </row>
    <row r="83">
      <c r="R83" s="1381"/>
      <c r="S83" s="1381"/>
      <c r="W83" s="1381"/>
      <c r="X83" s="1381"/>
      <c r="AE83" s="1381"/>
      <c r="AF83" s="1381"/>
      <c r="AV83" s="1381"/>
      <c r="AW83" s="1381"/>
      <c r="AX83" s="1381"/>
      <c r="AY83" s="1381"/>
      <c r="AZ83" s="1381"/>
      <c r="BA83" s="1381"/>
      <c r="BC83" s="1381"/>
      <c r="BE83" s="1381"/>
      <c r="BF83" s="1381"/>
      <c r="BG83" s="1381"/>
    </row>
    <row r="84">
      <c r="R84" s="1381"/>
      <c r="S84" s="1381"/>
      <c r="W84" s="1381"/>
      <c r="X84" s="1381"/>
      <c r="AE84" s="1381"/>
      <c r="AF84" s="1381"/>
      <c r="AV84" s="1381"/>
      <c r="AW84" s="1381"/>
      <c r="AX84" s="1381"/>
      <c r="AY84" s="1381"/>
      <c r="AZ84" s="1381"/>
      <c r="BA84" s="1381"/>
      <c r="BC84" s="1381"/>
      <c r="BE84" s="1381"/>
      <c r="BF84" s="1381"/>
      <c r="BG84" s="1381"/>
    </row>
    <row r="85">
      <c r="R85" s="1381"/>
      <c r="S85" s="1381"/>
      <c r="W85" s="1381"/>
      <c r="X85" s="1381"/>
      <c r="AE85" s="1381"/>
      <c r="AF85" s="1381"/>
      <c r="AV85" s="1381"/>
      <c r="AW85" s="1381"/>
      <c r="AX85" s="1381"/>
      <c r="AY85" s="1381"/>
      <c r="AZ85" s="1381"/>
      <c r="BA85" s="1381"/>
      <c r="BC85" s="1381"/>
      <c r="BE85" s="1381"/>
      <c r="BF85" s="1381"/>
      <c r="BG85" s="1381"/>
    </row>
    <row r="86">
      <c r="R86" s="1381"/>
      <c r="S86" s="1381"/>
      <c r="W86" s="1381"/>
      <c r="X86" s="1381"/>
      <c r="AE86" s="1381"/>
      <c r="AF86" s="1381"/>
      <c r="AV86" s="1381"/>
      <c r="AW86" s="1381"/>
      <c r="AX86" s="1381"/>
      <c r="AY86" s="1381"/>
      <c r="AZ86" s="1381"/>
      <c r="BA86" s="1381"/>
      <c r="BC86" s="1381"/>
      <c r="BE86" s="1381"/>
      <c r="BF86" s="1381"/>
      <c r="BG86" s="1381"/>
    </row>
    <row r="87">
      <c r="R87" s="1381"/>
      <c r="S87" s="1381"/>
      <c r="W87" s="1381"/>
      <c r="X87" s="1381"/>
      <c r="AE87" s="1381"/>
      <c r="AF87" s="1381"/>
      <c r="AV87" s="1381"/>
      <c r="AW87" s="1381"/>
      <c r="AX87" s="1381"/>
      <c r="AY87" s="1381"/>
      <c r="AZ87" s="1381"/>
      <c r="BA87" s="1381"/>
      <c r="BC87" s="1381"/>
      <c r="BE87" s="1381"/>
      <c r="BF87" s="1381"/>
      <c r="BG87" s="1381"/>
    </row>
    <row r="88">
      <c r="R88" s="1381"/>
      <c r="S88" s="1381"/>
      <c r="W88" s="1381"/>
      <c r="X88" s="1381"/>
      <c r="AE88" s="1381"/>
      <c r="AF88" s="1381"/>
      <c r="AV88" s="1381"/>
      <c r="AW88" s="1381"/>
      <c r="AX88" s="1381"/>
      <c r="AY88" s="1381"/>
      <c r="AZ88" s="1381"/>
      <c r="BA88" s="1381"/>
      <c r="BC88" s="1381"/>
      <c r="BE88" s="1381"/>
      <c r="BF88" s="1381"/>
      <c r="BG88" s="1381"/>
    </row>
    <row r="89">
      <c r="R89" s="1381"/>
      <c r="S89" s="1381"/>
      <c r="W89" s="1381"/>
      <c r="X89" s="1381"/>
      <c r="AE89" s="1381"/>
      <c r="AF89" s="1381"/>
      <c r="AV89" s="1381"/>
      <c r="AW89" s="1381"/>
      <c r="AX89" s="1381"/>
      <c r="AY89" s="1381"/>
      <c r="AZ89" s="1381"/>
      <c r="BA89" s="1381"/>
      <c r="BC89" s="1381"/>
      <c r="BE89" s="1381"/>
      <c r="BF89" s="1381"/>
      <c r="BG89" s="1381"/>
    </row>
    <row r="90">
      <c r="R90" s="1381"/>
      <c r="S90" s="1381"/>
      <c r="W90" s="1381"/>
      <c r="X90" s="1381"/>
      <c r="AE90" s="1381"/>
      <c r="AF90" s="1381"/>
      <c r="AV90" s="1381"/>
      <c r="AW90" s="1381"/>
      <c r="AX90" s="1381"/>
      <c r="AY90" s="1381"/>
      <c r="AZ90" s="1381"/>
      <c r="BA90" s="1381"/>
      <c r="BC90" s="1381"/>
      <c r="BE90" s="1381"/>
      <c r="BF90" s="1381"/>
      <c r="BG90" s="1381"/>
    </row>
    <row r="91">
      <c r="R91" s="1381"/>
      <c r="S91" s="1381"/>
      <c r="W91" s="1381"/>
      <c r="X91" s="1381"/>
      <c r="AE91" s="1381"/>
      <c r="AF91" s="1381"/>
      <c r="AV91" s="1381"/>
      <c r="AW91" s="1381"/>
      <c r="AX91" s="1381"/>
      <c r="AY91" s="1381"/>
      <c r="AZ91" s="1381"/>
      <c r="BA91" s="1381"/>
      <c r="BC91" s="1381"/>
      <c r="BE91" s="1381"/>
      <c r="BF91" s="1381"/>
      <c r="BG91" s="1381"/>
    </row>
    <row r="92">
      <c r="R92" s="1381"/>
      <c r="S92" s="1381"/>
      <c r="W92" s="1381"/>
      <c r="X92" s="1381"/>
      <c r="AE92" s="1381"/>
      <c r="AF92" s="1381"/>
      <c r="AV92" s="1381"/>
      <c r="AW92" s="1381"/>
      <c r="AX92" s="1381"/>
      <c r="AY92" s="1381"/>
      <c r="AZ92" s="1381"/>
      <c r="BA92" s="1381"/>
      <c r="BC92" s="1381"/>
      <c r="BE92" s="1381"/>
      <c r="BF92" s="1381"/>
      <c r="BG92" s="1381"/>
    </row>
    <row r="93">
      <c r="R93" s="1381"/>
      <c r="S93" s="1381"/>
      <c r="W93" s="1381"/>
      <c r="X93" s="1381"/>
      <c r="AE93" s="1381"/>
      <c r="AF93" s="1381"/>
      <c r="AV93" s="1381"/>
      <c r="AW93" s="1381"/>
      <c r="AX93" s="1381"/>
      <c r="AY93" s="1381"/>
      <c r="AZ93" s="1381"/>
      <c r="BA93" s="1381"/>
      <c r="BC93" s="1381"/>
      <c r="BE93" s="1381"/>
      <c r="BF93" s="1381"/>
      <c r="BG93" s="1381"/>
    </row>
    <row r="94">
      <c r="R94" s="1381"/>
      <c r="S94" s="1381"/>
      <c r="W94" s="1381"/>
      <c r="X94" s="1381"/>
      <c r="AE94" s="1381"/>
      <c r="AF94" s="1381"/>
      <c r="AV94" s="1381"/>
      <c r="AW94" s="1381"/>
      <c r="AX94" s="1381"/>
      <c r="AY94" s="1381"/>
      <c r="AZ94" s="1381"/>
      <c r="BA94" s="1381"/>
      <c r="BC94" s="1381"/>
      <c r="BE94" s="1381"/>
      <c r="BF94" s="1381"/>
      <c r="BG94" s="1381"/>
    </row>
    <row r="95">
      <c r="R95" s="1381"/>
      <c r="S95" s="1381"/>
      <c r="W95" s="1381"/>
      <c r="X95" s="1381"/>
      <c r="AE95" s="1381"/>
      <c r="AF95" s="1381"/>
      <c r="AV95" s="1381"/>
      <c r="AW95" s="1381"/>
      <c r="AX95" s="1381"/>
      <c r="AY95" s="1381"/>
      <c r="AZ95" s="1381"/>
      <c r="BA95" s="1381"/>
      <c r="BC95" s="1381"/>
      <c r="BE95" s="1381"/>
      <c r="BF95" s="1381"/>
      <c r="BG95" s="1381"/>
    </row>
    <row r="96">
      <c r="R96" s="1381"/>
      <c r="S96" s="1381"/>
      <c r="W96" s="1381"/>
      <c r="X96" s="1381"/>
      <c r="AE96" s="1381"/>
      <c r="AF96" s="1381"/>
      <c r="AV96" s="1381"/>
      <c r="AW96" s="1381"/>
      <c r="AX96" s="1381"/>
      <c r="AY96" s="1381"/>
      <c r="AZ96" s="1381"/>
      <c r="BA96" s="1381"/>
      <c r="BC96" s="1381"/>
      <c r="BE96" s="1381"/>
      <c r="BF96" s="1381"/>
      <c r="BG96" s="1381"/>
    </row>
    <row r="97">
      <c r="R97" s="1381"/>
      <c r="S97" s="1381"/>
      <c r="W97" s="1381"/>
      <c r="X97" s="1381"/>
      <c r="AE97" s="1381"/>
      <c r="AF97" s="1381"/>
      <c r="AV97" s="1381"/>
      <c r="AW97" s="1381"/>
      <c r="AX97" s="1381"/>
      <c r="AY97" s="1381"/>
      <c r="AZ97" s="1381"/>
      <c r="BA97" s="1381"/>
      <c r="BC97" s="1381"/>
      <c r="BE97" s="1381"/>
      <c r="BF97" s="1381"/>
      <c r="BG97" s="1381"/>
    </row>
    <row r="98">
      <c r="R98" s="1381"/>
      <c r="S98" s="1381"/>
      <c r="W98" s="1381"/>
      <c r="X98" s="1381"/>
      <c r="AE98" s="1381"/>
      <c r="AF98" s="1381"/>
      <c r="AV98" s="1381"/>
      <c r="AW98" s="1381"/>
      <c r="AX98" s="1381"/>
      <c r="AY98" s="1381"/>
      <c r="AZ98" s="1381"/>
      <c r="BA98" s="1381"/>
      <c r="BC98" s="1381"/>
      <c r="BE98" s="1381"/>
      <c r="BF98" s="1381"/>
      <c r="BG98" s="1381"/>
    </row>
    <row r="99">
      <c r="R99" s="1381"/>
      <c r="S99" s="1381"/>
      <c r="W99" s="1381"/>
      <c r="X99" s="1381"/>
      <c r="AE99" s="1381"/>
      <c r="AF99" s="1381"/>
      <c r="AV99" s="1381"/>
      <c r="AW99" s="1381"/>
      <c r="AX99" s="1381"/>
      <c r="AY99" s="1381"/>
      <c r="AZ99" s="1381"/>
      <c r="BA99" s="1381"/>
      <c r="BC99" s="1381"/>
      <c r="BE99" s="1381"/>
      <c r="BF99" s="1381"/>
      <c r="BG99" s="1381"/>
    </row>
    <row r="100">
      <c r="R100" s="1381"/>
      <c r="S100" s="1381"/>
      <c r="W100" s="1381"/>
      <c r="X100" s="1381"/>
      <c r="AE100" s="1381"/>
      <c r="AF100" s="1381"/>
      <c r="AV100" s="1381"/>
      <c r="AW100" s="1381"/>
      <c r="AX100" s="1381"/>
      <c r="AY100" s="1381"/>
      <c r="AZ100" s="1381"/>
      <c r="BA100" s="1381"/>
      <c r="BC100" s="1381"/>
      <c r="BE100" s="1381"/>
      <c r="BF100" s="1381"/>
      <c r="BG100" s="1381"/>
    </row>
    <row r="101">
      <c r="R101" s="1381"/>
      <c r="S101" s="1381"/>
      <c r="W101" s="1381"/>
      <c r="X101" s="1381"/>
      <c r="AE101" s="1381"/>
      <c r="AF101" s="1381"/>
      <c r="AV101" s="1381"/>
      <c r="AW101" s="1381"/>
      <c r="AX101" s="1381"/>
      <c r="AY101" s="1381"/>
      <c r="AZ101" s="1381"/>
      <c r="BA101" s="1381"/>
      <c r="BC101" s="1381"/>
      <c r="BE101" s="1381"/>
      <c r="BF101" s="1381"/>
      <c r="BG101" s="1381"/>
    </row>
    <row r="102">
      <c r="R102" s="1381"/>
      <c r="S102" s="1381"/>
      <c r="W102" s="1381"/>
      <c r="X102" s="1381"/>
      <c r="AE102" s="1381"/>
      <c r="AF102" s="1381"/>
      <c r="AV102" s="1381"/>
      <c r="AW102" s="1381"/>
      <c r="AX102" s="1381"/>
      <c r="AY102" s="1381"/>
      <c r="AZ102" s="1381"/>
      <c r="BA102" s="1381"/>
      <c r="BC102" s="1381"/>
      <c r="BE102" s="1381"/>
      <c r="BF102" s="1381"/>
      <c r="BG102" s="1381"/>
    </row>
    <row r="103">
      <c r="R103" s="1381"/>
      <c r="S103" s="1381"/>
      <c r="W103" s="1381"/>
      <c r="X103" s="1381"/>
      <c r="AE103" s="1381"/>
      <c r="AF103" s="1381"/>
      <c r="AV103" s="1381"/>
      <c r="AW103" s="1381"/>
      <c r="AX103" s="1381"/>
      <c r="AY103" s="1381"/>
      <c r="AZ103" s="1381"/>
      <c r="BA103" s="1381"/>
      <c r="BC103" s="1381"/>
      <c r="BE103" s="1381"/>
      <c r="BF103" s="1381"/>
      <c r="BG103" s="1381"/>
    </row>
    <row r="104">
      <c r="R104" s="1381"/>
      <c r="S104" s="1381"/>
      <c r="W104" s="1381"/>
      <c r="X104" s="1381"/>
      <c r="AE104" s="1381"/>
      <c r="AF104" s="1381"/>
      <c r="AV104" s="1381"/>
      <c r="AW104" s="1381"/>
      <c r="AX104" s="1381"/>
      <c r="AY104" s="1381"/>
      <c r="AZ104" s="1381"/>
      <c r="BA104" s="1381"/>
      <c r="BC104" s="1381"/>
      <c r="BE104" s="1381"/>
      <c r="BF104" s="1381"/>
      <c r="BG104" s="1381"/>
    </row>
    <row r="105">
      <c r="R105" s="1381"/>
      <c r="S105" s="1381"/>
      <c r="W105" s="1381"/>
      <c r="X105" s="1381"/>
      <c r="AE105" s="1381"/>
      <c r="AF105" s="1381"/>
      <c r="AV105" s="1381"/>
      <c r="AW105" s="1381"/>
      <c r="AX105" s="1381"/>
      <c r="AY105" s="1381"/>
      <c r="AZ105" s="1381"/>
      <c r="BA105" s="1381"/>
      <c r="BC105" s="1381"/>
      <c r="BE105" s="1381"/>
      <c r="BF105" s="1381"/>
      <c r="BG105" s="1381"/>
    </row>
    <row r="106">
      <c r="R106" s="1381"/>
      <c r="S106" s="1381"/>
      <c r="W106" s="1381"/>
      <c r="X106" s="1381"/>
      <c r="AE106" s="1381"/>
      <c r="AF106" s="1381"/>
      <c r="AV106" s="1381"/>
      <c r="AW106" s="1381"/>
      <c r="AX106" s="1381"/>
      <c r="AY106" s="1381"/>
      <c r="AZ106" s="1381"/>
      <c r="BA106" s="1381"/>
      <c r="BC106" s="1381"/>
      <c r="BE106" s="1381"/>
      <c r="BF106" s="1381"/>
      <c r="BG106" s="1381"/>
    </row>
    <row r="107">
      <c r="R107" s="1381"/>
      <c r="S107" s="1381"/>
      <c r="W107" s="1381"/>
      <c r="X107" s="1381"/>
      <c r="AE107" s="1381"/>
      <c r="AF107" s="1381"/>
      <c r="AV107" s="1381"/>
      <c r="AW107" s="1381"/>
      <c r="AX107" s="1381"/>
      <c r="AY107" s="1381"/>
      <c r="AZ107" s="1381"/>
      <c r="BA107" s="1381"/>
      <c r="BC107" s="1381"/>
      <c r="BE107" s="1381"/>
      <c r="BF107" s="1381"/>
      <c r="BG107" s="1381"/>
    </row>
    <row r="108">
      <c r="R108" s="1381"/>
      <c r="S108" s="1381"/>
      <c r="W108" s="1381"/>
      <c r="X108" s="1381"/>
      <c r="AE108" s="1381"/>
      <c r="AF108" s="1381"/>
      <c r="AV108" s="1381"/>
      <c r="AW108" s="1381"/>
      <c r="AX108" s="1381"/>
      <c r="AY108" s="1381"/>
      <c r="AZ108" s="1381"/>
      <c r="BA108" s="1381"/>
      <c r="BC108" s="1381"/>
      <c r="BE108" s="1381"/>
      <c r="BF108" s="1381"/>
      <c r="BG108" s="1381"/>
    </row>
    <row r="109">
      <c r="R109" s="1381"/>
      <c r="S109" s="1381"/>
      <c r="W109" s="1381"/>
      <c r="X109" s="1381"/>
      <c r="AE109" s="1381"/>
      <c r="AF109" s="1381"/>
      <c r="AV109" s="1381"/>
      <c r="AW109" s="1381"/>
      <c r="AX109" s="1381"/>
      <c r="AY109" s="1381"/>
      <c r="AZ109" s="1381"/>
      <c r="BA109" s="1381"/>
      <c r="BC109" s="1381"/>
      <c r="BE109" s="1381"/>
      <c r="BF109" s="1381"/>
      <c r="BG109" s="1381"/>
    </row>
    <row r="110">
      <c r="R110" s="1381"/>
      <c r="S110" s="1381"/>
      <c r="W110" s="1381"/>
      <c r="X110" s="1381"/>
      <c r="AE110" s="1381"/>
      <c r="AF110" s="1381"/>
      <c r="AV110" s="1381"/>
      <c r="AW110" s="1381"/>
      <c r="AX110" s="1381"/>
      <c r="AY110" s="1381"/>
      <c r="AZ110" s="1381"/>
      <c r="BA110" s="1381"/>
      <c r="BC110" s="1381"/>
      <c r="BE110" s="1381"/>
      <c r="BF110" s="1381"/>
      <c r="BG110" s="1381"/>
    </row>
    <row r="111">
      <c r="R111" s="1381"/>
      <c r="S111" s="1381"/>
      <c r="W111" s="1381"/>
      <c r="X111" s="1381"/>
      <c r="AE111" s="1381"/>
      <c r="AF111" s="1381"/>
      <c r="AV111" s="1381"/>
      <c r="AW111" s="1381"/>
      <c r="AX111" s="1381"/>
      <c r="AY111" s="1381"/>
      <c r="AZ111" s="1381"/>
      <c r="BA111" s="1381"/>
      <c r="BC111" s="1381"/>
      <c r="BE111" s="1381"/>
      <c r="BF111" s="1381"/>
      <c r="BG111" s="1381"/>
    </row>
    <row r="112">
      <c r="R112" s="1381"/>
      <c r="S112" s="1381"/>
      <c r="W112" s="1381"/>
      <c r="X112" s="1381"/>
      <c r="AE112" s="1381"/>
      <c r="AF112" s="1381"/>
      <c r="AV112" s="1381"/>
      <c r="AW112" s="1381"/>
      <c r="AX112" s="1381"/>
      <c r="AY112" s="1381"/>
      <c r="AZ112" s="1381"/>
      <c r="BA112" s="1381"/>
      <c r="BC112" s="1381"/>
      <c r="BE112" s="1381"/>
      <c r="BF112" s="1381"/>
      <c r="BG112" s="1381"/>
    </row>
    <row r="113">
      <c r="R113" s="1381"/>
      <c r="S113" s="1381"/>
      <c r="W113" s="1381"/>
      <c r="X113" s="1381"/>
      <c r="AE113" s="1381"/>
      <c r="AF113" s="1381"/>
      <c r="AV113" s="1381"/>
      <c r="AW113" s="1381"/>
      <c r="AX113" s="1381"/>
      <c r="AY113" s="1381"/>
      <c r="AZ113" s="1381"/>
      <c r="BA113" s="1381"/>
      <c r="BC113" s="1381"/>
      <c r="BE113" s="1381"/>
      <c r="BF113" s="1381"/>
      <c r="BG113" s="1381"/>
    </row>
    <row r="114">
      <c r="R114" s="1381"/>
      <c r="S114" s="1381"/>
      <c r="W114" s="1381"/>
      <c r="X114" s="1381"/>
      <c r="AE114" s="1381"/>
      <c r="AF114" s="1381"/>
      <c r="AV114" s="1381"/>
      <c r="AW114" s="1381"/>
      <c r="AX114" s="1381"/>
      <c r="AY114" s="1381"/>
      <c r="AZ114" s="1381"/>
      <c r="BA114" s="1381"/>
      <c r="BC114" s="1381"/>
      <c r="BE114" s="1381"/>
      <c r="BF114" s="1381"/>
      <c r="BG114" s="1381"/>
    </row>
    <row r="115">
      <c r="R115" s="1381"/>
      <c r="S115" s="1381"/>
      <c r="W115" s="1381"/>
      <c r="X115" s="1381"/>
      <c r="AE115" s="1381"/>
      <c r="AF115" s="1381"/>
      <c r="AV115" s="1381"/>
      <c r="AW115" s="1381"/>
      <c r="AX115" s="1381"/>
      <c r="AY115" s="1381"/>
      <c r="AZ115" s="1381"/>
      <c r="BA115" s="1381"/>
      <c r="BC115" s="1381"/>
      <c r="BE115" s="1381"/>
      <c r="BF115" s="1381"/>
      <c r="BG115" s="1381"/>
    </row>
    <row r="116">
      <c r="R116" s="1381"/>
      <c r="S116" s="1381"/>
      <c r="W116" s="1381"/>
      <c r="X116" s="1381"/>
      <c r="AE116" s="1381"/>
      <c r="AF116" s="1381"/>
      <c r="AV116" s="1381"/>
      <c r="AW116" s="1381"/>
      <c r="AX116" s="1381"/>
      <c r="AY116" s="1381"/>
      <c r="AZ116" s="1381"/>
      <c r="BA116" s="1381"/>
      <c r="BC116" s="1381"/>
      <c r="BE116" s="1381"/>
      <c r="BF116" s="1381"/>
      <c r="BG116" s="1381"/>
    </row>
    <row r="117">
      <c r="R117" s="1381"/>
      <c r="S117" s="1381"/>
      <c r="W117" s="1381"/>
      <c r="X117" s="1381"/>
      <c r="AE117" s="1381"/>
      <c r="AF117" s="1381"/>
      <c r="AV117" s="1381"/>
      <c r="AW117" s="1381"/>
      <c r="AX117" s="1381"/>
      <c r="AY117" s="1381"/>
      <c r="AZ117" s="1381"/>
      <c r="BA117" s="1381"/>
      <c r="BC117" s="1381"/>
      <c r="BE117" s="1381"/>
      <c r="BF117" s="1381"/>
      <c r="BG117" s="1381"/>
    </row>
    <row r="118">
      <c r="R118" s="1381"/>
      <c r="S118" s="1381"/>
      <c r="W118" s="1381"/>
      <c r="X118" s="1381"/>
      <c r="AE118" s="1381"/>
      <c r="AF118" s="1381"/>
      <c r="AV118" s="1381"/>
      <c r="AW118" s="1381"/>
      <c r="AX118" s="1381"/>
      <c r="AY118" s="1381"/>
      <c r="AZ118" s="1381"/>
      <c r="BA118" s="1381"/>
      <c r="BC118" s="1381"/>
      <c r="BE118" s="1381"/>
      <c r="BF118" s="1381"/>
      <c r="BG118" s="1381"/>
    </row>
    <row r="119">
      <c r="R119" s="1381"/>
      <c r="S119" s="1381"/>
      <c r="W119" s="1381"/>
      <c r="X119" s="1381"/>
      <c r="AE119" s="1381"/>
      <c r="AF119" s="1381"/>
      <c r="AV119" s="1381"/>
      <c r="AW119" s="1381"/>
      <c r="AX119" s="1381"/>
      <c r="AY119" s="1381"/>
      <c r="AZ119" s="1381"/>
      <c r="BA119" s="1381"/>
      <c r="BC119" s="1381"/>
      <c r="BE119" s="1381"/>
      <c r="BF119" s="1381"/>
      <c r="BG119" s="1381"/>
    </row>
    <row r="120">
      <c r="R120" s="1381"/>
      <c r="S120" s="1381"/>
      <c r="W120" s="1381"/>
      <c r="X120" s="1381"/>
      <c r="AE120" s="1381"/>
      <c r="AF120" s="1381"/>
      <c r="AV120" s="1381"/>
      <c r="AW120" s="1381"/>
      <c r="AX120" s="1381"/>
      <c r="AY120" s="1381"/>
      <c r="AZ120" s="1381"/>
      <c r="BA120" s="1381"/>
      <c r="BC120" s="1381"/>
      <c r="BE120" s="1381"/>
      <c r="BF120" s="1381"/>
      <c r="BG120" s="1381"/>
    </row>
    <row r="121">
      <c r="R121" s="1381"/>
      <c r="S121" s="1381"/>
      <c r="W121" s="1381"/>
      <c r="X121" s="1381"/>
      <c r="AE121" s="1381"/>
      <c r="AF121" s="1381"/>
      <c r="AV121" s="1381"/>
      <c r="AW121" s="1381"/>
      <c r="AX121" s="1381"/>
      <c r="AY121" s="1381"/>
      <c r="AZ121" s="1381"/>
      <c r="BA121" s="1381"/>
      <c r="BC121" s="1381"/>
      <c r="BE121" s="1381"/>
      <c r="BF121" s="1381"/>
      <c r="BG121" s="1381"/>
    </row>
    <row r="122">
      <c r="R122" s="1381"/>
      <c r="S122" s="1381"/>
      <c r="W122" s="1381"/>
      <c r="X122" s="1381"/>
      <c r="AE122" s="1381"/>
      <c r="AF122" s="1381"/>
      <c r="AV122" s="1381"/>
      <c r="AW122" s="1381"/>
      <c r="AX122" s="1381"/>
      <c r="AY122" s="1381"/>
      <c r="AZ122" s="1381"/>
      <c r="BA122" s="1381"/>
      <c r="BC122" s="1381"/>
      <c r="BE122" s="1381"/>
      <c r="BF122" s="1381"/>
      <c r="BG122" s="1381"/>
    </row>
    <row r="123">
      <c r="R123" s="1381"/>
      <c r="S123" s="1381"/>
      <c r="W123" s="1381"/>
      <c r="X123" s="1381"/>
      <c r="AE123" s="1381"/>
      <c r="AF123" s="1381"/>
      <c r="AV123" s="1381"/>
      <c r="AW123" s="1381"/>
      <c r="AX123" s="1381"/>
      <c r="AY123" s="1381"/>
      <c r="AZ123" s="1381"/>
      <c r="BA123" s="1381"/>
      <c r="BC123" s="1381"/>
      <c r="BE123" s="1381"/>
      <c r="BF123" s="1381"/>
      <c r="BG123" s="1381"/>
    </row>
    <row r="124">
      <c r="R124" s="1381"/>
      <c r="S124" s="1381"/>
      <c r="W124" s="1381"/>
      <c r="X124" s="1381"/>
      <c r="AE124" s="1381"/>
      <c r="AF124" s="1381"/>
      <c r="AV124" s="1381"/>
      <c r="AW124" s="1381"/>
      <c r="AX124" s="1381"/>
      <c r="AY124" s="1381"/>
      <c r="AZ124" s="1381"/>
      <c r="BA124" s="1381"/>
      <c r="BC124" s="1381"/>
      <c r="BE124" s="1381"/>
      <c r="BF124" s="1381"/>
      <c r="BG124" s="1381"/>
    </row>
    <row r="125">
      <c r="R125" s="1381"/>
      <c r="S125" s="1381"/>
      <c r="W125" s="1381"/>
      <c r="X125" s="1381"/>
      <c r="AE125" s="1381"/>
      <c r="AF125" s="1381"/>
      <c r="AV125" s="1381"/>
      <c r="AW125" s="1381"/>
      <c r="AX125" s="1381"/>
      <c r="AY125" s="1381"/>
      <c r="AZ125" s="1381"/>
      <c r="BA125" s="1381"/>
      <c r="BC125" s="1381"/>
      <c r="BE125" s="1381"/>
      <c r="BF125" s="1381"/>
      <c r="BG125" s="1381"/>
    </row>
    <row r="126">
      <c r="R126" s="1381"/>
      <c r="S126" s="1381"/>
      <c r="W126" s="1381"/>
      <c r="X126" s="1381"/>
      <c r="AE126" s="1381"/>
      <c r="AF126" s="1381"/>
      <c r="AV126" s="1381"/>
      <c r="AW126" s="1381"/>
      <c r="AX126" s="1381"/>
      <c r="AY126" s="1381"/>
      <c r="AZ126" s="1381"/>
      <c r="BA126" s="1381"/>
      <c r="BC126" s="1381"/>
      <c r="BE126" s="1381"/>
      <c r="BF126" s="1381"/>
      <c r="BG126" s="1381"/>
    </row>
    <row r="127">
      <c r="R127" s="1381"/>
      <c r="S127" s="1381"/>
      <c r="W127" s="1381"/>
      <c r="X127" s="1381"/>
      <c r="AE127" s="1381"/>
      <c r="AF127" s="1381"/>
      <c r="AV127" s="1381"/>
      <c r="AW127" s="1381"/>
      <c r="AX127" s="1381"/>
      <c r="AY127" s="1381"/>
      <c r="AZ127" s="1381"/>
      <c r="BA127" s="1381"/>
      <c r="BC127" s="1381"/>
      <c r="BE127" s="1381"/>
      <c r="BF127" s="1381"/>
      <c r="BG127" s="1381"/>
    </row>
    <row r="128">
      <c r="R128" s="1381"/>
      <c r="S128" s="1381"/>
      <c r="W128" s="1381"/>
      <c r="X128" s="1381"/>
      <c r="AE128" s="1381"/>
      <c r="AF128" s="1381"/>
      <c r="AV128" s="1381"/>
      <c r="AW128" s="1381"/>
      <c r="AX128" s="1381"/>
      <c r="AY128" s="1381"/>
      <c r="AZ128" s="1381"/>
      <c r="BA128" s="1381"/>
      <c r="BC128" s="1381"/>
      <c r="BE128" s="1381"/>
      <c r="BF128" s="1381"/>
      <c r="BG128" s="1381"/>
    </row>
    <row r="129">
      <c r="R129" s="1381"/>
      <c r="S129" s="1381"/>
      <c r="W129" s="1381"/>
      <c r="X129" s="1381"/>
      <c r="AE129" s="1381"/>
      <c r="AF129" s="1381"/>
      <c r="AV129" s="1381"/>
      <c r="AW129" s="1381"/>
      <c r="AX129" s="1381"/>
      <c r="AY129" s="1381"/>
      <c r="AZ129" s="1381"/>
      <c r="BA129" s="1381"/>
      <c r="BC129" s="1381"/>
      <c r="BE129" s="1381"/>
      <c r="BF129" s="1381"/>
      <c r="BG129" s="1381"/>
    </row>
    <row r="130">
      <c r="R130" s="1381"/>
      <c r="S130" s="1381"/>
      <c r="W130" s="1381"/>
      <c r="X130" s="1381"/>
      <c r="AE130" s="1381"/>
      <c r="AF130" s="1381"/>
      <c r="AV130" s="1381"/>
      <c r="AW130" s="1381"/>
      <c r="AX130" s="1381"/>
      <c r="AY130" s="1381"/>
      <c r="AZ130" s="1381"/>
      <c r="BA130" s="1381"/>
      <c r="BC130" s="1381"/>
      <c r="BE130" s="1381"/>
      <c r="BF130" s="1381"/>
      <c r="BG130" s="1381"/>
    </row>
    <row r="131">
      <c r="R131" s="1381"/>
      <c r="S131" s="1381"/>
      <c r="W131" s="1381"/>
      <c r="X131" s="1381"/>
      <c r="AE131" s="1381"/>
      <c r="AF131" s="1381"/>
      <c r="AV131" s="1381"/>
      <c r="AW131" s="1381"/>
      <c r="AX131" s="1381"/>
      <c r="AY131" s="1381"/>
      <c r="AZ131" s="1381"/>
      <c r="BA131" s="1381"/>
      <c r="BC131" s="1381"/>
      <c r="BE131" s="1381"/>
      <c r="BF131" s="1381"/>
      <c r="BG131" s="1381"/>
    </row>
    <row r="132">
      <c r="R132" s="1381"/>
      <c r="S132" s="1381"/>
      <c r="W132" s="1381"/>
      <c r="X132" s="1381"/>
      <c r="AE132" s="1381"/>
      <c r="AF132" s="1381"/>
      <c r="AV132" s="1381"/>
      <c r="AW132" s="1381"/>
      <c r="AX132" s="1381"/>
      <c r="AY132" s="1381"/>
      <c r="AZ132" s="1381"/>
      <c r="BA132" s="1381"/>
      <c r="BC132" s="1381"/>
      <c r="BE132" s="1381"/>
      <c r="BF132" s="1381"/>
      <c r="BG132" s="1381"/>
    </row>
    <row r="133">
      <c r="R133" s="1381"/>
      <c r="S133" s="1381"/>
      <c r="W133" s="1381"/>
      <c r="X133" s="1381"/>
      <c r="AE133" s="1381"/>
      <c r="AF133" s="1381"/>
      <c r="AV133" s="1381"/>
      <c r="AW133" s="1381"/>
      <c r="AX133" s="1381"/>
      <c r="AY133" s="1381"/>
      <c r="AZ133" s="1381"/>
      <c r="BA133" s="1381"/>
      <c r="BC133" s="1381"/>
      <c r="BE133" s="1381"/>
      <c r="BF133" s="1381"/>
      <c r="BG133" s="1381"/>
    </row>
    <row r="134">
      <c r="R134" s="1381"/>
      <c r="S134" s="1381"/>
      <c r="W134" s="1381"/>
      <c r="X134" s="1381"/>
      <c r="AE134" s="1381"/>
      <c r="AF134" s="1381"/>
      <c r="AV134" s="1381"/>
      <c r="AW134" s="1381"/>
      <c r="AX134" s="1381"/>
      <c r="AY134" s="1381"/>
      <c r="AZ134" s="1381"/>
      <c r="BA134" s="1381"/>
      <c r="BC134" s="1381"/>
      <c r="BE134" s="1381"/>
      <c r="BF134" s="1381"/>
      <c r="BG134" s="1381"/>
    </row>
    <row r="135">
      <c r="R135" s="1381"/>
      <c r="S135" s="1381"/>
      <c r="W135" s="1381"/>
      <c r="X135" s="1381"/>
      <c r="AE135" s="1381"/>
      <c r="AF135" s="1381"/>
      <c r="AV135" s="1381"/>
      <c r="AW135" s="1381"/>
      <c r="AX135" s="1381"/>
      <c r="AY135" s="1381"/>
      <c r="AZ135" s="1381"/>
      <c r="BA135" s="1381"/>
      <c r="BC135" s="1381"/>
      <c r="BE135" s="1381"/>
      <c r="BF135" s="1381"/>
      <c r="BG135" s="1381"/>
    </row>
    <row r="136">
      <c r="R136" s="1381"/>
      <c r="S136" s="1381"/>
      <c r="W136" s="1381"/>
      <c r="X136" s="1381"/>
      <c r="AE136" s="1381"/>
      <c r="AF136" s="1381"/>
      <c r="AV136" s="1381"/>
      <c r="AW136" s="1381"/>
      <c r="AX136" s="1381"/>
      <c r="AY136" s="1381"/>
      <c r="AZ136" s="1381"/>
      <c r="BA136" s="1381"/>
      <c r="BC136" s="1381"/>
      <c r="BE136" s="1381"/>
      <c r="BF136" s="1381"/>
      <c r="BG136" s="1381"/>
    </row>
    <row r="137">
      <c r="R137" s="1381"/>
      <c r="S137" s="1381"/>
      <c r="W137" s="1381"/>
      <c r="X137" s="1381"/>
      <c r="AE137" s="1381"/>
      <c r="AF137" s="1381"/>
      <c r="AV137" s="1381"/>
      <c r="AW137" s="1381"/>
      <c r="AX137" s="1381"/>
      <c r="AY137" s="1381"/>
      <c r="AZ137" s="1381"/>
      <c r="BA137" s="1381"/>
      <c r="BC137" s="1381"/>
      <c r="BE137" s="1381"/>
      <c r="BF137" s="1381"/>
      <c r="BG137" s="1381"/>
    </row>
    <row r="138">
      <c r="R138" s="1381"/>
      <c r="S138" s="1381"/>
      <c r="W138" s="1381"/>
      <c r="X138" s="1381"/>
      <c r="AE138" s="1381"/>
      <c r="AF138" s="1381"/>
      <c r="AV138" s="1381"/>
      <c r="AW138" s="1381"/>
      <c r="AX138" s="1381"/>
      <c r="AY138" s="1381"/>
      <c r="AZ138" s="1381"/>
      <c r="BA138" s="1381"/>
      <c r="BC138" s="1381"/>
      <c r="BE138" s="1381"/>
      <c r="BF138" s="1381"/>
      <c r="BG138" s="1381"/>
    </row>
    <row r="139">
      <c r="R139" s="1381"/>
      <c r="S139" s="1381"/>
      <c r="W139" s="1381"/>
      <c r="X139" s="1381"/>
      <c r="AE139" s="1381"/>
      <c r="AF139" s="1381"/>
      <c r="AV139" s="1381"/>
      <c r="AW139" s="1381"/>
      <c r="AX139" s="1381"/>
      <c r="AY139" s="1381"/>
      <c r="AZ139" s="1381"/>
      <c r="BA139" s="1381"/>
      <c r="BC139" s="1381"/>
      <c r="BE139" s="1381"/>
      <c r="BF139" s="1381"/>
      <c r="BG139" s="1381"/>
    </row>
    <row r="140">
      <c r="R140" s="1381"/>
      <c r="S140" s="1381"/>
      <c r="W140" s="1381"/>
      <c r="X140" s="1381"/>
      <c r="AE140" s="1381"/>
      <c r="AF140" s="1381"/>
      <c r="AV140" s="1381"/>
      <c r="AW140" s="1381"/>
      <c r="AX140" s="1381"/>
      <c r="AY140" s="1381"/>
      <c r="AZ140" s="1381"/>
      <c r="BA140" s="1381"/>
      <c r="BC140" s="1381"/>
      <c r="BE140" s="1381"/>
      <c r="BF140" s="1381"/>
      <c r="BG140" s="1381"/>
    </row>
    <row r="141">
      <c r="R141" s="1381"/>
      <c r="S141" s="1381"/>
      <c r="W141" s="1381"/>
      <c r="X141" s="1381"/>
      <c r="AE141" s="1381"/>
      <c r="AF141" s="1381"/>
      <c r="AV141" s="1381"/>
      <c r="AW141" s="1381"/>
      <c r="AX141" s="1381"/>
      <c r="AY141" s="1381"/>
      <c r="AZ141" s="1381"/>
      <c r="BA141" s="1381"/>
      <c r="BC141" s="1381"/>
      <c r="BE141" s="1381"/>
      <c r="BF141" s="1381"/>
      <c r="BG141" s="1381"/>
    </row>
    <row r="142">
      <c r="R142" s="1381"/>
      <c r="S142" s="1381"/>
      <c r="W142" s="1381"/>
      <c r="X142" s="1381"/>
      <c r="AE142" s="1381"/>
      <c r="AF142" s="1381"/>
      <c r="AV142" s="1381"/>
      <c r="AW142" s="1381"/>
      <c r="AX142" s="1381"/>
      <c r="AY142" s="1381"/>
      <c r="AZ142" s="1381"/>
      <c r="BA142" s="1381"/>
      <c r="BC142" s="1381"/>
      <c r="BE142" s="1381"/>
      <c r="BF142" s="1381"/>
      <c r="BG142" s="1381"/>
    </row>
    <row r="143">
      <c r="R143" s="1381"/>
      <c r="S143" s="1381"/>
      <c r="W143" s="1381"/>
      <c r="X143" s="1381"/>
      <c r="AE143" s="1381"/>
      <c r="AF143" s="1381"/>
      <c r="AV143" s="1381"/>
      <c r="AW143" s="1381"/>
      <c r="AX143" s="1381"/>
      <c r="AY143" s="1381"/>
      <c r="AZ143" s="1381"/>
      <c r="BA143" s="1381"/>
      <c r="BC143" s="1381"/>
      <c r="BE143" s="1381"/>
      <c r="BF143" s="1381"/>
      <c r="BG143" s="1381"/>
    </row>
    <row r="144">
      <c r="R144" s="1381"/>
      <c r="S144" s="1381"/>
      <c r="W144" s="1381"/>
      <c r="X144" s="1381"/>
      <c r="AE144" s="1381"/>
      <c r="AF144" s="1381"/>
      <c r="AV144" s="1381"/>
      <c r="AW144" s="1381"/>
      <c r="AX144" s="1381"/>
      <c r="AY144" s="1381"/>
      <c r="AZ144" s="1381"/>
      <c r="BA144" s="1381"/>
      <c r="BC144" s="1381"/>
      <c r="BE144" s="1381"/>
      <c r="BF144" s="1381"/>
      <c r="BG144" s="1381"/>
    </row>
    <row r="145">
      <c r="R145" s="1381"/>
      <c r="S145" s="1381"/>
      <c r="W145" s="1381"/>
      <c r="X145" s="1381"/>
      <c r="AE145" s="1381"/>
      <c r="AF145" s="1381"/>
      <c r="AV145" s="1381"/>
      <c r="AW145" s="1381"/>
      <c r="AX145" s="1381"/>
      <c r="AY145" s="1381"/>
      <c r="AZ145" s="1381"/>
      <c r="BA145" s="1381"/>
      <c r="BC145" s="1381"/>
      <c r="BE145" s="1381"/>
      <c r="BF145" s="1381"/>
      <c r="BG145" s="1381"/>
    </row>
    <row r="146">
      <c r="R146" s="1381"/>
      <c r="S146" s="1381"/>
      <c r="W146" s="1381"/>
      <c r="X146" s="1381"/>
      <c r="AE146" s="1381"/>
      <c r="AF146" s="1381"/>
      <c r="AV146" s="1381"/>
      <c r="AW146" s="1381"/>
      <c r="AX146" s="1381"/>
      <c r="AY146" s="1381"/>
      <c r="AZ146" s="1381"/>
      <c r="BA146" s="1381"/>
      <c r="BC146" s="1381"/>
      <c r="BE146" s="1381"/>
      <c r="BF146" s="1381"/>
      <c r="BG146" s="1381"/>
    </row>
    <row r="147">
      <c r="R147" s="1381"/>
      <c r="S147" s="1381"/>
      <c r="W147" s="1381"/>
      <c r="X147" s="1381"/>
      <c r="AE147" s="1381"/>
      <c r="AF147" s="1381"/>
      <c r="AV147" s="1381"/>
      <c r="AW147" s="1381"/>
      <c r="AX147" s="1381"/>
      <c r="AY147" s="1381"/>
      <c r="AZ147" s="1381"/>
      <c r="BA147" s="1381"/>
      <c r="BC147" s="1381"/>
      <c r="BE147" s="1381"/>
      <c r="BF147" s="1381"/>
      <c r="BG147" s="1381"/>
    </row>
    <row r="148">
      <c r="R148" s="1381"/>
      <c r="S148" s="1381"/>
      <c r="W148" s="1381"/>
      <c r="X148" s="1381"/>
      <c r="AE148" s="1381"/>
      <c r="AF148" s="1381"/>
      <c r="AV148" s="1381"/>
      <c r="AW148" s="1381"/>
      <c r="AX148" s="1381"/>
      <c r="AY148" s="1381"/>
      <c r="AZ148" s="1381"/>
      <c r="BA148" s="1381"/>
      <c r="BC148" s="1381"/>
      <c r="BE148" s="1381"/>
      <c r="BF148" s="1381"/>
      <c r="BG148" s="1381"/>
    </row>
    <row r="149">
      <c r="R149" s="1381"/>
      <c r="S149" s="1381"/>
      <c r="W149" s="1381"/>
      <c r="X149" s="1381"/>
      <c r="AE149" s="1381"/>
      <c r="AF149" s="1381"/>
      <c r="AV149" s="1381"/>
      <c r="AW149" s="1381"/>
      <c r="AX149" s="1381"/>
      <c r="AY149" s="1381"/>
      <c r="AZ149" s="1381"/>
      <c r="BA149" s="1381"/>
      <c r="BC149" s="1381"/>
      <c r="BE149" s="1381"/>
      <c r="BF149" s="1381"/>
      <c r="BG149" s="1381"/>
    </row>
    <row r="150">
      <c r="R150" s="1381"/>
      <c r="S150" s="1381"/>
      <c r="W150" s="1381"/>
      <c r="X150" s="1381"/>
      <c r="AE150" s="1381"/>
      <c r="AF150" s="1381"/>
      <c r="AV150" s="1381"/>
      <c r="AW150" s="1381"/>
      <c r="AX150" s="1381"/>
      <c r="AY150" s="1381"/>
      <c r="AZ150" s="1381"/>
      <c r="BA150" s="1381"/>
      <c r="BC150" s="1381"/>
      <c r="BE150" s="1381"/>
      <c r="BF150" s="1381"/>
      <c r="BG150" s="1381"/>
    </row>
    <row r="151">
      <c r="R151" s="1381"/>
      <c r="S151" s="1381"/>
      <c r="W151" s="1381"/>
      <c r="X151" s="1381"/>
      <c r="AE151" s="1381"/>
      <c r="AF151" s="1381"/>
      <c r="AV151" s="1381"/>
      <c r="AW151" s="1381"/>
      <c r="AX151" s="1381"/>
      <c r="AY151" s="1381"/>
      <c r="AZ151" s="1381"/>
      <c r="BA151" s="1381"/>
      <c r="BC151" s="1381"/>
      <c r="BE151" s="1381"/>
      <c r="BF151" s="1381"/>
      <c r="BG151" s="1381"/>
    </row>
    <row r="152">
      <c r="R152" s="1381"/>
      <c r="S152" s="1381"/>
      <c r="W152" s="1381"/>
      <c r="X152" s="1381"/>
      <c r="AE152" s="1381"/>
      <c r="AF152" s="1381"/>
      <c r="AV152" s="1381"/>
      <c r="AW152" s="1381"/>
      <c r="AX152" s="1381"/>
      <c r="AY152" s="1381"/>
      <c r="AZ152" s="1381"/>
      <c r="BA152" s="1381"/>
      <c r="BC152" s="1381"/>
      <c r="BE152" s="1381"/>
      <c r="BF152" s="1381"/>
      <c r="BG152" s="1381"/>
    </row>
    <row r="153">
      <c r="R153" s="1381"/>
      <c r="S153" s="1381"/>
      <c r="W153" s="1381"/>
      <c r="X153" s="1381"/>
      <c r="AE153" s="1381"/>
      <c r="AF153" s="1381"/>
      <c r="AV153" s="1381"/>
      <c r="AW153" s="1381"/>
      <c r="AX153" s="1381"/>
      <c r="AY153" s="1381"/>
      <c r="AZ153" s="1381"/>
      <c r="BA153" s="1381"/>
      <c r="BC153" s="1381"/>
      <c r="BE153" s="1381"/>
      <c r="BF153" s="1381"/>
      <c r="BG153" s="1381"/>
    </row>
    <row r="154">
      <c r="R154" s="1381"/>
      <c r="S154" s="1381"/>
      <c r="W154" s="1381"/>
      <c r="X154" s="1381"/>
      <c r="AE154" s="1381"/>
      <c r="AF154" s="1381"/>
      <c r="AV154" s="1381"/>
      <c r="AW154" s="1381"/>
      <c r="AX154" s="1381"/>
      <c r="AY154" s="1381"/>
      <c r="AZ154" s="1381"/>
      <c r="BA154" s="1381"/>
      <c r="BC154" s="1381"/>
      <c r="BE154" s="1381"/>
      <c r="BF154" s="1381"/>
      <c r="BG154" s="1381"/>
    </row>
    <row r="155">
      <c r="R155" s="1381"/>
      <c r="S155" s="1381"/>
      <c r="W155" s="1381"/>
      <c r="X155" s="1381"/>
      <c r="AE155" s="1381"/>
      <c r="AF155" s="1381"/>
      <c r="AV155" s="1381"/>
      <c r="AW155" s="1381"/>
      <c r="AX155" s="1381"/>
      <c r="AY155" s="1381"/>
      <c r="AZ155" s="1381"/>
      <c r="BA155" s="1381"/>
      <c r="BC155" s="1381"/>
      <c r="BE155" s="1381"/>
      <c r="BF155" s="1381"/>
      <c r="BG155" s="1381"/>
    </row>
    <row r="156">
      <c r="R156" s="1381"/>
      <c r="S156" s="1381"/>
      <c r="W156" s="1381"/>
      <c r="X156" s="1381"/>
      <c r="AE156" s="1381"/>
      <c r="AF156" s="1381"/>
      <c r="AV156" s="1381"/>
      <c r="AW156" s="1381"/>
      <c r="AX156" s="1381"/>
      <c r="AY156" s="1381"/>
      <c r="AZ156" s="1381"/>
      <c r="BA156" s="1381"/>
      <c r="BC156" s="1381"/>
      <c r="BE156" s="1381"/>
      <c r="BF156" s="1381"/>
      <c r="BG156" s="1381"/>
    </row>
    <row r="157">
      <c r="R157" s="1381"/>
      <c r="S157" s="1381"/>
      <c r="W157" s="1381"/>
      <c r="X157" s="1381"/>
      <c r="AE157" s="1381"/>
      <c r="AF157" s="1381"/>
      <c r="AV157" s="1381"/>
      <c r="AW157" s="1381"/>
      <c r="AX157" s="1381"/>
      <c r="AY157" s="1381"/>
      <c r="AZ157" s="1381"/>
      <c r="BA157" s="1381"/>
      <c r="BC157" s="1381"/>
      <c r="BE157" s="1381"/>
      <c r="BF157" s="1381"/>
      <c r="BG157" s="1381"/>
    </row>
    <row r="158">
      <c r="R158" s="1381"/>
      <c r="S158" s="1381"/>
      <c r="W158" s="1381"/>
      <c r="X158" s="1381"/>
      <c r="AE158" s="1381"/>
      <c r="AF158" s="1381"/>
      <c r="AV158" s="1381"/>
      <c r="AW158" s="1381"/>
      <c r="AX158" s="1381"/>
      <c r="AY158" s="1381"/>
      <c r="AZ158" s="1381"/>
      <c r="BA158" s="1381"/>
      <c r="BC158" s="1381"/>
      <c r="BE158" s="1381"/>
      <c r="BF158" s="1381"/>
      <c r="BG158" s="1381"/>
    </row>
    <row r="159">
      <c r="R159" s="1381"/>
      <c r="S159" s="1381"/>
      <c r="W159" s="1381"/>
      <c r="X159" s="1381"/>
      <c r="AE159" s="1381"/>
      <c r="AF159" s="1381"/>
      <c r="AV159" s="1381"/>
      <c r="AW159" s="1381"/>
      <c r="AX159" s="1381"/>
      <c r="AY159" s="1381"/>
      <c r="AZ159" s="1381"/>
      <c r="BA159" s="1381"/>
      <c r="BC159" s="1381"/>
      <c r="BE159" s="1381"/>
      <c r="BF159" s="1381"/>
      <c r="BG159" s="1381"/>
    </row>
    <row r="160">
      <c r="R160" s="1381"/>
      <c r="S160" s="1381"/>
      <c r="W160" s="1381"/>
      <c r="X160" s="1381"/>
      <c r="AE160" s="1381"/>
      <c r="AF160" s="1381"/>
      <c r="AV160" s="1381"/>
      <c r="AW160" s="1381"/>
      <c r="AX160" s="1381"/>
      <c r="AY160" s="1381"/>
      <c r="AZ160" s="1381"/>
      <c r="BA160" s="1381"/>
      <c r="BC160" s="1381"/>
      <c r="BE160" s="1381"/>
      <c r="BF160" s="1381"/>
      <c r="BG160" s="1381"/>
    </row>
    <row r="161">
      <c r="R161" s="1381"/>
      <c r="S161" s="1381"/>
      <c r="W161" s="1381"/>
      <c r="X161" s="1381"/>
      <c r="AE161" s="1381"/>
      <c r="AF161" s="1381"/>
      <c r="AV161" s="1381"/>
      <c r="AW161" s="1381"/>
      <c r="AX161" s="1381"/>
      <c r="AY161" s="1381"/>
      <c r="AZ161" s="1381"/>
      <c r="BA161" s="1381"/>
      <c r="BC161" s="1381"/>
      <c r="BE161" s="1381"/>
      <c r="BF161" s="1381"/>
      <c r="BG161" s="1381"/>
    </row>
    <row r="162">
      <c r="R162" s="1381"/>
      <c r="S162" s="1381"/>
      <c r="W162" s="1381"/>
      <c r="X162" s="1381"/>
      <c r="AE162" s="1381"/>
      <c r="AF162" s="1381"/>
      <c r="AV162" s="1381"/>
      <c r="AW162" s="1381"/>
      <c r="AX162" s="1381"/>
      <c r="AY162" s="1381"/>
      <c r="AZ162" s="1381"/>
      <c r="BA162" s="1381"/>
      <c r="BC162" s="1381"/>
      <c r="BE162" s="1381"/>
      <c r="BF162" s="1381"/>
      <c r="BG162" s="1381"/>
    </row>
    <row r="163">
      <c r="R163" s="1381"/>
      <c r="S163" s="1381"/>
      <c r="W163" s="1381"/>
      <c r="X163" s="1381"/>
      <c r="AE163" s="1381"/>
      <c r="AF163" s="1381"/>
      <c r="AV163" s="1381"/>
      <c r="AW163" s="1381"/>
      <c r="AX163" s="1381"/>
      <c r="AY163" s="1381"/>
      <c r="AZ163" s="1381"/>
      <c r="BA163" s="1381"/>
      <c r="BC163" s="1381"/>
      <c r="BE163" s="1381"/>
      <c r="BF163" s="1381"/>
      <c r="BG163" s="1381"/>
    </row>
    <row r="164">
      <c r="R164" s="1381"/>
      <c r="S164" s="1381"/>
      <c r="W164" s="1381"/>
      <c r="X164" s="1381"/>
      <c r="AE164" s="1381"/>
      <c r="AF164" s="1381"/>
      <c r="AV164" s="1381"/>
      <c r="AW164" s="1381"/>
      <c r="AX164" s="1381"/>
      <c r="AY164" s="1381"/>
      <c r="AZ164" s="1381"/>
      <c r="BA164" s="1381"/>
      <c r="BC164" s="1381"/>
      <c r="BE164" s="1381"/>
      <c r="BF164" s="1381"/>
      <c r="BG164" s="1381"/>
    </row>
    <row r="165">
      <c r="R165" s="1381"/>
      <c r="S165" s="1381"/>
      <c r="W165" s="1381"/>
      <c r="X165" s="1381"/>
      <c r="AE165" s="1381"/>
      <c r="AF165" s="1381"/>
      <c r="AV165" s="1381"/>
      <c r="AW165" s="1381"/>
      <c r="AX165" s="1381"/>
      <c r="AY165" s="1381"/>
      <c r="AZ165" s="1381"/>
      <c r="BA165" s="1381"/>
      <c r="BC165" s="1381"/>
      <c r="BE165" s="1381"/>
      <c r="BF165" s="1381"/>
      <c r="BG165" s="1381"/>
    </row>
    <row r="166">
      <c r="R166" s="1381"/>
      <c r="S166" s="1381"/>
      <c r="W166" s="1381"/>
      <c r="X166" s="1381"/>
      <c r="AE166" s="1381"/>
      <c r="AF166" s="1381"/>
      <c r="AV166" s="1381"/>
      <c r="AW166" s="1381"/>
      <c r="AX166" s="1381"/>
      <c r="AY166" s="1381"/>
      <c r="AZ166" s="1381"/>
      <c r="BA166" s="1381"/>
      <c r="BC166" s="1381"/>
      <c r="BE166" s="1381"/>
      <c r="BF166" s="1381"/>
      <c r="BG166" s="1381"/>
    </row>
    <row r="167">
      <c r="R167" s="1381"/>
      <c r="S167" s="1381"/>
      <c r="W167" s="1381"/>
      <c r="X167" s="1381"/>
      <c r="AE167" s="1381"/>
      <c r="AF167" s="1381"/>
      <c r="AV167" s="1381"/>
      <c r="AW167" s="1381"/>
      <c r="AX167" s="1381"/>
      <c r="AY167" s="1381"/>
      <c r="AZ167" s="1381"/>
      <c r="BA167" s="1381"/>
      <c r="BC167" s="1381"/>
      <c r="BE167" s="1381"/>
      <c r="BF167" s="1381"/>
      <c r="BG167" s="1381"/>
    </row>
    <row r="168">
      <c r="R168" s="1381"/>
      <c r="S168" s="1381"/>
      <c r="W168" s="1381"/>
      <c r="X168" s="1381"/>
      <c r="AE168" s="1381"/>
      <c r="AF168" s="1381"/>
      <c r="AV168" s="1381"/>
      <c r="AW168" s="1381"/>
      <c r="AX168" s="1381"/>
      <c r="AY168" s="1381"/>
      <c r="AZ168" s="1381"/>
      <c r="BA168" s="1381"/>
      <c r="BC168" s="1381"/>
      <c r="BE168" s="1381"/>
      <c r="BF168" s="1381"/>
      <c r="BG168" s="1381"/>
    </row>
    <row r="169">
      <c r="R169" s="1381"/>
      <c r="S169" s="1381"/>
      <c r="W169" s="1381"/>
      <c r="X169" s="1381"/>
      <c r="AE169" s="1381"/>
      <c r="AF169" s="1381"/>
      <c r="AV169" s="1381"/>
      <c r="AW169" s="1381"/>
      <c r="AX169" s="1381"/>
      <c r="AY169" s="1381"/>
      <c r="AZ169" s="1381"/>
      <c r="BA169" s="1381"/>
      <c r="BC169" s="1381"/>
      <c r="BE169" s="1381"/>
      <c r="BF169" s="1381"/>
      <c r="BG169" s="1381"/>
    </row>
    <row r="170">
      <c r="R170" s="1381"/>
      <c r="S170" s="1381"/>
      <c r="W170" s="1381"/>
      <c r="X170" s="1381"/>
      <c r="AE170" s="1381"/>
      <c r="AF170" s="1381"/>
      <c r="AV170" s="1381"/>
      <c r="AW170" s="1381"/>
      <c r="AX170" s="1381"/>
      <c r="AY170" s="1381"/>
      <c r="AZ170" s="1381"/>
      <c r="BA170" s="1381"/>
      <c r="BC170" s="1381"/>
      <c r="BE170" s="1381"/>
      <c r="BF170" s="1381"/>
      <c r="BG170" s="1381"/>
    </row>
    <row r="171">
      <c r="R171" s="1381"/>
      <c r="S171" s="1381"/>
      <c r="W171" s="1381"/>
      <c r="X171" s="1381"/>
      <c r="AE171" s="1381"/>
      <c r="AF171" s="1381"/>
      <c r="AV171" s="1381"/>
      <c r="AW171" s="1381"/>
      <c r="AX171" s="1381"/>
      <c r="AY171" s="1381"/>
      <c r="AZ171" s="1381"/>
      <c r="BA171" s="1381"/>
      <c r="BC171" s="1381"/>
      <c r="BE171" s="1381"/>
      <c r="BF171" s="1381"/>
      <c r="BG171" s="1381"/>
    </row>
    <row r="172">
      <c r="R172" s="1381"/>
      <c r="S172" s="1381"/>
      <c r="W172" s="1381"/>
      <c r="X172" s="1381"/>
      <c r="AE172" s="1381"/>
      <c r="AF172" s="1381"/>
      <c r="AV172" s="1381"/>
      <c r="AW172" s="1381"/>
      <c r="AX172" s="1381"/>
      <c r="AY172" s="1381"/>
      <c r="AZ172" s="1381"/>
      <c r="BA172" s="1381"/>
      <c r="BC172" s="1381"/>
      <c r="BE172" s="1381"/>
      <c r="BF172" s="1381"/>
      <c r="BG172" s="1381"/>
    </row>
    <row r="173">
      <c r="R173" s="1381"/>
      <c r="S173" s="1381"/>
      <c r="W173" s="1381"/>
      <c r="X173" s="1381"/>
      <c r="AE173" s="1381"/>
      <c r="AF173" s="1381"/>
      <c r="AV173" s="1381"/>
      <c r="AW173" s="1381"/>
      <c r="AX173" s="1381"/>
      <c r="AY173" s="1381"/>
      <c r="AZ173" s="1381"/>
      <c r="BA173" s="1381"/>
      <c r="BC173" s="1381"/>
      <c r="BE173" s="1381"/>
      <c r="BF173" s="1381"/>
      <c r="BG173" s="1381"/>
    </row>
    <row r="174">
      <c r="R174" s="1381"/>
      <c r="S174" s="1381"/>
      <c r="W174" s="1381"/>
      <c r="X174" s="1381"/>
      <c r="AE174" s="1381"/>
      <c r="AF174" s="1381"/>
      <c r="AV174" s="1381"/>
      <c r="AW174" s="1381"/>
      <c r="AX174" s="1381"/>
      <c r="AY174" s="1381"/>
      <c r="AZ174" s="1381"/>
      <c r="BA174" s="1381"/>
      <c r="BC174" s="1381"/>
      <c r="BE174" s="1381"/>
      <c r="BF174" s="1381"/>
      <c r="BG174" s="1381"/>
    </row>
    <row r="175">
      <c r="R175" s="1381"/>
      <c r="S175" s="1381"/>
      <c r="W175" s="1381"/>
      <c r="X175" s="1381"/>
      <c r="AE175" s="1381"/>
      <c r="AF175" s="1381"/>
      <c r="AV175" s="1381"/>
      <c r="AW175" s="1381"/>
      <c r="AX175" s="1381"/>
      <c r="AY175" s="1381"/>
      <c r="AZ175" s="1381"/>
      <c r="BA175" s="1381"/>
      <c r="BC175" s="1381"/>
      <c r="BE175" s="1381"/>
      <c r="BF175" s="1381"/>
      <c r="BG175" s="1381"/>
    </row>
    <row r="176">
      <c r="R176" s="1381"/>
      <c r="S176" s="1381"/>
      <c r="W176" s="1381"/>
      <c r="X176" s="1381"/>
      <c r="AE176" s="1381"/>
      <c r="AF176" s="1381"/>
      <c r="AV176" s="1381"/>
      <c r="AW176" s="1381"/>
      <c r="AX176" s="1381"/>
      <c r="AY176" s="1381"/>
      <c r="AZ176" s="1381"/>
      <c r="BA176" s="1381"/>
      <c r="BC176" s="1381"/>
      <c r="BE176" s="1381"/>
      <c r="BF176" s="1381"/>
      <c r="BG176" s="1381"/>
    </row>
    <row r="177">
      <c r="R177" s="1381"/>
      <c r="S177" s="1381"/>
      <c r="W177" s="1381"/>
      <c r="X177" s="1381"/>
      <c r="AE177" s="1381"/>
      <c r="AF177" s="1381"/>
      <c r="AV177" s="1381"/>
      <c r="AW177" s="1381"/>
      <c r="AX177" s="1381"/>
      <c r="AY177" s="1381"/>
      <c r="AZ177" s="1381"/>
      <c r="BA177" s="1381"/>
      <c r="BC177" s="1381"/>
      <c r="BE177" s="1381"/>
      <c r="BF177" s="1381"/>
      <c r="BG177" s="1381"/>
    </row>
    <row r="178">
      <c r="R178" s="1381"/>
      <c r="S178" s="1381"/>
      <c r="W178" s="1381"/>
      <c r="X178" s="1381"/>
      <c r="AE178" s="1381"/>
      <c r="AF178" s="1381"/>
      <c r="AV178" s="1381"/>
      <c r="AW178" s="1381"/>
      <c r="AX178" s="1381"/>
      <c r="AY178" s="1381"/>
      <c r="AZ178" s="1381"/>
      <c r="BA178" s="1381"/>
      <c r="BC178" s="1381"/>
      <c r="BE178" s="1381"/>
      <c r="BF178" s="1381"/>
      <c r="BG178" s="1381"/>
    </row>
    <row r="179">
      <c r="R179" s="1381"/>
      <c r="S179" s="1381"/>
      <c r="W179" s="1381"/>
      <c r="X179" s="1381"/>
      <c r="AE179" s="1381"/>
      <c r="AF179" s="1381"/>
      <c r="AV179" s="1381"/>
      <c r="AW179" s="1381"/>
      <c r="AX179" s="1381"/>
      <c r="AY179" s="1381"/>
      <c r="AZ179" s="1381"/>
      <c r="BA179" s="1381"/>
      <c r="BC179" s="1381"/>
      <c r="BE179" s="1381"/>
      <c r="BF179" s="1381"/>
      <c r="BG179" s="1381"/>
    </row>
    <row r="180">
      <c r="R180" s="1381"/>
      <c r="S180" s="1381"/>
      <c r="W180" s="1381"/>
      <c r="X180" s="1381"/>
      <c r="AE180" s="1381"/>
      <c r="AF180" s="1381"/>
      <c r="AV180" s="1381"/>
      <c r="AW180" s="1381"/>
      <c r="AX180" s="1381"/>
      <c r="AY180" s="1381"/>
      <c r="AZ180" s="1381"/>
      <c r="BA180" s="1381"/>
      <c r="BC180" s="1381"/>
      <c r="BE180" s="1381"/>
      <c r="BF180" s="1381"/>
      <c r="BG180" s="1381"/>
    </row>
    <row r="181">
      <c r="R181" s="1381"/>
      <c r="S181" s="1381"/>
      <c r="W181" s="1381"/>
      <c r="X181" s="1381"/>
      <c r="AE181" s="1381"/>
      <c r="AF181" s="1381"/>
      <c r="AV181" s="1381"/>
      <c r="AW181" s="1381"/>
      <c r="AX181" s="1381"/>
      <c r="AY181" s="1381"/>
      <c r="AZ181" s="1381"/>
      <c r="BA181" s="1381"/>
      <c r="BC181" s="1381"/>
      <c r="BE181" s="1381"/>
      <c r="BF181" s="1381"/>
      <c r="BG181" s="1381"/>
    </row>
    <row r="182">
      <c r="R182" s="1381"/>
      <c r="S182" s="1381"/>
      <c r="W182" s="1381"/>
      <c r="X182" s="1381"/>
      <c r="AE182" s="1381"/>
      <c r="AF182" s="1381"/>
      <c r="AV182" s="1381"/>
      <c r="AW182" s="1381"/>
      <c r="AX182" s="1381"/>
      <c r="AY182" s="1381"/>
      <c r="AZ182" s="1381"/>
      <c r="BA182" s="1381"/>
      <c r="BC182" s="1381"/>
      <c r="BE182" s="1381"/>
      <c r="BF182" s="1381"/>
      <c r="BG182" s="1381"/>
    </row>
    <row r="183">
      <c r="R183" s="1381"/>
      <c r="S183" s="1381"/>
      <c r="W183" s="1381"/>
      <c r="X183" s="1381"/>
      <c r="AE183" s="1381"/>
      <c r="AF183" s="1381"/>
      <c r="AV183" s="1381"/>
      <c r="AW183" s="1381"/>
      <c r="AX183" s="1381"/>
      <c r="AY183" s="1381"/>
      <c r="AZ183" s="1381"/>
      <c r="BA183" s="1381"/>
      <c r="BC183" s="1381"/>
      <c r="BE183" s="1381"/>
      <c r="BF183" s="1381"/>
      <c r="BG183" s="1381"/>
    </row>
    <row r="184">
      <c r="R184" s="1381"/>
      <c r="S184" s="1381"/>
      <c r="W184" s="1381"/>
      <c r="X184" s="1381"/>
      <c r="AE184" s="1381"/>
      <c r="AF184" s="1381"/>
      <c r="AV184" s="1381"/>
      <c r="AW184" s="1381"/>
      <c r="AX184" s="1381"/>
      <c r="AY184" s="1381"/>
      <c r="AZ184" s="1381"/>
      <c r="BA184" s="1381"/>
      <c r="BC184" s="1381"/>
      <c r="BE184" s="1381"/>
      <c r="BF184" s="1381"/>
      <c r="BG184" s="1381"/>
    </row>
    <row r="185">
      <c r="R185" s="1381"/>
      <c r="S185" s="1381"/>
      <c r="W185" s="1381"/>
      <c r="X185" s="1381"/>
      <c r="AE185" s="1381"/>
      <c r="AF185" s="1381"/>
      <c r="AV185" s="1381"/>
      <c r="AW185" s="1381"/>
      <c r="AX185" s="1381"/>
      <c r="AY185" s="1381"/>
      <c r="AZ185" s="1381"/>
      <c r="BA185" s="1381"/>
      <c r="BC185" s="1381"/>
      <c r="BE185" s="1381"/>
      <c r="BF185" s="1381"/>
      <c r="BG185" s="1381"/>
    </row>
    <row r="186">
      <c r="R186" s="1381"/>
      <c r="S186" s="1381"/>
      <c r="W186" s="1381"/>
      <c r="X186" s="1381"/>
      <c r="AE186" s="1381"/>
      <c r="AF186" s="1381"/>
      <c r="AV186" s="1381"/>
      <c r="AW186" s="1381"/>
      <c r="AX186" s="1381"/>
      <c r="AY186" s="1381"/>
      <c r="AZ186" s="1381"/>
      <c r="BA186" s="1381"/>
      <c r="BC186" s="1381"/>
      <c r="BE186" s="1381"/>
      <c r="BF186" s="1381"/>
      <c r="BG186" s="1381"/>
    </row>
    <row r="187">
      <c r="R187" s="1381"/>
      <c r="S187" s="1381"/>
      <c r="W187" s="1381"/>
      <c r="X187" s="1381"/>
      <c r="AE187" s="1381"/>
      <c r="AF187" s="1381"/>
      <c r="AV187" s="1381"/>
      <c r="AW187" s="1381"/>
      <c r="AX187" s="1381"/>
      <c r="AY187" s="1381"/>
      <c r="AZ187" s="1381"/>
      <c r="BA187" s="1381"/>
      <c r="BC187" s="1381"/>
      <c r="BE187" s="1381"/>
      <c r="BF187" s="1381"/>
      <c r="BG187" s="1381"/>
    </row>
    <row r="188">
      <c r="R188" s="1381"/>
      <c r="S188" s="1381"/>
      <c r="W188" s="1381"/>
      <c r="X188" s="1381"/>
      <c r="AE188" s="1381"/>
      <c r="AF188" s="1381"/>
      <c r="AV188" s="1381"/>
      <c r="AW188" s="1381"/>
      <c r="AX188" s="1381"/>
      <c r="AY188" s="1381"/>
      <c r="AZ188" s="1381"/>
      <c r="BA188" s="1381"/>
      <c r="BC188" s="1381"/>
      <c r="BE188" s="1381"/>
      <c r="BF188" s="1381"/>
      <c r="BG188" s="1381"/>
    </row>
    <row r="189">
      <c r="R189" s="1381"/>
      <c r="S189" s="1381"/>
      <c r="W189" s="1381"/>
      <c r="X189" s="1381"/>
      <c r="AE189" s="1381"/>
      <c r="AF189" s="1381"/>
      <c r="AV189" s="1381"/>
      <c r="AW189" s="1381"/>
      <c r="AX189" s="1381"/>
      <c r="AY189" s="1381"/>
      <c r="AZ189" s="1381"/>
      <c r="BA189" s="1381"/>
      <c r="BC189" s="1381"/>
      <c r="BE189" s="1381"/>
      <c r="BF189" s="1381"/>
      <c r="BG189" s="1381"/>
    </row>
    <row r="190">
      <c r="R190" s="1381"/>
      <c r="S190" s="1381"/>
      <c r="W190" s="1381"/>
      <c r="X190" s="1381"/>
      <c r="AE190" s="1381"/>
      <c r="AF190" s="1381"/>
      <c r="AV190" s="1381"/>
      <c r="AW190" s="1381"/>
      <c r="AX190" s="1381"/>
      <c r="AY190" s="1381"/>
      <c r="AZ190" s="1381"/>
      <c r="BA190" s="1381"/>
      <c r="BC190" s="1381"/>
      <c r="BE190" s="1381"/>
      <c r="BF190" s="1381"/>
      <c r="BG190" s="1381"/>
    </row>
    <row r="191">
      <c r="R191" s="1381"/>
      <c r="S191" s="1381"/>
      <c r="W191" s="1381"/>
      <c r="X191" s="1381"/>
      <c r="AE191" s="1381"/>
      <c r="AF191" s="1381"/>
      <c r="AV191" s="1381"/>
      <c r="AW191" s="1381"/>
      <c r="AX191" s="1381"/>
      <c r="AY191" s="1381"/>
      <c r="AZ191" s="1381"/>
      <c r="BA191" s="1381"/>
      <c r="BC191" s="1381"/>
      <c r="BE191" s="1381"/>
      <c r="BF191" s="1381"/>
      <c r="BG191" s="1381"/>
    </row>
    <row r="192">
      <c r="R192" s="1381"/>
      <c r="S192" s="1381"/>
      <c r="W192" s="1381"/>
      <c r="X192" s="1381"/>
      <c r="AE192" s="1381"/>
      <c r="AF192" s="1381"/>
      <c r="AV192" s="1381"/>
      <c r="AW192" s="1381"/>
      <c r="AX192" s="1381"/>
      <c r="AY192" s="1381"/>
      <c r="AZ192" s="1381"/>
      <c r="BA192" s="1381"/>
      <c r="BC192" s="1381"/>
      <c r="BE192" s="1381"/>
      <c r="BF192" s="1381"/>
      <c r="BG192" s="1381"/>
    </row>
    <row r="193">
      <c r="R193" s="1381"/>
      <c r="S193" s="1381"/>
      <c r="W193" s="1381"/>
      <c r="X193" s="1381"/>
      <c r="AE193" s="1381"/>
      <c r="AF193" s="1381"/>
      <c r="AV193" s="1381"/>
      <c r="AW193" s="1381"/>
      <c r="AX193" s="1381"/>
      <c r="AY193" s="1381"/>
      <c r="AZ193" s="1381"/>
      <c r="BA193" s="1381"/>
      <c r="BC193" s="1381"/>
      <c r="BE193" s="1381"/>
      <c r="BF193" s="1381"/>
      <c r="BG193" s="1381"/>
    </row>
    <row r="194">
      <c r="R194" s="1381"/>
      <c r="S194" s="1381"/>
      <c r="W194" s="1381"/>
      <c r="X194" s="1381"/>
      <c r="AE194" s="1381"/>
      <c r="AF194" s="1381"/>
      <c r="AV194" s="1381"/>
      <c r="AW194" s="1381"/>
      <c r="AX194" s="1381"/>
      <c r="AY194" s="1381"/>
      <c r="AZ194" s="1381"/>
      <c r="BA194" s="1381"/>
      <c r="BC194" s="1381"/>
      <c r="BE194" s="1381"/>
      <c r="BF194" s="1381"/>
      <c r="BG194" s="1381"/>
    </row>
    <row r="195">
      <c r="R195" s="1381"/>
      <c r="S195" s="1381"/>
      <c r="W195" s="1381"/>
      <c r="X195" s="1381"/>
      <c r="AE195" s="1381"/>
      <c r="AF195" s="1381"/>
      <c r="AV195" s="1381"/>
      <c r="AW195" s="1381"/>
      <c r="AX195" s="1381"/>
      <c r="AY195" s="1381"/>
      <c r="AZ195" s="1381"/>
      <c r="BA195" s="1381"/>
      <c r="BC195" s="1381"/>
      <c r="BE195" s="1381"/>
      <c r="BF195" s="1381"/>
      <c r="BG195" s="1381"/>
    </row>
    <row r="196">
      <c r="R196" s="1381"/>
      <c r="S196" s="1381"/>
      <c r="W196" s="1381"/>
      <c r="X196" s="1381"/>
      <c r="AE196" s="1381"/>
      <c r="AF196" s="1381"/>
      <c r="AV196" s="1381"/>
      <c r="AW196" s="1381"/>
      <c r="AX196" s="1381"/>
      <c r="AY196" s="1381"/>
      <c r="AZ196" s="1381"/>
      <c r="BA196" s="1381"/>
      <c r="BC196" s="1381"/>
      <c r="BE196" s="1381"/>
      <c r="BF196" s="1381"/>
      <c r="BG196" s="1381"/>
    </row>
    <row r="197">
      <c r="R197" s="1381"/>
      <c r="S197" s="1381"/>
      <c r="W197" s="1381"/>
      <c r="X197" s="1381"/>
      <c r="AE197" s="1381"/>
      <c r="AF197" s="1381"/>
      <c r="AV197" s="1381"/>
      <c r="AW197" s="1381"/>
      <c r="AX197" s="1381"/>
      <c r="AY197" s="1381"/>
      <c r="AZ197" s="1381"/>
      <c r="BA197" s="1381"/>
      <c r="BC197" s="1381"/>
      <c r="BE197" s="1381"/>
      <c r="BF197" s="1381"/>
      <c r="BG197" s="1381"/>
    </row>
    <row r="198">
      <c r="R198" s="1381"/>
      <c r="S198" s="1381"/>
      <c r="W198" s="1381"/>
      <c r="X198" s="1381"/>
      <c r="AE198" s="1381"/>
      <c r="AF198" s="1381"/>
      <c r="AV198" s="1381"/>
      <c r="AW198" s="1381"/>
      <c r="AX198" s="1381"/>
      <c r="AY198" s="1381"/>
      <c r="AZ198" s="1381"/>
      <c r="BA198" s="1381"/>
      <c r="BC198" s="1381"/>
      <c r="BE198" s="1381"/>
      <c r="BF198" s="1381"/>
      <c r="BG198" s="1381"/>
    </row>
    <row r="199">
      <c r="R199" s="1381"/>
      <c r="S199" s="1381"/>
      <c r="W199" s="1381"/>
      <c r="X199" s="1381"/>
      <c r="AE199" s="1381"/>
      <c r="AF199" s="1381"/>
      <c r="AV199" s="1381"/>
      <c r="AW199" s="1381"/>
      <c r="AX199" s="1381"/>
      <c r="AY199" s="1381"/>
      <c r="AZ199" s="1381"/>
      <c r="BA199" s="1381"/>
      <c r="BC199" s="1381"/>
      <c r="BE199" s="1381"/>
      <c r="BF199" s="1381"/>
      <c r="BG199" s="1381"/>
    </row>
    <row r="200">
      <c r="R200" s="1381"/>
      <c r="S200" s="1381"/>
      <c r="W200" s="1381"/>
      <c r="X200" s="1381"/>
      <c r="AE200" s="1381"/>
      <c r="AF200" s="1381"/>
      <c r="AV200" s="1381"/>
      <c r="AW200" s="1381"/>
      <c r="AX200" s="1381"/>
      <c r="AY200" s="1381"/>
      <c r="AZ200" s="1381"/>
      <c r="BA200" s="1381"/>
      <c r="BC200" s="1381"/>
      <c r="BE200" s="1381"/>
      <c r="BF200" s="1381"/>
      <c r="BG200" s="1381"/>
    </row>
    <row r="201">
      <c r="R201" s="1381"/>
      <c r="S201" s="1381"/>
      <c r="W201" s="1381"/>
      <c r="X201" s="1381"/>
      <c r="AE201" s="1381"/>
      <c r="AF201" s="1381"/>
      <c r="AV201" s="1381"/>
      <c r="AW201" s="1381"/>
      <c r="AX201" s="1381"/>
      <c r="AY201" s="1381"/>
      <c r="AZ201" s="1381"/>
      <c r="BA201" s="1381"/>
      <c r="BC201" s="1381"/>
      <c r="BE201" s="1381"/>
      <c r="BF201" s="1381"/>
      <c r="BG201" s="1381"/>
    </row>
    <row r="202">
      <c r="R202" s="1381"/>
      <c r="S202" s="1381"/>
      <c r="W202" s="1381"/>
      <c r="X202" s="1381"/>
      <c r="AE202" s="1381"/>
      <c r="AF202" s="1381"/>
      <c r="AV202" s="1381"/>
      <c r="AW202" s="1381"/>
      <c r="AX202" s="1381"/>
      <c r="AY202" s="1381"/>
      <c r="AZ202" s="1381"/>
      <c r="BA202" s="1381"/>
      <c r="BC202" s="1381"/>
      <c r="BE202" s="1381"/>
      <c r="BF202" s="1381"/>
      <c r="BG202" s="1381"/>
    </row>
    <row r="203">
      <c r="R203" s="1381"/>
      <c r="S203" s="1381"/>
      <c r="W203" s="1381"/>
      <c r="X203" s="1381"/>
      <c r="AE203" s="1381"/>
      <c r="AF203" s="1381"/>
      <c r="AV203" s="1381"/>
      <c r="AW203" s="1381"/>
      <c r="AX203" s="1381"/>
      <c r="AY203" s="1381"/>
      <c r="AZ203" s="1381"/>
      <c r="BA203" s="1381"/>
      <c r="BC203" s="1381"/>
      <c r="BE203" s="1381"/>
      <c r="BF203" s="1381"/>
      <c r="BG203" s="1381"/>
    </row>
    <row r="204">
      <c r="R204" s="1381"/>
      <c r="S204" s="1381"/>
      <c r="W204" s="1381"/>
      <c r="X204" s="1381"/>
      <c r="AE204" s="1381"/>
      <c r="AF204" s="1381"/>
      <c r="AV204" s="1381"/>
      <c r="AW204" s="1381"/>
      <c r="AX204" s="1381"/>
      <c r="AY204" s="1381"/>
      <c r="AZ204" s="1381"/>
      <c r="BA204" s="1381"/>
      <c r="BC204" s="1381"/>
      <c r="BE204" s="1381"/>
      <c r="BF204" s="1381"/>
      <c r="BG204" s="1381"/>
    </row>
    <row r="205">
      <c r="R205" s="1381"/>
      <c r="S205" s="1381"/>
      <c r="W205" s="1381"/>
      <c r="X205" s="1381"/>
      <c r="AE205" s="1381"/>
      <c r="AF205" s="1381"/>
      <c r="AV205" s="1381"/>
      <c r="AW205" s="1381"/>
      <c r="AX205" s="1381"/>
      <c r="AY205" s="1381"/>
      <c r="AZ205" s="1381"/>
      <c r="BA205" s="1381"/>
      <c r="BC205" s="1381"/>
      <c r="BE205" s="1381"/>
      <c r="BF205" s="1381"/>
      <c r="BG205" s="1381"/>
    </row>
    <row r="206">
      <c r="R206" s="1381"/>
      <c r="S206" s="1381"/>
      <c r="W206" s="1381"/>
      <c r="X206" s="1381"/>
      <c r="AE206" s="1381"/>
      <c r="AF206" s="1381"/>
      <c r="AV206" s="1381"/>
      <c r="AW206" s="1381"/>
      <c r="AX206" s="1381"/>
      <c r="AY206" s="1381"/>
      <c r="AZ206" s="1381"/>
      <c r="BA206" s="1381"/>
      <c r="BC206" s="1381"/>
      <c r="BE206" s="1381"/>
      <c r="BF206" s="1381"/>
      <c r="BG206" s="1381"/>
    </row>
    <row r="207">
      <c r="R207" s="1381"/>
      <c r="S207" s="1381"/>
      <c r="W207" s="1381"/>
      <c r="X207" s="1381"/>
      <c r="AE207" s="1381"/>
      <c r="AF207" s="1381"/>
      <c r="AV207" s="1381"/>
      <c r="AW207" s="1381"/>
      <c r="AX207" s="1381"/>
      <c r="AY207" s="1381"/>
      <c r="AZ207" s="1381"/>
      <c r="BA207" s="1381"/>
      <c r="BC207" s="1381"/>
      <c r="BE207" s="1381"/>
      <c r="BF207" s="1381"/>
      <c r="BG207" s="1381"/>
    </row>
    <row r="208">
      <c r="R208" s="1381"/>
      <c r="S208" s="1381"/>
      <c r="W208" s="1381"/>
      <c r="X208" s="1381"/>
      <c r="AE208" s="1381"/>
      <c r="AF208" s="1381"/>
      <c r="AV208" s="1381"/>
      <c r="AW208" s="1381"/>
      <c r="AX208" s="1381"/>
      <c r="AY208" s="1381"/>
      <c r="AZ208" s="1381"/>
      <c r="BA208" s="1381"/>
      <c r="BC208" s="1381"/>
      <c r="BE208" s="1381"/>
      <c r="BF208" s="1381"/>
      <c r="BG208" s="1381"/>
    </row>
    <row r="209">
      <c r="R209" s="1381"/>
      <c r="S209" s="1381"/>
      <c r="W209" s="1381"/>
      <c r="X209" s="1381"/>
      <c r="AE209" s="1381"/>
      <c r="AF209" s="1381"/>
      <c r="AV209" s="1381"/>
      <c r="AW209" s="1381"/>
      <c r="AX209" s="1381"/>
      <c r="AY209" s="1381"/>
      <c r="AZ209" s="1381"/>
      <c r="BA209" s="1381"/>
      <c r="BC209" s="1381"/>
      <c r="BE209" s="1381"/>
      <c r="BF209" s="1381"/>
      <c r="BG209" s="1381"/>
    </row>
    <row r="210">
      <c r="R210" s="1381"/>
      <c r="S210" s="1381"/>
      <c r="W210" s="1381"/>
      <c r="X210" s="1381"/>
      <c r="AE210" s="1381"/>
      <c r="AF210" s="1381"/>
      <c r="AV210" s="1381"/>
      <c r="AW210" s="1381"/>
      <c r="AX210" s="1381"/>
      <c r="AY210" s="1381"/>
      <c r="AZ210" s="1381"/>
      <c r="BA210" s="1381"/>
      <c r="BC210" s="1381"/>
      <c r="BE210" s="1381"/>
      <c r="BF210" s="1381"/>
      <c r="BG210" s="1381"/>
    </row>
    <row r="211">
      <c r="R211" s="1381"/>
      <c r="S211" s="1381"/>
      <c r="W211" s="1381"/>
      <c r="X211" s="1381"/>
      <c r="AE211" s="1381"/>
      <c r="AF211" s="1381"/>
      <c r="AV211" s="1381"/>
      <c r="AW211" s="1381"/>
      <c r="AX211" s="1381"/>
      <c r="AY211" s="1381"/>
      <c r="AZ211" s="1381"/>
      <c r="BA211" s="1381"/>
      <c r="BC211" s="1381"/>
      <c r="BE211" s="1381"/>
      <c r="BF211" s="1381"/>
      <c r="BG211" s="1381"/>
    </row>
    <row r="212">
      <c r="R212" s="1381"/>
      <c r="S212" s="1381"/>
      <c r="W212" s="1381"/>
      <c r="X212" s="1381"/>
      <c r="AE212" s="1381"/>
      <c r="AF212" s="1381"/>
      <c r="AV212" s="1381"/>
      <c r="AW212" s="1381"/>
      <c r="AX212" s="1381"/>
      <c r="AY212" s="1381"/>
      <c r="AZ212" s="1381"/>
      <c r="BA212" s="1381"/>
      <c r="BC212" s="1381"/>
      <c r="BE212" s="1381"/>
      <c r="BF212" s="1381"/>
      <c r="BG212" s="1381"/>
    </row>
    <row r="213">
      <c r="R213" s="1381"/>
      <c r="S213" s="1381"/>
      <c r="W213" s="1381"/>
      <c r="X213" s="1381"/>
      <c r="AE213" s="1381"/>
      <c r="AF213" s="1381"/>
      <c r="AV213" s="1381"/>
      <c r="AW213" s="1381"/>
      <c r="AX213" s="1381"/>
      <c r="AY213" s="1381"/>
      <c r="AZ213" s="1381"/>
      <c r="BA213" s="1381"/>
      <c r="BC213" s="1381"/>
      <c r="BE213" s="1381"/>
      <c r="BF213" s="1381"/>
      <c r="BG213" s="1381"/>
    </row>
    <row r="214">
      <c r="R214" s="1381"/>
      <c r="S214" s="1381"/>
      <c r="W214" s="1381"/>
      <c r="X214" s="1381"/>
      <c r="AE214" s="1381"/>
      <c r="AF214" s="1381"/>
      <c r="AV214" s="1381"/>
      <c r="AW214" s="1381"/>
      <c r="AX214" s="1381"/>
      <c r="AY214" s="1381"/>
      <c r="AZ214" s="1381"/>
      <c r="BA214" s="1381"/>
      <c r="BC214" s="1381"/>
      <c r="BE214" s="1381"/>
      <c r="BF214" s="1381"/>
      <c r="BG214" s="1381"/>
    </row>
    <row r="215">
      <c r="R215" s="1381"/>
      <c r="S215" s="1381"/>
      <c r="W215" s="1381"/>
      <c r="X215" s="1381"/>
      <c r="AE215" s="1381"/>
      <c r="AF215" s="1381"/>
      <c r="AV215" s="1381"/>
      <c r="AW215" s="1381"/>
      <c r="AX215" s="1381"/>
      <c r="AY215" s="1381"/>
      <c r="AZ215" s="1381"/>
      <c r="BA215" s="1381"/>
      <c r="BC215" s="1381"/>
      <c r="BE215" s="1381"/>
      <c r="BF215" s="1381"/>
      <c r="BG215" s="1381"/>
    </row>
    <row r="216">
      <c r="R216" s="1381"/>
      <c r="S216" s="1381"/>
      <c r="W216" s="1381"/>
      <c r="X216" s="1381"/>
      <c r="AE216" s="1381"/>
      <c r="AF216" s="1381"/>
      <c r="AV216" s="1381"/>
      <c r="AW216" s="1381"/>
      <c r="AX216" s="1381"/>
      <c r="AY216" s="1381"/>
      <c r="AZ216" s="1381"/>
      <c r="BA216" s="1381"/>
      <c r="BC216" s="1381"/>
      <c r="BE216" s="1381"/>
      <c r="BF216" s="1381"/>
      <c r="BG216" s="1381"/>
    </row>
    <row r="217">
      <c r="R217" s="1381"/>
      <c r="S217" s="1381"/>
      <c r="W217" s="1381"/>
      <c r="X217" s="1381"/>
      <c r="AE217" s="1381"/>
      <c r="AF217" s="1381"/>
      <c r="AV217" s="1381"/>
      <c r="AW217" s="1381"/>
      <c r="AX217" s="1381"/>
      <c r="AY217" s="1381"/>
      <c r="AZ217" s="1381"/>
      <c r="BA217" s="1381"/>
      <c r="BC217" s="1381"/>
      <c r="BE217" s="1381"/>
      <c r="BF217" s="1381"/>
      <c r="BG217" s="1381"/>
    </row>
    <row r="218">
      <c r="R218" s="1381"/>
      <c r="S218" s="1381"/>
      <c r="W218" s="1381"/>
      <c r="X218" s="1381"/>
      <c r="AE218" s="1381"/>
      <c r="AF218" s="1381"/>
      <c r="AV218" s="1381"/>
      <c r="AW218" s="1381"/>
      <c r="AX218" s="1381"/>
      <c r="AY218" s="1381"/>
      <c r="AZ218" s="1381"/>
      <c r="BA218" s="1381"/>
      <c r="BC218" s="1381"/>
      <c r="BE218" s="1381"/>
      <c r="BF218" s="1381"/>
      <c r="BG218" s="1381"/>
    </row>
    <row r="219">
      <c r="R219" s="1381"/>
      <c r="S219" s="1381"/>
      <c r="W219" s="1381"/>
      <c r="X219" s="1381"/>
      <c r="AE219" s="1381"/>
      <c r="AF219" s="1381"/>
      <c r="AV219" s="1381"/>
      <c r="AW219" s="1381"/>
      <c r="AX219" s="1381"/>
      <c r="AY219" s="1381"/>
      <c r="AZ219" s="1381"/>
      <c r="BA219" s="1381"/>
      <c r="BC219" s="1381"/>
      <c r="BE219" s="1381"/>
      <c r="BF219" s="1381"/>
      <c r="BG219" s="1381"/>
    </row>
    <row r="220">
      <c r="R220" s="1381"/>
      <c r="S220" s="1381"/>
      <c r="W220" s="1381"/>
      <c r="X220" s="1381"/>
      <c r="AE220" s="1381"/>
      <c r="AF220" s="1381"/>
      <c r="AV220" s="1381"/>
      <c r="AW220" s="1381"/>
      <c r="AX220" s="1381"/>
      <c r="AY220" s="1381"/>
      <c r="AZ220" s="1381"/>
      <c r="BA220" s="1381"/>
      <c r="BC220" s="1381"/>
      <c r="BE220" s="1381"/>
      <c r="BF220" s="1381"/>
      <c r="BG220" s="1381"/>
    </row>
    <row r="221">
      <c r="R221" s="1381"/>
      <c r="S221" s="1381"/>
      <c r="W221" s="1381"/>
      <c r="X221" s="1381"/>
      <c r="AE221" s="1381"/>
      <c r="AF221" s="1381"/>
      <c r="AV221" s="1381"/>
      <c r="AW221" s="1381"/>
      <c r="AX221" s="1381"/>
      <c r="AY221" s="1381"/>
      <c r="AZ221" s="1381"/>
      <c r="BA221" s="1381"/>
      <c r="BC221" s="1381"/>
      <c r="BE221" s="1381"/>
      <c r="BF221" s="1381"/>
      <c r="BG221" s="1381"/>
    </row>
    <row r="222">
      <c r="R222" s="1381"/>
      <c r="S222" s="1381"/>
      <c r="W222" s="1381"/>
      <c r="X222" s="1381"/>
      <c r="AE222" s="1381"/>
      <c r="AF222" s="1381"/>
      <c r="AV222" s="1381"/>
      <c r="AW222" s="1381"/>
      <c r="AX222" s="1381"/>
      <c r="AY222" s="1381"/>
      <c r="AZ222" s="1381"/>
      <c r="BA222" s="1381"/>
      <c r="BC222" s="1381"/>
      <c r="BE222" s="1381"/>
      <c r="BF222" s="1381"/>
      <c r="BG222" s="1381"/>
    </row>
    <row r="223">
      <c r="R223" s="1381"/>
      <c r="S223" s="1381"/>
      <c r="W223" s="1381"/>
      <c r="X223" s="1381"/>
      <c r="AE223" s="1381"/>
      <c r="AF223" s="1381"/>
      <c r="AV223" s="1381"/>
      <c r="AW223" s="1381"/>
      <c r="AX223" s="1381"/>
      <c r="AY223" s="1381"/>
      <c r="AZ223" s="1381"/>
      <c r="BA223" s="1381"/>
      <c r="BC223" s="1381"/>
      <c r="BE223" s="1381"/>
      <c r="BF223" s="1381"/>
      <c r="BG223" s="1381"/>
    </row>
    <row r="224">
      <c r="R224" s="1381"/>
      <c r="S224" s="1381"/>
      <c r="W224" s="1381"/>
      <c r="X224" s="1381"/>
      <c r="AE224" s="1381"/>
      <c r="AF224" s="1381"/>
      <c r="AV224" s="1381"/>
      <c r="AW224" s="1381"/>
      <c r="AX224" s="1381"/>
      <c r="AY224" s="1381"/>
      <c r="AZ224" s="1381"/>
      <c r="BA224" s="1381"/>
      <c r="BC224" s="1381"/>
      <c r="BE224" s="1381"/>
      <c r="BF224" s="1381"/>
      <c r="BG224" s="1381"/>
    </row>
    <row r="225">
      <c r="R225" s="1381"/>
      <c r="S225" s="1381"/>
      <c r="W225" s="1381"/>
      <c r="X225" s="1381"/>
      <c r="AE225" s="1381"/>
      <c r="AF225" s="1381"/>
      <c r="AV225" s="1381"/>
      <c r="AW225" s="1381"/>
      <c r="AX225" s="1381"/>
      <c r="AY225" s="1381"/>
      <c r="AZ225" s="1381"/>
      <c r="BA225" s="1381"/>
      <c r="BC225" s="1381"/>
      <c r="BE225" s="1381"/>
      <c r="BF225" s="1381"/>
      <c r="BG225" s="1381"/>
    </row>
    <row r="226">
      <c r="R226" s="1381"/>
      <c r="S226" s="1381"/>
      <c r="W226" s="1381"/>
      <c r="X226" s="1381"/>
      <c r="AE226" s="1381"/>
      <c r="AF226" s="1381"/>
      <c r="AV226" s="1381"/>
      <c r="AW226" s="1381"/>
      <c r="AX226" s="1381"/>
      <c r="AY226" s="1381"/>
      <c r="AZ226" s="1381"/>
      <c r="BA226" s="1381"/>
      <c r="BC226" s="1381"/>
      <c r="BE226" s="1381"/>
      <c r="BF226" s="1381"/>
      <c r="BG226" s="1381"/>
    </row>
    <row r="227">
      <c r="R227" s="1381"/>
      <c r="S227" s="1381"/>
      <c r="W227" s="1381"/>
      <c r="X227" s="1381"/>
      <c r="AE227" s="1381"/>
      <c r="AF227" s="1381"/>
      <c r="AV227" s="1381"/>
      <c r="AW227" s="1381"/>
      <c r="AX227" s="1381"/>
      <c r="AY227" s="1381"/>
      <c r="AZ227" s="1381"/>
      <c r="BA227" s="1381"/>
      <c r="BC227" s="1381"/>
      <c r="BE227" s="1381"/>
      <c r="BF227" s="1381"/>
      <c r="BG227" s="1381"/>
    </row>
    <row r="228">
      <c r="R228" s="1381"/>
      <c r="S228" s="1381"/>
      <c r="W228" s="1381"/>
      <c r="X228" s="1381"/>
      <c r="AE228" s="1381"/>
      <c r="AF228" s="1381"/>
      <c r="AV228" s="1381"/>
      <c r="AW228" s="1381"/>
      <c r="AX228" s="1381"/>
      <c r="AY228" s="1381"/>
      <c r="AZ228" s="1381"/>
      <c r="BA228" s="1381"/>
      <c r="BC228" s="1381"/>
      <c r="BE228" s="1381"/>
      <c r="BF228" s="1381"/>
      <c r="BG228" s="1381"/>
    </row>
    <row r="229">
      <c r="R229" s="1381"/>
      <c r="S229" s="1381"/>
      <c r="W229" s="1381"/>
      <c r="X229" s="1381"/>
      <c r="AE229" s="1381"/>
      <c r="AF229" s="1381"/>
      <c r="AV229" s="1381"/>
      <c r="AW229" s="1381"/>
      <c r="AX229" s="1381"/>
      <c r="AY229" s="1381"/>
      <c r="AZ229" s="1381"/>
      <c r="BA229" s="1381"/>
      <c r="BC229" s="1381"/>
      <c r="BE229" s="1381"/>
      <c r="BF229" s="1381"/>
      <c r="BG229" s="1381"/>
    </row>
    <row r="230">
      <c r="R230" s="1381"/>
      <c r="S230" s="1381"/>
      <c r="W230" s="1381"/>
      <c r="X230" s="1381"/>
      <c r="AE230" s="1381"/>
      <c r="AF230" s="1381"/>
      <c r="AV230" s="1381"/>
      <c r="AW230" s="1381"/>
      <c r="AX230" s="1381"/>
      <c r="AY230" s="1381"/>
      <c r="AZ230" s="1381"/>
      <c r="BA230" s="1381"/>
      <c r="BC230" s="1381"/>
      <c r="BE230" s="1381"/>
      <c r="BF230" s="1381"/>
      <c r="BG230" s="1381"/>
    </row>
    <row r="231">
      <c r="R231" s="1381"/>
      <c r="S231" s="1381"/>
      <c r="W231" s="1381"/>
      <c r="X231" s="1381"/>
      <c r="AE231" s="1381"/>
      <c r="AF231" s="1381"/>
      <c r="AV231" s="1381"/>
      <c r="AW231" s="1381"/>
      <c r="AX231" s="1381"/>
      <c r="AY231" s="1381"/>
      <c r="AZ231" s="1381"/>
      <c r="BA231" s="1381"/>
      <c r="BC231" s="1381"/>
      <c r="BE231" s="1381"/>
      <c r="BF231" s="1381"/>
      <c r="BG231" s="1381"/>
    </row>
    <row r="232">
      <c r="R232" s="1381"/>
      <c r="S232" s="1381"/>
      <c r="W232" s="1381"/>
      <c r="X232" s="1381"/>
      <c r="AE232" s="1381"/>
      <c r="AF232" s="1381"/>
      <c r="AV232" s="1381"/>
      <c r="AW232" s="1381"/>
      <c r="AX232" s="1381"/>
      <c r="AY232" s="1381"/>
      <c r="AZ232" s="1381"/>
      <c r="BA232" s="1381"/>
      <c r="BC232" s="1381"/>
      <c r="BE232" s="1381"/>
      <c r="BF232" s="1381"/>
      <c r="BG232" s="1381"/>
    </row>
    <row r="233">
      <c r="R233" s="1381"/>
      <c r="S233" s="1381"/>
      <c r="W233" s="1381"/>
      <c r="X233" s="1381"/>
      <c r="AE233" s="1381"/>
      <c r="AF233" s="1381"/>
      <c r="AV233" s="1381"/>
      <c r="AW233" s="1381"/>
      <c r="AX233" s="1381"/>
      <c r="AY233" s="1381"/>
      <c r="AZ233" s="1381"/>
      <c r="BA233" s="1381"/>
      <c r="BC233" s="1381"/>
      <c r="BE233" s="1381"/>
      <c r="BF233" s="1381"/>
      <c r="BG233" s="1381"/>
    </row>
    <row r="234">
      <c r="R234" s="1381"/>
      <c r="S234" s="1381"/>
      <c r="W234" s="1381"/>
      <c r="X234" s="1381"/>
      <c r="AE234" s="1381"/>
      <c r="AF234" s="1381"/>
      <c r="AV234" s="1381"/>
      <c r="AW234" s="1381"/>
      <c r="AX234" s="1381"/>
      <c r="AY234" s="1381"/>
      <c r="AZ234" s="1381"/>
      <c r="BA234" s="1381"/>
      <c r="BC234" s="1381"/>
      <c r="BE234" s="1381"/>
      <c r="BF234" s="1381"/>
      <c r="BG234" s="1381"/>
    </row>
    <row r="235">
      <c r="R235" s="1381"/>
      <c r="S235" s="1381"/>
      <c r="W235" s="1381"/>
      <c r="X235" s="1381"/>
      <c r="AE235" s="1381"/>
      <c r="AF235" s="1381"/>
      <c r="AV235" s="1381"/>
      <c r="AW235" s="1381"/>
      <c r="AX235" s="1381"/>
      <c r="AY235" s="1381"/>
      <c r="AZ235" s="1381"/>
      <c r="BA235" s="1381"/>
      <c r="BC235" s="1381"/>
      <c r="BE235" s="1381"/>
      <c r="BF235" s="1381"/>
      <c r="BG235" s="1381"/>
    </row>
    <row r="236">
      <c r="R236" s="1381"/>
      <c r="S236" s="1381"/>
      <c r="W236" s="1381"/>
      <c r="X236" s="1381"/>
      <c r="AE236" s="1381"/>
      <c r="AF236" s="1381"/>
      <c r="AV236" s="1381"/>
      <c r="AW236" s="1381"/>
      <c r="AX236" s="1381"/>
      <c r="AY236" s="1381"/>
      <c r="AZ236" s="1381"/>
      <c r="BA236" s="1381"/>
      <c r="BC236" s="1381"/>
      <c r="BE236" s="1381"/>
      <c r="BF236" s="1381"/>
      <c r="BG236" s="1381"/>
    </row>
    <row r="237">
      <c r="R237" s="1381"/>
      <c r="S237" s="1381"/>
      <c r="W237" s="1381"/>
      <c r="X237" s="1381"/>
      <c r="AE237" s="1381"/>
      <c r="AF237" s="1381"/>
      <c r="AV237" s="1381"/>
      <c r="AW237" s="1381"/>
      <c r="AX237" s="1381"/>
      <c r="AY237" s="1381"/>
      <c r="AZ237" s="1381"/>
      <c r="BA237" s="1381"/>
      <c r="BC237" s="1381"/>
      <c r="BE237" s="1381"/>
      <c r="BF237" s="1381"/>
      <c r="BG237" s="1381"/>
    </row>
    <row r="238">
      <c r="R238" s="1381"/>
      <c r="S238" s="1381"/>
      <c r="W238" s="1381"/>
      <c r="X238" s="1381"/>
      <c r="AE238" s="1381"/>
      <c r="AF238" s="1381"/>
      <c r="AV238" s="1381"/>
      <c r="AW238" s="1381"/>
      <c r="AX238" s="1381"/>
      <c r="AY238" s="1381"/>
      <c r="AZ238" s="1381"/>
      <c r="BA238" s="1381"/>
      <c r="BC238" s="1381"/>
      <c r="BE238" s="1381"/>
      <c r="BF238" s="1381"/>
      <c r="BG238" s="1381"/>
    </row>
    <row r="239">
      <c r="R239" s="1381"/>
      <c r="S239" s="1381"/>
      <c r="W239" s="1381"/>
      <c r="X239" s="1381"/>
      <c r="AE239" s="1381"/>
      <c r="AF239" s="1381"/>
      <c r="AV239" s="1381"/>
      <c r="AW239" s="1381"/>
      <c r="AX239" s="1381"/>
      <c r="AY239" s="1381"/>
      <c r="AZ239" s="1381"/>
      <c r="BA239" s="1381"/>
      <c r="BC239" s="1381"/>
      <c r="BE239" s="1381"/>
      <c r="BF239" s="1381"/>
      <c r="BG239" s="1381"/>
    </row>
    <row r="240">
      <c r="R240" s="1381"/>
      <c r="S240" s="1381"/>
      <c r="W240" s="1381"/>
      <c r="X240" s="1381"/>
      <c r="AE240" s="1381"/>
      <c r="AF240" s="1381"/>
      <c r="AV240" s="1381"/>
      <c r="AW240" s="1381"/>
      <c r="AX240" s="1381"/>
      <c r="AY240" s="1381"/>
      <c r="AZ240" s="1381"/>
      <c r="BA240" s="1381"/>
      <c r="BC240" s="1381"/>
      <c r="BE240" s="1381"/>
      <c r="BF240" s="1381"/>
      <c r="BG240" s="1381"/>
    </row>
    <row r="241">
      <c r="R241" s="1381"/>
      <c r="S241" s="1381"/>
      <c r="W241" s="1381"/>
      <c r="X241" s="1381"/>
      <c r="AE241" s="1381"/>
      <c r="AF241" s="1381"/>
      <c r="AV241" s="1381"/>
      <c r="AW241" s="1381"/>
      <c r="AX241" s="1381"/>
      <c r="AY241" s="1381"/>
      <c r="AZ241" s="1381"/>
      <c r="BA241" s="1381"/>
      <c r="BC241" s="1381"/>
      <c r="BE241" s="1381"/>
      <c r="BF241" s="1381"/>
      <c r="BG241" s="1381"/>
    </row>
    <row r="242">
      <c r="R242" s="1381"/>
      <c r="S242" s="1381"/>
      <c r="W242" s="1381"/>
      <c r="X242" s="1381"/>
      <c r="AE242" s="1381"/>
      <c r="AF242" s="1381"/>
      <c r="AV242" s="1381"/>
      <c r="AW242" s="1381"/>
      <c r="AX242" s="1381"/>
      <c r="AY242" s="1381"/>
      <c r="AZ242" s="1381"/>
      <c r="BA242" s="1381"/>
      <c r="BC242" s="1381"/>
      <c r="BE242" s="1381"/>
      <c r="BF242" s="1381"/>
      <c r="BG242" s="1381"/>
    </row>
    <row r="243">
      <c r="R243" s="1381"/>
      <c r="S243" s="1381"/>
      <c r="W243" s="1381"/>
      <c r="X243" s="1381"/>
      <c r="AE243" s="1381"/>
      <c r="AF243" s="1381"/>
      <c r="AV243" s="1381"/>
      <c r="AW243" s="1381"/>
      <c r="AX243" s="1381"/>
      <c r="AY243" s="1381"/>
      <c r="AZ243" s="1381"/>
      <c r="BA243" s="1381"/>
      <c r="BC243" s="1381"/>
      <c r="BE243" s="1381"/>
      <c r="BF243" s="1381"/>
      <c r="BG243" s="1381"/>
    </row>
    <row r="244">
      <c r="R244" s="1381"/>
      <c r="S244" s="1381"/>
      <c r="W244" s="1381"/>
      <c r="X244" s="1381"/>
      <c r="AE244" s="1381"/>
      <c r="AF244" s="1381"/>
      <c r="AV244" s="1381"/>
      <c r="AW244" s="1381"/>
      <c r="AX244" s="1381"/>
      <c r="AY244" s="1381"/>
      <c r="AZ244" s="1381"/>
      <c r="BA244" s="1381"/>
      <c r="BC244" s="1381"/>
      <c r="BE244" s="1381"/>
      <c r="BF244" s="1381"/>
      <c r="BG244" s="1381"/>
    </row>
    <row r="245">
      <c r="R245" s="1381"/>
      <c r="S245" s="1381"/>
      <c r="W245" s="1381"/>
      <c r="X245" s="1381"/>
      <c r="AE245" s="1381"/>
      <c r="AF245" s="1381"/>
      <c r="AV245" s="1381"/>
      <c r="AW245" s="1381"/>
      <c r="AX245" s="1381"/>
      <c r="AY245" s="1381"/>
      <c r="AZ245" s="1381"/>
      <c r="BA245" s="1381"/>
      <c r="BC245" s="1381"/>
      <c r="BE245" s="1381"/>
      <c r="BF245" s="1381"/>
      <c r="BG245" s="1381"/>
    </row>
    <row r="246">
      <c r="R246" s="1381"/>
      <c r="S246" s="1381"/>
      <c r="W246" s="1381"/>
      <c r="X246" s="1381"/>
      <c r="AE246" s="1381"/>
      <c r="AF246" s="1381"/>
      <c r="AV246" s="1381"/>
      <c r="AW246" s="1381"/>
      <c r="AX246" s="1381"/>
      <c r="AY246" s="1381"/>
      <c r="AZ246" s="1381"/>
      <c r="BA246" s="1381"/>
      <c r="BC246" s="1381"/>
      <c r="BE246" s="1381"/>
      <c r="BF246" s="1381"/>
      <c r="BG246" s="1381"/>
    </row>
    <row r="247">
      <c r="R247" s="1381"/>
      <c r="S247" s="1381"/>
      <c r="W247" s="1381"/>
      <c r="X247" s="1381"/>
      <c r="AE247" s="1381"/>
      <c r="AF247" s="1381"/>
      <c r="AV247" s="1381"/>
      <c r="AW247" s="1381"/>
      <c r="AX247" s="1381"/>
      <c r="AY247" s="1381"/>
      <c r="AZ247" s="1381"/>
      <c r="BA247" s="1381"/>
      <c r="BC247" s="1381"/>
      <c r="BE247" s="1381"/>
      <c r="BF247" s="1381"/>
      <c r="BG247" s="1381"/>
    </row>
    <row r="248">
      <c r="R248" s="1381"/>
      <c r="S248" s="1381"/>
      <c r="W248" s="1381"/>
      <c r="X248" s="1381"/>
      <c r="AE248" s="1381"/>
      <c r="AF248" s="1381"/>
      <c r="AV248" s="1381"/>
      <c r="AW248" s="1381"/>
      <c r="AX248" s="1381"/>
      <c r="AY248" s="1381"/>
      <c r="AZ248" s="1381"/>
      <c r="BA248" s="1381"/>
      <c r="BC248" s="1381"/>
      <c r="BE248" s="1381"/>
      <c r="BF248" s="1381"/>
      <c r="BG248" s="1381"/>
    </row>
    <row r="249">
      <c r="R249" s="1381"/>
      <c r="S249" s="1381"/>
      <c r="W249" s="1381"/>
      <c r="X249" s="1381"/>
      <c r="AE249" s="1381"/>
      <c r="AF249" s="1381"/>
      <c r="AV249" s="1381"/>
      <c r="AW249" s="1381"/>
      <c r="AX249" s="1381"/>
      <c r="AY249" s="1381"/>
      <c r="AZ249" s="1381"/>
      <c r="BA249" s="1381"/>
      <c r="BC249" s="1381"/>
      <c r="BE249" s="1381"/>
      <c r="BF249" s="1381"/>
      <c r="BG249" s="1381"/>
    </row>
    <row r="250">
      <c r="R250" s="1381"/>
      <c r="S250" s="1381"/>
      <c r="W250" s="1381"/>
      <c r="X250" s="1381"/>
      <c r="AE250" s="1381"/>
      <c r="AF250" s="1381"/>
      <c r="AV250" s="1381"/>
      <c r="AW250" s="1381"/>
      <c r="AX250" s="1381"/>
      <c r="AY250" s="1381"/>
      <c r="AZ250" s="1381"/>
      <c r="BA250" s="1381"/>
      <c r="BC250" s="1381"/>
      <c r="BE250" s="1381"/>
      <c r="BF250" s="1381"/>
      <c r="BG250" s="1381"/>
    </row>
    <row r="251">
      <c r="R251" s="1381"/>
      <c r="S251" s="1381"/>
      <c r="W251" s="1381"/>
      <c r="X251" s="1381"/>
      <c r="AE251" s="1381"/>
      <c r="AF251" s="1381"/>
      <c r="AV251" s="1381"/>
      <c r="AW251" s="1381"/>
      <c r="AX251" s="1381"/>
      <c r="AY251" s="1381"/>
      <c r="AZ251" s="1381"/>
      <c r="BA251" s="1381"/>
      <c r="BC251" s="1381"/>
      <c r="BE251" s="1381"/>
      <c r="BF251" s="1381"/>
      <c r="BG251" s="1381"/>
    </row>
    <row r="252">
      <c r="R252" s="1381"/>
      <c r="S252" s="1381"/>
      <c r="W252" s="1381"/>
      <c r="X252" s="1381"/>
      <c r="AE252" s="1381"/>
      <c r="AF252" s="1381"/>
      <c r="AV252" s="1381"/>
      <c r="AW252" s="1381"/>
      <c r="AX252" s="1381"/>
      <c r="AY252" s="1381"/>
      <c r="AZ252" s="1381"/>
      <c r="BA252" s="1381"/>
      <c r="BC252" s="1381"/>
      <c r="BE252" s="1381"/>
      <c r="BF252" s="1381"/>
      <c r="BG252" s="1381"/>
    </row>
    <row r="253">
      <c r="R253" s="1381"/>
      <c r="S253" s="1381"/>
      <c r="W253" s="1381"/>
      <c r="X253" s="1381"/>
      <c r="AE253" s="1381"/>
      <c r="AF253" s="1381"/>
      <c r="AV253" s="1381"/>
      <c r="AW253" s="1381"/>
      <c r="AX253" s="1381"/>
      <c r="AY253" s="1381"/>
      <c r="AZ253" s="1381"/>
      <c r="BA253" s="1381"/>
      <c r="BC253" s="1381"/>
      <c r="BE253" s="1381"/>
      <c r="BF253" s="1381"/>
      <c r="BG253" s="1381"/>
    </row>
    <row r="254">
      <c r="R254" s="1381"/>
      <c r="S254" s="1381"/>
      <c r="W254" s="1381"/>
      <c r="X254" s="1381"/>
      <c r="AE254" s="1381"/>
      <c r="AF254" s="1381"/>
      <c r="AV254" s="1381"/>
      <c r="AW254" s="1381"/>
      <c r="AX254" s="1381"/>
      <c r="AY254" s="1381"/>
      <c r="AZ254" s="1381"/>
      <c r="BA254" s="1381"/>
      <c r="BC254" s="1381"/>
      <c r="BE254" s="1381"/>
      <c r="BF254" s="1381"/>
      <c r="BG254" s="1381"/>
    </row>
    <row r="255">
      <c r="R255" s="1381"/>
      <c r="S255" s="1381"/>
      <c r="W255" s="1381"/>
      <c r="X255" s="1381"/>
      <c r="AE255" s="1381"/>
      <c r="AF255" s="1381"/>
      <c r="AV255" s="1381"/>
      <c r="AW255" s="1381"/>
      <c r="AX255" s="1381"/>
      <c r="AY255" s="1381"/>
      <c r="AZ255" s="1381"/>
      <c r="BA255" s="1381"/>
      <c r="BC255" s="1381"/>
      <c r="BE255" s="1381"/>
      <c r="BF255" s="1381"/>
      <c r="BG255" s="1381"/>
    </row>
    <row r="256">
      <c r="R256" s="1381"/>
      <c r="S256" s="1381"/>
      <c r="W256" s="1381"/>
      <c r="X256" s="1381"/>
      <c r="AE256" s="1381"/>
      <c r="AF256" s="1381"/>
      <c r="AV256" s="1381"/>
      <c r="AW256" s="1381"/>
      <c r="AX256" s="1381"/>
      <c r="AY256" s="1381"/>
      <c r="AZ256" s="1381"/>
      <c r="BA256" s="1381"/>
      <c r="BC256" s="1381"/>
      <c r="BE256" s="1381"/>
      <c r="BF256" s="1381"/>
      <c r="BG256" s="1381"/>
    </row>
    <row r="257">
      <c r="R257" s="1381"/>
      <c r="S257" s="1381"/>
      <c r="W257" s="1381"/>
      <c r="X257" s="1381"/>
      <c r="AE257" s="1381"/>
      <c r="AF257" s="1381"/>
      <c r="AV257" s="1381"/>
      <c r="AW257" s="1381"/>
      <c r="AX257" s="1381"/>
      <c r="AY257" s="1381"/>
      <c r="AZ257" s="1381"/>
      <c r="BA257" s="1381"/>
      <c r="BC257" s="1381"/>
      <c r="BE257" s="1381"/>
      <c r="BF257" s="1381"/>
      <c r="BG257" s="1381"/>
    </row>
    <row r="258">
      <c r="R258" s="1381"/>
      <c r="S258" s="1381"/>
      <c r="W258" s="1381"/>
      <c r="X258" s="1381"/>
      <c r="AE258" s="1381"/>
      <c r="AF258" s="1381"/>
      <c r="AV258" s="1381"/>
      <c r="AW258" s="1381"/>
      <c r="AX258" s="1381"/>
      <c r="AY258" s="1381"/>
      <c r="AZ258" s="1381"/>
      <c r="BA258" s="1381"/>
      <c r="BC258" s="1381"/>
      <c r="BE258" s="1381"/>
      <c r="BF258" s="1381"/>
      <c r="BG258" s="1381"/>
    </row>
    <row r="259">
      <c r="R259" s="1381"/>
      <c r="S259" s="1381"/>
      <c r="W259" s="1381"/>
      <c r="X259" s="1381"/>
      <c r="AE259" s="1381"/>
      <c r="AF259" s="1381"/>
      <c r="AV259" s="1381"/>
      <c r="AW259" s="1381"/>
      <c r="AX259" s="1381"/>
      <c r="AY259" s="1381"/>
      <c r="AZ259" s="1381"/>
      <c r="BA259" s="1381"/>
      <c r="BC259" s="1381"/>
      <c r="BE259" s="1381"/>
      <c r="BF259" s="1381"/>
      <c r="BG259" s="1381"/>
    </row>
    <row r="260">
      <c r="R260" s="1381"/>
      <c r="S260" s="1381"/>
      <c r="W260" s="1381"/>
      <c r="X260" s="1381"/>
      <c r="AE260" s="1381"/>
      <c r="AF260" s="1381"/>
      <c r="AV260" s="1381"/>
      <c r="AW260" s="1381"/>
      <c r="AX260" s="1381"/>
      <c r="AY260" s="1381"/>
      <c r="AZ260" s="1381"/>
      <c r="BA260" s="1381"/>
      <c r="BC260" s="1381"/>
      <c r="BE260" s="1381"/>
      <c r="BF260" s="1381"/>
      <c r="BG260" s="1381"/>
    </row>
    <row r="261">
      <c r="R261" s="1381"/>
      <c r="S261" s="1381"/>
      <c r="W261" s="1381"/>
      <c r="X261" s="1381"/>
      <c r="AE261" s="1381"/>
      <c r="AF261" s="1381"/>
      <c r="AV261" s="1381"/>
      <c r="AW261" s="1381"/>
      <c r="AX261" s="1381"/>
      <c r="AY261" s="1381"/>
      <c r="AZ261" s="1381"/>
      <c r="BA261" s="1381"/>
      <c r="BC261" s="1381"/>
      <c r="BE261" s="1381"/>
      <c r="BF261" s="1381"/>
      <c r="BG261" s="1381"/>
    </row>
    <row r="262">
      <c r="R262" s="1381"/>
      <c r="S262" s="1381"/>
      <c r="W262" s="1381"/>
      <c r="X262" s="1381"/>
      <c r="AE262" s="1381"/>
      <c r="AF262" s="1381"/>
      <c r="AV262" s="1381"/>
      <c r="AW262" s="1381"/>
      <c r="AX262" s="1381"/>
      <c r="AY262" s="1381"/>
      <c r="AZ262" s="1381"/>
      <c r="BA262" s="1381"/>
      <c r="BC262" s="1381"/>
      <c r="BE262" s="1381"/>
      <c r="BF262" s="1381"/>
      <c r="BG262" s="1381"/>
    </row>
    <row r="263">
      <c r="R263" s="1381"/>
      <c r="S263" s="1381"/>
      <c r="W263" s="1381"/>
      <c r="X263" s="1381"/>
      <c r="AE263" s="1381"/>
      <c r="AF263" s="1381"/>
      <c r="AV263" s="1381"/>
      <c r="AW263" s="1381"/>
      <c r="AX263" s="1381"/>
      <c r="AY263" s="1381"/>
      <c r="AZ263" s="1381"/>
      <c r="BA263" s="1381"/>
      <c r="BC263" s="1381"/>
      <c r="BE263" s="1381"/>
      <c r="BF263" s="1381"/>
      <c r="BG263" s="1381"/>
    </row>
    <row r="264">
      <c r="R264" s="1381"/>
      <c r="S264" s="1381"/>
      <c r="W264" s="1381"/>
      <c r="X264" s="1381"/>
      <c r="AE264" s="1381"/>
      <c r="AF264" s="1381"/>
      <c r="AV264" s="1381"/>
      <c r="AW264" s="1381"/>
      <c r="AX264" s="1381"/>
      <c r="AY264" s="1381"/>
      <c r="AZ264" s="1381"/>
      <c r="BA264" s="1381"/>
      <c r="BC264" s="1381"/>
      <c r="BE264" s="1381"/>
      <c r="BF264" s="1381"/>
      <c r="BG264" s="1381"/>
    </row>
    <row r="265">
      <c r="R265" s="1381"/>
      <c r="S265" s="1381"/>
      <c r="W265" s="1381"/>
      <c r="X265" s="1381"/>
      <c r="AE265" s="1381"/>
      <c r="AF265" s="1381"/>
      <c r="AV265" s="1381"/>
      <c r="AW265" s="1381"/>
      <c r="AX265" s="1381"/>
      <c r="AY265" s="1381"/>
      <c r="AZ265" s="1381"/>
      <c r="BA265" s="1381"/>
      <c r="BC265" s="1381"/>
      <c r="BE265" s="1381"/>
      <c r="BF265" s="1381"/>
      <c r="BG265" s="1381"/>
    </row>
    <row r="266">
      <c r="R266" s="1381"/>
      <c r="S266" s="1381"/>
      <c r="W266" s="1381"/>
      <c r="X266" s="1381"/>
      <c r="AE266" s="1381"/>
      <c r="AF266" s="1381"/>
      <c r="AV266" s="1381"/>
      <c r="AW266" s="1381"/>
      <c r="AX266" s="1381"/>
      <c r="AY266" s="1381"/>
      <c r="AZ266" s="1381"/>
      <c r="BA266" s="1381"/>
      <c r="BC266" s="1381"/>
      <c r="BE266" s="1381"/>
      <c r="BF266" s="1381"/>
      <c r="BG266" s="1381"/>
    </row>
    <row r="267">
      <c r="R267" s="1381"/>
      <c r="S267" s="1381"/>
      <c r="W267" s="1381"/>
      <c r="X267" s="1381"/>
      <c r="AE267" s="1381"/>
      <c r="AF267" s="1381"/>
      <c r="AV267" s="1381"/>
      <c r="AW267" s="1381"/>
      <c r="AX267" s="1381"/>
      <c r="AY267" s="1381"/>
      <c r="AZ267" s="1381"/>
      <c r="BA267" s="1381"/>
      <c r="BC267" s="1381"/>
      <c r="BE267" s="1381"/>
      <c r="BF267" s="1381"/>
      <c r="BG267" s="1381"/>
    </row>
    <row r="268">
      <c r="R268" s="1381"/>
      <c r="S268" s="1381"/>
      <c r="W268" s="1381"/>
      <c r="X268" s="1381"/>
      <c r="AE268" s="1381"/>
      <c r="AF268" s="1381"/>
      <c r="AV268" s="1381"/>
      <c r="AW268" s="1381"/>
      <c r="AX268" s="1381"/>
      <c r="AY268" s="1381"/>
      <c r="AZ268" s="1381"/>
      <c r="BA268" s="1381"/>
      <c r="BC268" s="1381"/>
      <c r="BE268" s="1381"/>
      <c r="BF268" s="1381"/>
      <c r="BG268" s="1381"/>
    </row>
    <row r="269">
      <c r="R269" s="1381"/>
      <c r="S269" s="1381"/>
      <c r="W269" s="1381"/>
      <c r="X269" s="1381"/>
      <c r="AE269" s="1381"/>
      <c r="AF269" s="1381"/>
      <c r="AV269" s="1381"/>
      <c r="AW269" s="1381"/>
      <c r="AX269" s="1381"/>
      <c r="AY269" s="1381"/>
      <c r="AZ269" s="1381"/>
      <c r="BA269" s="1381"/>
      <c r="BC269" s="1381"/>
      <c r="BE269" s="1381"/>
      <c r="BF269" s="1381"/>
      <c r="BG269" s="1381"/>
    </row>
    <row r="270">
      <c r="R270" s="1381"/>
      <c r="S270" s="1381"/>
      <c r="W270" s="1381"/>
      <c r="X270" s="1381"/>
      <c r="AE270" s="1381"/>
      <c r="AF270" s="1381"/>
      <c r="AV270" s="1381"/>
      <c r="AW270" s="1381"/>
      <c r="AX270" s="1381"/>
      <c r="AY270" s="1381"/>
      <c r="AZ270" s="1381"/>
      <c r="BA270" s="1381"/>
      <c r="BC270" s="1381"/>
      <c r="BE270" s="1381"/>
      <c r="BF270" s="1381"/>
      <c r="BG270" s="1381"/>
    </row>
    <row r="271">
      <c r="R271" s="1381"/>
      <c r="S271" s="1381"/>
      <c r="W271" s="1381"/>
      <c r="X271" s="1381"/>
      <c r="AE271" s="1381"/>
      <c r="AF271" s="1381"/>
      <c r="AV271" s="1381"/>
      <c r="AW271" s="1381"/>
      <c r="AX271" s="1381"/>
      <c r="AY271" s="1381"/>
      <c r="AZ271" s="1381"/>
      <c r="BA271" s="1381"/>
      <c r="BC271" s="1381"/>
      <c r="BE271" s="1381"/>
      <c r="BF271" s="1381"/>
      <c r="BG271" s="1381"/>
    </row>
    <row r="272">
      <c r="R272" s="1381"/>
      <c r="S272" s="1381"/>
      <c r="W272" s="1381"/>
      <c r="X272" s="1381"/>
      <c r="AE272" s="1381"/>
      <c r="AF272" s="1381"/>
      <c r="AV272" s="1381"/>
      <c r="AW272" s="1381"/>
      <c r="AX272" s="1381"/>
      <c r="AY272" s="1381"/>
      <c r="AZ272" s="1381"/>
      <c r="BA272" s="1381"/>
      <c r="BC272" s="1381"/>
      <c r="BE272" s="1381"/>
      <c r="BF272" s="1381"/>
      <c r="BG272" s="1381"/>
    </row>
    <row r="273">
      <c r="R273" s="1381"/>
      <c r="S273" s="1381"/>
      <c r="W273" s="1381"/>
      <c r="X273" s="1381"/>
      <c r="AE273" s="1381"/>
      <c r="AF273" s="1381"/>
      <c r="AV273" s="1381"/>
      <c r="AW273" s="1381"/>
      <c r="AX273" s="1381"/>
      <c r="AY273" s="1381"/>
      <c r="AZ273" s="1381"/>
      <c r="BA273" s="1381"/>
      <c r="BC273" s="1381"/>
      <c r="BE273" s="1381"/>
      <c r="BF273" s="1381"/>
      <c r="BG273" s="1381"/>
    </row>
    <row r="274">
      <c r="R274" s="1381"/>
      <c r="S274" s="1381"/>
      <c r="W274" s="1381"/>
      <c r="X274" s="1381"/>
      <c r="AE274" s="1381"/>
      <c r="AF274" s="1381"/>
      <c r="AV274" s="1381"/>
      <c r="AW274" s="1381"/>
      <c r="AX274" s="1381"/>
      <c r="AY274" s="1381"/>
      <c r="AZ274" s="1381"/>
      <c r="BA274" s="1381"/>
      <c r="BC274" s="1381"/>
      <c r="BE274" s="1381"/>
      <c r="BF274" s="1381"/>
      <c r="BG274" s="1381"/>
    </row>
    <row r="275">
      <c r="R275" s="1381"/>
      <c r="S275" s="1381"/>
      <c r="W275" s="1381"/>
      <c r="X275" s="1381"/>
      <c r="AE275" s="1381"/>
      <c r="AF275" s="1381"/>
      <c r="AV275" s="1381"/>
      <c r="AW275" s="1381"/>
      <c r="AX275" s="1381"/>
      <c r="AY275" s="1381"/>
      <c r="AZ275" s="1381"/>
      <c r="BA275" s="1381"/>
      <c r="BC275" s="1381"/>
      <c r="BE275" s="1381"/>
      <c r="BF275" s="1381"/>
      <c r="BG275" s="1381"/>
    </row>
    <row r="276">
      <c r="R276" s="1381"/>
      <c r="S276" s="1381"/>
      <c r="W276" s="1381"/>
      <c r="X276" s="1381"/>
      <c r="AE276" s="1381"/>
      <c r="AF276" s="1381"/>
      <c r="AV276" s="1381"/>
      <c r="AW276" s="1381"/>
      <c r="AX276" s="1381"/>
      <c r="AY276" s="1381"/>
      <c r="AZ276" s="1381"/>
      <c r="BA276" s="1381"/>
      <c r="BC276" s="1381"/>
      <c r="BE276" s="1381"/>
      <c r="BF276" s="1381"/>
      <c r="BG276" s="1381"/>
    </row>
    <row r="277">
      <c r="R277" s="1381"/>
      <c r="S277" s="1381"/>
      <c r="W277" s="1381"/>
      <c r="X277" s="1381"/>
      <c r="AE277" s="1381"/>
      <c r="AF277" s="1381"/>
      <c r="AV277" s="1381"/>
      <c r="AW277" s="1381"/>
      <c r="AX277" s="1381"/>
      <c r="AY277" s="1381"/>
      <c r="AZ277" s="1381"/>
      <c r="BA277" s="1381"/>
      <c r="BC277" s="1381"/>
      <c r="BE277" s="1381"/>
      <c r="BF277" s="1381"/>
      <c r="BG277" s="1381"/>
    </row>
    <row r="278">
      <c r="R278" s="1381"/>
      <c r="S278" s="1381"/>
      <c r="W278" s="1381"/>
      <c r="X278" s="1381"/>
      <c r="AE278" s="1381"/>
      <c r="AF278" s="1381"/>
      <c r="AV278" s="1381"/>
      <c r="AW278" s="1381"/>
      <c r="AX278" s="1381"/>
      <c r="AY278" s="1381"/>
      <c r="AZ278" s="1381"/>
      <c r="BA278" s="1381"/>
      <c r="BC278" s="1381"/>
      <c r="BE278" s="1381"/>
      <c r="BF278" s="1381"/>
      <c r="BG278" s="1381"/>
    </row>
    <row r="279">
      <c r="R279" s="1381"/>
      <c r="S279" s="1381"/>
      <c r="W279" s="1381"/>
      <c r="X279" s="1381"/>
      <c r="AE279" s="1381"/>
      <c r="AF279" s="1381"/>
      <c r="AV279" s="1381"/>
      <c r="AW279" s="1381"/>
      <c r="AX279" s="1381"/>
      <c r="AY279" s="1381"/>
      <c r="AZ279" s="1381"/>
      <c r="BA279" s="1381"/>
      <c r="BC279" s="1381"/>
      <c r="BE279" s="1381"/>
      <c r="BF279" s="1381"/>
      <c r="BG279" s="1381"/>
    </row>
    <row r="280">
      <c r="R280" s="1381"/>
      <c r="S280" s="1381"/>
      <c r="W280" s="1381"/>
      <c r="X280" s="1381"/>
      <c r="AE280" s="1381"/>
      <c r="AF280" s="1381"/>
      <c r="AV280" s="1381"/>
      <c r="AW280" s="1381"/>
      <c r="AX280" s="1381"/>
      <c r="AY280" s="1381"/>
      <c r="AZ280" s="1381"/>
      <c r="BA280" s="1381"/>
      <c r="BC280" s="1381"/>
      <c r="BE280" s="1381"/>
      <c r="BF280" s="1381"/>
      <c r="BG280" s="1381"/>
    </row>
    <row r="281">
      <c r="R281" s="1381"/>
      <c r="S281" s="1381"/>
      <c r="W281" s="1381"/>
      <c r="X281" s="1381"/>
      <c r="AE281" s="1381"/>
      <c r="AF281" s="1381"/>
      <c r="AV281" s="1381"/>
      <c r="AW281" s="1381"/>
      <c r="AX281" s="1381"/>
      <c r="AY281" s="1381"/>
      <c r="AZ281" s="1381"/>
      <c r="BA281" s="1381"/>
      <c r="BC281" s="1381"/>
      <c r="BE281" s="1381"/>
      <c r="BF281" s="1381"/>
      <c r="BG281" s="1381"/>
    </row>
    <row r="282">
      <c r="R282" s="1381"/>
      <c r="S282" s="1381"/>
      <c r="W282" s="1381"/>
      <c r="X282" s="1381"/>
      <c r="AE282" s="1381"/>
      <c r="AF282" s="1381"/>
      <c r="AV282" s="1381"/>
      <c r="AW282" s="1381"/>
      <c r="AX282" s="1381"/>
      <c r="AY282" s="1381"/>
      <c r="AZ282" s="1381"/>
      <c r="BA282" s="1381"/>
      <c r="BC282" s="1381"/>
      <c r="BE282" s="1381"/>
      <c r="BF282" s="1381"/>
      <c r="BG282" s="1381"/>
    </row>
    <row r="283">
      <c r="R283" s="1381"/>
      <c r="S283" s="1381"/>
      <c r="W283" s="1381"/>
      <c r="X283" s="1381"/>
      <c r="AE283" s="1381"/>
      <c r="AF283" s="1381"/>
      <c r="AV283" s="1381"/>
      <c r="AW283" s="1381"/>
      <c r="AX283" s="1381"/>
      <c r="AY283" s="1381"/>
      <c r="AZ283" s="1381"/>
      <c r="BA283" s="1381"/>
      <c r="BC283" s="1381"/>
      <c r="BE283" s="1381"/>
      <c r="BF283" s="1381"/>
      <c r="BG283" s="1381"/>
    </row>
    <row r="284">
      <c r="R284" s="1381"/>
      <c r="S284" s="1381"/>
      <c r="W284" s="1381"/>
      <c r="X284" s="1381"/>
      <c r="AE284" s="1381"/>
      <c r="AF284" s="1381"/>
      <c r="AV284" s="1381"/>
      <c r="AW284" s="1381"/>
      <c r="AX284" s="1381"/>
      <c r="AY284" s="1381"/>
      <c r="AZ284" s="1381"/>
      <c r="BA284" s="1381"/>
      <c r="BC284" s="1381"/>
      <c r="BE284" s="1381"/>
      <c r="BF284" s="1381"/>
      <c r="BG284" s="1381"/>
    </row>
    <row r="285">
      <c r="R285" s="1381"/>
      <c r="S285" s="1381"/>
      <c r="W285" s="1381"/>
      <c r="X285" s="1381"/>
      <c r="AE285" s="1381"/>
      <c r="AF285" s="1381"/>
      <c r="AV285" s="1381"/>
      <c r="AW285" s="1381"/>
      <c r="AX285" s="1381"/>
      <c r="AY285" s="1381"/>
      <c r="AZ285" s="1381"/>
      <c r="BA285" s="1381"/>
      <c r="BC285" s="1381"/>
      <c r="BE285" s="1381"/>
      <c r="BF285" s="1381"/>
      <c r="BG285" s="1381"/>
    </row>
    <row r="286">
      <c r="R286" s="1381"/>
      <c r="S286" s="1381"/>
      <c r="W286" s="1381"/>
      <c r="X286" s="1381"/>
      <c r="AE286" s="1381"/>
      <c r="AF286" s="1381"/>
      <c r="AV286" s="1381"/>
      <c r="AW286" s="1381"/>
      <c r="AX286" s="1381"/>
      <c r="AY286" s="1381"/>
      <c r="AZ286" s="1381"/>
      <c r="BA286" s="1381"/>
      <c r="BC286" s="1381"/>
      <c r="BE286" s="1381"/>
      <c r="BF286" s="1381"/>
      <c r="BG286" s="1381"/>
    </row>
    <row r="287">
      <c r="R287" s="1381"/>
      <c r="S287" s="1381"/>
      <c r="W287" s="1381"/>
      <c r="X287" s="1381"/>
      <c r="AE287" s="1381"/>
      <c r="AF287" s="1381"/>
      <c r="AV287" s="1381"/>
      <c r="AW287" s="1381"/>
      <c r="AX287" s="1381"/>
      <c r="AY287" s="1381"/>
      <c r="AZ287" s="1381"/>
      <c r="BA287" s="1381"/>
      <c r="BC287" s="1381"/>
      <c r="BE287" s="1381"/>
      <c r="BF287" s="1381"/>
      <c r="BG287" s="1381"/>
    </row>
    <row r="288">
      <c r="R288" s="1381"/>
      <c r="S288" s="1381"/>
      <c r="W288" s="1381"/>
      <c r="X288" s="1381"/>
      <c r="AE288" s="1381"/>
      <c r="AF288" s="1381"/>
      <c r="AV288" s="1381"/>
      <c r="AW288" s="1381"/>
      <c r="AX288" s="1381"/>
      <c r="AY288" s="1381"/>
      <c r="AZ288" s="1381"/>
      <c r="BA288" s="1381"/>
      <c r="BC288" s="1381"/>
      <c r="BE288" s="1381"/>
      <c r="BF288" s="1381"/>
      <c r="BG288" s="1381"/>
    </row>
    <row r="289">
      <c r="R289" s="1381"/>
      <c r="S289" s="1381"/>
      <c r="W289" s="1381"/>
      <c r="X289" s="1381"/>
      <c r="AE289" s="1381"/>
      <c r="AF289" s="1381"/>
      <c r="AV289" s="1381"/>
      <c r="AW289" s="1381"/>
      <c r="AX289" s="1381"/>
      <c r="AY289" s="1381"/>
      <c r="AZ289" s="1381"/>
      <c r="BA289" s="1381"/>
      <c r="BC289" s="1381"/>
      <c r="BE289" s="1381"/>
      <c r="BF289" s="1381"/>
      <c r="BG289" s="1381"/>
    </row>
    <row r="290">
      <c r="R290" s="1381"/>
      <c r="S290" s="1381"/>
      <c r="W290" s="1381"/>
      <c r="X290" s="1381"/>
      <c r="AE290" s="1381"/>
      <c r="AF290" s="1381"/>
      <c r="AV290" s="1381"/>
      <c r="AW290" s="1381"/>
      <c r="AX290" s="1381"/>
      <c r="AY290" s="1381"/>
      <c r="AZ290" s="1381"/>
      <c r="BA290" s="1381"/>
      <c r="BC290" s="1381"/>
      <c r="BE290" s="1381"/>
      <c r="BF290" s="1381"/>
      <c r="BG290" s="1381"/>
    </row>
    <row r="291">
      <c r="R291" s="1381"/>
      <c r="S291" s="1381"/>
      <c r="W291" s="1381"/>
      <c r="X291" s="1381"/>
      <c r="AE291" s="1381"/>
      <c r="AF291" s="1381"/>
      <c r="AV291" s="1381"/>
      <c r="AW291" s="1381"/>
      <c r="AX291" s="1381"/>
      <c r="AY291" s="1381"/>
      <c r="AZ291" s="1381"/>
      <c r="BA291" s="1381"/>
      <c r="BC291" s="1381"/>
      <c r="BE291" s="1381"/>
      <c r="BF291" s="1381"/>
      <c r="BG291" s="1381"/>
    </row>
    <row r="292">
      <c r="R292" s="1381"/>
      <c r="S292" s="1381"/>
      <c r="W292" s="1381"/>
      <c r="X292" s="1381"/>
      <c r="AE292" s="1381"/>
      <c r="AF292" s="1381"/>
      <c r="AV292" s="1381"/>
      <c r="AW292" s="1381"/>
      <c r="AX292" s="1381"/>
      <c r="AY292" s="1381"/>
      <c r="AZ292" s="1381"/>
      <c r="BA292" s="1381"/>
      <c r="BC292" s="1381"/>
      <c r="BE292" s="1381"/>
      <c r="BF292" s="1381"/>
      <c r="BG292" s="1381"/>
    </row>
    <row r="293">
      <c r="R293" s="1381"/>
      <c r="S293" s="1381"/>
      <c r="W293" s="1381"/>
      <c r="X293" s="1381"/>
      <c r="AE293" s="1381"/>
      <c r="AF293" s="1381"/>
      <c r="AV293" s="1381"/>
      <c r="AW293" s="1381"/>
      <c r="AX293" s="1381"/>
      <c r="AY293" s="1381"/>
      <c r="AZ293" s="1381"/>
      <c r="BA293" s="1381"/>
      <c r="BC293" s="1381"/>
      <c r="BE293" s="1381"/>
      <c r="BF293" s="1381"/>
      <c r="BG293" s="1381"/>
    </row>
    <row r="294">
      <c r="R294" s="1381"/>
      <c r="S294" s="1381"/>
      <c r="W294" s="1381"/>
      <c r="X294" s="1381"/>
      <c r="AE294" s="1381"/>
      <c r="AF294" s="1381"/>
      <c r="AV294" s="1381"/>
      <c r="AW294" s="1381"/>
      <c r="AX294" s="1381"/>
      <c r="AY294" s="1381"/>
      <c r="AZ294" s="1381"/>
      <c r="BA294" s="1381"/>
      <c r="BC294" s="1381"/>
      <c r="BE294" s="1381"/>
      <c r="BF294" s="1381"/>
      <c r="BG294" s="1381"/>
    </row>
    <row r="295">
      <c r="R295" s="1381"/>
      <c r="S295" s="1381"/>
      <c r="W295" s="1381"/>
      <c r="X295" s="1381"/>
      <c r="AE295" s="1381"/>
      <c r="AF295" s="1381"/>
      <c r="AV295" s="1381"/>
      <c r="AW295" s="1381"/>
      <c r="AX295" s="1381"/>
      <c r="AY295" s="1381"/>
      <c r="AZ295" s="1381"/>
      <c r="BA295" s="1381"/>
      <c r="BC295" s="1381"/>
      <c r="BE295" s="1381"/>
      <c r="BF295" s="1381"/>
      <c r="BG295" s="1381"/>
    </row>
    <row r="296">
      <c r="R296" s="1381"/>
      <c r="S296" s="1381"/>
      <c r="W296" s="1381"/>
      <c r="X296" s="1381"/>
      <c r="AE296" s="1381"/>
      <c r="AF296" s="1381"/>
      <c r="AV296" s="1381"/>
      <c r="AW296" s="1381"/>
      <c r="AX296" s="1381"/>
      <c r="AY296" s="1381"/>
      <c r="AZ296" s="1381"/>
      <c r="BA296" s="1381"/>
      <c r="BC296" s="1381"/>
      <c r="BE296" s="1381"/>
      <c r="BF296" s="1381"/>
      <c r="BG296" s="1381"/>
    </row>
    <row r="297">
      <c r="R297" s="1381"/>
      <c r="S297" s="1381"/>
      <c r="W297" s="1381"/>
      <c r="X297" s="1381"/>
      <c r="AE297" s="1381"/>
      <c r="AF297" s="1381"/>
      <c r="AV297" s="1381"/>
      <c r="AW297" s="1381"/>
      <c r="AX297" s="1381"/>
      <c r="AY297" s="1381"/>
      <c r="AZ297" s="1381"/>
      <c r="BA297" s="1381"/>
      <c r="BC297" s="1381"/>
      <c r="BE297" s="1381"/>
      <c r="BF297" s="1381"/>
      <c r="BG297" s="1381"/>
    </row>
    <row r="298">
      <c r="R298" s="1381"/>
      <c r="S298" s="1381"/>
      <c r="W298" s="1381"/>
      <c r="X298" s="1381"/>
      <c r="AE298" s="1381"/>
      <c r="AF298" s="1381"/>
      <c r="AV298" s="1381"/>
      <c r="AW298" s="1381"/>
      <c r="AX298" s="1381"/>
      <c r="AY298" s="1381"/>
      <c r="AZ298" s="1381"/>
      <c r="BA298" s="1381"/>
      <c r="BC298" s="1381"/>
      <c r="BE298" s="1381"/>
      <c r="BF298" s="1381"/>
      <c r="BG298" s="1381"/>
    </row>
    <row r="299">
      <c r="R299" s="1381"/>
      <c r="S299" s="1381"/>
      <c r="W299" s="1381"/>
      <c r="X299" s="1381"/>
      <c r="AE299" s="1381"/>
      <c r="AF299" s="1381"/>
      <c r="AV299" s="1381"/>
      <c r="AW299" s="1381"/>
      <c r="AX299" s="1381"/>
      <c r="AY299" s="1381"/>
      <c r="AZ299" s="1381"/>
      <c r="BA299" s="1381"/>
      <c r="BC299" s="1381"/>
      <c r="BE299" s="1381"/>
      <c r="BF299" s="1381"/>
      <c r="BG299" s="1381"/>
    </row>
    <row r="300">
      <c r="R300" s="1381"/>
      <c r="S300" s="1381"/>
      <c r="W300" s="1381"/>
      <c r="X300" s="1381"/>
      <c r="AE300" s="1381"/>
      <c r="AF300" s="1381"/>
      <c r="AV300" s="1381"/>
      <c r="AW300" s="1381"/>
      <c r="AX300" s="1381"/>
      <c r="AY300" s="1381"/>
      <c r="AZ300" s="1381"/>
      <c r="BA300" s="1381"/>
      <c r="BC300" s="1381"/>
      <c r="BE300" s="1381"/>
      <c r="BF300" s="1381"/>
      <c r="BG300" s="1381"/>
    </row>
    <row r="301">
      <c r="R301" s="1381"/>
      <c r="S301" s="1381"/>
      <c r="W301" s="1381"/>
      <c r="X301" s="1381"/>
      <c r="AE301" s="1381"/>
      <c r="AF301" s="1381"/>
      <c r="AV301" s="1381"/>
      <c r="AW301" s="1381"/>
      <c r="AX301" s="1381"/>
      <c r="AY301" s="1381"/>
      <c r="AZ301" s="1381"/>
      <c r="BA301" s="1381"/>
      <c r="BC301" s="1381"/>
      <c r="BE301" s="1381"/>
      <c r="BF301" s="1381"/>
      <c r="BG301" s="1381"/>
    </row>
    <row r="302">
      <c r="R302" s="1381"/>
      <c r="S302" s="1381"/>
      <c r="W302" s="1381"/>
      <c r="X302" s="1381"/>
      <c r="AE302" s="1381"/>
      <c r="AF302" s="1381"/>
      <c r="AV302" s="1381"/>
      <c r="AW302" s="1381"/>
      <c r="AX302" s="1381"/>
      <c r="AY302" s="1381"/>
      <c r="AZ302" s="1381"/>
      <c r="BA302" s="1381"/>
      <c r="BC302" s="1381"/>
      <c r="BE302" s="1381"/>
      <c r="BF302" s="1381"/>
      <c r="BG302" s="1381"/>
    </row>
    <row r="303">
      <c r="R303" s="1381"/>
      <c r="S303" s="1381"/>
      <c r="W303" s="1381"/>
      <c r="X303" s="1381"/>
      <c r="AE303" s="1381"/>
      <c r="AF303" s="1381"/>
      <c r="AV303" s="1381"/>
      <c r="AW303" s="1381"/>
      <c r="AX303" s="1381"/>
      <c r="AY303" s="1381"/>
      <c r="AZ303" s="1381"/>
      <c r="BA303" s="1381"/>
      <c r="BC303" s="1381"/>
      <c r="BE303" s="1381"/>
      <c r="BF303" s="1381"/>
      <c r="BG303" s="1381"/>
    </row>
    <row r="304">
      <c r="R304" s="1381"/>
      <c r="S304" s="1381"/>
      <c r="W304" s="1381"/>
      <c r="X304" s="1381"/>
      <c r="AE304" s="1381"/>
      <c r="AF304" s="1381"/>
      <c r="AV304" s="1381"/>
      <c r="AW304" s="1381"/>
      <c r="AX304" s="1381"/>
      <c r="AY304" s="1381"/>
      <c r="AZ304" s="1381"/>
      <c r="BA304" s="1381"/>
      <c r="BC304" s="1381"/>
      <c r="BE304" s="1381"/>
      <c r="BF304" s="1381"/>
      <c r="BG304" s="1381"/>
    </row>
    <row r="305">
      <c r="R305" s="1381"/>
      <c r="S305" s="1381"/>
      <c r="W305" s="1381"/>
      <c r="X305" s="1381"/>
      <c r="AE305" s="1381"/>
      <c r="AF305" s="1381"/>
      <c r="AV305" s="1381"/>
      <c r="AW305" s="1381"/>
      <c r="AX305" s="1381"/>
      <c r="AY305" s="1381"/>
      <c r="AZ305" s="1381"/>
      <c r="BA305" s="1381"/>
      <c r="BC305" s="1381"/>
      <c r="BE305" s="1381"/>
      <c r="BF305" s="1381"/>
      <c r="BG305" s="1381"/>
    </row>
    <row r="306">
      <c r="R306" s="1381"/>
      <c r="S306" s="1381"/>
      <c r="W306" s="1381"/>
      <c r="X306" s="1381"/>
      <c r="AE306" s="1381"/>
      <c r="AF306" s="1381"/>
      <c r="AV306" s="1381"/>
      <c r="AW306" s="1381"/>
      <c r="AX306" s="1381"/>
      <c r="AY306" s="1381"/>
      <c r="AZ306" s="1381"/>
      <c r="BA306" s="1381"/>
      <c r="BC306" s="1381"/>
      <c r="BE306" s="1381"/>
      <c r="BF306" s="1381"/>
      <c r="BG306" s="1381"/>
    </row>
    <row r="307">
      <c r="R307" s="1381"/>
      <c r="S307" s="1381"/>
      <c r="W307" s="1381"/>
      <c r="X307" s="1381"/>
      <c r="AE307" s="1381"/>
      <c r="AF307" s="1381"/>
      <c r="AV307" s="1381"/>
      <c r="AW307" s="1381"/>
      <c r="AX307" s="1381"/>
      <c r="AY307" s="1381"/>
      <c r="AZ307" s="1381"/>
      <c r="BA307" s="1381"/>
      <c r="BC307" s="1381"/>
      <c r="BE307" s="1381"/>
      <c r="BF307" s="1381"/>
      <c r="BG307" s="1381"/>
    </row>
    <row r="308">
      <c r="R308" s="1381"/>
      <c r="S308" s="1381"/>
      <c r="W308" s="1381"/>
      <c r="X308" s="1381"/>
      <c r="AE308" s="1381"/>
      <c r="AF308" s="1381"/>
      <c r="AV308" s="1381"/>
      <c r="AW308" s="1381"/>
      <c r="AX308" s="1381"/>
      <c r="AY308" s="1381"/>
      <c r="AZ308" s="1381"/>
      <c r="BA308" s="1381"/>
      <c r="BC308" s="1381"/>
      <c r="BE308" s="1381"/>
      <c r="BF308" s="1381"/>
      <c r="BG308" s="1381"/>
    </row>
    <row r="309">
      <c r="R309" s="1381"/>
      <c r="S309" s="1381"/>
      <c r="W309" s="1381"/>
      <c r="X309" s="1381"/>
      <c r="AE309" s="1381"/>
      <c r="AF309" s="1381"/>
      <c r="AV309" s="1381"/>
      <c r="AW309" s="1381"/>
      <c r="AX309" s="1381"/>
      <c r="AY309" s="1381"/>
      <c r="AZ309" s="1381"/>
      <c r="BA309" s="1381"/>
      <c r="BC309" s="1381"/>
      <c r="BE309" s="1381"/>
      <c r="BF309" s="1381"/>
      <c r="BG309" s="1381"/>
    </row>
    <row r="310">
      <c r="R310" s="1381"/>
      <c r="S310" s="1381"/>
      <c r="W310" s="1381"/>
      <c r="X310" s="1381"/>
      <c r="AE310" s="1381"/>
      <c r="AF310" s="1381"/>
      <c r="AV310" s="1381"/>
      <c r="AW310" s="1381"/>
      <c r="AX310" s="1381"/>
      <c r="AY310" s="1381"/>
      <c r="AZ310" s="1381"/>
      <c r="BA310" s="1381"/>
      <c r="BC310" s="1381"/>
      <c r="BE310" s="1381"/>
      <c r="BF310" s="1381"/>
      <c r="BG310" s="1381"/>
    </row>
    <row r="311">
      <c r="R311" s="1381"/>
      <c r="S311" s="1381"/>
      <c r="W311" s="1381"/>
      <c r="X311" s="1381"/>
      <c r="AE311" s="1381"/>
      <c r="AF311" s="1381"/>
      <c r="AV311" s="1381"/>
      <c r="AW311" s="1381"/>
      <c r="AX311" s="1381"/>
      <c r="AY311" s="1381"/>
      <c r="AZ311" s="1381"/>
      <c r="BA311" s="1381"/>
      <c r="BC311" s="1381"/>
      <c r="BE311" s="1381"/>
      <c r="BF311" s="1381"/>
      <c r="BG311" s="1381"/>
    </row>
    <row r="312">
      <c r="R312" s="1381"/>
      <c r="S312" s="1381"/>
      <c r="W312" s="1381"/>
      <c r="X312" s="1381"/>
      <c r="AE312" s="1381"/>
      <c r="AF312" s="1381"/>
      <c r="AV312" s="1381"/>
      <c r="AW312" s="1381"/>
      <c r="AX312" s="1381"/>
      <c r="AY312" s="1381"/>
      <c r="AZ312" s="1381"/>
      <c r="BA312" s="1381"/>
      <c r="BC312" s="1381"/>
      <c r="BE312" s="1381"/>
      <c r="BF312" s="1381"/>
      <c r="BG312" s="1381"/>
    </row>
    <row r="313">
      <c r="R313" s="1381"/>
      <c r="S313" s="1381"/>
      <c r="W313" s="1381"/>
      <c r="X313" s="1381"/>
      <c r="AE313" s="1381"/>
      <c r="AF313" s="1381"/>
      <c r="AV313" s="1381"/>
      <c r="AW313" s="1381"/>
      <c r="AX313" s="1381"/>
      <c r="AY313" s="1381"/>
      <c r="AZ313" s="1381"/>
      <c r="BA313" s="1381"/>
      <c r="BC313" s="1381"/>
      <c r="BE313" s="1381"/>
      <c r="BF313" s="1381"/>
      <c r="BG313" s="1381"/>
    </row>
    <row r="314">
      <c r="R314" s="1381"/>
      <c r="S314" s="1381"/>
      <c r="W314" s="1381"/>
      <c r="X314" s="1381"/>
      <c r="AE314" s="1381"/>
      <c r="AF314" s="1381"/>
      <c r="AV314" s="1381"/>
      <c r="AW314" s="1381"/>
      <c r="AX314" s="1381"/>
      <c r="AY314" s="1381"/>
      <c r="AZ314" s="1381"/>
      <c r="BA314" s="1381"/>
      <c r="BC314" s="1381"/>
      <c r="BE314" s="1381"/>
      <c r="BF314" s="1381"/>
      <c r="BG314" s="1381"/>
    </row>
    <row r="315">
      <c r="R315" s="1381"/>
      <c r="S315" s="1381"/>
      <c r="W315" s="1381"/>
      <c r="X315" s="1381"/>
      <c r="AE315" s="1381"/>
      <c r="AF315" s="1381"/>
      <c r="AV315" s="1381"/>
      <c r="AW315" s="1381"/>
      <c r="AX315" s="1381"/>
      <c r="AY315" s="1381"/>
      <c r="AZ315" s="1381"/>
      <c r="BA315" s="1381"/>
      <c r="BC315" s="1381"/>
      <c r="BE315" s="1381"/>
      <c r="BF315" s="1381"/>
      <c r="BG315" s="1381"/>
    </row>
    <row r="316">
      <c r="R316" s="1381"/>
      <c r="S316" s="1381"/>
      <c r="W316" s="1381"/>
      <c r="X316" s="1381"/>
      <c r="AE316" s="1381"/>
      <c r="AF316" s="1381"/>
      <c r="AV316" s="1381"/>
      <c r="AW316" s="1381"/>
      <c r="AX316" s="1381"/>
      <c r="AY316" s="1381"/>
      <c r="AZ316" s="1381"/>
      <c r="BA316" s="1381"/>
      <c r="BC316" s="1381"/>
      <c r="BE316" s="1381"/>
      <c r="BF316" s="1381"/>
      <c r="BG316" s="1381"/>
    </row>
    <row r="317">
      <c r="R317" s="1381"/>
      <c r="S317" s="1381"/>
      <c r="W317" s="1381"/>
      <c r="X317" s="1381"/>
      <c r="AE317" s="1381"/>
      <c r="AF317" s="1381"/>
      <c r="AV317" s="1381"/>
      <c r="AW317" s="1381"/>
      <c r="AX317" s="1381"/>
      <c r="AY317" s="1381"/>
      <c r="AZ317" s="1381"/>
      <c r="BA317" s="1381"/>
      <c r="BC317" s="1381"/>
      <c r="BE317" s="1381"/>
      <c r="BF317" s="1381"/>
      <c r="BG317" s="1381"/>
    </row>
    <row r="318">
      <c r="R318" s="1381"/>
      <c r="S318" s="1381"/>
      <c r="W318" s="1381"/>
      <c r="X318" s="1381"/>
      <c r="AE318" s="1381"/>
      <c r="AF318" s="1381"/>
      <c r="AV318" s="1381"/>
      <c r="AW318" s="1381"/>
      <c r="AX318" s="1381"/>
      <c r="AY318" s="1381"/>
      <c r="AZ318" s="1381"/>
      <c r="BA318" s="1381"/>
      <c r="BC318" s="1381"/>
      <c r="BE318" s="1381"/>
      <c r="BF318" s="1381"/>
      <c r="BG318" s="1381"/>
    </row>
    <row r="319">
      <c r="R319" s="1381"/>
      <c r="S319" s="1381"/>
      <c r="W319" s="1381"/>
      <c r="X319" s="1381"/>
      <c r="AE319" s="1381"/>
      <c r="AF319" s="1381"/>
      <c r="AV319" s="1381"/>
      <c r="AW319" s="1381"/>
      <c r="AX319" s="1381"/>
      <c r="AY319" s="1381"/>
      <c r="AZ319" s="1381"/>
      <c r="BA319" s="1381"/>
      <c r="BC319" s="1381"/>
      <c r="BE319" s="1381"/>
      <c r="BF319" s="1381"/>
      <c r="BG319" s="1381"/>
    </row>
    <row r="320">
      <c r="R320" s="1381"/>
      <c r="S320" s="1381"/>
      <c r="W320" s="1381"/>
      <c r="X320" s="1381"/>
      <c r="AE320" s="1381"/>
      <c r="AF320" s="1381"/>
      <c r="AV320" s="1381"/>
      <c r="AW320" s="1381"/>
      <c r="AX320" s="1381"/>
      <c r="AY320" s="1381"/>
      <c r="AZ320" s="1381"/>
      <c r="BA320" s="1381"/>
      <c r="BC320" s="1381"/>
      <c r="BE320" s="1381"/>
      <c r="BF320" s="1381"/>
      <c r="BG320" s="1381"/>
    </row>
    <row r="321">
      <c r="R321" s="1381"/>
      <c r="S321" s="1381"/>
      <c r="W321" s="1381"/>
      <c r="X321" s="1381"/>
      <c r="AE321" s="1381"/>
      <c r="AF321" s="1381"/>
      <c r="AV321" s="1381"/>
      <c r="AW321" s="1381"/>
      <c r="AX321" s="1381"/>
      <c r="AY321" s="1381"/>
      <c r="AZ321" s="1381"/>
      <c r="BA321" s="1381"/>
      <c r="BC321" s="1381"/>
      <c r="BE321" s="1381"/>
      <c r="BF321" s="1381"/>
      <c r="BG321" s="1381"/>
    </row>
    <row r="322">
      <c r="R322" s="1381"/>
      <c r="S322" s="1381"/>
      <c r="W322" s="1381"/>
      <c r="X322" s="1381"/>
      <c r="AE322" s="1381"/>
      <c r="AF322" s="1381"/>
      <c r="AV322" s="1381"/>
      <c r="AW322" s="1381"/>
      <c r="AX322" s="1381"/>
      <c r="AY322" s="1381"/>
      <c r="AZ322" s="1381"/>
      <c r="BA322" s="1381"/>
      <c r="BC322" s="1381"/>
      <c r="BE322" s="1381"/>
      <c r="BF322" s="1381"/>
      <c r="BG322" s="1381"/>
    </row>
    <row r="323">
      <c r="R323" s="1381"/>
      <c r="S323" s="1381"/>
      <c r="W323" s="1381"/>
      <c r="X323" s="1381"/>
      <c r="AE323" s="1381"/>
      <c r="AF323" s="1381"/>
      <c r="AV323" s="1381"/>
      <c r="AW323" s="1381"/>
      <c r="AX323" s="1381"/>
      <c r="AY323" s="1381"/>
      <c r="AZ323" s="1381"/>
      <c r="BA323" s="1381"/>
      <c r="BC323" s="1381"/>
      <c r="BE323" s="1381"/>
      <c r="BF323" s="1381"/>
      <c r="BG323" s="1381"/>
    </row>
    <row r="324">
      <c r="R324" s="1381"/>
      <c r="S324" s="1381"/>
      <c r="W324" s="1381"/>
      <c r="X324" s="1381"/>
      <c r="AE324" s="1381"/>
      <c r="AF324" s="1381"/>
      <c r="AV324" s="1381"/>
      <c r="AW324" s="1381"/>
      <c r="AX324" s="1381"/>
      <c r="AY324" s="1381"/>
      <c r="AZ324" s="1381"/>
      <c r="BA324" s="1381"/>
      <c r="BC324" s="1381"/>
      <c r="BE324" s="1381"/>
      <c r="BF324" s="1381"/>
      <c r="BG324" s="1381"/>
    </row>
    <row r="325">
      <c r="R325" s="1381"/>
      <c r="S325" s="1381"/>
      <c r="W325" s="1381"/>
      <c r="X325" s="1381"/>
      <c r="AE325" s="1381"/>
      <c r="AF325" s="1381"/>
      <c r="AV325" s="1381"/>
      <c r="AW325" s="1381"/>
      <c r="AX325" s="1381"/>
      <c r="AY325" s="1381"/>
      <c r="AZ325" s="1381"/>
      <c r="BA325" s="1381"/>
      <c r="BC325" s="1381"/>
      <c r="BE325" s="1381"/>
      <c r="BF325" s="1381"/>
      <c r="BG325" s="1381"/>
    </row>
    <row r="326">
      <c r="R326" s="1381"/>
      <c r="S326" s="1381"/>
      <c r="W326" s="1381"/>
      <c r="X326" s="1381"/>
      <c r="AE326" s="1381"/>
      <c r="AF326" s="1381"/>
      <c r="AV326" s="1381"/>
      <c r="AW326" s="1381"/>
      <c r="AX326" s="1381"/>
      <c r="AY326" s="1381"/>
      <c r="AZ326" s="1381"/>
      <c r="BA326" s="1381"/>
      <c r="BC326" s="1381"/>
      <c r="BE326" s="1381"/>
      <c r="BF326" s="1381"/>
      <c r="BG326" s="1381"/>
    </row>
    <row r="327">
      <c r="R327" s="1381"/>
      <c r="S327" s="1381"/>
      <c r="W327" s="1381"/>
      <c r="X327" s="1381"/>
      <c r="AE327" s="1381"/>
      <c r="AF327" s="1381"/>
      <c r="AV327" s="1381"/>
      <c r="AW327" s="1381"/>
      <c r="AX327" s="1381"/>
      <c r="AY327" s="1381"/>
      <c r="AZ327" s="1381"/>
      <c r="BA327" s="1381"/>
      <c r="BC327" s="1381"/>
      <c r="BE327" s="1381"/>
      <c r="BF327" s="1381"/>
      <c r="BG327" s="1381"/>
    </row>
    <row r="328">
      <c r="R328" s="1381"/>
      <c r="S328" s="1381"/>
      <c r="W328" s="1381"/>
      <c r="X328" s="1381"/>
      <c r="AE328" s="1381"/>
      <c r="AF328" s="1381"/>
      <c r="AV328" s="1381"/>
      <c r="AW328" s="1381"/>
      <c r="AX328" s="1381"/>
      <c r="AY328" s="1381"/>
      <c r="AZ328" s="1381"/>
      <c r="BA328" s="1381"/>
      <c r="BC328" s="1381"/>
      <c r="BE328" s="1381"/>
      <c r="BF328" s="1381"/>
      <c r="BG328" s="1381"/>
    </row>
    <row r="329">
      <c r="R329" s="1381"/>
      <c r="S329" s="1381"/>
      <c r="W329" s="1381"/>
      <c r="X329" s="1381"/>
      <c r="AE329" s="1381"/>
      <c r="AF329" s="1381"/>
      <c r="AV329" s="1381"/>
      <c r="AW329" s="1381"/>
      <c r="AX329" s="1381"/>
      <c r="AY329" s="1381"/>
      <c r="AZ329" s="1381"/>
      <c r="BA329" s="1381"/>
      <c r="BC329" s="1381"/>
      <c r="BE329" s="1381"/>
      <c r="BF329" s="1381"/>
      <c r="BG329" s="1381"/>
    </row>
    <row r="330">
      <c r="R330" s="1381"/>
      <c r="S330" s="1381"/>
      <c r="W330" s="1381"/>
      <c r="X330" s="1381"/>
      <c r="AE330" s="1381"/>
      <c r="AF330" s="1381"/>
      <c r="AV330" s="1381"/>
      <c r="AW330" s="1381"/>
      <c r="AX330" s="1381"/>
      <c r="AY330" s="1381"/>
      <c r="AZ330" s="1381"/>
      <c r="BA330" s="1381"/>
      <c r="BC330" s="1381"/>
      <c r="BE330" s="1381"/>
      <c r="BF330" s="1381"/>
      <c r="BG330" s="1381"/>
    </row>
    <row r="331">
      <c r="R331" s="1381"/>
      <c r="S331" s="1381"/>
      <c r="W331" s="1381"/>
      <c r="X331" s="1381"/>
      <c r="AE331" s="1381"/>
      <c r="AF331" s="1381"/>
      <c r="AV331" s="1381"/>
      <c r="AW331" s="1381"/>
      <c r="AX331" s="1381"/>
      <c r="AY331" s="1381"/>
      <c r="AZ331" s="1381"/>
      <c r="BA331" s="1381"/>
      <c r="BC331" s="1381"/>
      <c r="BE331" s="1381"/>
      <c r="BF331" s="1381"/>
      <c r="BG331" s="1381"/>
    </row>
    <row r="332">
      <c r="R332" s="1381"/>
      <c r="S332" s="1381"/>
      <c r="W332" s="1381"/>
      <c r="X332" s="1381"/>
      <c r="AE332" s="1381"/>
      <c r="AF332" s="1381"/>
      <c r="AV332" s="1381"/>
      <c r="AW332" s="1381"/>
      <c r="AX332" s="1381"/>
      <c r="AY332" s="1381"/>
      <c r="AZ332" s="1381"/>
      <c r="BA332" s="1381"/>
      <c r="BC332" s="1381"/>
      <c r="BE332" s="1381"/>
      <c r="BF332" s="1381"/>
      <c r="BG332" s="1381"/>
    </row>
    <row r="333">
      <c r="R333" s="1381"/>
      <c r="S333" s="1381"/>
      <c r="W333" s="1381"/>
      <c r="X333" s="1381"/>
      <c r="AE333" s="1381"/>
      <c r="AF333" s="1381"/>
      <c r="AV333" s="1381"/>
      <c r="AW333" s="1381"/>
      <c r="AX333" s="1381"/>
      <c r="AY333" s="1381"/>
      <c r="AZ333" s="1381"/>
      <c r="BA333" s="1381"/>
      <c r="BC333" s="1381"/>
      <c r="BE333" s="1381"/>
      <c r="BF333" s="1381"/>
      <c r="BG333" s="1381"/>
    </row>
    <row r="334">
      <c r="R334" s="1381"/>
      <c r="S334" s="1381"/>
      <c r="W334" s="1381"/>
      <c r="X334" s="1381"/>
      <c r="AE334" s="1381"/>
      <c r="AF334" s="1381"/>
      <c r="AV334" s="1381"/>
      <c r="AW334" s="1381"/>
      <c r="AX334" s="1381"/>
      <c r="AY334" s="1381"/>
      <c r="AZ334" s="1381"/>
      <c r="BA334" s="1381"/>
      <c r="BC334" s="1381"/>
      <c r="BE334" s="1381"/>
      <c r="BF334" s="1381"/>
      <c r="BG334" s="1381"/>
    </row>
    <row r="335">
      <c r="R335" s="1381"/>
      <c r="S335" s="1381"/>
      <c r="W335" s="1381"/>
      <c r="X335" s="1381"/>
      <c r="AE335" s="1381"/>
      <c r="AF335" s="1381"/>
      <c r="AV335" s="1381"/>
      <c r="AW335" s="1381"/>
      <c r="AX335" s="1381"/>
      <c r="AY335" s="1381"/>
      <c r="AZ335" s="1381"/>
      <c r="BA335" s="1381"/>
      <c r="BC335" s="1381"/>
      <c r="BE335" s="1381"/>
      <c r="BF335" s="1381"/>
      <c r="BG335" s="1381"/>
    </row>
    <row r="336">
      <c r="R336" s="1381"/>
      <c r="S336" s="1381"/>
      <c r="W336" s="1381"/>
      <c r="X336" s="1381"/>
      <c r="AE336" s="1381"/>
      <c r="AF336" s="1381"/>
      <c r="AV336" s="1381"/>
      <c r="AW336" s="1381"/>
      <c r="AX336" s="1381"/>
      <c r="AY336" s="1381"/>
      <c r="AZ336" s="1381"/>
      <c r="BA336" s="1381"/>
      <c r="BC336" s="1381"/>
      <c r="BE336" s="1381"/>
      <c r="BF336" s="1381"/>
      <c r="BG336" s="1381"/>
    </row>
    <row r="337">
      <c r="R337" s="1381"/>
      <c r="S337" s="1381"/>
      <c r="W337" s="1381"/>
      <c r="X337" s="1381"/>
      <c r="AE337" s="1381"/>
      <c r="AF337" s="1381"/>
      <c r="AV337" s="1381"/>
      <c r="AW337" s="1381"/>
      <c r="AX337" s="1381"/>
      <c r="AY337" s="1381"/>
      <c r="AZ337" s="1381"/>
      <c r="BA337" s="1381"/>
      <c r="BC337" s="1381"/>
      <c r="BE337" s="1381"/>
      <c r="BF337" s="1381"/>
      <c r="BG337" s="1381"/>
    </row>
    <row r="338">
      <c r="R338" s="1381"/>
      <c r="S338" s="1381"/>
      <c r="W338" s="1381"/>
      <c r="X338" s="1381"/>
      <c r="AE338" s="1381"/>
      <c r="AF338" s="1381"/>
      <c r="AV338" s="1381"/>
      <c r="AW338" s="1381"/>
      <c r="AX338" s="1381"/>
      <c r="AY338" s="1381"/>
      <c r="AZ338" s="1381"/>
      <c r="BA338" s="1381"/>
      <c r="BC338" s="1381"/>
      <c r="BE338" s="1381"/>
      <c r="BF338" s="1381"/>
      <c r="BG338" s="1381"/>
    </row>
    <row r="339">
      <c r="R339" s="1381"/>
      <c r="S339" s="1381"/>
      <c r="W339" s="1381"/>
      <c r="X339" s="1381"/>
      <c r="AE339" s="1381"/>
      <c r="AF339" s="1381"/>
      <c r="AV339" s="1381"/>
      <c r="AW339" s="1381"/>
      <c r="AX339" s="1381"/>
      <c r="AY339" s="1381"/>
      <c r="AZ339" s="1381"/>
      <c r="BA339" s="1381"/>
      <c r="BC339" s="1381"/>
      <c r="BE339" s="1381"/>
      <c r="BF339" s="1381"/>
      <c r="BG339" s="1381"/>
    </row>
    <row r="340">
      <c r="R340" s="1381"/>
      <c r="S340" s="1381"/>
      <c r="W340" s="1381"/>
      <c r="X340" s="1381"/>
      <c r="AE340" s="1381"/>
      <c r="AF340" s="1381"/>
      <c r="AV340" s="1381"/>
      <c r="AW340" s="1381"/>
      <c r="AX340" s="1381"/>
      <c r="AY340" s="1381"/>
      <c r="AZ340" s="1381"/>
      <c r="BA340" s="1381"/>
      <c r="BC340" s="1381"/>
      <c r="BE340" s="1381"/>
      <c r="BF340" s="1381"/>
      <c r="BG340" s="1381"/>
    </row>
    <row r="341">
      <c r="R341" s="1381"/>
      <c r="S341" s="1381"/>
      <c r="W341" s="1381"/>
      <c r="X341" s="1381"/>
      <c r="AE341" s="1381"/>
      <c r="AF341" s="1381"/>
      <c r="AV341" s="1381"/>
      <c r="AW341" s="1381"/>
      <c r="AX341" s="1381"/>
      <c r="AY341" s="1381"/>
      <c r="AZ341" s="1381"/>
      <c r="BA341" s="1381"/>
      <c r="BC341" s="1381"/>
      <c r="BE341" s="1381"/>
      <c r="BF341" s="1381"/>
      <c r="BG341" s="1381"/>
    </row>
    <row r="342">
      <c r="R342" s="1381"/>
      <c r="S342" s="1381"/>
      <c r="W342" s="1381"/>
      <c r="X342" s="1381"/>
      <c r="AE342" s="1381"/>
      <c r="AF342" s="1381"/>
      <c r="AV342" s="1381"/>
      <c r="AW342" s="1381"/>
      <c r="AX342" s="1381"/>
      <c r="AY342" s="1381"/>
      <c r="AZ342" s="1381"/>
      <c r="BA342" s="1381"/>
      <c r="BC342" s="1381"/>
      <c r="BE342" s="1381"/>
      <c r="BF342" s="1381"/>
      <c r="BG342" s="1381"/>
    </row>
    <row r="343">
      <c r="R343" s="1381"/>
      <c r="S343" s="1381"/>
      <c r="W343" s="1381"/>
      <c r="X343" s="1381"/>
      <c r="AE343" s="1381"/>
      <c r="AF343" s="1381"/>
      <c r="AV343" s="1381"/>
      <c r="AW343" s="1381"/>
      <c r="AX343" s="1381"/>
      <c r="AY343" s="1381"/>
      <c r="AZ343" s="1381"/>
      <c r="BA343" s="1381"/>
      <c r="BC343" s="1381"/>
      <c r="BE343" s="1381"/>
      <c r="BF343" s="1381"/>
      <c r="BG343" s="1381"/>
    </row>
    <row r="344">
      <c r="R344" s="1381"/>
      <c r="S344" s="1381"/>
      <c r="W344" s="1381"/>
      <c r="X344" s="1381"/>
      <c r="AE344" s="1381"/>
      <c r="AF344" s="1381"/>
      <c r="AV344" s="1381"/>
      <c r="AW344" s="1381"/>
      <c r="AX344" s="1381"/>
      <c r="AY344" s="1381"/>
      <c r="AZ344" s="1381"/>
      <c r="BA344" s="1381"/>
      <c r="BC344" s="1381"/>
      <c r="BE344" s="1381"/>
      <c r="BF344" s="1381"/>
      <c r="BG344" s="1381"/>
    </row>
    <row r="345">
      <c r="R345" s="1381"/>
      <c r="S345" s="1381"/>
      <c r="W345" s="1381"/>
      <c r="X345" s="1381"/>
      <c r="AE345" s="1381"/>
      <c r="AF345" s="1381"/>
      <c r="AV345" s="1381"/>
      <c r="AW345" s="1381"/>
      <c r="AX345" s="1381"/>
      <c r="AY345" s="1381"/>
      <c r="AZ345" s="1381"/>
      <c r="BA345" s="1381"/>
      <c r="BC345" s="1381"/>
      <c r="BE345" s="1381"/>
      <c r="BF345" s="1381"/>
      <c r="BG345" s="1381"/>
    </row>
    <row r="346">
      <c r="R346" s="1381"/>
      <c r="S346" s="1381"/>
      <c r="W346" s="1381"/>
      <c r="X346" s="1381"/>
      <c r="AE346" s="1381"/>
      <c r="AF346" s="1381"/>
      <c r="AV346" s="1381"/>
      <c r="AW346" s="1381"/>
      <c r="AX346" s="1381"/>
      <c r="AY346" s="1381"/>
      <c r="AZ346" s="1381"/>
      <c r="BA346" s="1381"/>
      <c r="BC346" s="1381"/>
      <c r="BE346" s="1381"/>
      <c r="BF346" s="1381"/>
      <c r="BG346" s="1381"/>
    </row>
    <row r="347">
      <c r="R347" s="1381"/>
      <c r="S347" s="1381"/>
      <c r="W347" s="1381"/>
      <c r="X347" s="1381"/>
      <c r="AE347" s="1381"/>
      <c r="AF347" s="1381"/>
      <c r="AV347" s="1381"/>
      <c r="AW347" s="1381"/>
      <c r="AX347" s="1381"/>
      <c r="AY347" s="1381"/>
      <c r="AZ347" s="1381"/>
      <c r="BA347" s="1381"/>
      <c r="BC347" s="1381"/>
      <c r="BE347" s="1381"/>
      <c r="BF347" s="1381"/>
      <c r="BG347" s="1381"/>
    </row>
    <row r="348">
      <c r="R348" s="1381"/>
      <c r="S348" s="1381"/>
      <c r="W348" s="1381"/>
      <c r="X348" s="1381"/>
      <c r="AE348" s="1381"/>
      <c r="AF348" s="1381"/>
      <c r="AV348" s="1381"/>
      <c r="AW348" s="1381"/>
      <c r="AX348" s="1381"/>
      <c r="AY348" s="1381"/>
      <c r="AZ348" s="1381"/>
      <c r="BA348" s="1381"/>
      <c r="BC348" s="1381"/>
      <c r="BE348" s="1381"/>
      <c r="BF348" s="1381"/>
      <c r="BG348" s="1381"/>
    </row>
    <row r="349">
      <c r="R349" s="1381"/>
      <c r="S349" s="1381"/>
      <c r="W349" s="1381"/>
      <c r="X349" s="1381"/>
      <c r="AE349" s="1381"/>
      <c r="AF349" s="1381"/>
      <c r="AV349" s="1381"/>
      <c r="AW349" s="1381"/>
      <c r="AX349" s="1381"/>
      <c r="AY349" s="1381"/>
      <c r="AZ349" s="1381"/>
      <c r="BA349" s="1381"/>
      <c r="BC349" s="1381"/>
      <c r="BE349" s="1381"/>
      <c r="BF349" s="1381"/>
      <c r="BG349" s="1381"/>
    </row>
    <row r="350">
      <c r="R350" s="1381"/>
      <c r="S350" s="1381"/>
      <c r="W350" s="1381"/>
      <c r="X350" s="1381"/>
      <c r="AE350" s="1381"/>
      <c r="AF350" s="1381"/>
      <c r="AV350" s="1381"/>
      <c r="AW350" s="1381"/>
      <c r="AX350" s="1381"/>
      <c r="AY350" s="1381"/>
      <c r="AZ350" s="1381"/>
      <c r="BA350" s="1381"/>
      <c r="BC350" s="1381"/>
      <c r="BE350" s="1381"/>
      <c r="BF350" s="1381"/>
      <c r="BG350" s="1381"/>
    </row>
    <row r="351">
      <c r="R351" s="1381"/>
      <c r="S351" s="1381"/>
      <c r="W351" s="1381"/>
      <c r="X351" s="1381"/>
      <c r="AE351" s="1381"/>
      <c r="AF351" s="1381"/>
      <c r="AV351" s="1381"/>
      <c r="AW351" s="1381"/>
      <c r="AX351" s="1381"/>
      <c r="AY351" s="1381"/>
      <c r="AZ351" s="1381"/>
      <c r="BA351" s="1381"/>
      <c r="BC351" s="1381"/>
      <c r="BE351" s="1381"/>
      <c r="BF351" s="1381"/>
      <c r="BG351" s="1381"/>
    </row>
    <row r="352">
      <c r="R352" s="1381"/>
      <c r="S352" s="1381"/>
      <c r="W352" s="1381"/>
      <c r="X352" s="1381"/>
      <c r="AE352" s="1381"/>
      <c r="AF352" s="1381"/>
      <c r="AV352" s="1381"/>
      <c r="AW352" s="1381"/>
      <c r="AX352" s="1381"/>
      <c r="AY352" s="1381"/>
      <c r="AZ352" s="1381"/>
      <c r="BA352" s="1381"/>
      <c r="BC352" s="1381"/>
      <c r="BE352" s="1381"/>
      <c r="BF352" s="1381"/>
      <c r="BG352" s="1381"/>
    </row>
    <row r="353">
      <c r="R353" s="1381"/>
      <c r="S353" s="1381"/>
      <c r="W353" s="1381"/>
      <c r="X353" s="1381"/>
      <c r="AE353" s="1381"/>
      <c r="AF353" s="1381"/>
      <c r="AV353" s="1381"/>
      <c r="AW353" s="1381"/>
      <c r="AX353" s="1381"/>
      <c r="AY353" s="1381"/>
      <c r="AZ353" s="1381"/>
      <c r="BA353" s="1381"/>
      <c r="BC353" s="1381"/>
      <c r="BE353" s="1381"/>
      <c r="BF353" s="1381"/>
      <c r="BG353" s="1381"/>
    </row>
    <row r="354">
      <c r="R354" s="1381"/>
      <c r="S354" s="1381"/>
      <c r="W354" s="1381"/>
      <c r="X354" s="1381"/>
      <c r="AE354" s="1381"/>
      <c r="AF354" s="1381"/>
      <c r="AV354" s="1381"/>
      <c r="AW354" s="1381"/>
      <c r="AX354" s="1381"/>
      <c r="AY354" s="1381"/>
      <c r="AZ354" s="1381"/>
      <c r="BA354" s="1381"/>
      <c r="BC354" s="1381"/>
      <c r="BE354" s="1381"/>
      <c r="BF354" s="1381"/>
      <c r="BG354" s="1381"/>
    </row>
    <row r="355">
      <c r="R355" s="1381"/>
      <c r="S355" s="1381"/>
      <c r="W355" s="1381"/>
      <c r="X355" s="1381"/>
      <c r="AE355" s="1381"/>
      <c r="AF355" s="1381"/>
      <c r="AV355" s="1381"/>
      <c r="AW355" s="1381"/>
      <c r="AX355" s="1381"/>
      <c r="AY355" s="1381"/>
      <c r="AZ355" s="1381"/>
      <c r="BA355" s="1381"/>
      <c r="BC355" s="1381"/>
      <c r="BE355" s="1381"/>
      <c r="BF355" s="1381"/>
      <c r="BG355" s="1381"/>
    </row>
    <row r="356">
      <c r="R356" s="1381"/>
      <c r="S356" s="1381"/>
      <c r="W356" s="1381"/>
      <c r="X356" s="1381"/>
      <c r="AE356" s="1381"/>
      <c r="AF356" s="1381"/>
      <c r="AV356" s="1381"/>
      <c r="AW356" s="1381"/>
      <c r="AX356" s="1381"/>
      <c r="AY356" s="1381"/>
      <c r="AZ356" s="1381"/>
      <c r="BA356" s="1381"/>
      <c r="BC356" s="1381"/>
      <c r="BE356" s="1381"/>
      <c r="BF356" s="1381"/>
      <c r="BG356" s="1381"/>
    </row>
    <row r="357">
      <c r="R357" s="1381"/>
      <c r="S357" s="1381"/>
      <c r="W357" s="1381"/>
      <c r="X357" s="1381"/>
      <c r="AE357" s="1381"/>
      <c r="AF357" s="1381"/>
      <c r="AV357" s="1381"/>
      <c r="AW357" s="1381"/>
      <c r="AX357" s="1381"/>
      <c r="AY357" s="1381"/>
      <c r="AZ357" s="1381"/>
      <c r="BA357" s="1381"/>
      <c r="BC357" s="1381"/>
      <c r="BE357" s="1381"/>
      <c r="BF357" s="1381"/>
      <c r="BG357" s="1381"/>
    </row>
    <row r="358">
      <c r="R358" s="1381"/>
      <c r="S358" s="1381"/>
      <c r="W358" s="1381"/>
      <c r="X358" s="1381"/>
      <c r="AE358" s="1381"/>
      <c r="AF358" s="1381"/>
      <c r="AV358" s="1381"/>
      <c r="AW358" s="1381"/>
      <c r="AX358" s="1381"/>
      <c r="AY358" s="1381"/>
      <c r="AZ358" s="1381"/>
      <c r="BA358" s="1381"/>
      <c r="BC358" s="1381"/>
      <c r="BE358" s="1381"/>
      <c r="BF358" s="1381"/>
      <c r="BG358" s="1381"/>
    </row>
    <row r="359">
      <c r="R359" s="1381"/>
      <c r="S359" s="1381"/>
      <c r="W359" s="1381"/>
      <c r="X359" s="1381"/>
      <c r="AE359" s="1381"/>
      <c r="AF359" s="1381"/>
      <c r="AV359" s="1381"/>
      <c r="AW359" s="1381"/>
      <c r="AX359" s="1381"/>
      <c r="AY359" s="1381"/>
      <c r="AZ359" s="1381"/>
      <c r="BA359" s="1381"/>
      <c r="BC359" s="1381"/>
      <c r="BE359" s="1381"/>
      <c r="BF359" s="1381"/>
      <c r="BG359" s="1381"/>
    </row>
    <row r="360">
      <c r="R360" s="1381"/>
      <c r="S360" s="1381"/>
      <c r="W360" s="1381"/>
      <c r="X360" s="1381"/>
      <c r="AE360" s="1381"/>
      <c r="AF360" s="1381"/>
      <c r="AV360" s="1381"/>
      <c r="AW360" s="1381"/>
      <c r="AX360" s="1381"/>
      <c r="AY360" s="1381"/>
      <c r="AZ360" s="1381"/>
      <c r="BA360" s="1381"/>
      <c r="BC360" s="1381"/>
      <c r="BE360" s="1381"/>
      <c r="BF360" s="1381"/>
      <c r="BG360" s="1381"/>
    </row>
    <row r="361">
      <c r="R361" s="1381"/>
      <c r="S361" s="1381"/>
      <c r="W361" s="1381"/>
      <c r="X361" s="1381"/>
      <c r="AE361" s="1381"/>
      <c r="AF361" s="1381"/>
      <c r="AV361" s="1381"/>
      <c r="AW361" s="1381"/>
      <c r="AX361" s="1381"/>
      <c r="AY361" s="1381"/>
      <c r="AZ361" s="1381"/>
      <c r="BA361" s="1381"/>
      <c r="BC361" s="1381"/>
      <c r="BE361" s="1381"/>
      <c r="BF361" s="1381"/>
      <c r="BG361" s="1381"/>
    </row>
    <row r="362">
      <c r="R362" s="1381"/>
      <c r="S362" s="1381"/>
      <c r="W362" s="1381"/>
      <c r="X362" s="1381"/>
      <c r="AE362" s="1381"/>
      <c r="AF362" s="1381"/>
      <c r="AV362" s="1381"/>
      <c r="AW362" s="1381"/>
      <c r="AX362" s="1381"/>
      <c r="AY362" s="1381"/>
      <c r="AZ362" s="1381"/>
      <c r="BA362" s="1381"/>
      <c r="BC362" s="1381"/>
      <c r="BE362" s="1381"/>
      <c r="BF362" s="1381"/>
      <c r="BG362" s="1381"/>
    </row>
    <row r="363">
      <c r="R363" s="1381"/>
      <c r="S363" s="1381"/>
      <c r="W363" s="1381"/>
      <c r="X363" s="1381"/>
      <c r="AE363" s="1381"/>
      <c r="AF363" s="1381"/>
      <c r="AV363" s="1381"/>
      <c r="AW363" s="1381"/>
      <c r="AX363" s="1381"/>
      <c r="AY363" s="1381"/>
      <c r="AZ363" s="1381"/>
      <c r="BA363" s="1381"/>
      <c r="BC363" s="1381"/>
      <c r="BE363" s="1381"/>
      <c r="BF363" s="1381"/>
      <c r="BG363" s="1381"/>
    </row>
    <row r="364">
      <c r="R364" s="1381"/>
      <c r="S364" s="1381"/>
      <c r="W364" s="1381"/>
      <c r="X364" s="1381"/>
      <c r="AE364" s="1381"/>
      <c r="AF364" s="1381"/>
      <c r="AV364" s="1381"/>
      <c r="AW364" s="1381"/>
      <c r="AX364" s="1381"/>
      <c r="AY364" s="1381"/>
      <c r="AZ364" s="1381"/>
      <c r="BA364" s="1381"/>
      <c r="BC364" s="1381"/>
      <c r="BE364" s="1381"/>
      <c r="BF364" s="1381"/>
      <c r="BG364" s="1381"/>
    </row>
    <row r="365">
      <c r="R365" s="1381"/>
      <c r="S365" s="1381"/>
      <c r="W365" s="1381"/>
      <c r="X365" s="1381"/>
      <c r="AE365" s="1381"/>
      <c r="AF365" s="1381"/>
      <c r="AV365" s="1381"/>
      <c r="AW365" s="1381"/>
      <c r="AX365" s="1381"/>
      <c r="AY365" s="1381"/>
      <c r="AZ365" s="1381"/>
      <c r="BA365" s="1381"/>
      <c r="BC365" s="1381"/>
      <c r="BE365" s="1381"/>
      <c r="BF365" s="1381"/>
      <c r="BG365" s="1381"/>
    </row>
    <row r="366">
      <c r="R366" s="1381"/>
      <c r="S366" s="1381"/>
      <c r="W366" s="1381"/>
      <c r="X366" s="1381"/>
      <c r="AE366" s="1381"/>
      <c r="AF366" s="1381"/>
      <c r="AV366" s="1381"/>
      <c r="AW366" s="1381"/>
      <c r="AX366" s="1381"/>
      <c r="AY366" s="1381"/>
      <c r="AZ366" s="1381"/>
      <c r="BA366" s="1381"/>
      <c r="BC366" s="1381"/>
      <c r="BE366" s="1381"/>
      <c r="BF366" s="1381"/>
      <c r="BG366" s="1381"/>
    </row>
    <row r="367">
      <c r="R367" s="1381"/>
      <c r="S367" s="1381"/>
      <c r="W367" s="1381"/>
      <c r="X367" s="1381"/>
      <c r="AE367" s="1381"/>
      <c r="AF367" s="1381"/>
      <c r="AV367" s="1381"/>
      <c r="AW367" s="1381"/>
      <c r="AX367" s="1381"/>
      <c r="AY367" s="1381"/>
      <c r="AZ367" s="1381"/>
      <c r="BA367" s="1381"/>
      <c r="BC367" s="1381"/>
      <c r="BE367" s="1381"/>
      <c r="BF367" s="1381"/>
      <c r="BG367" s="1381"/>
    </row>
    <row r="368">
      <c r="R368" s="1381"/>
      <c r="S368" s="1381"/>
      <c r="W368" s="1381"/>
      <c r="X368" s="1381"/>
      <c r="AE368" s="1381"/>
      <c r="AF368" s="1381"/>
      <c r="AV368" s="1381"/>
      <c r="AW368" s="1381"/>
      <c r="AX368" s="1381"/>
      <c r="AY368" s="1381"/>
      <c r="AZ368" s="1381"/>
      <c r="BA368" s="1381"/>
      <c r="BC368" s="1381"/>
      <c r="BE368" s="1381"/>
      <c r="BF368" s="1381"/>
      <c r="BG368" s="1381"/>
    </row>
    <row r="369">
      <c r="R369" s="1381"/>
      <c r="S369" s="1381"/>
      <c r="W369" s="1381"/>
      <c r="X369" s="1381"/>
      <c r="AE369" s="1381"/>
      <c r="AF369" s="1381"/>
      <c r="AV369" s="1381"/>
      <c r="AW369" s="1381"/>
      <c r="AX369" s="1381"/>
      <c r="AY369" s="1381"/>
      <c r="AZ369" s="1381"/>
      <c r="BA369" s="1381"/>
      <c r="BC369" s="1381"/>
      <c r="BE369" s="1381"/>
      <c r="BF369" s="1381"/>
      <c r="BG369" s="1381"/>
    </row>
    <row r="370">
      <c r="R370" s="1381"/>
      <c r="S370" s="1381"/>
      <c r="W370" s="1381"/>
      <c r="X370" s="1381"/>
      <c r="AE370" s="1381"/>
      <c r="AF370" s="1381"/>
      <c r="AV370" s="1381"/>
      <c r="AW370" s="1381"/>
      <c r="AX370" s="1381"/>
      <c r="AY370" s="1381"/>
      <c r="AZ370" s="1381"/>
      <c r="BA370" s="1381"/>
      <c r="BC370" s="1381"/>
      <c r="BE370" s="1381"/>
      <c r="BF370" s="1381"/>
      <c r="BG370" s="1381"/>
    </row>
    <row r="371">
      <c r="R371" s="1381"/>
      <c r="S371" s="1381"/>
      <c r="W371" s="1381"/>
      <c r="X371" s="1381"/>
      <c r="AE371" s="1381"/>
      <c r="AF371" s="1381"/>
      <c r="AV371" s="1381"/>
      <c r="AW371" s="1381"/>
      <c r="AX371" s="1381"/>
      <c r="AY371" s="1381"/>
      <c r="AZ371" s="1381"/>
      <c r="BA371" s="1381"/>
      <c r="BC371" s="1381"/>
      <c r="BE371" s="1381"/>
      <c r="BF371" s="1381"/>
      <c r="BG371" s="1381"/>
    </row>
    <row r="372">
      <c r="R372" s="1381"/>
      <c r="S372" s="1381"/>
      <c r="W372" s="1381"/>
      <c r="X372" s="1381"/>
      <c r="AE372" s="1381"/>
      <c r="AF372" s="1381"/>
      <c r="AV372" s="1381"/>
      <c r="AW372" s="1381"/>
      <c r="AX372" s="1381"/>
      <c r="AY372" s="1381"/>
      <c r="AZ372" s="1381"/>
      <c r="BA372" s="1381"/>
      <c r="BC372" s="1381"/>
      <c r="BE372" s="1381"/>
      <c r="BF372" s="1381"/>
      <c r="BG372" s="1381"/>
    </row>
    <row r="373">
      <c r="R373" s="1381"/>
      <c r="S373" s="1381"/>
      <c r="W373" s="1381"/>
      <c r="X373" s="1381"/>
      <c r="AE373" s="1381"/>
      <c r="AF373" s="1381"/>
      <c r="AV373" s="1381"/>
      <c r="AW373" s="1381"/>
      <c r="AX373" s="1381"/>
      <c r="AY373" s="1381"/>
      <c r="AZ373" s="1381"/>
      <c r="BA373" s="1381"/>
      <c r="BC373" s="1381"/>
      <c r="BE373" s="1381"/>
      <c r="BF373" s="1381"/>
      <c r="BG373" s="1381"/>
    </row>
    <row r="374">
      <c r="R374" s="1381"/>
      <c r="S374" s="1381"/>
      <c r="W374" s="1381"/>
      <c r="X374" s="1381"/>
      <c r="AE374" s="1381"/>
      <c r="AF374" s="1381"/>
      <c r="AV374" s="1381"/>
      <c r="AW374" s="1381"/>
      <c r="AX374" s="1381"/>
      <c r="AY374" s="1381"/>
      <c r="AZ374" s="1381"/>
      <c r="BA374" s="1381"/>
      <c r="BC374" s="1381"/>
      <c r="BE374" s="1381"/>
      <c r="BF374" s="1381"/>
      <c r="BG374" s="1381"/>
    </row>
    <row r="375">
      <c r="R375" s="1381"/>
      <c r="S375" s="1381"/>
      <c r="W375" s="1381"/>
      <c r="X375" s="1381"/>
      <c r="AE375" s="1381"/>
      <c r="AF375" s="1381"/>
      <c r="AV375" s="1381"/>
      <c r="AW375" s="1381"/>
      <c r="AX375" s="1381"/>
      <c r="AY375" s="1381"/>
      <c r="AZ375" s="1381"/>
      <c r="BA375" s="1381"/>
      <c r="BC375" s="1381"/>
      <c r="BE375" s="1381"/>
      <c r="BF375" s="1381"/>
      <c r="BG375" s="1381"/>
    </row>
    <row r="376">
      <c r="R376" s="1381"/>
      <c r="S376" s="1381"/>
      <c r="W376" s="1381"/>
      <c r="X376" s="1381"/>
      <c r="AE376" s="1381"/>
      <c r="AF376" s="1381"/>
      <c r="AV376" s="1381"/>
      <c r="AW376" s="1381"/>
      <c r="AX376" s="1381"/>
      <c r="AY376" s="1381"/>
      <c r="AZ376" s="1381"/>
      <c r="BA376" s="1381"/>
      <c r="BC376" s="1381"/>
      <c r="BE376" s="1381"/>
      <c r="BF376" s="1381"/>
      <c r="BG376" s="1381"/>
    </row>
    <row r="377">
      <c r="R377" s="1381"/>
      <c r="S377" s="1381"/>
      <c r="W377" s="1381"/>
      <c r="X377" s="1381"/>
      <c r="AE377" s="1381"/>
      <c r="AF377" s="1381"/>
      <c r="AV377" s="1381"/>
      <c r="AW377" s="1381"/>
      <c r="AX377" s="1381"/>
      <c r="AY377" s="1381"/>
      <c r="AZ377" s="1381"/>
      <c r="BA377" s="1381"/>
      <c r="BC377" s="1381"/>
      <c r="BE377" s="1381"/>
      <c r="BF377" s="1381"/>
      <c r="BG377" s="1381"/>
    </row>
    <row r="378">
      <c r="R378" s="1381"/>
      <c r="S378" s="1381"/>
      <c r="W378" s="1381"/>
      <c r="X378" s="1381"/>
      <c r="AE378" s="1381"/>
      <c r="AF378" s="1381"/>
      <c r="AV378" s="1381"/>
      <c r="AW378" s="1381"/>
      <c r="AX378" s="1381"/>
      <c r="AY378" s="1381"/>
      <c r="AZ378" s="1381"/>
      <c r="BA378" s="1381"/>
      <c r="BC378" s="1381"/>
      <c r="BE378" s="1381"/>
      <c r="BF378" s="1381"/>
      <c r="BG378" s="1381"/>
    </row>
    <row r="379">
      <c r="R379" s="1381"/>
      <c r="S379" s="1381"/>
      <c r="W379" s="1381"/>
      <c r="X379" s="1381"/>
      <c r="AE379" s="1381"/>
      <c r="AF379" s="1381"/>
      <c r="AV379" s="1381"/>
      <c r="AW379" s="1381"/>
      <c r="AX379" s="1381"/>
      <c r="AY379" s="1381"/>
      <c r="AZ379" s="1381"/>
      <c r="BA379" s="1381"/>
      <c r="BC379" s="1381"/>
      <c r="BE379" s="1381"/>
      <c r="BF379" s="1381"/>
      <c r="BG379" s="1381"/>
    </row>
    <row r="380">
      <c r="R380" s="1381"/>
      <c r="S380" s="1381"/>
      <c r="W380" s="1381"/>
      <c r="X380" s="1381"/>
      <c r="AE380" s="1381"/>
      <c r="AF380" s="1381"/>
      <c r="AV380" s="1381"/>
      <c r="AW380" s="1381"/>
      <c r="AX380" s="1381"/>
      <c r="AY380" s="1381"/>
      <c r="AZ380" s="1381"/>
      <c r="BA380" s="1381"/>
      <c r="BC380" s="1381"/>
      <c r="BE380" s="1381"/>
      <c r="BF380" s="1381"/>
      <c r="BG380" s="1381"/>
    </row>
    <row r="381">
      <c r="R381" s="1381"/>
      <c r="S381" s="1381"/>
      <c r="W381" s="1381"/>
      <c r="X381" s="1381"/>
      <c r="AE381" s="1381"/>
      <c r="AF381" s="1381"/>
      <c r="AV381" s="1381"/>
      <c r="AW381" s="1381"/>
      <c r="AX381" s="1381"/>
      <c r="AY381" s="1381"/>
      <c r="AZ381" s="1381"/>
      <c r="BA381" s="1381"/>
      <c r="BC381" s="1381"/>
      <c r="BE381" s="1381"/>
      <c r="BF381" s="1381"/>
      <c r="BG381" s="1381"/>
    </row>
    <row r="382">
      <c r="R382" s="1381"/>
      <c r="S382" s="1381"/>
      <c r="W382" s="1381"/>
      <c r="X382" s="1381"/>
      <c r="AE382" s="1381"/>
      <c r="AF382" s="1381"/>
      <c r="AV382" s="1381"/>
      <c r="AW382" s="1381"/>
      <c r="AX382" s="1381"/>
      <c r="AY382" s="1381"/>
      <c r="AZ382" s="1381"/>
      <c r="BA382" s="1381"/>
      <c r="BC382" s="1381"/>
      <c r="BE382" s="1381"/>
      <c r="BF382" s="1381"/>
      <c r="BG382" s="1381"/>
    </row>
    <row r="383">
      <c r="R383" s="1381"/>
      <c r="S383" s="1381"/>
      <c r="W383" s="1381"/>
      <c r="X383" s="1381"/>
      <c r="AE383" s="1381"/>
      <c r="AF383" s="1381"/>
      <c r="AV383" s="1381"/>
      <c r="AW383" s="1381"/>
      <c r="AX383" s="1381"/>
      <c r="AY383" s="1381"/>
      <c r="AZ383" s="1381"/>
      <c r="BA383" s="1381"/>
      <c r="BC383" s="1381"/>
      <c r="BE383" s="1381"/>
      <c r="BF383" s="1381"/>
      <c r="BG383" s="1381"/>
    </row>
    <row r="384">
      <c r="R384" s="1381"/>
      <c r="S384" s="1381"/>
      <c r="W384" s="1381"/>
      <c r="X384" s="1381"/>
      <c r="AE384" s="1381"/>
      <c r="AF384" s="1381"/>
      <c r="AV384" s="1381"/>
      <c r="AW384" s="1381"/>
      <c r="AX384" s="1381"/>
      <c r="AY384" s="1381"/>
      <c r="AZ384" s="1381"/>
      <c r="BA384" s="1381"/>
      <c r="BC384" s="1381"/>
      <c r="BE384" s="1381"/>
      <c r="BF384" s="1381"/>
      <c r="BG384" s="1381"/>
    </row>
    <row r="385">
      <c r="R385" s="1381"/>
      <c r="S385" s="1381"/>
      <c r="W385" s="1381"/>
      <c r="X385" s="1381"/>
      <c r="AE385" s="1381"/>
      <c r="AF385" s="1381"/>
      <c r="AV385" s="1381"/>
      <c r="AW385" s="1381"/>
      <c r="AX385" s="1381"/>
      <c r="AY385" s="1381"/>
      <c r="AZ385" s="1381"/>
      <c r="BA385" s="1381"/>
      <c r="BC385" s="1381"/>
      <c r="BE385" s="1381"/>
      <c r="BF385" s="1381"/>
      <c r="BG385" s="1381"/>
    </row>
    <row r="386">
      <c r="R386" s="1381"/>
      <c r="S386" s="1381"/>
      <c r="W386" s="1381"/>
      <c r="X386" s="1381"/>
      <c r="AE386" s="1381"/>
      <c r="AF386" s="1381"/>
      <c r="AV386" s="1381"/>
      <c r="AW386" s="1381"/>
      <c r="AX386" s="1381"/>
      <c r="AY386" s="1381"/>
      <c r="AZ386" s="1381"/>
      <c r="BA386" s="1381"/>
      <c r="BC386" s="1381"/>
      <c r="BE386" s="1381"/>
      <c r="BF386" s="1381"/>
      <c r="BG386" s="1381"/>
    </row>
    <row r="387">
      <c r="R387" s="1381"/>
      <c r="S387" s="1381"/>
      <c r="W387" s="1381"/>
      <c r="X387" s="1381"/>
      <c r="AE387" s="1381"/>
      <c r="AF387" s="1381"/>
      <c r="AV387" s="1381"/>
      <c r="AW387" s="1381"/>
      <c r="AX387" s="1381"/>
      <c r="AY387" s="1381"/>
      <c r="AZ387" s="1381"/>
      <c r="BA387" s="1381"/>
      <c r="BC387" s="1381"/>
      <c r="BE387" s="1381"/>
      <c r="BF387" s="1381"/>
      <c r="BG387" s="1381"/>
    </row>
    <row r="388">
      <c r="R388" s="1381"/>
      <c r="S388" s="1381"/>
      <c r="W388" s="1381"/>
      <c r="X388" s="1381"/>
      <c r="AE388" s="1381"/>
      <c r="AF388" s="1381"/>
      <c r="AV388" s="1381"/>
      <c r="AW388" s="1381"/>
      <c r="AX388" s="1381"/>
      <c r="AY388" s="1381"/>
      <c r="AZ388" s="1381"/>
      <c r="BA388" s="1381"/>
      <c r="BC388" s="1381"/>
      <c r="BE388" s="1381"/>
      <c r="BF388" s="1381"/>
      <c r="BG388" s="1381"/>
    </row>
    <row r="389">
      <c r="R389" s="1381"/>
      <c r="S389" s="1381"/>
      <c r="W389" s="1381"/>
      <c r="X389" s="1381"/>
      <c r="AE389" s="1381"/>
      <c r="AF389" s="1381"/>
      <c r="AV389" s="1381"/>
      <c r="AW389" s="1381"/>
      <c r="AX389" s="1381"/>
      <c r="AY389" s="1381"/>
      <c r="AZ389" s="1381"/>
      <c r="BA389" s="1381"/>
      <c r="BC389" s="1381"/>
      <c r="BE389" s="1381"/>
      <c r="BF389" s="1381"/>
      <c r="BG389" s="1381"/>
    </row>
    <row r="390">
      <c r="R390" s="1381"/>
      <c r="S390" s="1381"/>
      <c r="W390" s="1381"/>
      <c r="X390" s="1381"/>
      <c r="AE390" s="1381"/>
      <c r="AF390" s="1381"/>
      <c r="AV390" s="1381"/>
      <c r="AW390" s="1381"/>
      <c r="AX390" s="1381"/>
      <c r="AY390" s="1381"/>
      <c r="AZ390" s="1381"/>
      <c r="BA390" s="1381"/>
      <c r="BC390" s="1381"/>
      <c r="BE390" s="1381"/>
      <c r="BF390" s="1381"/>
      <c r="BG390" s="1381"/>
    </row>
    <row r="391">
      <c r="R391" s="1381"/>
      <c r="S391" s="1381"/>
      <c r="W391" s="1381"/>
      <c r="X391" s="1381"/>
      <c r="AE391" s="1381"/>
      <c r="AF391" s="1381"/>
      <c r="AV391" s="1381"/>
      <c r="AW391" s="1381"/>
      <c r="AX391" s="1381"/>
      <c r="AY391" s="1381"/>
      <c r="AZ391" s="1381"/>
      <c r="BA391" s="1381"/>
      <c r="BC391" s="1381"/>
      <c r="BE391" s="1381"/>
      <c r="BF391" s="1381"/>
      <c r="BG391" s="1381"/>
    </row>
    <row r="392">
      <c r="R392" s="1381"/>
      <c r="S392" s="1381"/>
      <c r="W392" s="1381"/>
      <c r="X392" s="1381"/>
      <c r="AE392" s="1381"/>
      <c r="AF392" s="1381"/>
      <c r="AV392" s="1381"/>
      <c r="AW392" s="1381"/>
      <c r="AX392" s="1381"/>
      <c r="AY392" s="1381"/>
      <c r="AZ392" s="1381"/>
      <c r="BA392" s="1381"/>
      <c r="BC392" s="1381"/>
      <c r="BE392" s="1381"/>
      <c r="BF392" s="1381"/>
      <c r="BG392" s="1381"/>
    </row>
    <row r="393">
      <c r="R393" s="1381"/>
      <c r="S393" s="1381"/>
      <c r="W393" s="1381"/>
      <c r="X393" s="1381"/>
      <c r="AE393" s="1381"/>
      <c r="AF393" s="1381"/>
      <c r="AV393" s="1381"/>
      <c r="AW393" s="1381"/>
      <c r="AX393" s="1381"/>
      <c r="AY393" s="1381"/>
      <c r="AZ393" s="1381"/>
      <c r="BA393" s="1381"/>
      <c r="BC393" s="1381"/>
      <c r="BE393" s="1381"/>
      <c r="BF393" s="1381"/>
      <c r="BG393" s="1381"/>
    </row>
    <row r="394">
      <c r="R394" s="1381"/>
      <c r="S394" s="1381"/>
      <c r="W394" s="1381"/>
      <c r="X394" s="1381"/>
      <c r="AE394" s="1381"/>
      <c r="AF394" s="1381"/>
      <c r="AV394" s="1381"/>
      <c r="AW394" s="1381"/>
      <c r="AX394" s="1381"/>
      <c r="AY394" s="1381"/>
      <c r="AZ394" s="1381"/>
      <c r="BA394" s="1381"/>
      <c r="BC394" s="1381"/>
      <c r="BE394" s="1381"/>
      <c r="BF394" s="1381"/>
      <c r="BG394" s="1381"/>
    </row>
    <row r="395">
      <c r="R395" s="1381"/>
      <c r="S395" s="1381"/>
      <c r="W395" s="1381"/>
      <c r="X395" s="1381"/>
      <c r="AE395" s="1381"/>
      <c r="AF395" s="1381"/>
      <c r="AV395" s="1381"/>
      <c r="AW395" s="1381"/>
      <c r="AX395" s="1381"/>
      <c r="AY395" s="1381"/>
      <c r="AZ395" s="1381"/>
      <c r="BA395" s="1381"/>
      <c r="BC395" s="1381"/>
      <c r="BE395" s="1381"/>
      <c r="BF395" s="1381"/>
      <c r="BG395" s="1381"/>
    </row>
    <row r="396">
      <c r="R396" s="1381"/>
      <c r="S396" s="1381"/>
      <c r="W396" s="1381"/>
      <c r="X396" s="1381"/>
      <c r="AE396" s="1381"/>
      <c r="AF396" s="1381"/>
      <c r="AV396" s="1381"/>
      <c r="AW396" s="1381"/>
      <c r="AX396" s="1381"/>
      <c r="AY396" s="1381"/>
      <c r="AZ396" s="1381"/>
      <c r="BA396" s="1381"/>
      <c r="BC396" s="1381"/>
      <c r="BE396" s="1381"/>
      <c r="BF396" s="1381"/>
      <c r="BG396" s="1381"/>
    </row>
    <row r="397">
      <c r="R397" s="1381"/>
      <c r="S397" s="1381"/>
      <c r="W397" s="1381"/>
      <c r="X397" s="1381"/>
      <c r="AE397" s="1381"/>
      <c r="AF397" s="1381"/>
      <c r="AV397" s="1381"/>
      <c r="AW397" s="1381"/>
      <c r="AX397" s="1381"/>
      <c r="AY397" s="1381"/>
      <c r="AZ397" s="1381"/>
      <c r="BA397" s="1381"/>
      <c r="BC397" s="1381"/>
      <c r="BE397" s="1381"/>
      <c r="BF397" s="1381"/>
      <c r="BG397" s="1381"/>
    </row>
    <row r="398">
      <c r="R398" s="1381"/>
      <c r="S398" s="1381"/>
      <c r="W398" s="1381"/>
      <c r="X398" s="1381"/>
      <c r="AE398" s="1381"/>
      <c r="AF398" s="1381"/>
      <c r="AV398" s="1381"/>
      <c r="AW398" s="1381"/>
      <c r="AX398" s="1381"/>
      <c r="AY398" s="1381"/>
      <c r="AZ398" s="1381"/>
      <c r="BA398" s="1381"/>
      <c r="BC398" s="1381"/>
      <c r="BE398" s="1381"/>
      <c r="BF398" s="1381"/>
      <c r="BG398" s="1381"/>
    </row>
    <row r="399">
      <c r="R399" s="1381"/>
      <c r="S399" s="1381"/>
      <c r="W399" s="1381"/>
      <c r="X399" s="1381"/>
      <c r="AE399" s="1381"/>
      <c r="AF399" s="1381"/>
      <c r="AV399" s="1381"/>
      <c r="AW399" s="1381"/>
      <c r="AX399" s="1381"/>
      <c r="AY399" s="1381"/>
      <c r="AZ399" s="1381"/>
      <c r="BA399" s="1381"/>
      <c r="BC399" s="1381"/>
      <c r="BE399" s="1381"/>
      <c r="BF399" s="1381"/>
      <c r="BG399" s="1381"/>
    </row>
    <row r="400">
      <c r="R400" s="1381"/>
      <c r="S400" s="1381"/>
      <c r="W400" s="1381"/>
      <c r="X400" s="1381"/>
      <c r="AE400" s="1381"/>
      <c r="AF400" s="1381"/>
      <c r="AV400" s="1381"/>
      <c r="AW400" s="1381"/>
      <c r="AX400" s="1381"/>
      <c r="AY400" s="1381"/>
      <c r="AZ400" s="1381"/>
      <c r="BA400" s="1381"/>
      <c r="BC400" s="1381"/>
      <c r="BE400" s="1381"/>
      <c r="BF400" s="1381"/>
      <c r="BG400" s="1381"/>
    </row>
    <row r="401">
      <c r="R401" s="1381"/>
      <c r="S401" s="1381"/>
      <c r="W401" s="1381"/>
      <c r="X401" s="1381"/>
      <c r="AE401" s="1381"/>
      <c r="AF401" s="1381"/>
      <c r="AV401" s="1381"/>
      <c r="AW401" s="1381"/>
      <c r="AX401" s="1381"/>
      <c r="AY401" s="1381"/>
      <c r="AZ401" s="1381"/>
      <c r="BA401" s="1381"/>
      <c r="BC401" s="1381"/>
      <c r="BE401" s="1381"/>
      <c r="BF401" s="1381"/>
      <c r="BG401" s="1381"/>
    </row>
    <row r="402">
      <c r="R402" s="1381"/>
      <c r="S402" s="1381"/>
      <c r="W402" s="1381"/>
      <c r="X402" s="1381"/>
      <c r="AE402" s="1381"/>
      <c r="AF402" s="1381"/>
      <c r="AV402" s="1381"/>
      <c r="AW402" s="1381"/>
      <c r="AX402" s="1381"/>
      <c r="AY402" s="1381"/>
      <c r="AZ402" s="1381"/>
      <c r="BA402" s="1381"/>
      <c r="BC402" s="1381"/>
      <c r="BE402" s="1381"/>
      <c r="BF402" s="1381"/>
      <c r="BG402" s="1381"/>
    </row>
    <row r="403">
      <c r="R403" s="1381"/>
      <c r="S403" s="1381"/>
      <c r="W403" s="1381"/>
      <c r="X403" s="1381"/>
      <c r="AE403" s="1381"/>
      <c r="AF403" s="1381"/>
      <c r="AV403" s="1381"/>
      <c r="AW403" s="1381"/>
      <c r="AX403" s="1381"/>
      <c r="AY403" s="1381"/>
      <c r="AZ403" s="1381"/>
      <c r="BA403" s="1381"/>
      <c r="BC403" s="1381"/>
      <c r="BE403" s="1381"/>
      <c r="BF403" s="1381"/>
      <c r="BG403" s="1381"/>
    </row>
    <row r="404">
      <c r="R404" s="1381"/>
      <c r="S404" s="1381"/>
      <c r="W404" s="1381"/>
      <c r="X404" s="1381"/>
      <c r="AE404" s="1381"/>
      <c r="AF404" s="1381"/>
      <c r="AV404" s="1381"/>
      <c r="AW404" s="1381"/>
      <c r="AX404" s="1381"/>
      <c r="AY404" s="1381"/>
      <c r="AZ404" s="1381"/>
      <c r="BA404" s="1381"/>
      <c r="BC404" s="1381"/>
      <c r="BE404" s="1381"/>
      <c r="BF404" s="1381"/>
      <c r="BG404" s="1381"/>
    </row>
    <row r="405">
      <c r="R405" s="1381"/>
      <c r="S405" s="1381"/>
      <c r="W405" s="1381"/>
      <c r="X405" s="1381"/>
      <c r="AE405" s="1381"/>
      <c r="AF405" s="1381"/>
      <c r="AV405" s="1381"/>
      <c r="AW405" s="1381"/>
      <c r="AX405" s="1381"/>
      <c r="AY405" s="1381"/>
      <c r="AZ405" s="1381"/>
      <c r="BA405" s="1381"/>
      <c r="BC405" s="1381"/>
      <c r="BE405" s="1381"/>
      <c r="BF405" s="1381"/>
      <c r="BG405" s="1381"/>
    </row>
    <row r="406">
      <c r="R406" s="1381"/>
      <c r="S406" s="1381"/>
      <c r="W406" s="1381"/>
      <c r="X406" s="1381"/>
      <c r="AE406" s="1381"/>
      <c r="AF406" s="1381"/>
      <c r="AV406" s="1381"/>
      <c r="AW406" s="1381"/>
      <c r="AX406" s="1381"/>
      <c r="AY406" s="1381"/>
      <c r="AZ406" s="1381"/>
      <c r="BA406" s="1381"/>
      <c r="BC406" s="1381"/>
      <c r="BE406" s="1381"/>
      <c r="BF406" s="1381"/>
      <c r="BG406" s="1381"/>
    </row>
    <row r="407">
      <c r="R407" s="1381"/>
      <c r="S407" s="1381"/>
      <c r="W407" s="1381"/>
      <c r="X407" s="1381"/>
      <c r="AE407" s="1381"/>
      <c r="AF407" s="1381"/>
      <c r="AV407" s="1381"/>
      <c r="AW407" s="1381"/>
      <c r="AX407" s="1381"/>
      <c r="AY407" s="1381"/>
      <c r="AZ407" s="1381"/>
      <c r="BA407" s="1381"/>
      <c r="BC407" s="1381"/>
      <c r="BE407" s="1381"/>
      <c r="BF407" s="1381"/>
      <c r="BG407" s="1381"/>
    </row>
    <row r="408">
      <c r="R408" s="1381"/>
      <c r="S408" s="1381"/>
      <c r="W408" s="1381"/>
      <c r="X408" s="1381"/>
      <c r="AE408" s="1381"/>
      <c r="AF408" s="1381"/>
      <c r="AV408" s="1381"/>
      <c r="AW408" s="1381"/>
      <c r="AX408" s="1381"/>
      <c r="AY408" s="1381"/>
      <c r="AZ408" s="1381"/>
      <c r="BA408" s="1381"/>
      <c r="BC408" s="1381"/>
      <c r="BE408" s="1381"/>
      <c r="BF408" s="1381"/>
      <c r="BG408" s="1381"/>
    </row>
    <row r="409">
      <c r="R409" s="1381"/>
      <c r="S409" s="1381"/>
      <c r="W409" s="1381"/>
      <c r="X409" s="1381"/>
      <c r="AE409" s="1381"/>
      <c r="AF409" s="1381"/>
      <c r="AV409" s="1381"/>
      <c r="AW409" s="1381"/>
      <c r="AX409" s="1381"/>
      <c r="AY409" s="1381"/>
      <c r="AZ409" s="1381"/>
      <c r="BA409" s="1381"/>
      <c r="BC409" s="1381"/>
      <c r="BE409" s="1381"/>
      <c r="BF409" s="1381"/>
      <c r="BG409" s="1381"/>
    </row>
    <row r="410">
      <c r="R410" s="1381"/>
      <c r="S410" s="1381"/>
      <c r="W410" s="1381"/>
      <c r="X410" s="1381"/>
      <c r="AE410" s="1381"/>
      <c r="AF410" s="1381"/>
      <c r="AV410" s="1381"/>
      <c r="AW410" s="1381"/>
      <c r="AX410" s="1381"/>
      <c r="AY410" s="1381"/>
      <c r="AZ410" s="1381"/>
      <c r="BA410" s="1381"/>
      <c r="BC410" s="1381"/>
      <c r="BE410" s="1381"/>
      <c r="BF410" s="1381"/>
      <c r="BG410" s="1381"/>
    </row>
    <row r="411">
      <c r="R411" s="1381"/>
      <c r="S411" s="1381"/>
      <c r="W411" s="1381"/>
      <c r="X411" s="1381"/>
      <c r="AE411" s="1381"/>
      <c r="AF411" s="1381"/>
      <c r="AV411" s="1381"/>
      <c r="AW411" s="1381"/>
      <c r="AX411" s="1381"/>
      <c r="AY411" s="1381"/>
      <c r="AZ411" s="1381"/>
      <c r="BA411" s="1381"/>
      <c r="BC411" s="1381"/>
      <c r="BE411" s="1381"/>
      <c r="BF411" s="1381"/>
      <c r="BG411" s="1381"/>
    </row>
    <row r="412">
      <c r="R412" s="1381"/>
      <c r="S412" s="1381"/>
      <c r="W412" s="1381"/>
      <c r="X412" s="1381"/>
      <c r="AE412" s="1381"/>
      <c r="AF412" s="1381"/>
      <c r="AV412" s="1381"/>
      <c r="AW412" s="1381"/>
      <c r="AX412" s="1381"/>
      <c r="AY412" s="1381"/>
      <c r="AZ412" s="1381"/>
      <c r="BA412" s="1381"/>
      <c r="BC412" s="1381"/>
      <c r="BE412" s="1381"/>
      <c r="BF412" s="1381"/>
      <c r="BG412" s="1381"/>
    </row>
    <row r="413">
      <c r="R413" s="1381"/>
      <c r="S413" s="1381"/>
      <c r="W413" s="1381"/>
      <c r="X413" s="1381"/>
      <c r="AE413" s="1381"/>
      <c r="AF413" s="1381"/>
      <c r="AV413" s="1381"/>
      <c r="AW413" s="1381"/>
      <c r="AX413" s="1381"/>
      <c r="AY413" s="1381"/>
      <c r="AZ413" s="1381"/>
      <c r="BA413" s="1381"/>
      <c r="BC413" s="1381"/>
      <c r="BE413" s="1381"/>
      <c r="BF413" s="1381"/>
      <c r="BG413" s="1381"/>
    </row>
    <row r="414">
      <c r="R414" s="1381"/>
      <c r="S414" s="1381"/>
      <c r="W414" s="1381"/>
      <c r="X414" s="1381"/>
      <c r="AE414" s="1381"/>
      <c r="AF414" s="1381"/>
      <c r="AV414" s="1381"/>
      <c r="AW414" s="1381"/>
      <c r="AX414" s="1381"/>
      <c r="AY414" s="1381"/>
      <c r="AZ414" s="1381"/>
      <c r="BA414" s="1381"/>
      <c r="BC414" s="1381"/>
      <c r="BE414" s="1381"/>
      <c r="BF414" s="1381"/>
      <c r="BG414" s="1381"/>
    </row>
    <row r="415">
      <c r="R415" s="1381"/>
      <c r="S415" s="1381"/>
      <c r="W415" s="1381"/>
      <c r="X415" s="1381"/>
      <c r="AE415" s="1381"/>
      <c r="AF415" s="1381"/>
      <c r="AV415" s="1381"/>
      <c r="AW415" s="1381"/>
      <c r="AX415" s="1381"/>
      <c r="AY415" s="1381"/>
      <c r="AZ415" s="1381"/>
      <c r="BA415" s="1381"/>
      <c r="BC415" s="1381"/>
      <c r="BE415" s="1381"/>
      <c r="BF415" s="1381"/>
      <c r="BG415" s="1381"/>
    </row>
    <row r="416">
      <c r="R416" s="1381"/>
      <c r="S416" s="1381"/>
      <c r="W416" s="1381"/>
      <c r="X416" s="1381"/>
      <c r="AE416" s="1381"/>
      <c r="AF416" s="1381"/>
      <c r="AV416" s="1381"/>
      <c r="AW416" s="1381"/>
      <c r="AX416" s="1381"/>
      <c r="AY416" s="1381"/>
      <c r="AZ416" s="1381"/>
      <c r="BA416" s="1381"/>
      <c r="BC416" s="1381"/>
      <c r="BE416" s="1381"/>
      <c r="BF416" s="1381"/>
      <c r="BG416" s="1381"/>
    </row>
    <row r="417">
      <c r="R417" s="1381"/>
      <c r="S417" s="1381"/>
      <c r="W417" s="1381"/>
      <c r="X417" s="1381"/>
      <c r="AE417" s="1381"/>
      <c r="AF417" s="1381"/>
      <c r="AV417" s="1381"/>
      <c r="AW417" s="1381"/>
      <c r="AX417" s="1381"/>
      <c r="AY417" s="1381"/>
      <c r="AZ417" s="1381"/>
      <c r="BA417" s="1381"/>
      <c r="BC417" s="1381"/>
      <c r="BE417" s="1381"/>
      <c r="BF417" s="1381"/>
      <c r="BG417" s="1381"/>
    </row>
    <row r="418">
      <c r="R418" s="1381"/>
      <c r="S418" s="1381"/>
      <c r="W418" s="1381"/>
      <c r="X418" s="1381"/>
      <c r="AE418" s="1381"/>
      <c r="AF418" s="1381"/>
      <c r="AV418" s="1381"/>
      <c r="AW418" s="1381"/>
      <c r="AX418" s="1381"/>
      <c r="AY418" s="1381"/>
      <c r="AZ418" s="1381"/>
      <c r="BA418" s="1381"/>
      <c r="BC418" s="1381"/>
      <c r="BE418" s="1381"/>
      <c r="BF418" s="1381"/>
      <c r="BG418" s="1381"/>
    </row>
    <row r="419">
      <c r="R419" s="1381"/>
      <c r="S419" s="1381"/>
      <c r="W419" s="1381"/>
      <c r="X419" s="1381"/>
      <c r="AE419" s="1381"/>
      <c r="AF419" s="1381"/>
      <c r="AV419" s="1381"/>
      <c r="AW419" s="1381"/>
      <c r="AX419" s="1381"/>
      <c r="AY419" s="1381"/>
      <c r="AZ419" s="1381"/>
      <c r="BA419" s="1381"/>
      <c r="BC419" s="1381"/>
      <c r="BE419" s="1381"/>
      <c r="BF419" s="1381"/>
      <c r="BG419" s="1381"/>
    </row>
    <row r="420">
      <c r="R420" s="1381"/>
      <c r="S420" s="1381"/>
      <c r="W420" s="1381"/>
      <c r="X420" s="1381"/>
      <c r="AE420" s="1381"/>
      <c r="AF420" s="1381"/>
      <c r="AV420" s="1381"/>
      <c r="AW420" s="1381"/>
      <c r="AX420" s="1381"/>
      <c r="AY420" s="1381"/>
      <c r="AZ420" s="1381"/>
      <c r="BA420" s="1381"/>
      <c r="BC420" s="1381"/>
      <c r="BE420" s="1381"/>
      <c r="BF420" s="1381"/>
      <c r="BG420" s="1381"/>
    </row>
    <row r="421">
      <c r="R421" s="1381"/>
      <c r="S421" s="1381"/>
      <c r="W421" s="1381"/>
      <c r="X421" s="1381"/>
      <c r="AE421" s="1381"/>
      <c r="AF421" s="1381"/>
      <c r="AV421" s="1381"/>
      <c r="AW421" s="1381"/>
      <c r="AX421" s="1381"/>
      <c r="AY421" s="1381"/>
      <c r="AZ421" s="1381"/>
      <c r="BA421" s="1381"/>
      <c r="BC421" s="1381"/>
      <c r="BE421" s="1381"/>
      <c r="BF421" s="1381"/>
      <c r="BG421" s="1381"/>
    </row>
    <row r="422">
      <c r="R422" s="1381"/>
      <c r="S422" s="1381"/>
      <c r="W422" s="1381"/>
      <c r="X422" s="1381"/>
      <c r="AE422" s="1381"/>
      <c r="AF422" s="1381"/>
      <c r="AV422" s="1381"/>
      <c r="AW422" s="1381"/>
      <c r="AX422" s="1381"/>
      <c r="AY422" s="1381"/>
      <c r="AZ422" s="1381"/>
      <c r="BA422" s="1381"/>
      <c r="BC422" s="1381"/>
      <c r="BE422" s="1381"/>
      <c r="BF422" s="1381"/>
      <c r="BG422" s="1381"/>
    </row>
    <row r="423">
      <c r="R423" s="1381"/>
      <c r="S423" s="1381"/>
      <c r="W423" s="1381"/>
      <c r="X423" s="1381"/>
      <c r="AE423" s="1381"/>
      <c r="AF423" s="1381"/>
      <c r="AV423" s="1381"/>
      <c r="AW423" s="1381"/>
      <c r="AX423" s="1381"/>
      <c r="AY423" s="1381"/>
      <c r="AZ423" s="1381"/>
      <c r="BA423" s="1381"/>
      <c r="BC423" s="1381"/>
      <c r="BE423" s="1381"/>
      <c r="BF423" s="1381"/>
      <c r="BG423" s="1381"/>
    </row>
    <row r="424">
      <c r="R424" s="1381"/>
      <c r="S424" s="1381"/>
      <c r="W424" s="1381"/>
      <c r="X424" s="1381"/>
      <c r="AE424" s="1381"/>
      <c r="AF424" s="1381"/>
      <c r="AV424" s="1381"/>
      <c r="AW424" s="1381"/>
      <c r="AX424" s="1381"/>
      <c r="AY424" s="1381"/>
      <c r="AZ424" s="1381"/>
      <c r="BA424" s="1381"/>
      <c r="BC424" s="1381"/>
      <c r="BE424" s="1381"/>
      <c r="BF424" s="1381"/>
      <c r="BG424" s="1381"/>
    </row>
    <row r="425">
      <c r="R425" s="1381"/>
      <c r="S425" s="1381"/>
      <c r="W425" s="1381"/>
      <c r="X425" s="1381"/>
      <c r="AE425" s="1381"/>
      <c r="AF425" s="1381"/>
      <c r="AV425" s="1381"/>
      <c r="AW425" s="1381"/>
      <c r="AX425" s="1381"/>
      <c r="AY425" s="1381"/>
      <c r="AZ425" s="1381"/>
      <c r="BA425" s="1381"/>
      <c r="BC425" s="1381"/>
      <c r="BE425" s="1381"/>
      <c r="BF425" s="1381"/>
      <c r="BG425" s="1381"/>
    </row>
    <row r="426">
      <c r="R426" s="1381"/>
      <c r="S426" s="1381"/>
      <c r="W426" s="1381"/>
      <c r="X426" s="1381"/>
      <c r="AE426" s="1381"/>
      <c r="AF426" s="1381"/>
      <c r="AV426" s="1381"/>
      <c r="AW426" s="1381"/>
      <c r="AX426" s="1381"/>
      <c r="AY426" s="1381"/>
      <c r="AZ426" s="1381"/>
      <c r="BA426" s="1381"/>
      <c r="BC426" s="1381"/>
      <c r="BE426" s="1381"/>
      <c r="BF426" s="1381"/>
      <c r="BG426" s="1381"/>
    </row>
    <row r="427">
      <c r="R427" s="1381"/>
      <c r="S427" s="1381"/>
      <c r="W427" s="1381"/>
      <c r="X427" s="1381"/>
      <c r="AE427" s="1381"/>
      <c r="AF427" s="1381"/>
      <c r="AV427" s="1381"/>
      <c r="AW427" s="1381"/>
      <c r="AX427" s="1381"/>
      <c r="AY427" s="1381"/>
      <c r="AZ427" s="1381"/>
      <c r="BA427" s="1381"/>
      <c r="BC427" s="1381"/>
      <c r="BE427" s="1381"/>
      <c r="BF427" s="1381"/>
      <c r="BG427" s="1381"/>
    </row>
    <row r="428">
      <c r="R428" s="1381"/>
      <c r="S428" s="1381"/>
      <c r="W428" s="1381"/>
      <c r="X428" s="1381"/>
      <c r="AE428" s="1381"/>
      <c r="AF428" s="1381"/>
      <c r="AV428" s="1381"/>
      <c r="AW428" s="1381"/>
      <c r="AX428" s="1381"/>
      <c r="AY428" s="1381"/>
      <c r="AZ428" s="1381"/>
      <c r="BA428" s="1381"/>
      <c r="BC428" s="1381"/>
      <c r="BE428" s="1381"/>
      <c r="BF428" s="1381"/>
      <c r="BG428" s="1381"/>
    </row>
    <row r="429">
      <c r="R429" s="1381"/>
      <c r="S429" s="1381"/>
      <c r="W429" s="1381"/>
      <c r="X429" s="1381"/>
      <c r="AE429" s="1381"/>
      <c r="AF429" s="1381"/>
      <c r="AV429" s="1381"/>
      <c r="AW429" s="1381"/>
      <c r="AX429" s="1381"/>
      <c r="AY429" s="1381"/>
      <c r="AZ429" s="1381"/>
      <c r="BA429" s="1381"/>
      <c r="BC429" s="1381"/>
      <c r="BE429" s="1381"/>
      <c r="BF429" s="1381"/>
      <c r="BG429" s="1381"/>
    </row>
    <row r="430">
      <c r="R430" s="1381"/>
      <c r="S430" s="1381"/>
      <c r="W430" s="1381"/>
      <c r="X430" s="1381"/>
      <c r="AE430" s="1381"/>
      <c r="AF430" s="1381"/>
      <c r="AV430" s="1381"/>
      <c r="AW430" s="1381"/>
      <c r="AX430" s="1381"/>
      <c r="AY430" s="1381"/>
      <c r="AZ430" s="1381"/>
      <c r="BA430" s="1381"/>
      <c r="BC430" s="1381"/>
      <c r="BE430" s="1381"/>
      <c r="BF430" s="1381"/>
      <c r="BG430" s="1381"/>
    </row>
    <row r="431">
      <c r="R431" s="1381"/>
      <c r="S431" s="1381"/>
      <c r="W431" s="1381"/>
      <c r="X431" s="1381"/>
      <c r="AE431" s="1381"/>
      <c r="AF431" s="1381"/>
      <c r="AV431" s="1381"/>
      <c r="AW431" s="1381"/>
      <c r="AX431" s="1381"/>
      <c r="AY431" s="1381"/>
      <c r="AZ431" s="1381"/>
      <c r="BA431" s="1381"/>
      <c r="BC431" s="1381"/>
      <c r="BE431" s="1381"/>
      <c r="BF431" s="1381"/>
      <c r="BG431" s="1381"/>
    </row>
    <row r="432">
      <c r="R432" s="1381"/>
      <c r="S432" s="1381"/>
      <c r="W432" s="1381"/>
      <c r="X432" s="1381"/>
      <c r="AE432" s="1381"/>
      <c r="AF432" s="1381"/>
      <c r="AV432" s="1381"/>
      <c r="AW432" s="1381"/>
      <c r="AX432" s="1381"/>
      <c r="AY432" s="1381"/>
      <c r="AZ432" s="1381"/>
      <c r="BA432" s="1381"/>
      <c r="BC432" s="1381"/>
      <c r="BE432" s="1381"/>
      <c r="BF432" s="1381"/>
      <c r="BG432" s="1381"/>
    </row>
    <row r="433">
      <c r="R433" s="1381"/>
      <c r="S433" s="1381"/>
      <c r="W433" s="1381"/>
      <c r="X433" s="1381"/>
      <c r="AE433" s="1381"/>
      <c r="AF433" s="1381"/>
      <c r="AV433" s="1381"/>
      <c r="AW433" s="1381"/>
      <c r="AX433" s="1381"/>
      <c r="AY433" s="1381"/>
      <c r="AZ433" s="1381"/>
      <c r="BA433" s="1381"/>
      <c r="BC433" s="1381"/>
      <c r="BE433" s="1381"/>
      <c r="BF433" s="1381"/>
      <c r="BG433" s="1381"/>
    </row>
    <row r="434">
      <c r="R434" s="1381"/>
      <c r="S434" s="1381"/>
      <c r="W434" s="1381"/>
      <c r="X434" s="1381"/>
      <c r="AE434" s="1381"/>
      <c r="AF434" s="1381"/>
      <c r="AV434" s="1381"/>
      <c r="AW434" s="1381"/>
      <c r="AX434" s="1381"/>
      <c r="AY434" s="1381"/>
      <c r="AZ434" s="1381"/>
      <c r="BA434" s="1381"/>
      <c r="BC434" s="1381"/>
      <c r="BE434" s="1381"/>
      <c r="BF434" s="1381"/>
      <c r="BG434" s="1381"/>
    </row>
    <row r="435">
      <c r="R435" s="1381"/>
      <c r="S435" s="1381"/>
      <c r="W435" s="1381"/>
      <c r="X435" s="1381"/>
      <c r="AE435" s="1381"/>
      <c r="AF435" s="1381"/>
      <c r="AV435" s="1381"/>
      <c r="AW435" s="1381"/>
      <c r="AX435" s="1381"/>
      <c r="AY435" s="1381"/>
      <c r="AZ435" s="1381"/>
      <c r="BA435" s="1381"/>
      <c r="BC435" s="1381"/>
      <c r="BE435" s="1381"/>
      <c r="BF435" s="1381"/>
      <c r="BG435" s="1381"/>
    </row>
    <row r="436">
      <c r="R436" s="1381"/>
      <c r="S436" s="1381"/>
      <c r="W436" s="1381"/>
      <c r="X436" s="1381"/>
      <c r="AE436" s="1381"/>
      <c r="AF436" s="1381"/>
      <c r="AV436" s="1381"/>
      <c r="AW436" s="1381"/>
      <c r="AX436" s="1381"/>
      <c r="AY436" s="1381"/>
      <c r="AZ436" s="1381"/>
      <c r="BA436" s="1381"/>
      <c r="BC436" s="1381"/>
      <c r="BE436" s="1381"/>
      <c r="BF436" s="1381"/>
      <c r="BG436" s="1381"/>
    </row>
    <row r="437">
      <c r="R437" s="1381"/>
      <c r="S437" s="1381"/>
      <c r="W437" s="1381"/>
      <c r="X437" s="1381"/>
      <c r="AE437" s="1381"/>
      <c r="AF437" s="1381"/>
      <c r="AV437" s="1381"/>
      <c r="AW437" s="1381"/>
      <c r="AX437" s="1381"/>
      <c r="AY437" s="1381"/>
      <c r="AZ437" s="1381"/>
      <c r="BA437" s="1381"/>
      <c r="BC437" s="1381"/>
      <c r="BE437" s="1381"/>
      <c r="BF437" s="1381"/>
      <c r="BG437" s="1381"/>
    </row>
    <row r="438">
      <c r="R438" s="1381"/>
      <c r="S438" s="1381"/>
      <c r="W438" s="1381"/>
      <c r="X438" s="1381"/>
      <c r="AE438" s="1381"/>
      <c r="AF438" s="1381"/>
      <c r="AV438" s="1381"/>
      <c r="AW438" s="1381"/>
      <c r="AX438" s="1381"/>
      <c r="AY438" s="1381"/>
      <c r="AZ438" s="1381"/>
      <c r="BA438" s="1381"/>
      <c r="BC438" s="1381"/>
      <c r="BE438" s="1381"/>
      <c r="BF438" s="1381"/>
      <c r="BG438" s="1381"/>
    </row>
    <row r="439">
      <c r="R439" s="1381"/>
      <c r="S439" s="1381"/>
      <c r="W439" s="1381"/>
      <c r="X439" s="1381"/>
      <c r="AE439" s="1381"/>
      <c r="AF439" s="1381"/>
      <c r="AV439" s="1381"/>
      <c r="AW439" s="1381"/>
      <c r="AX439" s="1381"/>
      <c r="AY439" s="1381"/>
      <c r="AZ439" s="1381"/>
      <c r="BA439" s="1381"/>
      <c r="BC439" s="1381"/>
      <c r="BE439" s="1381"/>
      <c r="BF439" s="1381"/>
      <c r="BG439" s="1381"/>
    </row>
    <row r="440">
      <c r="R440" s="1381"/>
      <c r="S440" s="1381"/>
      <c r="W440" s="1381"/>
      <c r="X440" s="1381"/>
      <c r="AE440" s="1381"/>
      <c r="AF440" s="1381"/>
      <c r="AV440" s="1381"/>
      <c r="AW440" s="1381"/>
      <c r="AX440" s="1381"/>
      <c r="AY440" s="1381"/>
      <c r="AZ440" s="1381"/>
      <c r="BA440" s="1381"/>
      <c r="BC440" s="1381"/>
      <c r="BE440" s="1381"/>
      <c r="BF440" s="1381"/>
      <c r="BG440" s="1381"/>
    </row>
    <row r="441">
      <c r="R441" s="1381"/>
      <c r="S441" s="1381"/>
      <c r="W441" s="1381"/>
      <c r="X441" s="1381"/>
      <c r="AE441" s="1381"/>
      <c r="AF441" s="1381"/>
      <c r="AV441" s="1381"/>
      <c r="AW441" s="1381"/>
      <c r="AX441" s="1381"/>
      <c r="AY441" s="1381"/>
      <c r="AZ441" s="1381"/>
      <c r="BA441" s="1381"/>
      <c r="BC441" s="1381"/>
      <c r="BE441" s="1381"/>
      <c r="BF441" s="1381"/>
      <c r="BG441" s="1381"/>
    </row>
    <row r="442">
      <c r="R442" s="1381"/>
      <c r="S442" s="1381"/>
      <c r="W442" s="1381"/>
      <c r="X442" s="1381"/>
      <c r="AE442" s="1381"/>
      <c r="AF442" s="1381"/>
      <c r="AV442" s="1381"/>
      <c r="AW442" s="1381"/>
      <c r="AX442" s="1381"/>
      <c r="AY442" s="1381"/>
      <c r="AZ442" s="1381"/>
      <c r="BA442" s="1381"/>
      <c r="BC442" s="1381"/>
      <c r="BE442" s="1381"/>
      <c r="BF442" s="1381"/>
      <c r="BG442" s="1381"/>
    </row>
    <row r="443">
      <c r="R443" s="1381"/>
      <c r="S443" s="1381"/>
      <c r="W443" s="1381"/>
      <c r="X443" s="1381"/>
      <c r="AE443" s="1381"/>
      <c r="AF443" s="1381"/>
      <c r="AV443" s="1381"/>
      <c r="AW443" s="1381"/>
      <c r="AX443" s="1381"/>
      <c r="AY443" s="1381"/>
      <c r="AZ443" s="1381"/>
      <c r="BA443" s="1381"/>
      <c r="BC443" s="1381"/>
      <c r="BE443" s="1381"/>
      <c r="BF443" s="1381"/>
      <c r="BG443" s="1381"/>
    </row>
    <row r="444">
      <c r="R444" s="1381"/>
      <c r="S444" s="1381"/>
      <c r="W444" s="1381"/>
      <c r="X444" s="1381"/>
      <c r="AE444" s="1381"/>
      <c r="AF444" s="1381"/>
      <c r="AV444" s="1381"/>
      <c r="AW444" s="1381"/>
      <c r="AX444" s="1381"/>
      <c r="AY444" s="1381"/>
      <c r="AZ444" s="1381"/>
      <c r="BA444" s="1381"/>
      <c r="BC444" s="1381"/>
      <c r="BE444" s="1381"/>
      <c r="BF444" s="1381"/>
      <c r="BG444" s="1381"/>
    </row>
    <row r="445">
      <c r="R445" s="1381"/>
      <c r="S445" s="1381"/>
      <c r="W445" s="1381"/>
      <c r="X445" s="1381"/>
      <c r="AE445" s="1381"/>
      <c r="AF445" s="1381"/>
      <c r="AV445" s="1381"/>
      <c r="AW445" s="1381"/>
      <c r="AX445" s="1381"/>
      <c r="AY445" s="1381"/>
      <c r="AZ445" s="1381"/>
      <c r="BA445" s="1381"/>
      <c r="BC445" s="1381"/>
      <c r="BE445" s="1381"/>
      <c r="BF445" s="1381"/>
      <c r="BG445" s="1381"/>
    </row>
    <row r="446">
      <c r="R446" s="1381"/>
      <c r="S446" s="1381"/>
      <c r="W446" s="1381"/>
      <c r="X446" s="1381"/>
      <c r="AE446" s="1381"/>
      <c r="AF446" s="1381"/>
      <c r="AV446" s="1381"/>
      <c r="AW446" s="1381"/>
      <c r="AX446" s="1381"/>
      <c r="AY446" s="1381"/>
      <c r="AZ446" s="1381"/>
      <c r="BA446" s="1381"/>
      <c r="BC446" s="1381"/>
      <c r="BE446" s="1381"/>
      <c r="BF446" s="1381"/>
      <c r="BG446" s="1381"/>
    </row>
    <row r="447">
      <c r="R447" s="1381"/>
      <c r="S447" s="1381"/>
      <c r="W447" s="1381"/>
      <c r="X447" s="1381"/>
      <c r="AE447" s="1381"/>
      <c r="AF447" s="1381"/>
      <c r="AV447" s="1381"/>
      <c r="AW447" s="1381"/>
      <c r="AX447" s="1381"/>
      <c r="AY447" s="1381"/>
      <c r="AZ447" s="1381"/>
      <c r="BA447" s="1381"/>
      <c r="BC447" s="1381"/>
      <c r="BE447" s="1381"/>
      <c r="BF447" s="1381"/>
      <c r="BG447" s="1381"/>
    </row>
    <row r="448">
      <c r="R448" s="1381"/>
      <c r="S448" s="1381"/>
      <c r="W448" s="1381"/>
      <c r="X448" s="1381"/>
      <c r="AE448" s="1381"/>
      <c r="AF448" s="1381"/>
      <c r="AV448" s="1381"/>
      <c r="AW448" s="1381"/>
      <c r="AX448" s="1381"/>
      <c r="AY448" s="1381"/>
      <c r="AZ448" s="1381"/>
      <c r="BA448" s="1381"/>
      <c r="BC448" s="1381"/>
      <c r="BE448" s="1381"/>
      <c r="BF448" s="1381"/>
      <c r="BG448" s="1381"/>
    </row>
    <row r="449">
      <c r="R449" s="1381"/>
      <c r="S449" s="1381"/>
      <c r="W449" s="1381"/>
      <c r="X449" s="1381"/>
      <c r="AE449" s="1381"/>
      <c r="AF449" s="1381"/>
      <c r="AV449" s="1381"/>
      <c r="AW449" s="1381"/>
      <c r="AX449" s="1381"/>
      <c r="AY449" s="1381"/>
      <c r="AZ449" s="1381"/>
      <c r="BA449" s="1381"/>
      <c r="BC449" s="1381"/>
      <c r="BE449" s="1381"/>
      <c r="BF449" s="1381"/>
      <c r="BG449" s="1381"/>
    </row>
    <row r="450">
      <c r="R450" s="1381"/>
      <c r="S450" s="1381"/>
      <c r="W450" s="1381"/>
      <c r="X450" s="1381"/>
      <c r="AE450" s="1381"/>
      <c r="AF450" s="1381"/>
      <c r="AV450" s="1381"/>
      <c r="AW450" s="1381"/>
      <c r="AX450" s="1381"/>
      <c r="AY450" s="1381"/>
      <c r="AZ450" s="1381"/>
      <c r="BA450" s="1381"/>
      <c r="BC450" s="1381"/>
      <c r="BE450" s="1381"/>
      <c r="BF450" s="1381"/>
      <c r="BG450" s="1381"/>
    </row>
    <row r="451">
      <c r="R451" s="1381"/>
      <c r="S451" s="1381"/>
      <c r="W451" s="1381"/>
      <c r="X451" s="1381"/>
      <c r="AE451" s="1381"/>
      <c r="AF451" s="1381"/>
      <c r="AV451" s="1381"/>
      <c r="AW451" s="1381"/>
      <c r="AX451" s="1381"/>
      <c r="AY451" s="1381"/>
      <c r="AZ451" s="1381"/>
      <c r="BA451" s="1381"/>
      <c r="BC451" s="1381"/>
      <c r="BE451" s="1381"/>
      <c r="BF451" s="1381"/>
      <c r="BG451" s="1381"/>
    </row>
    <row r="452">
      <c r="R452" s="1381"/>
      <c r="S452" s="1381"/>
      <c r="W452" s="1381"/>
      <c r="X452" s="1381"/>
      <c r="AE452" s="1381"/>
      <c r="AF452" s="1381"/>
      <c r="AV452" s="1381"/>
      <c r="AW452" s="1381"/>
      <c r="AX452" s="1381"/>
      <c r="AY452" s="1381"/>
      <c r="AZ452" s="1381"/>
      <c r="BA452" s="1381"/>
      <c r="BC452" s="1381"/>
      <c r="BE452" s="1381"/>
      <c r="BF452" s="1381"/>
      <c r="BG452" s="1381"/>
    </row>
    <row r="453">
      <c r="R453" s="1381"/>
      <c r="S453" s="1381"/>
      <c r="W453" s="1381"/>
      <c r="X453" s="1381"/>
      <c r="AE453" s="1381"/>
      <c r="AF453" s="1381"/>
      <c r="AV453" s="1381"/>
      <c r="AW453" s="1381"/>
      <c r="AX453" s="1381"/>
      <c r="AY453" s="1381"/>
      <c r="AZ453" s="1381"/>
      <c r="BA453" s="1381"/>
      <c r="BC453" s="1381"/>
      <c r="BE453" s="1381"/>
      <c r="BF453" s="1381"/>
      <c r="BG453" s="1381"/>
    </row>
    <row r="454">
      <c r="R454" s="1381"/>
      <c r="S454" s="1381"/>
      <c r="W454" s="1381"/>
      <c r="X454" s="1381"/>
      <c r="AE454" s="1381"/>
      <c r="AF454" s="1381"/>
      <c r="AV454" s="1381"/>
      <c r="AW454" s="1381"/>
      <c r="AX454" s="1381"/>
      <c r="AY454" s="1381"/>
      <c r="AZ454" s="1381"/>
      <c r="BA454" s="1381"/>
      <c r="BC454" s="1381"/>
      <c r="BE454" s="1381"/>
      <c r="BF454" s="1381"/>
      <c r="BG454" s="1381"/>
    </row>
    <row r="455">
      <c r="R455" s="1381"/>
      <c r="S455" s="1381"/>
      <c r="W455" s="1381"/>
      <c r="X455" s="1381"/>
      <c r="AE455" s="1381"/>
      <c r="AF455" s="1381"/>
      <c r="AV455" s="1381"/>
      <c r="AW455" s="1381"/>
      <c r="AX455" s="1381"/>
      <c r="AY455" s="1381"/>
      <c r="AZ455" s="1381"/>
      <c r="BA455" s="1381"/>
      <c r="BC455" s="1381"/>
      <c r="BE455" s="1381"/>
      <c r="BF455" s="1381"/>
      <c r="BG455" s="1381"/>
    </row>
    <row r="456">
      <c r="R456" s="1381"/>
      <c r="S456" s="1381"/>
      <c r="W456" s="1381"/>
      <c r="X456" s="1381"/>
      <c r="AE456" s="1381"/>
      <c r="AF456" s="1381"/>
      <c r="AV456" s="1381"/>
      <c r="AW456" s="1381"/>
      <c r="AX456" s="1381"/>
      <c r="AY456" s="1381"/>
      <c r="AZ456" s="1381"/>
      <c r="BA456" s="1381"/>
      <c r="BC456" s="1381"/>
      <c r="BE456" s="1381"/>
      <c r="BF456" s="1381"/>
      <c r="BG456" s="1381"/>
    </row>
    <row r="457">
      <c r="R457" s="1381"/>
      <c r="S457" s="1381"/>
      <c r="W457" s="1381"/>
      <c r="X457" s="1381"/>
      <c r="AE457" s="1381"/>
      <c r="AF457" s="1381"/>
      <c r="AV457" s="1381"/>
      <c r="AW457" s="1381"/>
      <c r="AX457" s="1381"/>
      <c r="AY457" s="1381"/>
      <c r="AZ457" s="1381"/>
      <c r="BA457" s="1381"/>
      <c r="BC457" s="1381"/>
      <c r="BE457" s="1381"/>
      <c r="BF457" s="1381"/>
      <c r="BG457" s="1381"/>
    </row>
    <row r="458">
      <c r="R458" s="1381"/>
      <c r="S458" s="1381"/>
      <c r="W458" s="1381"/>
      <c r="X458" s="1381"/>
      <c r="AE458" s="1381"/>
      <c r="AF458" s="1381"/>
      <c r="AV458" s="1381"/>
      <c r="AW458" s="1381"/>
      <c r="AX458" s="1381"/>
      <c r="AY458" s="1381"/>
      <c r="AZ458" s="1381"/>
      <c r="BA458" s="1381"/>
      <c r="BC458" s="1381"/>
      <c r="BE458" s="1381"/>
      <c r="BF458" s="1381"/>
      <c r="BG458" s="1381"/>
    </row>
    <row r="459">
      <c r="R459" s="1381"/>
      <c r="S459" s="1381"/>
      <c r="W459" s="1381"/>
      <c r="X459" s="1381"/>
      <c r="AE459" s="1381"/>
      <c r="AF459" s="1381"/>
      <c r="AV459" s="1381"/>
      <c r="AW459" s="1381"/>
      <c r="AX459" s="1381"/>
      <c r="AY459" s="1381"/>
      <c r="AZ459" s="1381"/>
      <c r="BA459" s="1381"/>
      <c r="BC459" s="1381"/>
      <c r="BE459" s="1381"/>
      <c r="BF459" s="1381"/>
      <c r="BG459" s="1381"/>
    </row>
    <row r="460">
      <c r="R460" s="1381"/>
      <c r="S460" s="1381"/>
      <c r="W460" s="1381"/>
      <c r="X460" s="1381"/>
      <c r="AE460" s="1381"/>
      <c r="AF460" s="1381"/>
      <c r="AV460" s="1381"/>
      <c r="AW460" s="1381"/>
      <c r="AX460" s="1381"/>
      <c r="AY460" s="1381"/>
      <c r="AZ460" s="1381"/>
      <c r="BA460" s="1381"/>
      <c r="BC460" s="1381"/>
      <c r="BE460" s="1381"/>
      <c r="BF460" s="1381"/>
      <c r="BG460" s="1381"/>
    </row>
    <row r="461">
      <c r="R461" s="1381"/>
      <c r="S461" s="1381"/>
      <c r="W461" s="1381"/>
      <c r="X461" s="1381"/>
      <c r="AE461" s="1381"/>
      <c r="AF461" s="1381"/>
      <c r="AV461" s="1381"/>
      <c r="AW461" s="1381"/>
      <c r="AX461" s="1381"/>
      <c r="AY461" s="1381"/>
      <c r="AZ461" s="1381"/>
      <c r="BA461" s="1381"/>
      <c r="BC461" s="1381"/>
      <c r="BE461" s="1381"/>
      <c r="BF461" s="1381"/>
      <c r="BG461" s="1381"/>
    </row>
    <row r="462">
      <c r="R462" s="1381"/>
      <c r="S462" s="1381"/>
      <c r="W462" s="1381"/>
      <c r="X462" s="1381"/>
      <c r="AE462" s="1381"/>
      <c r="AF462" s="1381"/>
      <c r="AV462" s="1381"/>
      <c r="AW462" s="1381"/>
      <c r="AX462" s="1381"/>
      <c r="AY462" s="1381"/>
      <c r="AZ462" s="1381"/>
      <c r="BA462" s="1381"/>
      <c r="BC462" s="1381"/>
      <c r="BE462" s="1381"/>
      <c r="BF462" s="1381"/>
      <c r="BG462" s="1381"/>
    </row>
    <row r="463">
      <c r="R463" s="1381"/>
      <c r="S463" s="1381"/>
      <c r="W463" s="1381"/>
      <c r="X463" s="1381"/>
      <c r="AE463" s="1381"/>
      <c r="AF463" s="1381"/>
      <c r="AV463" s="1381"/>
      <c r="AW463" s="1381"/>
      <c r="AX463" s="1381"/>
      <c r="AY463" s="1381"/>
      <c r="AZ463" s="1381"/>
      <c r="BA463" s="1381"/>
      <c r="BC463" s="1381"/>
      <c r="BE463" s="1381"/>
      <c r="BF463" s="1381"/>
      <c r="BG463" s="1381"/>
    </row>
    <row r="464">
      <c r="R464" s="1381"/>
      <c r="S464" s="1381"/>
      <c r="W464" s="1381"/>
      <c r="X464" s="1381"/>
      <c r="AE464" s="1381"/>
      <c r="AF464" s="1381"/>
      <c r="AV464" s="1381"/>
      <c r="AW464" s="1381"/>
      <c r="AX464" s="1381"/>
      <c r="AY464" s="1381"/>
      <c r="AZ464" s="1381"/>
      <c r="BA464" s="1381"/>
      <c r="BC464" s="1381"/>
      <c r="BE464" s="1381"/>
      <c r="BF464" s="1381"/>
      <c r="BG464" s="1381"/>
    </row>
    <row r="465">
      <c r="R465" s="1381"/>
      <c r="S465" s="1381"/>
      <c r="W465" s="1381"/>
      <c r="X465" s="1381"/>
      <c r="AE465" s="1381"/>
      <c r="AF465" s="1381"/>
      <c r="AV465" s="1381"/>
      <c r="AW465" s="1381"/>
      <c r="AX465" s="1381"/>
      <c r="AY465" s="1381"/>
      <c r="AZ465" s="1381"/>
      <c r="BA465" s="1381"/>
      <c r="BC465" s="1381"/>
      <c r="BE465" s="1381"/>
      <c r="BF465" s="1381"/>
      <c r="BG465" s="1381"/>
    </row>
    <row r="466">
      <c r="R466" s="1381"/>
      <c r="S466" s="1381"/>
      <c r="W466" s="1381"/>
      <c r="X466" s="1381"/>
      <c r="AE466" s="1381"/>
      <c r="AF466" s="1381"/>
      <c r="AV466" s="1381"/>
      <c r="AW466" s="1381"/>
      <c r="AX466" s="1381"/>
      <c r="AY466" s="1381"/>
      <c r="AZ466" s="1381"/>
      <c r="BA466" s="1381"/>
      <c r="BC466" s="1381"/>
      <c r="BE466" s="1381"/>
      <c r="BF466" s="1381"/>
      <c r="BG466" s="1381"/>
    </row>
    <row r="467">
      <c r="R467" s="1381"/>
      <c r="S467" s="1381"/>
      <c r="W467" s="1381"/>
      <c r="X467" s="1381"/>
      <c r="AE467" s="1381"/>
      <c r="AF467" s="1381"/>
      <c r="AV467" s="1381"/>
      <c r="AW467" s="1381"/>
      <c r="AX467" s="1381"/>
      <c r="AY467" s="1381"/>
      <c r="AZ467" s="1381"/>
      <c r="BA467" s="1381"/>
      <c r="BC467" s="1381"/>
      <c r="BE467" s="1381"/>
      <c r="BF467" s="1381"/>
      <c r="BG467" s="1381"/>
    </row>
    <row r="468">
      <c r="R468" s="1381"/>
      <c r="S468" s="1381"/>
      <c r="W468" s="1381"/>
      <c r="X468" s="1381"/>
      <c r="AE468" s="1381"/>
      <c r="AF468" s="1381"/>
      <c r="AV468" s="1381"/>
      <c r="AW468" s="1381"/>
      <c r="AX468" s="1381"/>
      <c r="AY468" s="1381"/>
      <c r="AZ468" s="1381"/>
      <c r="BA468" s="1381"/>
      <c r="BC468" s="1381"/>
      <c r="BE468" s="1381"/>
      <c r="BF468" s="1381"/>
      <c r="BG468" s="1381"/>
    </row>
    <row r="469">
      <c r="R469" s="1381"/>
      <c r="S469" s="1381"/>
      <c r="W469" s="1381"/>
      <c r="X469" s="1381"/>
      <c r="AE469" s="1381"/>
      <c r="AF469" s="1381"/>
      <c r="AV469" s="1381"/>
      <c r="AW469" s="1381"/>
      <c r="AX469" s="1381"/>
      <c r="AY469" s="1381"/>
      <c r="AZ469" s="1381"/>
      <c r="BA469" s="1381"/>
      <c r="BC469" s="1381"/>
      <c r="BE469" s="1381"/>
      <c r="BF469" s="1381"/>
      <c r="BG469" s="1381"/>
    </row>
    <row r="470">
      <c r="R470" s="1381"/>
      <c r="S470" s="1381"/>
      <c r="W470" s="1381"/>
      <c r="X470" s="1381"/>
      <c r="AE470" s="1381"/>
      <c r="AF470" s="1381"/>
      <c r="AV470" s="1381"/>
      <c r="AW470" s="1381"/>
      <c r="AX470" s="1381"/>
      <c r="AY470" s="1381"/>
      <c r="AZ470" s="1381"/>
      <c r="BA470" s="1381"/>
      <c r="BC470" s="1381"/>
      <c r="BE470" s="1381"/>
      <c r="BF470" s="1381"/>
      <c r="BG470" s="1381"/>
    </row>
    <row r="471">
      <c r="R471" s="1381"/>
      <c r="S471" s="1381"/>
      <c r="W471" s="1381"/>
      <c r="X471" s="1381"/>
      <c r="AE471" s="1381"/>
      <c r="AF471" s="1381"/>
      <c r="AV471" s="1381"/>
      <c r="AW471" s="1381"/>
      <c r="AX471" s="1381"/>
      <c r="AY471" s="1381"/>
      <c r="AZ471" s="1381"/>
      <c r="BA471" s="1381"/>
      <c r="BC471" s="1381"/>
      <c r="BE471" s="1381"/>
      <c r="BF471" s="1381"/>
      <c r="BG471" s="1381"/>
    </row>
    <row r="472">
      <c r="R472" s="1381"/>
      <c r="S472" s="1381"/>
      <c r="W472" s="1381"/>
      <c r="X472" s="1381"/>
      <c r="AE472" s="1381"/>
      <c r="AF472" s="1381"/>
      <c r="AV472" s="1381"/>
      <c r="AW472" s="1381"/>
      <c r="AX472" s="1381"/>
      <c r="AY472" s="1381"/>
      <c r="AZ472" s="1381"/>
      <c r="BA472" s="1381"/>
      <c r="BC472" s="1381"/>
      <c r="BE472" s="1381"/>
      <c r="BF472" s="1381"/>
      <c r="BG472" s="1381"/>
    </row>
    <row r="473">
      <c r="R473" s="1381"/>
      <c r="S473" s="1381"/>
      <c r="W473" s="1381"/>
      <c r="X473" s="1381"/>
      <c r="AE473" s="1381"/>
      <c r="AF473" s="1381"/>
      <c r="AV473" s="1381"/>
      <c r="AW473" s="1381"/>
      <c r="AX473" s="1381"/>
      <c r="AY473" s="1381"/>
      <c r="AZ473" s="1381"/>
      <c r="BA473" s="1381"/>
      <c r="BC473" s="1381"/>
      <c r="BE473" s="1381"/>
      <c r="BF473" s="1381"/>
      <c r="BG473" s="1381"/>
    </row>
    <row r="474">
      <c r="R474" s="1381"/>
      <c r="S474" s="1381"/>
      <c r="W474" s="1381"/>
      <c r="X474" s="1381"/>
      <c r="AE474" s="1381"/>
      <c r="AF474" s="1381"/>
      <c r="AV474" s="1381"/>
      <c r="AW474" s="1381"/>
      <c r="AX474" s="1381"/>
      <c r="AY474" s="1381"/>
      <c r="AZ474" s="1381"/>
      <c r="BA474" s="1381"/>
      <c r="BC474" s="1381"/>
      <c r="BE474" s="1381"/>
      <c r="BF474" s="1381"/>
      <c r="BG474" s="1381"/>
    </row>
    <row r="475">
      <c r="R475" s="1381"/>
      <c r="S475" s="1381"/>
      <c r="W475" s="1381"/>
      <c r="X475" s="1381"/>
      <c r="AE475" s="1381"/>
      <c r="AF475" s="1381"/>
      <c r="AV475" s="1381"/>
      <c r="AW475" s="1381"/>
      <c r="AX475" s="1381"/>
      <c r="AY475" s="1381"/>
      <c r="AZ475" s="1381"/>
      <c r="BA475" s="1381"/>
      <c r="BC475" s="1381"/>
      <c r="BE475" s="1381"/>
      <c r="BF475" s="1381"/>
      <c r="BG475" s="1381"/>
    </row>
    <row r="476">
      <c r="R476" s="1381"/>
      <c r="S476" s="1381"/>
      <c r="W476" s="1381"/>
      <c r="X476" s="1381"/>
      <c r="AE476" s="1381"/>
      <c r="AF476" s="1381"/>
      <c r="AV476" s="1381"/>
      <c r="AW476" s="1381"/>
      <c r="AX476" s="1381"/>
      <c r="AY476" s="1381"/>
      <c r="AZ476" s="1381"/>
      <c r="BA476" s="1381"/>
      <c r="BC476" s="1381"/>
      <c r="BE476" s="1381"/>
      <c r="BF476" s="1381"/>
      <c r="BG476" s="1381"/>
    </row>
    <row r="477">
      <c r="R477" s="1381"/>
      <c r="S477" s="1381"/>
      <c r="W477" s="1381"/>
      <c r="X477" s="1381"/>
      <c r="AE477" s="1381"/>
      <c r="AF477" s="1381"/>
      <c r="AV477" s="1381"/>
      <c r="AW477" s="1381"/>
      <c r="AX477" s="1381"/>
      <c r="AY477" s="1381"/>
      <c r="AZ477" s="1381"/>
      <c r="BA477" s="1381"/>
      <c r="BC477" s="1381"/>
      <c r="BE477" s="1381"/>
      <c r="BF477" s="1381"/>
      <c r="BG477" s="1381"/>
    </row>
    <row r="478">
      <c r="R478" s="1381"/>
      <c r="S478" s="1381"/>
      <c r="W478" s="1381"/>
      <c r="X478" s="1381"/>
      <c r="AE478" s="1381"/>
      <c r="AF478" s="1381"/>
      <c r="AV478" s="1381"/>
      <c r="AW478" s="1381"/>
      <c r="AX478" s="1381"/>
      <c r="AY478" s="1381"/>
      <c r="AZ478" s="1381"/>
      <c r="BA478" s="1381"/>
      <c r="BC478" s="1381"/>
      <c r="BE478" s="1381"/>
      <c r="BF478" s="1381"/>
      <c r="BG478" s="1381"/>
    </row>
    <row r="479">
      <c r="R479" s="1381"/>
      <c r="S479" s="1381"/>
      <c r="W479" s="1381"/>
      <c r="X479" s="1381"/>
      <c r="AE479" s="1381"/>
      <c r="AF479" s="1381"/>
      <c r="AV479" s="1381"/>
      <c r="AW479" s="1381"/>
      <c r="AX479" s="1381"/>
      <c r="AY479" s="1381"/>
      <c r="AZ479" s="1381"/>
      <c r="BA479" s="1381"/>
      <c r="BC479" s="1381"/>
      <c r="BE479" s="1381"/>
      <c r="BF479" s="1381"/>
      <c r="BG479" s="1381"/>
    </row>
    <row r="480">
      <c r="R480" s="1381"/>
      <c r="S480" s="1381"/>
      <c r="W480" s="1381"/>
      <c r="X480" s="1381"/>
      <c r="AE480" s="1381"/>
      <c r="AF480" s="1381"/>
      <c r="AV480" s="1381"/>
      <c r="AW480" s="1381"/>
      <c r="AX480" s="1381"/>
      <c r="AY480" s="1381"/>
      <c r="AZ480" s="1381"/>
      <c r="BA480" s="1381"/>
      <c r="BC480" s="1381"/>
      <c r="BE480" s="1381"/>
      <c r="BF480" s="1381"/>
      <c r="BG480" s="1381"/>
    </row>
    <row r="481">
      <c r="R481" s="1381"/>
      <c r="S481" s="1381"/>
      <c r="W481" s="1381"/>
      <c r="X481" s="1381"/>
      <c r="AE481" s="1381"/>
      <c r="AF481" s="1381"/>
      <c r="AV481" s="1381"/>
      <c r="AW481" s="1381"/>
      <c r="AX481" s="1381"/>
      <c r="AY481" s="1381"/>
      <c r="AZ481" s="1381"/>
      <c r="BA481" s="1381"/>
      <c r="BC481" s="1381"/>
      <c r="BE481" s="1381"/>
      <c r="BF481" s="1381"/>
      <c r="BG481" s="1381"/>
    </row>
    <row r="482">
      <c r="R482" s="1381"/>
      <c r="S482" s="1381"/>
      <c r="W482" s="1381"/>
      <c r="X482" s="1381"/>
      <c r="AE482" s="1381"/>
      <c r="AF482" s="1381"/>
      <c r="AV482" s="1381"/>
      <c r="AW482" s="1381"/>
      <c r="AX482" s="1381"/>
      <c r="AY482" s="1381"/>
      <c r="AZ482" s="1381"/>
      <c r="BA482" s="1381"/>
      <c r="BC482" s="1381"/>
      <c r="BE482" s="1381"/>
      <c r="BF482" s="1381"/>
      <c r="BG482" s="1381"/>
    </row>
    <row r="483">
      <c r="R483" s="1381"/>
      <c r="S483" s="1381"/>
      <c r="W483" s="1381"/>
      <c r="X483" s="1381"/>
      <c r="AE483" s="1381"/>
      <c r="AF483" s="1381"/>
      <c r="AV483" s="1381"/>
      <c r="AW483" s="1381"/>
      <c r="AX483" s="1381"/>
      <c r="AY483" s="1381"/>
      <c r="AZ483" s="1381"/>
      <c r="BA483" s="1381"/>
      <c r="BC483" s="1381"/>
      <c r="BE483" s="1381"/>
      <c r="BF483" s="1381"/>
      <c r="BG483" s="1381"/>
    </row>
    <row r="484">
      <c r="R484" s="1381"/>
      <c r="S484" s="1381"/>
      <c r="W484" s="1381"/>
      <c r="X484" s="1381"/>
      <c r="AE484" s="1381"/>
      <c r="AF484" s="1381"/>
      <c r="AV484" s="1381"/>
      <c r="AW484" s="1381"/>
      <c r="AX484" s="1381"/>
      <c r="AY484" s="1381"/>
      <c r="AZ484" s="1381"/>
      <c r="BA484" s="1381"/>
      <c r="BC484" s="1381"/>
      <c r="BE484" s="1381"/>
      <c r="BF484" s="1381"/>
      <c r="BG484" s="1381"/>
    </row>
    <row r="485">
      <c r="R485" s="1381"/>
      <c r="S485" s="1381"/>
      <c r="W485" s="1381"/>
      <c r="X485" s="1381"/>
      <c r="AE485" s="1381"/>
      <c r="AF485" s="1381"/>
      <c r="AV485" s="1381"/>
      <c r="AW485" s="1381"/>
      <c r="AX485" s="1381"/>
      <c r="AY485" s="1381"/>
      <c r="AZ485" s="1381"/>
      <c r="BA485" s="1381"/>
      <c r="BC485" s="1381"/>
      <c r="BE485" s="1381"/>
      <c r="BF485" s="1381"/>
      <c r="BG485" s="1381"/>
    </row>
    <row r="486">
      <c r="R486" s="1381"/>
      <c r="S486" s="1381"/>
      <c r="W486" s="1381"/>
      <c r="X486" s="1381"/>
      <c r="AE486" s="1381"/>
      <c r="AF486" s="1381"/>
      <c r="AV486" s="1381"/>
      <c r="AW486" s="1381"/>
      <c r="AX486" s="1381"/>
      <c r="AY486" s="1381"/>
      <c r="AZ486" s="1381"/>
      <c r="BA486" s="1381"/>
      <c r="BC486" s="1381"/>
      <c r="BE486" s="1381"/>
      <c r="BF486" s="1381"/>
      <c r="BG486" s="1381"/>
    </row>
    <row r="487">
      <c r="R487" s="1381"/>
      <c r="S487" s="1381"/>
      <c r="W487" s="1381"/>
      <c r="X487" s="1381"/>
      <c r="AE487" s="1381"/>
      <c r="AF487" s="1381"/>
      <c r="AV487" s="1381"/>
      <c r="AW487" s="1381"/>
      <c r="AX487" s="1381"/>
      <c r="AY487" s="1381"/>
      <c r="AZ487" s="1381"/>
      <c r="BA487" s="1381"/>
      <c r="BC487" s="1381"/>
      <c r="BE487" s="1381"/>
      <c r="BF487" s="1381"/>
      <c r="BG487" s="1381"/>
    </row>
    <row r="488">
      <c r="R488" s="1381"/>
      <c r="S488" s="1381"/>
      <c r="W488" s="1381"/>
      <c r="X488" s="1381"/>
      <c r="AE488" s="1381"/>
      <c r="AF488" s="1381"/>
      <c r="AV488" s="1381"/>
      <c r="AW488" s="1381"/>
      <c r="AX488" s="1381"/>
      <c r="AY488" s="1381"/>
      <c r="AZ488" s="1381"/>
      <c r="BA488" s="1381"/>
      <c r="BC488" s="1381"/>
      <c r="BE488" s="1381"/>
      <c r="BF488" s="1381"/>
      <c r="BG488" s="1381"/>
    </row>
    <row r="489">
      <c r="R489" s="1381"/>
      <c r="S489" s="1381"/>
      <c r="W489" s="1381"/>
      <c r="X489" s="1381"/>
      <c r="AE489" s="1381"/>
      <c r="AF489" s="1381"/>
      <c r="AV489" s="1381"/>
      <c r="AW489" s="1381"/>
      <c r="AX489" s="1381"/>
      <c r="AY489" s="1381"/>
      <c r="AZ489" s="1381"/>
      <c r="BA489" s="1381"/>
      <c r="BC489" s="1381"/>
      <c r="BE489" s="1381"/>
      <c r="BF489" s="1381"/>
      <c r="BG489" s="1381"/>
    </row>
    <row r="490">
      <c r="R490" s="1381"/>
      <c r="S490" s="1381"/>
      <c r="W490" s="1381"/>
      <c r="X490" s="1381"/>
      <c r="AE490" s="1381"/>
      <c r="AF490" s="1381"/>
      <c r="AV490" s="1381"/>
      <c r="AW490" s="1381"/>
      <c r="AX490" s="1381"/>
      <c r="AY490" s="1381"/>
      <c r="AZ490" s="1381"/>
      <c r="BA490" s="1381"/>
      <c r="BC490" s="1381"/>
      <c r="BE490" s="1381"/>
      <c r="BF490" s="1381"/>
      <c r="BG490" s="1381"/>
    </row>
    <row r="491">
      <c r="R491" s="1381"/>
      <c r="S491" s="1381"/>
      <c r="W491" s="1381"/>
      <c r="X491" s="1381"/>
      <c r="AE491" s="1381"/>
      <c r="AF491" s="1381"/>
      <c r="AV491" s="1381"/>
      <c r="AW491" s="1381"/>
      <c r="AX491" s="1381"/>
      <c r="AY491" s="1381"/>
      <c r="AZ491" s="1381"/>
      <c r="BA491" s="1381"/>
      <c r="BC491" s="1381"/>
      <c r="BE491" s="1381"/>
      <c r="BF491" s="1381"/>
      <c r="BG491" s="1381"/>
    </row>
    <row r="492">
      <c r="R492" s="1381"/>
      <c r="S492" s="1381"/>
      <c r="W492" s="1381"/>
      <c r="X492" s="1381"/>
      <c r="AE492" s="1381"/>
      <c r="AF492" s="1381"/>
      <c r="AV492" s="1381"/>
      <c r="AW492" s="1381"/>
      <c r="AX492" s="1381"/>
      <c r="AY492" s="1381"/>
      <c r="AZ492" s="1381"/>
      <c r="BA492" s="1381"/>
      <c r="BC492" s="1381"/>
      <c r="BE492" s="1381"/>
      <c r="BF492" s="1381"/>
      <c r="BG492" s="1381"/>
    </row>
    <row r="493">
      <c r="R493" s="1381"/>
      <c r="S493" s="1381"/>
      <c r="W493" s="1381"/>
      <c r="X493" s="1381"/>
      <c r="AE493" s="1381"/>
      <c r="AF493" s="1381"/>
      <c r="AV493" s="1381"/>
      <c r="AW493" s="1381"/>
      <c r="AX493" s="1381"/>
      <c r="AY493" s="1381"/>
      <c r="AZ493" s="1381"/>
      <c r="BA493" s="1381"/>
      <c r="BC493" s="1381"/>
      <c r="BE493" s="1381"/>
      <c r="BF493" s="1381"/>
      <c r="BG493" s="1381"/>
    </row>
    <row r="494">
      <c r="R494" s="1381"/>
      <c r="S494" s="1381"/>
      <c r="W494" s="1381"/>
      <c r="X494" s="1381"/>
      <c r="AE494" s="1381"/>
      <c r="AF494" s="1381"/>
      <c r="AV494" s="1381"/>
      <c r="AW494" s="1381"/>
      <c r="AX494" s="1381"/>
      <c r="AY494" s="1381"/>
      <c r="AZ494" s="1381"/>
      <c r="BA494" s="1381"/>
      <c r="BC494" s="1381"/>
      <c r="BE494" s="1381"/>
      <c r="BF494" s="1381"/>
      <c r="BG494" s="1381"/>
    </row>
    <row r="495">
      <c r="R495" s="1381"/>
      <c r="S495" s="1381"/>
      <c r="W495" s="1381"/>
      <c r="X495" s="1381"/>
      <c r="AE495" s="1381"/>
      <c r="AF495" s="1381"/>
      <c r="AV495" s="1381"/>
      <c r="AW495" s="1381"/>
      <c r="AX495" s="1381"/>
      <c r="AY495" s="1381"/>
      <c r="AZ495" s="1381"/>
      <c r="BA495" s="1381"/>
      <c r="BC495" s="1381"/>
      <c r="BE495" s="1381"/>
      <c r="BF495" s="1381"/>
      <c r="BG495" s="1381"/>
    </row>
    <row r="496">
      <c r="R496" s="1381"/>
      <c r="S496" s="1381"/>
      <c r="W496" s="1381"/>
      <c r="X496" s="1381"/>
      <c r="AE496" s="1381"/>
      <c r="AF496" s="1381"/>
      <c r="AV496" s="1381"/>
      <c r="AW496" s="1381"/>
      <c r="AX496" s="1381"/>
      <c r="AY496" s="1381"/>
      <c r="AZ496" s="1381"/>
      <c r="BA496" s="1381"/>
      <c r="BC496" s="1381"/>
      <c r="BE496" s="1381"/>
      <c r="BF496" s="1381"/>
      <c r="BG496" s="1381"/>
    </row>
    <row r="497">
      <c r="R497" s="1381"/>
      <c r="S497" s="1381"/>
      <c r="W497" s="1381"/>
      <c r="X497" s="1381"/>
      <c r="AE497" s="1381"/>
      <c r="AF497" s="1381"/>
      <c r="AV497" s="1381"/>
      <c r="AW497" s="1381"/>
      <c r="AX497" s="1381"/>
      <c r="AY497" s="1381"/>
      <c r="AZ497" s="1381"/>
      <c r="BA497" s="1381"/>
      <c r="BC497" s="1381"/>
      <c r="BE497" s="1381"/>
      <c r="BF497" s="1381"/>
      <c r="BG497" s="1381"/>
    </row>
    <row r="498">
      <c r="R498" s="1381"/>
      <c r="S498" s="1381"/>
      <c r="W498" s="1381"/>
      <c r="X498" s="1381"/>
      <c r="AE498" s="1381"/>
      <c r="AF498" s="1381"/>
      <c r="AV498" s="1381"/>
      <c r="AW498" s="1381"/>
      <c r="AX498" s="1381"/>
      <c r="AY498" s="1381"/>
      <c r="AZ498" s="1381"/>
      <c r="BA498" s="1381"/>
      <c r="BC498" s="1381"/>
      <c r="BE498" s="1381"/>
      <c r="BF498" s="1381"/>
      <c r="BG498" s="1381"/>
    </row>
    <row r="499">
      <c r="R499" s="1381"/>
      <c r="S499" s="1381"/>
      <c r="W499" s="1381"/>
      <c r="X499" s="1381"/>
      <c r="AE499" s="1381"/>
      <c r="AF499" s="1381"/>
      <c r="AV499" s="1381"/>
      <c r="AW499" s="1381"/>
      <c r="AX499" s="1381"/>
      <c r="AY499" s="1381"/>
      <c r="AZ499" s="1381"/>
      <c r="BA499" s="1381"/>
      <c r="BC499" s="1381"/>
      <c r="BE499" s="1381"/>
      <c r="BF499" s="1381"/>
      <c r="BG499" s="1381"/>
    </row>
    <row r="500">
      <c r="R500" s="1381"/>
      <c r="S500" s="1381"/>
      <c r="W500" s="1381"/>
      <c r="X500" s="1381"/>
      <c r="AE500" s="1381"/>
      <c r="AF500" s="1381"/>
      <c r="AV500" s="1381"/>
      <c r="AW500" s="1381"/>
      <c r="AX500" s="1381"/>
      <c r="AY500" s="1381"/>
      <c r="AZ500" s="1381"/>
      <c r="BA500" s="1381"/>
      <c r="BC500" s="1381"/>
      <c r="BE500" s="1381"/>
      <c r="BF500" s="1381"/>
      <c r="BG500" s="1381"/>
    </row>
    <row r="501">
      <c r="R501" s="1381"/>
      <c r="S501" s="1381"/>
      <c r="W501" s="1381"/>
      <c r="X501" s="1381"/>
      <c r="AE501" s="1381"/>
      <c r="AF501" s="1381"/>
      <c r="AV501" s="1381"/>
      <c r="AW501" s="1381"/>
      <c r="AX501" s="1381"/>
      <c r="AY501" s="1381"/>
      <c r="AZ501" s="1381"/>
      <c r="BA501" s="1381"/>
      <c r="BC501" s="1381"/>
      <c r="BE501" s="1381"/>
      <c r="BF501" s="1381"/>
      <c r="BG501" s="1381"/>
    </row>
    <row r="502">
      <c r="R502" s="1381"/>
      <c r="S502" s="1381"/>
      <c r="W502" s="1381"/>
      <c r="X502" s="1381"/>
      <c r="AE502" s="1381"/>
      <c r="AF502" s="1381"/>
      <c r="AV502" s="1381"/>
      <c r="AW502" s="1381"/>
      <c r="AX502" s="1381"/>
      <c r="AY502" s="1381"/>
      <c r="AZ502" s="1381"/>
      <c r="BA502" s="1381"/>
      <c r="BC502" s="1381"/>
      <c r="BE502" s="1381"/>
      <c r="BF502" s="1381"/>
      <c r="BG502" s="1381"/>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vml"/>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94" workbookViewId="0">
      <selection activeCell="C8" sqref="C8"/>
    </sheetView>
  </sheetViews>
  <sheetFormatPr defaultRowHeight="15.0" baseColWidth="10"/>
  <cols>
    <col min="1" max="1" width="23.1796875" hidden="0" customWidth="1"/>
  </cols>
  <sheetData>
    <row r="1">
      <c r="A1" s="1390" t="s">
        <v>636</v>
      </c>
      <c r="B1" s="1390"/>
      <c r="C1" s="1390"/>
      <c r="D1" s="1390"/>
    </row>
    <row r="2">
      <c r="A2" t="s">
        <v>637</v>
      </c>
      <c r="B2" s="809" t="n">
        <v>2021</v>
      </c>
      <c r="C2" s="809" t="n">
        <v>2021</v>
      </c>
      <c r="D2" s="809" t="n">
        <v>2021</v>
      </c>
      <c r="E2" s="809" t="n">
        <v>2022</v>
      </c>
      <c r="F2" s="809" t="n">
        <v>2022</v>
      </c>
      <c r="G2" s="809" t="n">
        <v>2022</v>
      </c>
      <c r="H2" s="809" t="n">
        <v>2022</v>
      </c>
      <c r="I2" s="809" t="n">
        <v>2023</v>
      </c>
      <c r="J2" s="809" t="n">
        <v>2023</v>
      </c>
      <c r="K2" s="809" t="n">
        <v>2023</v>
      </c>
      <c r="L2" s="809" t="n">
        <v>2023</v>
      </c>
      <c r="M2" s="809" t="n">
        <v>2024</v>
      </c>
      <c r="N2" s="809" t="n">
        <v>2024</v>
      </c>
      <c r="O2" s="809" t="n">
        <v>2024</v>
      </c>
      <c r="P2" s="809" t="n">
        <v>2024</v>
      </c>
      <c r="Q2" s="809" t="n">
        <v>2025</v>
      </c>
      <c r="R2" s="809" t="n">
        <v>2025</v>
      </c>
      <c r="S2" s="809" t="n">
        <v>2025</v>
      </c>
      <c r="T2" s="809" t="n">
        <v>2025</v>
      </c>
      <c r="U2" s="809" t="n">
        <v>2026</v>
      </c>
    </row>
    <row r="3">
      <c r="A3" s="1384" t="s">
        <v>638</v>
      </c>
      <c r="B3" s="306" t="s">
        <v>639</v>
      </c>
      <c r="C3" s="306" t="s">
        <v>640</v>
      </c>
      <c r="D3" s="306" t="s">
        <v>641</v>
      </c>
      <c r="E3" s="306" t="s">
        <v>642</v>
      </c>
      <c r="F3" s="306" t="s">
        <v>643</v>
      </c>
      <c r="G3" s="306" t="s">
        <v>644</v>
      </c>
      <c r="H3" s="306" t="s">
        <v>645</v>
      </c>
      <c r="I3" s="306" t="s">
        <v>646</v>
      </c>
      <c r="J3" s="306" t="s">
        <v>647</v>
      </c>
      <c r="K3" s="306" t="s">
        <v>648</v>
      </c>
      <c r="L3" s="306" t="s">
        <v>649</v>
      </c>
      <c r="M3" s="306" t="s">
        <v>650</v>
      </c>
      <c r="N3" s="306" t="s">
        <v>651</v>
      </c>
      <c r="O3" s="306" t="s">
        <v>652</v>
      </c>
      <c r="P3" s="306" t="s">
        <v>653</v>
      </c>
      <c r="Q3" s="306" t="s">
        <v>654</v>
      </c>
      <c r="R3" s="306" t="s">
        <v>655</v>
      </c>
      <c r="S3" s="306" t="s">
        <v>656</v>
      </c>
      <c r="T3" s="306" t="s">
        <v>657</v>
      </c>
      <c r="U3" s="306" t="s">
        <v>658</v>
      </c>
    </row>
    <row r="4">
      <c r="A4" s="1384" t="s">
        <v>659</v>
      </c>
      <c r="B4" s="306"/>
      <c r="C4" s="306"/>
      <c r="D4" s="306" t="n">
        <v>0</v>
      </c>
      <c r="E4" s="306" t="n">
        <v>0</v>
      </c>
      <c r="F4" s="306" t="n">
        <v>0.5</v>
      </c>
      <c r="G4" s="306" t="n">
        <v>0.5</v>
      </c>
      <c r="H4" s="306" t="n">
        <v>0</v>
      </c>
      <c r="I4" s="306" t="n">
        <v>0</v>
      </c>
      <c r="J4" s="306" t="n">
        <v>0</v>
      </c>
      <c r="K4" s="306" t="n">
        <v>0</v>
      </c>
      <c r="L4" s="306" t="n">
        <v>0</v>
      </c>
      <c r="M4" s="306" t="n">
        <v>0</v>
      </c>
      <c r="N4" s="306" t="n">
        <v>0</v>
      </c>
      <c r="O4" s="306" t="n">
        <v>0</v>
      </c>
      <c r="P4" s="306" t="n">
        <v>0</v>
      </c>
      <c r="Q4" s="306" t="n">
        <v>0</v>
      </c>
      <c r="R4" s="306" t="n">
        <v>0</v>
      </c>
      <c r="S4" s="306" t="n">
        <v>0</v>
      </c>
      <c r="T4" s="306" t="n">
        <v>0</v>
      </c>
      <c r="U4" s="306" t="n">
        <v>0</v>
      </c>
    </row>
    <row r="5">
      <c r="A5" s="1384" t="s">
        <v>660</v>
      </c>
      <c r="B5" s="306" t="n">
        <v>0.04</v>
      </c>
      <c r="C5" s="306" t="n">
        <v>0.48</v>
      </c>
      <c r="D5" s="306" t="n">
        <v>0.48</v>
      </c>
      <c r="E5" s="306" t="n">
        <v>0</v>
      </c>
      <c r="F5" s="306" t="n">
        <v>0</v>
      </c>
      <c r="G5" s="306" t="n">
        <v>0</v>
      </c>
      <c r="H5" s="306" t="n">
        <v>0</v>
      </c>
      <c r="I5" s="306" t="n">
        <v>0</v>
      </c>
      <c r="J5" s="306" t="n">
        <v>0</v>
      </c>
      <c r="K5" s="306" t="n">
        <v>0</v>
      </c>
      <c r="L5" s="306" t="n">
        <v>0</v>
      </c>
      <c r="M5" s="306" t="n">
        <v>0</v>
      </c>
      <c r="N5" s="306" t="n">
        <v>0</v>
      </c>
      <c r="O5" s="306" t="n">
        <v>0</v>
      </c>
      <c r="P5" s="306" t="n">
        <v>0</v>
      </c>
      <c r="Q5" s="306" t="n">
        <v>0</v>
      </c>
      <c r="R5" s="306" t="n">
        <v>0</v>
      </c>
      <c r="S5" s="306" t="n">
        <v>0</v>
      </c>
      <c r="T5" s="306" t="n">
        <v>0</v>
      </c>
      <c r="U5" s="306" t="n">
        <v>0</v>
      </c>
    </row>
    <row r="6">
      <c r="A6" s="1384" t="s">
        <v>661</v>
      </c>
      <c r="B6" s="306" t="n">
        <f>B8</f>
        <v>0</v>
      </c>
      <c r="C6" s="306" t="n">
        <f>C8</f>
        <v>0.43</v>
      </c>
      <c r="D6" s="306" t="n">
        <f t="shared" ref="D6:U6" si="0">D8</f>
        <v>0.56999999999999995</v>
      </c>
      <c r="E6" s="306" t="n">
        <f t="shared" si="0"/>
        <v>0.25</v>
      </c>
      <c r="F6" s="306" t="n">
        <f t="shared" si="0"/>
        <v>0.25</v>
      </c>
      <c r="G6" s="306" t="n">
        <f t="shared" si="0"/>
        <v>0.25</v>
      </c>
      <c r="H6" s="306" t="n">
        <f t="shared" si="0"/>
        <v>0.25</v>
      </c>
      <c r="I6" s="306" t="n">
        <f t="shared" si="0"/>
        <v>0.25</v>
      </c>
      <c r="J6" s="306" t="n">
        <f t="shared" si="0"/>
        <v>0.25</v>
      </c>
      <c r="K6" s="306" t="n">
        <f t="shared" si="0"/>
        <v>0.25</v>
      </c>
      <c r="L6" s="306" t="n">
        <f t="shared" si="0"/>
        <v>0.25</v>
      </c>
      <c r="M6" s="306" t="n">
        <f t="shared" si="0"/>
        <v>0.25</v>
      </c>
      <c r="N6" s="306" t="n">
        <f t="shared" si="0"/>
        <v>0.25</v>
      </c>
      <c r="O6" s="306" t="n">
        <f t="shared" si="0"/>
        <v>0.25</v>
      </c>
      <c r="P6" s="306" t="n">
        <f t="shared" si="0"/>
        <v>0.25</v>
      </c>
      <c r="Q6" s="306" t="n">
        <f t="shared" si="0"/>
        <v>0.25</v>
      </c>
      <c r="R6" s="306" t="n">
        <f t="shared" si="0"/>
        <v>0.25</v>
      </c>
      <c r="S6" s="306" t="n">
        <f t="shared" si="0"/>
        <v>0.25</v>
      </c>
      <c r="T6" s="306" t="n">
        <f t="shared" si="0"/>
        <v>0.25</v>
      </c>
      <c r="U6" s="306" t="n">
        <f t="shared" si="0"/>
        <v>0.25</v>
      </c>
    </row>
    <row r="7">
      <c r="A7" s="1384" t="s">
        <v>662</v>
      </c>
      <c r="B7" s="306" t="n">
        <v>0</v>
      </c>
      <c r="C7" s="306" t="n">
        <v>0</v>
      </c>
      <c r="D7" s="306" t="n">
        <v>1</v>
      </c>
      <c r="E7" s="306" t="n">
        <v>0.25</v>
      </c>
      <c r="F7" s="306" t="n">
        <v>0.25</v>
      </c>
      <c r="G7" s="306" t="n">
        <v>0.25</v>
      </c>
      <c r="H7" s="306" t="n">
        <v>0.25</v>
      </c>
      <c r="I7" s="306" t="n">
        <v>0.25</v>
      </c>
      <c r="J7" s="306" t="n">
        <v>0.25</v>
      </c>
      <c r="K7" s="306" t="n">
        <v>0.25</v>
      </c>
      <c r="L7" s="306" t="n">
        <v>0.25</v>
      </c>
      <c r="M7" s="306" t="n">
        <v>0.25</v>
      </c>
      <c r="N7" s="306" t="n">
        <v>0.25</v>
      </c>
      <c r="O7" s="306" t="n">
        <v>0.25</v>
      </c>
      <c r="P7" s="306" t="n">
        <v>0.25</v>
      </c>
      <c r="Q7" s="306" t="n">
        <v>0.25</v>
      </c>
      <c r="R7" s="306" t="n">
        <v>0.25</v>
      </c>
      <c r="S7" s="306" t="n">
        <v>0.25</v>
      </c>
      <c r="T7" s="306" t="n">
        <v>0.25</v>
      </c>
      <c r="U7" s="306" t="n">
        <v>0.25</v>
      </c>
    </row>
    <row r="8">
      <c r="A8" s="1384" t="s">
        <v>663</v>
      </c>
      <c r="B8" s="306" t="n">
        <v>0</v>
      </c>
      <c r="C8" s="306" t="n">
        <v>0.43</v>
      </c>
      <c r="D8" s="306" t="n">
        <v>0.56999999999999995</v>
      </c>
      <c r="E8" s="306" t="n">
        <v>0.25</v>
      </c>
      <c r="F8" s="306" t="n">
        <v>0.25</v>
      </c>
      <c r="G8" s="306" t="n">
        <v>0.25</v>
      </c>
      <c r="H8" s="306" t="n">
        <v>0.25</v>
      </c>
      <c r="I8" s="306" t="n">
        <v>0.25</v>
      </c>
      <c r="J8" s="306" t="n">
        <v>0.25</v>
      </c>
      <c r="K8" s="306" t="n">
        <v>0.25</v>
      </c>
      <c r="L8" s="306" t="n">
        <v>0.25</v>
      </c>
      <c r="M8" s="306" t="n">
        <v>0.25</v>
      </c>
      <c r="N8" s="306" t="n">
        <v>0.25</v>
      </c>
      <c r="O8" s="306" t="n">
        <v>0.25</v>
      </c>
      <c r="P8" s="306" t="n">
        <v>0.25</v>
      </c>
      <c r="Q8" s="306" t="n">
        <v>0.25</v>
      </c>
      <c r="R8" s="306" t="n">
        <v>0.25</v>
      </c>
      <c r="S8" s="306" t="n">
        <v>0.25</v>
      </c>
      <c r="T8" s="306" t="n">
        <v>0.25</v>
      </c>
      <c r="U8" s="306" t="n">
        <v>0.25</v>
      </c>
    </row>
    <row r="9" ht="27" customHeight="1">
      <c r="A9" s="1384" t="s">
        <v>664</v>
      </c>
      <c r="B9" s="306" t="n">
        <v>0</v>
      </c>
      <c r="C9" s="306" t="n">
        <f>0.18</f>
        <v>0.18</v>
      </c>
      <c r="D9" s="306" t="n">
        <f>1-C9</f>
        <v>0.82000000000000006</v>
      </c>
      <c r="E9" s="306" t="n">
        <v>0.25</v>
      </c>
      <c r="F9" s="306" t="n">
        <v>0.25</v>
      </c>
      <c r="G9" s="306" t="n">
        <v>0.25</v>
      </c>
      <c r="H9" s="306" t="n">
        <v>0.25</v>
      </c>
      <c r="I9" s="306" t="n">
        <v>0.25</v>
      </c>
      <c r="J9" s="306" t="n">
        <v>0.25</v>
      </c>
      <c r="K9" s="306" t="n">
        <v>0.25</v>
      </c>
      <c r="L9" s="306" t="n">
        <v>0.25</v>
      </c>
      <c r="M9" s="306" t="n">
        <v>0.25</v>
      </c>
      <c r="N9" s="306" t="n">
        <v>0.25</v>
      </c>
      <c r="O9" s="306" t="n">
        <v>0.25</v>
      </c>
      <c r="P9" s="306" t="n">
        <v>0.25</v>
      </c>
      <c r="Q9" s="306" t="n">
        <v>0.25</v>
      </c>
      <c r="R9" s="306" t="n">
        <v>0.25</v>
      </c>
      <c r="S9" s="306" t="n">
        <v>0.25</v>
      </c>
      <c r="T9" s="306" t="n">
        <v>0.25</v>
      </c>
      <c r="U9" s="306" t="n">
        <v>0.25</v>
      </c>
    </row>
    <row r="10">
      <c r="A10" s="1384" t="s">
        <v>665</v>
      </c>
      <c r="B10" s="306" t="n">
        <v>0</v>
      </c>
      <c r="C10" s="306" t="n">
        <v>0.5</v>
      </c>
      <c r="D10" s="306" t="n">
        <v>0.5</v>
      </c>
      <c r="E10" s="306" t="n">
        <v>0.25</v>
      </c>
      <c r="F10" s="306" t="n">
        <v>0.25</v>
      </c>
      <c r="G10" s="306" t="n">
        <v>0.25</v>
      </c>
      <c r="H10" s="306" t="n">
        <v>0.25</v>
      </c>
      <c r="I10" s="306" t="n">
        <v>0.25</v>
      </c>
      <c r="J10" s="306" t="n">
        <v>0.25</v>
      </c>
      <c r="K10" s="306" t="n">
        <v>0.25</v>
      </c>
      <c r="L10" s="306" t="n">
        <v>0.25</v>
      </c>
      <c r="M10" s="306" t="n">
        <v>0.25</v>
      </c>
      <c r="N10" s="306" t="n">
        <v>0.25</v>
      </c>
      <c r="O10" s="306" t="n">
        <v>0.25</v>
      </c>
      <c r="P10" s="306" t="n">
        <v>0.25</v>
      </c>
      <c r="Q10" s="306" t="n">
        <v>0.25</v>
      </c>
      <c r="R10" s="306" t="n">
        <v>0.25</v>
      </c>
      <c r="S10" s="306" t="n">
        <v>0.25</v>
      </c>
      <c r="T10" s="306" t="n">
        <v>0.25</v>
      </c>
      <c r="U10" s="306" t="n">
        <v>0.25</v>
      </c>
    </row>
    <row r="11">
      <c r="A11" s="1384" t="s">
        <v>666</v>
      </c>
      <c r="B11" s="306" t="n">
        <v>0</v>
      </c>
      <c r="C11" s="306" t="n">
        <v>0.5</v>
      </c>
      <c r="D11" s="306" t="n">
        <v>0.5</v>
      </c>
      <c r="E11" s="306" t="n">
        <v>0.25</v>
      </c>
      <c r="F11" s="306" t="n">
        <v>0.25</v>
      </c>
      <c r="G11" s="306" t="n">
        <v>0.25</v>
      </c>
      <c r="H11" s="306" t="n">
        <v>0.25</v>
      </c>
      <c r="I11" s="306" t="n">
        <v>0.25</v>
      </c>
      <c r="J11" s="306" t="n">
        <v>0.25</v>
      </c>
      <c r="K11" s="306" t="n">
        <v>0.25</v>
      </c>
      <c r="L11" s="306" t="n">
        <v>0.25</v>
      </c>
      <c r="M11" s="306" t="n">
        <v>0.25</v>
      </c>
      <c r="N11" s="306" t="n">
        <v>0.25</v>
      </c>
      <c r="O11" s="306" t="n">
        <v>0.25</v>
      </c>
      <c r="P11" s="306" t="n">
        <v>0.25</v>
      </c>
      <c r="Q11" s="306" t="n">
        <v>0.25</v>
      </c>
      <c r="R11" s="306" t="n">
        <v>0.25</v>
      </c>
      <c r="S11" s="306" t="n">
        <v>0.25</v>
      </c>
      <c r="T11" s="306" t="n">
        <v>0.25</v>
      </c>
      <c r="U11" s="306" t="n">
        <v>0.25</v>
      </c>
    </row>
    <row r="12" ht="14.25" customHeight="1">
      <c r="A12" s="1384" t="s">
        <v>667</v>
      </c>
      <c r="B12" s="306" t="n">
        <v>1</v>
      </c>
      <c r="C12" s="306"/>
      <c r="D12" s="306"/>
      <c r="E12" s="306"/>
      <c r="F12" s="306"/>
      <c r="G12" s="306"/>
      <c r="H12" s="306"/>
      <c r="I12" s="306"/>
      <c r="J12" s="306"/>
      <c r="K12" s="306"/>
      <c r="L12" s="306"/>
      <c r="M12" s="306"/>
      <c r="N12" s="306"/>
      <c r="O12" s="306"/>
      <c r="P12" s="306"/>
      <c r="Q12" s="306"/>
      <c r="R12" s="306"/>
      <c r="S12" s="306"/>
      <c r="T12" s="306"/>
      <c r="U12" s="306"/>
    </row>
    <row r="13">
      <c r="A13" s="1384" t="s">
        <v>668</v>
      </c>
      <c r="B13" s="306" t="n">
        <v>0</v>
      </c>
      <c r="C13" s="306" t="n">
        <v>0.4</v>
      </c>
      <c r="D13" s="306" t="n">
        <v>0.6</v>
      </c>
      <c r="E13" s="306" t="n">
        <v>0.4</v>
      </c>
      <c r="F13" s="306" t="n">
        <v>0.3</v>
      </c>
      <c r="G13" s="306" t="n">
        <v>0.2</v>
      </c>
      <c r="H13" s="306" t="n">
        <v>0.1</v>
      </c>
      <c r="I13" s="306" t="n">
        <v>0.25</v>
      </c>
      <c r="J13" s="306" t="n">
        <v>0.25</v>
      </c>
      <c r="K13" s="306" t="n">
        <v>0.25</v>
      </c>
      <c r="L13" s="306" t="n">
        <v>0.25</v>
      </c>
      <c r="M13" s="306" t="n">
        <v>0.25</v>
      </c>
      <c r="N13" s="306" t="n">
        <v>0.25</v>
      </c>
      <c r="O13" s="306" t="n">
        <v>0.25</v>
      </c>
      <c r="P13" s="306" t="n">
        <v>0.25</v>
      </c>
      <c r="Q13" s="306" t="n">
        <v>0.25</v>
      </c>
      <c r="R13" s="306" t="n">
        <v>0.25</v>
      </c>
      <c r="S13" s="306" t="n">
        <v>0.25</v>
      </c>
      <c r="T13" s="306" t="n">
        <v>0.25</v>
      </c>
      <c r="U13" s="306" t="n">
        <v>0.25</v>
      </c>
    </row>
    <row r="14">
      <c r="A14" s="1384"/>
      <c r="B14" s="306"/>
      <c r="C14" s="306"/>
      <c r="D14" s="306"/>
      <c r="E14" s="306"/>
      <c r="F14" s="306"/>
      <c r="G14" s="306"/>
      <c r="H14" s="306"/>
      <c r="I14" s="306"/>
      <c r="J14" s="306"/>
      <c r="K14" s="306"/>
      <c r="L14" s="306"/>
      <c r="M14" s="306"/>
      <c r="N14" s="306"/>
      <c r="O14" s="306"/>
      <c r="P14" s="306"/>
      <c r="Q14" s="306"/>
      <c r="R14" s="306"/>
      <c r="S14" s="306"/>
      <c r="T14" s="306"/>
      <c r="U14" s="306"/>
    </row>
    <row r="15" ht="27" customHeight="1">
      <c r="A15" s="1389" t="s">
        <v>669</v>
      </c>
      <c r="B15" s="306" t="n">
        <v>1</v>
      </c>
      <c r="C15" s="306" t="n">
        <v>2</v>
      </c>
      <c r="D15" s="306" t="n">
        <v>3</v>
      </c>
      <c r="E15" s="306" t="n">
        <v>4</v>
      </c>
      <c r="F15" s="306" t="n">
        <v>5</v>
      </c>
      <c r="G15" s="306" t="n">
        <v>6</v>
      </c>
      <c r="H15" s="306" t="n">
        <v>7</v>
      </c>
      <c r="I15" s="306" t="n">
        <v>8</v>
      </c>
      <c r="J15" s="306" t="n">
        <v>9</v>
      </c>
      <c r="K15" s="306" t="n">
        <v>10</v>
      </c>
      <c r="L15" s="306" t="n">
        <v>11</v>
      </c>
      <c r="M15" s="306" t="n">
        <v>12</v>
      </c>
      <c r="N15" s="306" t="n">
        <v>13</v>
      </c>
      <c r="O15" s="306" t="n">
        <v>14</v>
      </c>
      <c r="P15" s="306" t="n">
        <v>15</v>
      </c>
      <c r="Q15" s="306" t="n">
        <v>16</v>
      </c>
      <c r="R15" s="306" t="n">
        <v>17</v>
      </c>
      <c r="S15" s="306" t="n">
        <v>18</v>
      </c>
      <c r="T15" s="306" t="n">
        <v>19</v>
      </c>
      <c r="U15" s="306" t="n">
        <v>20</v>
      </c>
    </row>
    <row r="16">
      <c r="A16" s="1384" t="s">
        <v>670</v>
      </c>
      <c r="B16" s="306" t="n">
        <v>7.0000000000000007E-2</v>
      </c>
      <c r="C16" s="306" t="n">
        <v>7.0000000000000007E-2</v>
      </c>
      <c r="D16" s="306" t="n">
        <v>4.9000000000000002E-2</v>
      </c>
      <c r="E16" s="306" t="n">
        <v>4.9000000000000002E-2</v>
      </c>
      <c r="F16" s="306" t="n">
        <v>4.9000000000000002E-2</v>
      </c>
      <c r="G16" s="306" t="n">
        <v>4.9000000000000002E-2</v>
      </c>
      <c r="H16" s="306" t="n">
        <v>4.9000000000000002E-2</v>
      </c>
      <c r="I16" s="306" t="n">
        <v>4.9000000000000002E-2</v>
      </c>
      <c r="J16" s="306" t="n">
        <v>4.9000000000000002E-2</v>
      </c>
      <c r="K16" s="306" t="n">
        <v>4.9000000000000002E-2</v>
      </c>
      <c r="L16" s="306" t="n">
        <v>4.9000000000000002E-2</v>
      </c>
      <c r="M16" s="306" t="n">
        <v>4.9000000000000002E-2</v>
      </c>
      <c r="N16" s="306" t="n">
        <f t="shared" ref="N16:T16" si="1">0.0475</f>
        <v>4.7500000000000001E-2</v>
      </c>
      <c r="O16" s="306" t="n">
        <f t="shared" si="1"/>
        <v>4.7500000000000001E-2</v>
      </c>
      <c r="P16" s="306" t="n">
        <f t="shared" si="1"/>
        <v>4.7500000000000001E-2</v>
      </c>
      <c r="Q16" s="306" t="n">
        <f t="shared" si="1"/>
        <v>4.7500000000000001E-2</v>
      </c>
      <c r="R16" s="306" t="n">
        <f t="shared" si="1"/>
        <v>4.7500000000000001E-2</v>
      </c>
      <c r="S16" s="306" t="n">
        <f t="shared" si="1"/>
        <v>4.7500000000000001E-2</v>
      </c>
      <c r="T16" s="306" t="n">
        <f t="shared" si="1"/>
        <v>4.7500000000000001E-2</v>
      </c>
      <c r="U16" s="306" t="n">
        <f>0.0375</f>
        <v>3.7499999999999999E-2</v>
      </c>
      <c r="V16" s="306" t="n">
        <f>SUM(B16:U16)</f>
        <v>0.99999999999999989</v>
      </c>
    </row>
    <row r="17" ht="27" customHeight="1">
      <c r="A17" s="1384" t="s">
        <v>671</v>
      </c>
      <c r="B17" t="n">
        <v>0</v>
      </c>
      <c r="C17" t="n">
        <v>0</v>
      </c>
      <c r="D17" t="n">
        <v>3.5000000000000003E-2</v>
      </c>
      <c r="E17" t="n">
        <v>4.65E-2</v>
      </c>
      <c r="F17" t="n">
        <v>0.06</v>
      </c>
      <c r="G17" t="n">
        <v>6.5000000000000002E-2</v>
      </c>
      <c r="H17" t="n">
        <v>0.05</v>
      </c>
      <c r="I17" t="n">
        <v>0.05</v>
      </c>
      <c r="J17" t="n">
        <v>0.06</v>
      </c>
      <c r="K17" t="n">
        <v>0.06</v>
      </c>
      <c r="L17" t="n">
        <v>7.0000000000000007E-2</v>
      </c>
      <c r="M17" t="n">
        <v>7.0000000000000007E-2</v>
      </c>
      <c r="N17" t="n">
        <v>0.06</v>
      </c>
      <c r="O17" t="n">
        <v>0.06</v>
      </c>
      <c r="P17" t="n">
        <v>5.3499999999999999E-2</v>
      </c>
      <c r="Q17" t="n">
        <f t="shared" ref="Q17:T17" si="2">Q16</f>
        <v>4.7500000000000001E-2</v>
      </c>
      <c r="R17" t="n">
        <f t="shared" si="2"/>
        <v>4.7500000000000001E-2</v>
      </c>
      <c r="S17" t="n">
        <f t="shared" si="2"/>
        <v>4.7500000000000001E-2</v>
      </c>
      <c r="T17" t="n">
        <f t="shared" si="2"/>
        <v>4.7500000000000001E-2</v>
      </c>
      <c r="U17" t="n">
        <v>0.01</v>
      </c>
      <c r="V17" s="306" t="n">
        <f>SUM(B17:U17)</f>
        <v>0.94000000000000006</v>
      </c>
      <c r="W17" t="s">
        <v>672</v>
      </c>
    </row>
    <row r="19">
      <c r="B19" s="1038" t="e">
        <f>'Federal and State Purchases'!#REF!</f>
        <v>#REF!</v>
      </c>
      <c r="C19" s="1038" t="e">
        <f>'Federal and State Purchases'!#REF!</f>
        <v>#REF!</v>
      </c>
    </row>
  </sheetData>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5" tint="0.59999389629810485"/>
  </sheetPr>
  <dimension ref="A1"/>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RowHeight="15.0" baseColWidth="10"/>
  <cols>
    <col min="1" max="1" width="15.453125" hidden="0" customWidth="1"/>
    <col min="2" max="2" width="32.453125" hidden="0" customWidth="1"/>
  </cols>
  <sheetData>
    <row r="1">
      <c r="A1" s="920" t="s">
        <v>673</v>
      </c>
      <c r="B1" s="920" t="s">
        <v>583</v>
      </c>
      <c r="C1" s="1392" t="n">
        <v>2021</v>
      </c>
      <c r="D1" s="1392" t="n">
        <f>C1</f>
        <v>2021</v>
      </c>
      <c r="E1" s="1392" t="n">
        <f>D1</f>
        <v>2021</v>
      </c>
      <c r="F1" s="1392" t="n">
        <v>2022</v>
      </c>
      <c r="G1" s="1392" t="n">
        <v>2022</v>
      </c>
      <c r="H1" s="1392" t="n">
        <v>2022</v>
      </c>
      <c r="I1" s="1392" t="n">
        <v>2022</v>
      </c>
      <c r="J1" s="1392" t="n">
        <v>2023</v>
      </c>
      <c r="K1" s="1392" t="n">
        <v>2023</v>
      </c>
      <c r="L1" s="1392" t="n">
        <v>2023</v>
      </c>
      <c r="M1" s="1392" t="n">
        <v>2023</v>
      </c>
      <c r="N1" s="1392" t="n">
        <v>2024</v>
      </c>
      <c r="O1" s="1392" t="n">
        <v>2024</v>
      </c>
      <c r="P1" s="1392" t="n">
        <v>2024</v>
      </c>
      <c r="Q1" s="1392" t="n">
        <v>2024</v>
      </c>
      <c r="R1" s="1392" t="n">
        <v>2025</v>
      </c>
      <c r="S1" s="1392" t="n">
        <v>2025</v>
      </c>
      <c r="T1" s="1392" t="n">
        <v>2025</v>
      </c>
      <c r="U1" s="1392" t="n">
        <v>2025</v>
      </c>
      <c r="V1" s="1392" t="n">
        <v>2026</v>
      </c>
    </row>
    <row r="2">
      <c r="B2" s="920" t="s">
        <v>674</v>
      </c>
      <c r="C2" s="809" t="s">
        <v>182</v>
      </c>
      <c r="D2" s="809" t="s">
        <v>183</v>
      </c>
      <c r="E2" s="809" t="s">
        <v>113</v>
      </c>
      <c r="F2" s="809" t="s">
        <v>114</v>
      </c>
      <c r="G2" s="809" t="s">
        <v>115</v>
      </c>
      <c r="H2" s="809" t="s">
        <v>116</v>
      </c>
      <c r="I2" s="809" t="s">
        <v>117</v>
      </c>
      <c r="J2" s="809" t="s">
        <v>118</v>
      </c>
      <c r="K2" s="809" t="s">
        <v>119</v>
      </c>
      <c r="L2" s="809" t="s">
        <v>120</v>
      </c>
      <c r="M2" s="809" t="s">
        <v>121</v>
      </c>
      <c r="N2" s="809" t="s">
        <v>122</v>
      </c>
      <c r="O2" s="809" t="s">
        <v>123</v>
      </c>
      <c r="P2" s="809" t="s">
        <v>124</v>
      </c>
      <c r="Q2" s="809" t="s">
        <v>108</v>
      </c>
      <c r="R2" s="809" t="s">
        <v>109</v>
      </c>
      <c r="S2" s="809" t="s">
        <v>110</v>
      </c>
      <c r="T2" s="809" t="s">
        <v>675</v>
      </c>
      <c r="U2" s="809" t="s">
        <v>676</v>
      </c>
      <c r="V2" s="809" t="s">
        <v>677</v>
      </c>
    </row>
    <row r="3">
      <c r="A3" s="920" t="n">
        <v>3</v>
      </c>
      <c r="B3" s="920" t="s">
        <v>438</v>
      </c>
      <c r="C3" s="1393" t="n">
        <f>4*'ARP Timing'!B6*VLOOKUP(C$1,'ARP Score'!$A$5:$M14,$A3)</f>
        <v>0</v>
      </c>
      <c r="D3" s="1393" t="n">
        <f>4*'ARP Timing'!C6*VLOOKUP(D$1,'ARP Score'!$A$5:$M14,$A3)</f>
        <v>336.60399999999998</v>
      </c>
      <c r="E3" s="1393" t="n">
        <f>4*'ARP Timing'!D6*VLOOKUP(E$1,'ARP Score'!$A$5:$M14,$A3)</f>
        <v>446.19599999999991</v>
      </c>
      <c r="F3" s="1393" t="n">
        <f>4*'ARP Timing'!E6*VLOOKUP(F$1,'ARP Score'!$A$5:$M14,$A3)</f>
        <v>10.1</v>
      </c>
      <c r="G3" s="1393" t="n">
        <f>4*'ARP Timing'!F6*VLOOKUP(G$1,'ARP Score'!$A$5:$M14,$A3)</f>
        <v>10.1</v>
      </c>
      <c r="H3" s="1393" t="n">
        <f>4*'ARP Timing'!G6*VLOOKUP(H$1,'ARP Score'!$A$5:$M14,$A3)</f>
        <v>10.1</v>
      </c>
      <c r="I3" s="1393" t="n">
        <f>4*'ARP Timing'!H6*VLOOKUP(I$1,'ARP Score'!$A$5:$M14,$A3)</f>
        <v>10.1</v>
      </c>
      <c r="J3" s="1393" t="n">
        <f>4*'ARP Timing'!I6*VLOOKUP(J$1,'ARP Score'!$A$5:$M14,$A3)</f>
        <v>0</v>
      </c>
      <c r="K3" s="1393" t="n">
        <f>4*'ARP Timing'!J6*VLOOKUP(K$1,'ARP Score'!$A$5:$M14,$A3)</f>
        <v>0</v>
      </c>
      <c r="L3" s="1393" t="n">
        <f>4*'ARP Timing'!K6*VLOOKUP(L$1,'ARP Score'!$A$5:$M14,$A3)</f>
        <v>0</v>
      </c>
      <c r="M3" s="1393" t="n">
        <f>4*'ARP Timing'!L6*VLOOKUP(M$1,'ARP Score'!$A$5:$M14,$A3)</f>
        <v>0</v>
      </c>
      <c r="N3" s="1393" t="n">
        <f>4*'ARP Timing'!M6*VLOOKUP(N$1,'ARP Score'!$A$5:$M14,$A3)</f>
        <v>0</v>
      </c>
      <c r="O3" s="1393" t="n">
        <f>4*'ARP Timing'!N6*VLOOKUP(O$1,'ARP Score'!$A$5:$M14,$A3)</f>
        <v>0</v>
      </c>
      <c r="P3" s="1393" t="n">
        <f>4*'ARP Timing'!O6*VLOOKUP(P$1,'ARP Score'!$A$5:$M14,$A3)</f>
        <v>0</v>
      </c>
      <c r="Q3" s="1393" t="n">
        <f>4*'ARP Timing'!P6*VLOOKUP(Q$1,'ARP Score'!$A$5:$M14,$A3)</f>
        <v>0</v>
      </c>
      <c r="R3" s="1393" t="n">
        <f>4*'ARP Timing'!Q6*VLOOKUP(R$1,'ARP Score'!$A$5:$M14,$A3)</f>
        <v>0</v>
      </c>
      <c r="S3" s="1393" t="n">
        <f>4*'ARP Timing'!R6*VLOOKUP(S$1,'ARP Score'!$A$5:$M14,$A3)</f>
        <v>0</v>
      </c>
      <c r="T3" s="1393" t="n">
        <f>4*'ARP Timing'!S6*VLOOKUP(T$1,'ARP Score'!$A$5:$M14,$A3)</f>
        <v>0</v>
      </c>
      <c r="U3" s="1393" t="n">
        <f>4*'ARP Timing'!T6*VLOOKUP(U$1,'ARP Score'!$A$5:$M14,$A3)</f>
        <v>0</v>
      </c>
      <c r="V3" s="1393" t="n">
        <f>4*'ARP Timing'!U6*VLOOKUP(V$1,'ARP Score'!$A$5:$M14,$A3)</f>
        <v>0</v>
      </c>
      <c r="W3" s="1393" t="n">
        <f>SUM(C3:U3)/4</f>
        <v>205.8</v>
      </c>
    </row>
    <row r="4">
      <c r="A4" s="920" t="n">
        <v>5</v>
      </c>
      <c r="B4" s="71" t="s">
        <v>585</v>
      </c>
      <c r="C4" s="1393" t="n">
        <f>4*'ARP Timing'!B7*VLOOKUP(C$1,'ARP Score'!$A$5:$M15,$A4)</f>
        <v>0</v>
      </c>
      <c r="D4" s="1393" t="n">
        <f>4*'ARP Timing'!C7*VLOOKUP(D$1,'ARP Score'!$A$5:$M15,$A4)</f>
        <v>0</v>
      </c>
      <c r="E4" s="1393" t="n">
        <f>4*'ARP Timing'!D7*VLOOKUP(E$1,'ARP Score'!$A$5:$M15,$A4)</f>
        <v>3.1040000000000418</v>
      </c>
      <c r="F4" s="1393" t="n">
        <f>4*'ARP Timing'!E7*VLOOKUP(F$1,'ARP Score'!$A$5:$M15,$A4)</f>
        <v>19.719000000000005</v>
      </c>
      <c r="G4" s="1393" t="n">
        <f>4*'ARP Timing'!F7*VLOOKUP(G$1,'ARP Score'!$A$5:$M15,$A4)</f>
        <v>19.719000000000005</v>
      </c>
      <c r="H4" s="1393" t="n">
        <f>4*'ARP Timing'!G7*VLOOKUP(H$1,'ARP Score'!$A$5:$M15,$A4)</f>
        <v>19.719000000000005</v>
      </c>
      <c r="I4" s="1393" t="n">
        <f>4*'ARP Timing'!H7*VLOOKUP(I$1,'ARP Score'!$A$5:$M15,$A4)</f>
        <v>19.719000000000005</v>
      </c>
      <c r="J4" s="1393" t="n">
        <f>4*'ARP Timing'!I7*VLOOKUP(J$1,'ARP Score'!$A$5:$M15,$A4)</f>
        <v>1.4159999999999999</v>
      </c>
      <c r="K4" s="1393" t="n">
        <f>4*'ARP Timing'!J7*VLOOKUP(K$1,'ARP Score'!$A$5:$M15,$A4)</f>
        <v>1.4159999999999999</v>
      </c>
      <c r="L4" s="1393" t="n">
        <f>4*'ARP Timing'!K7*VLOOKUP(L$1,'ARP Score'!$A$5:$M15,$A4)</f>
        <v>1.4159999999999999</v>
      </c>
      <c r="M4" s="1393" t="n">
        <f>4*'ARP Timing'!L7*VLOOKUP(M$1,'ARP Score'!$A$5:$M15,$A4)</f>
        <v>1.4159999999999999</v>
      </c>
      <c r="N4" s="1393" t="n">
        <f>4*'ARP Timing'!M7*VLOOKUP(N$1,'ARP Score'!$A$5:$M15,$A4)</f>
        <v>1.4790000000000001</v>
      </c>
      <c r="O4" s="1393" t="n">
        <f>4*'ARP Timing'!N7*VLOOKUP(O$1,'ARP Score'!$A$5:$M15,$A4)</f>
        <v>1.4790000000000001</v>
      </c>
      <c r="P4" s="1393" t="n">
        <f>4*'ARP Timing'!O7*VLOOKUP(P$1,'ARP Score'!$A$5:$M15,$A4)</f>
        <v>1.4790000000000001</v>
      </c>
      <c r="Q4" s="1393" t="n">
        <f>4*'ARP Timing'!P7*VLOOKUP(Q$1,'ARP Score'!$A$5:$M15,$A4)</f>
        <v>1.4790000000000001</v>
      </c>
      <c r="R4" s="1393" t="n">
        <f>4*'ARP Timing'!Q7*VLOOKUP(R$1,'ARP Score'!$A$5:$M15,$A4)</f>
        <v>1.63</v>
      </c>
      <c r="S4" s="1393" t="n">
        <f>4*'ARP Timing'!R7*VLOOKUP(S$1,'ARP Score'!$A$5:$M15,$A4)</f>
        <v>1.63</v>
      </c>
      <c r="T4" s="1393" t="n">
        <f>4*'ARP Timing'!S7*VLOOKUP(T$1,'ARP Score'!$A$5:$M15,$A4)</f>
        <v>1.63</v>
      </c>
      <c r="U4" s="1393" t="n">
        <f>4*'ARP Timing'!T7*VLOOKUP(U$1,'ARP Score'!$A$5:$M15,$A4)</f>
        <v>1.63</v>
      </c>
      <c r="V4" s="1393" t="n">
        <f>4*'ARP Timing'!U7*VLOOKUP(V$1,'ARP Score'!$A$5:$M15,$A4)</f>
        <v>1.671</v>
      </c>
      <c r="W4" s="1393" t="n">
        <f>SUM(C4:U4)/4</f>
        <v>25.020000000000007</v>
      </c>
    </row>
    <row r="5">
      <c r="A5" s="920" t="n">
        <v>6</v>
      </c>
      <c r="B5" s="71" t="s">
        <v>586</v>
      </c>
      <c r="C5" s="1393" t="n">
        <f>4*'ARP Timing'!B8*VLOOKUP(C$1,'ARP Score'!$A$5:$M16,$A5)</f>
        <v>0</v>
      </c>
      <c r="D5" s="1393" t="n">
        <f>4*'ARP Timing'!C8*VLOOKUP(D$1,'ARP Score'!$A$5:$M16,$A5)</f>
        <v>33.921840000000024</v>
      </c>
      <c r="E5" s="1393" t="n">
        <f>4*'ARP Timing'!D8*VLOOKUP(E$1,'ARP Score'!$A$5:$M16,$A5)</f>
        <v>44.966160000000031</v>
      </c>
      <c r="F5" s="1393" t="n">
        <f>4*'ARP Timing'!E8*VLOOKUP(F$1,'ARP Score'!$A$5:$M16,$A5)</f>
        <v>52.756999999999998</v>
      </c>
      <c r="G5" s="1393" t="n">
        <f>4*'ARP Timing'!F8*VLOOKUP(G$1,'ARP Score'!$A$5:$M16,$A5)</f>
        <v>52.756999999999998</v>
      </c>
      <c r="H5" s="1393" t="n">
        <f>4*'ARP Timing'!G8*VLOOKUP(H$1,'ARP Score'!$A$5:$M16,$A5)</f>
        <v>52.756999999999998</v>
      </c>
      <c r="I5" s="1393" t="n">
        <f>4*'ARP Timing'!H8*VLOOKUP(I$1,'ARP Score'!$A$5:$M16,$A5)</f>
        <v>52.756999999999998</v>
      </c>
      <c r="J5" s="1393" t="n">
        <f>4*'ARP Timing'!I8*VLOOKUP(J$1,'ARP Score'!$A$5:$M16,$A5)</f>
        <v>12</v>
      </c>
      <c r="K5" s="1393" t="n">
        <f>4*'ARP Timing'!J8*VLOOKUP(K$1,'ARP Score'!$A$5:$M16,$A5)</f>
        <v>12</v>
      </c>
      <c r="L5" s="1393" t="n">
        <f>4*'ARP Timing'!K8*VLOOKUP(L$1,'ARP Score'!$A$5:$M16,$A5)</f>
        <v>12</v>
      </c>
      <c r="M5" s="1393" t="n">
        <f>4*'ARP Timing'!L8*VLOOKUP(M$1,'ARP Score'!$A$5:$M16,$A5)</f>
        <v>12</v>
      </c>
      <c r="N5" s="1393" t="n">
        <f>4*'ARP Timing'!M8*VLOOKUP(N$1,'ARP Score'!$A$5:$M16,$A5)</f>
        <v>4.2219999999999995</v>
      </c>
      <c r="O5" s="1393" t="n">
        <f>4*'ARP Timing'!N8*VLOOKUP(O$1,'ARP Score'!$A$5:$M16,$A5)</f>
        <v>4.2219999999999995</v>
      </c>
      <c r="P5" s="1393" t="n">
        <f>4*'ARP Timing'!O8*VLOOKUP(P$1,'ARP Score'!$A$5:$M16,$A5)</f>
        <v>4.2219999999999995</v>
      </c>
      <c r="Q5" s="1393" t="n">
        <f>4*'ARP Timing'!P8*VLOOKUP(Q$1,'ARP Score'!$A$5:$M16,$A5)</f>
        <v>4.2219999999999995</v>
      </c>
      <c r="R5" s="1393" t="n">
        <f>4*'ARP Timing'!Q8*VLOOKUP(R$1,'ARP Score'!$A$5:$M16,$A5)</f>
        <v>2.3719999999999999</v>
      </c>
      <c r="S5" s="1393" t="n">
        <f>4*'ARP Timing'!R8*VLOOKUP(S$1,'ARP Score'!$A$5:$M16,$A5)</f>
        <v>2.3719999999999999</v>
      </c>
      <c r="T5" s="1393" t="n">
        <f>4*'ARP Timing'!S8*VLOOKUP(T$1,'ARP Score'!$A$5:$M16,$A5)</f>
        <v>2.3719999999999999</v>
      </c>
      <c r="U5" s="1393" t="n">
        <f>4*'ARP Timing'!T8*VLOOKUP(U$1,'ARP Score'!$A$5:$M16,$A5)</f>
        <v>2.3719999999999999</v>
      </c>
      <c r="V5" s="1393" t="n">
        <f>4*'ARP Timing'!U8*VLOOKUP(V$1,'ARP Score'!$A$5:$M16,$A5)</f>
        <v>0.49</v>
      </c>
      <c r="W5" s="1393" t="n">
        <f t="shared" ref="W5:W15" si="0">SUM(C5:U5)/4</f>
        <v>91.073000000000008</v>
      </c>
    </row>
    <row r="6">
      <c r="A6" s="920" t="n">
        <v>7</v>
      </c>
      <c r="B6" s="71" t="s">
        <v>678</v>
      </c>
      <c r="C6" s="1393" t="n">
        <f>4*'ARP Timing'!B9*VLOOKUP(C$1,'ARP Score'!$A$5:$M17,$A6)</f>
        <v>0</v>
      </c>
      <c r="D6" s="1393" t="n">
        <f>4*'ARP Timing'!C9*VLOOKUP(D$1,'ARP Score'!$A$5:$M17,$A6)</f>
        <v>58.782959999999989</v>
      </c>
      <c r="E6" s="1393" t="n">
        <f>4*'ARP Timing'!D9*VLOOKUP(E$1,'ARP Score'!$A$5:$M17,$A6)</f>
        <v>267.78904</v>
      </c>
      <c r="F6" s="1393" t="n">
        <f>4*'ARP Timing'!E9*VLOOKUP(F$1,'ARP Score'!$A$5:$M17,$A6)</f>
        <v>110.24799999999999</v>
      </c>
      <c r="G6" s="1393" t="n">
        <f>4*'ARP Timing'!F9*VLOOKUP(G$1,'ARP Score'!$A$5:$M17,$A6)</f>
        <v>110.24799999999999</v>
      </c>
      <c r="H6" s="1393" t="n">
        <f>4*'ARP Timing'!G9*VLOOKUP(H$1,'ARP Score'!$A$5:$M17,$A6)</f>
        <v>110.24799999999999</v>
      </c>
      <c r="I6" s="1393" t="n">
        <f>4*'ARP Timing'!H9*VLOOKUP(I$1,'ARP Score'!$A$5:$M17,$A6)</f>
        <v>110.24799999999999</v>
      </c>
      <c r="J6" s="1393" t="n">
        <f>4*'ARP Timing'!I9*VLOOKUP(J$1,'ARP Score'!$A$5:$M17,$A6)</f>
        <v>12.726000000000001</v>
      </c>
      <c r="K6" s="1393" t="n">
        <f>4*'ARP Timing'!J9*VLOOKUP(K$1,'ARP Score'!$A$5:$M17,$A6)</f>
        <v>12.726000000000001</v>
      </c>
      <c r="L6" s="1393" t="n">
        <f>4*'ARP Timing'!K9*VLOOKUP(L$1,'ARP Score'!$A$5:$M17,$A6)</f>
        <v>12.726000000000001</v>
      </c>
      <c r="M6" s="1393" t="n">
        <f>4*'ARP Timing'!L9*VLOOKUP(M$1,'ARP Score'!$A$5:$M17,$A6)</f>
        <v>12.726000000000001</v>
      </c>
      <c r="N6" s="1393" t="n">
        <f>4*'ARP Timing'!M9*VLOOKUP(N$1,'ARP Score'!$A$5:$M17,$A6)</f>
        <v>1.365</v>
      </c>
      <c r="O6" s="1393" t="n">
        <f>4*'ARP Timing'!N9*VLOOKUP(O$1,'ARP Score'!$A$5:$M17,$A6)</f>
        <v>1.365</v>
      </c>
      <c r="P6" s="1393" t="n">
        <f>4*'ARP Timing'!O9*VLOOKUP(P$1,'ARP Score'!$A$5:$M17,$A6)</f>
        <v>1.365</v>
      </c>
      <c r="Q6" s="1393" t="n">
        <f>4*'ARP Timing'!P9*VLOOKUP(Q$1,'ARP Score'!$A$5:$M17,$A6)</f>
        <v>1.365</v>
      </c>
      <c r="R6" s="1393" t="n">
        <f>4*'ARP Timing'!Q9*VLOOKUP(R$1,'ARP Score'!$A$5:$M17,$A6)</f>
        <v>-0.90100000000000025</v>
      </c>
      <c r="S6" s="1393" t="n">
        <f>4*'ARP Timing'!R9*VLOOKUP(S$1,'ARP Score'!$A$5:$M17,$A6)</f>
        <v>-0.90100000000000025</v>
      </c>
      <c r="T6" s="1393" t="n">
        <f>4*'ARP Timing'!S9*VLOOKUP(T$1,'ARP Score'!$A$5:$M17,$A6)</f>
        <v>-0.90100000000000025</v>
      </c>
      <c r="U6" s="1393" t="n">
        <f>4*'ARP Timing'!T9*VLOOKUP(U$1,'ARP Score'!$A$5:$M17,$A6)</f>
        <v>-0.90100000000000025</v>
      </c>
      <c r="V6" s="1393" t="n">
        <f>4*'ARP Timing'!U9*VLOOKUP(V$1,'ARP Score'!$A$5:$M17,$A6)</f>
        <v>-2.1500000000000004</v>
      </c>
      <c r="W6" s="1393" t="n">
        <f t="shared" si="0"/>
        <v>205.08100000000007</v>
      </c>
    </row>
    <row r="7">
      <c r="A7" s="920" t="n">
        <v>8</v>
      </c>
      <c r="B7" s="71" t="s">
        <v>90</v>
      </c>
      <c r="C7" s="1393" t="n">
        <f>4*'ARP Timing'!B10*VLOOKUP(C$1,'ARP Score'!$A$5:$M18,$A7)</f>
        <v>0</v>
      </c>
      <c r="D7" s="1393" t="n">
        <f>4*'ARP Timing'!C10*VLOOKUP(D$1,'ARP Score'!$A$5:$M18,$A7)</f>
        <v>15.596</v>
      </c>
      <c r="E7" s="1393" t="n">
        <f>4*'ARP Timing'!D10*VLOOKUP(E$1,'ARP Score'!$A$5:$M18,$A7)</f>
        <v>15.596</v>
      </c>
      <c r="F7" s="1393" t="n">
        <f>4*'ARP Timing'!E10*VLOOKUP(F$1,'ARP Score'!$A$5:$M18,$A7)</f>
        <v>7.9489999999999998</v>
      </c>
      <c r="G7" s="1393" t="n">
        <f>4*'ARP Timing'!F10*VLOOKUP(G$1,'ARP Score'!$A$5:$M18,$A7)</f>
        <v>7.9489999999999998</v>
      </c>
      <c r="H7" s="1393" t="n">
        <f>4*'ARP Timing'!G10*VLOOKUP(H$1,'ARP Score'!$A$5:$M18,$A7)</f>
        <v>7.9489999999999998</v>
      </c>
      <c r="I7" s="1393" t="n">
        <f>4*'ARP Timing'!H10*VLOOKUP(I$1,'ARP Score'!$A$5:$M18,$A7)</f>
        <v>7.9489999999999998</v>
      </c>
      <c r="J7" s="1393" t="n">
        <f>4*'ARP Timing'!I10*VLOOKUP(J$1,'ARP Score'!$A$5:$M18,$A7)</f>
        <v>4.7519999999999998</v>
      </c>
      <c r="K7" s="1393" t="n">
        <f>4*'ARP Timing'!J10*VLOOKUP(K$1,'ARP Score'!$A$5:$M18,$A7)</f>
        <v>4.7519999999999998</v>
      </c>
      <c r="L7" s="1393" t="n">
        <f>4*'ARP Timing'!K10*VLOOKUP(L$1,'ARP Score'!$A$5:$M18,$A7)</f>
        <v>4.7519999999999998</v>
      </c>
      <c r="M7" s="1393" t="n">
        <f>4*'ARP Timing'!L10*VLOOKUP(M$1,'ARP Score'!$A$5:$M18,$A7)</f>
        <v>4.7519999999999998</v>
      </c>
      <c r="N7" s="1393" t="n">
        <f>4*'ARP Timing'!M10*VLOOKUP(N$1,'ARP Score'!$A$5:$M18,$A7)</f>
        <v>4.637999999999999</v>
      </c>
      <c r="O7" s="1393" t="n">
        <f>4*'ARP Timing'!N10*VLOOKUP(O$1,'ARP Score'!$A$5:$M18,$A7)</f>
        <v>4.637999999999999</v>
      </c>
      <c r="P7" s="1393" t="n">
        <f>4*'ARP Timing'!O10*VLOOKUP(P$1,'ARP Score'!$A$5:$M18,$A7)</f>
        <v>4.637999999999999</v>
      </c>
      <c r="Q7" s="1393" t="n">
        <f>4*'ARP Timing'!P10*VLOOKUP(Q$1,'ARP Score'!$A$5:$M18,$A7)</f>
        <v>4.637999999999999</v>
      </c>
      <c r="R7" s="1393" t="n">
        <f>4*'ARP Timing'!Q10*VLOOKUP(R$1,'ARP Score'!$A$5:$M18,$A7)</f>
        <v>1.8800000000000001</v>
      </c>
      <c r="S7" s="1393" t="n">
        <f>4*'ARP Timing'!R10*VLOOKUP(S$1,'ARP Score'!$A$5:$M18,$A7)</f>
        <v>1.8800000000000001</v>
      </c>
      <c r="T7" s="1393" t="n">
        <f>4*'ARP Timing'!S10*VLOOKUP(T$1,'ARP Score'!$A$5:$M18,$A7)</f>
        <v>1.8800000000000001</v>
      </c>
      <c r="U7" s="1393" t="n">
        <f>4*'ARP Timing'!T10*VLOOKUP(U$1,'ARP Score'!$A$5:$M18,$A7)</f>
        <v>1.8800000000000001</v>
      </c>
      <c r="V7" s="1393" t="n">
        <f>4*'ARP Timing'!U10*VLOOKUP(V$1,'ARP Score'!$A$5:$M18,$A7)</f>
        <v>1.446</v>
      </c>
      <c r="W7" s="1393" t="n">
        <f t="shared" si="0"/>
        <v>27.016999999999996</v>
      </c>
    </row>
    <row r="8">
      <c r="A8" s="920" t="n">
        <v>9</v>
      </c>
      <c r="B8" s="1394" t="s">
        <v>259</v>
      </c>
      <c r="C8" s="1393" t="n">
        <f>4*'ARP Timing'!B$11*VLOOKUP(C$1,'ARP Score'!$A$5:$M19,$A8)</f>
        <v>0</v>
      </c>
      <c r="D8" s="1393" t="n">
        <f>0.6*SUM('ARP Score'!B5:B7)*4</f>
        <v>989.16719999999987</v>
      </c>
      <c r="E8" s="1392" t="n">
        <v>0</v>
      </c>
      <c r="F8" s="1393" t="n">
        <v>0</v>
      </c>
      <c r="G8" s="1393" t="n">
        <v>0</v>
      </c>
      <c r="H8" s="1393" t="n">
        <f>D8*0.4/0.6</f>
        <v>659.44479999999999</v>
      </c>
      <c r="I8" s="1393" t="n">
        <v>0</v>
      </c>
      <c r="J8" s="920" t="n">
        <v>0</v>
      </c>
      <c r="K8" s="1393" t="n">
        <v>0</v>
      </c>
      <c r="L8" s="1393" t="n">
        <v>0</v>
      </c>
      <c r="M8" s="1393" t="n">
        <v>0</v>
      </c>
      <c r="N8" s="1393" t="n">
        <v>0</v>
      </c>
      <c r="O8" s="1393" t="n">
        <v>0</v>
      </c>
      <c r="P8" s="1393" t="n">
        <v>0</v>
      </c>
      <c r="Q8" s="1393" t="n">
        <v>0</v>
      </c>
      <c r="R8" s="1393" t="n">
        <v>0</v>
      </c>
      <c r="S8" s="1393" t="n">
        <v>0</v>
      </c>
      <c r="T8" s="1393" t="n">
        <v>0</v>
      </c>
      <c r="U8" s="1393" t="n">
        <v>0</v>
      </c>
      <c r="V8" s="1393" t="n">
        <v>0</v>
      </c>
      <c r="W8" s="1393" t="n">
        <f t="shared" si="0"/>
        <v>412.15299999999996</v>
      </c>
    </row>
    <row r="9">
      <c r="A9" s="920" t="n">
        <v>10</v>
      </c>
      <c r="B9" s="1394" t="s">
        <v>102</v>
      </c>
      <c r="C9" s="1393" t="n">
        <f>4*'ARP Timing'!B$11*VLOOKUP(C$1,'ARP Score'!$A$5:$M20,$A9)</f>
        <v>0</v>
      </c>
      <c r="D9" s="1393" t="n">
        <f>4*'ARP Timing'!C$11*VLOOKUP(D$1,'ARP Score'!$A$5:$M20,$A9)</f>
        <v>24.693999999999999</v>
      </c>
      <c r="E9" s="1393" t="n">
        <f>4*'ARP Timing'!D$11*VLOOKUP(E$1,'ARP Score'!$A$5:$M20,$A9)</f>
        <v>24.693999999999999</v>
      </c>
      <c r="F9" s="1393" t="n">
        <f>4*'ARP Timing'!E$11*VLOOKUP(F$1,'ARP Score'!$A$5:$M20,$A9)</f>
        <v>46.79</v>
      </c>
      <c r="G9" s="1393" t="n">
        <f>4*'ARP Timing'!F$11*VLOOKUP(G$1,'ARP Score'!$A$5:$M20,$A9)</f>
        <v>46.79</v>
      </c>
      <c r="H9" s="1393" t="n">
        <f>4*'ARP Timing'!G$11*VLOOKUP(H$1,'ARP Score'!$A$5:$M20,$A9)</f>
        <v>46.79</v>
      </c>
      <c r="I9" s="1393" t="n">
        <f>4*'ARP Timing'!H$11*VLOOKUP(I$1,'ARP Score'!$A$5:$M20,$A9)</f>
        <v>46.79</v>
      </c>
      <c r="J9" s="1393" t="n">
        <f>4*'ARP Timing'!I$11*VLOOKUP(J$1,'ARP Score'!$A$5:$M20,$A9)</f>
        <v>38.595999999999997</v>
      </c>
      <c r="K9" s="1393" t="n">
        <f>4*'ARP Timing'!J$11*VLOOKUP(K$1,'ARP Score'!$A$5:$M20,$A9)</f>
        <v>38.595999999999997</v>
      </c>
      <c r="L9" s="1393" t="n">
        <f>4*'ARP Timing'!K$11*VLOOKUP(L$1,'ARP Score'!$A$5:$M20,$A9)</f>
        <v>38.595999999999997</v>
      </c>
      <c r="M9" s="1393" t="n">
        <f>4*'ARP Timing'!L$11*VLOOKUP(M$1,'ARP Score'!$A$5:$M20,$A9)</f>
        <v>38.595999999999997</v>
      </c>
      <c r="N9" s="1393" t="n">
        <f>4*'ARP Timing'!M$11*VLOOKUP(N$1,'ARP Score'!$A$5:$M20,$A9)</f>
        <v>31.911000000000001</v>
      </c>
      <c r="O9" s="1393" t="n">
        <f>4*'ARP Timing'!N$11*VLOOKUP(O$1,'ARP Score'!$A$5:$M20,$A9)</f>
        <v>31.911000000000001</v>
      </c>
      <c r="P9" s="1393" t="n">
        <f>4*'ARP Timing'!O$11*VLOOKUP(P$1,'ARP Score'!$A$5:$M20,$A9)</f>
        <v>31.911000000000001</v>
      </c>
      <c r="Q9" s="1393" t="n">
        <f>4*'ARP Timing'!P$11*VLOOKUP(Q$1,'ARP Score'!$A$5:$M20,$A9)</f>
        <v>31.911000000000001</v>
      </c>
      <c r="R9" s="1393" t="n">
        <f>4*'ARP Timing'!Q$11*VLOOKUP(R$1,'ARP Score'!$A$5:$M20,$A9)</f>
        <v>23.099</v>
      </c>
      <c r="S9" s="1393" t="n">
        <f>4*'ARP Timing'!R$11*VLOOKUP(S$1,'ARP Score'!$A$5:$M20,$A9)</f>
        <v>23.099</v>
      </c>
      <c r="T9" s="1393" t="n">
        <f>4*'ARP Timing'!S$11*VLOOKUP(T$1,'ARP Score'!$A$5:$M20,$A9)</f>
        <v>23.099</v>
      </c>
      <c r="U9" s="1393" t="n">
        <f>4*'ARP Timing'!T$11*VLOOKUP(U$1,'ARP Score'!$A$5:$M20,$A9)</f>
        <v>23.099</v>
      </c>
      <c r="V9" s="1393" t="n">
        <f>4*'ARP Timing'!U$11*VLOOKUP(V$1,'ARP Score'!$A$5:$M20,$A9)</f>
        <v>10.766999999999999</v>
      </c>
      <c r="W9" s="1393" t="n">
        <f t="shared" si="0"/>
        <v>152.74300000000005</v>
      </c>
    </row>
    <row r="10">
      <c r="A10" s="1398" t="n">
        <v>11</v>
      </c>
      <c r="B10" s="1394" t="s">
        <v>275</v>
      </c>
      <c r="C10" s="1393" t="n">
        <f>4*'ARP Timing'!B$11*VLOOKUP(C$1,'ARP Score'!$A$5:$M22,$A10)</f>
        <v>0</v>
      </c>
      <c r="D10" s="1393" t="n">
        <f>4*'ARP Timing'!C$11*VLOOKUP(D$1,'ARP Score'!$A$5:$M22,$A10)</f>
        <v>59.256</v>
      </c>
      <c r="E10" s="1393" t="n">
        <f>4*'ARP Timing'!D$11*VLOOKUP(E$1,'ARP Score'!$A$5:$M22,$A10)</f>
        <v>59.256</v>
      </c>
      <c r="F10" s="1393" t="n">
        <f>4*'ARP Timing'!E$11*VLOOKUP(F$1,'ARP Score'!$A$5:$M22,$A10)</f>
        <v>35.671000000000006</v>
      </c>
      <c r="G10" s="1393" t="n">
        <f>4*'ARP Timing'!F$11*VLOOKUP(G$1,'ARP Score'!$A$5:$M22,$A10)</f>
        <v>35.671000000000006</v>
      </c>
      <c r="H10" s="1393" t="n">
        <f>4*'ARP Timing'!G$11*VLOOKUP(H$1,'ARP Score'!$A$5:$M22,$A10)</f>
        <v>35.671000000000006</v>
      </c>
      <c r="I10" s="1393" t="n">
        <f>4*'ARP Timing'!H$11*VLOOKUP(I$1,'ARP Score'!$A$5:$M22,$A10)</f>
        <v>35.671000000000006</v>
      </c>
      <c r="J10" s="1393" t="n">
        <f>4*'ARP Timing'!I$11*VLOOKUP(J$1,'ARP Score'!$A$5:$M22,$A10)</f>
        <v>24.216000000000001</v>
      </c>
      <c r="K10" s="1393" t="n">
        <f>4*'ARP Timing'!J$11*VLOOKUP(K$1,'ARP Score'!$A$5:$M22,$A10)</f>
        <v>24.216000000000001</v>
      </c>
      <c r="L10" s="1393" t="n">
        <f>4*'ARP Timing'!K$11*VLOOKUP(L$1,'ARP Score'!$A$5:$M22,$A10)</f>
        <v>24.216000000000001</v>
      </c>
      <c r="M10" s="1393" t="n">
        <f>4*'ARP Timing'!L$11*VLOOKUP(M$1,'ARP Score'!$A$5:$M22,$A10)</f>
        <v>24.216000000000001</v>
      </c>
      <c r="N10" s="1393" t="n">
        <f>4*'ARP Timing'!M$11*VLOOKUP(N$1,'ARP Score'!$A$5:$M22,$A10)</f>
        <v>9.6430000000000007</v>
      </c>
      <c r="O10" s="1393" t="n">
        <f>4*'ARP Timing'!N$11*VLOOKUP(O$1,'ARP Score'!$A$5:$M22,$A10)</f>
        <v>9.6430000000000007</v>
      </c>
      <c r="P10" s="1393" t="n">
        <f>4*'ARP Timing'!O$11*VLOOKUP(P$1,'ARP Score'!$A$5:$M22,$A10)</f>
        <v>9.6430000000000007</v>
      </c>
      <c r="Q10" s="1393" t="n">
        <f>4*'ARP Timing'!P$11*VLOOKUP(Q$1,'ARP Score'!$A$5:$M22,$A10)</f>
        <v>9.6430000000000007</v>
      </c>
      <c r="R10" s="1393" t="n">
        <f>4*'ARP Timing'!Q$11*VLOOKUP(R$1,'ARP Score'!$A$5:$M22,$A10)</f>
        <v>4.5789999999999997</v>
      </c>
      <c r="S10" s="1393" t="n">
        <f>4*'ARP Timing'!R$11*VLOOKUP(S$1,'ARP Score'!$A$5:$M22,$A10)</f>
        <v>4.5789999999999997</v>
      </c>
      <c r="T10" s="1393" t="n">
        <f>4*'ARP Timing'!S$11*VLOOKUP(T$1,'ARP Score'!$A$5:$M22,$A10)</f>
        <v>4.5789999999999997</v>
      </c>
      <c r="U10" s="1393" t="n">
        <f>4*'ARP Timing'!T$11*VLOOKUP(U$1,'ARP Score'!$A$5:$M22,$A10)</f>
        <v>4.5789999999999997</v>
      </c>
      <c r="V10" s="1393" t="n">
        <f>4*'ARP Timing'!U$11*VLOOKUP(V$1,'ARP Score'!$A$5:$M22,$A10)</f>
        <v>2.9130000000000003</v>
      </c>
      <c r="W10" s="1393" t="n">
        <f t="shared" si="0"/>
        <v>103.73700000000002</v>
      </c>
    </row>
    <row r="11">
      <c r="A11" s="920" t="n">
        <v>12</v>
      </c>
      <c r="B11" s="45" t="s">
        <v>105</v>
      </c>
      <c r="C11" s="1393" t="n">
        <f>4*'ARP Timing'!B12*VLOOKUP(C$1,'ARP Score'!$A$5:$M20,$A11)</f>
        <v>103</v>
      </c>
      <c r="D11" s="1393" t="n">
        <f>4*'ARP Timing'!C12*VLOOKUP(D$1,'ARP Score'!$A$5:$M20,$A11)</f>
        <v>0</v>
      </c>
      <c r="E11" s="1393" t="n">
        <f>4*'ARP Timing'!D12*VLOOKUP(E$1,'ARP Score'!$A$5:$M20,$A11)</f>
        <v>0</v>
      </c>
      <c r="F11" s="1393" t="n">
        <f>4*'ARP Timing'!E12*VLOOKUP(F$1,'ARP Score'!$A$5:$M20,$A11)</f>
        <v>0</v>
      </c>
      <c r="G11" s="1393" t="n">
        <f>4*'ARP Timing'!F12*VLOOKUP(G$1,'ARP Score'!$A$5:$M20,$A11)</f>
        <v>0</v>
      </c>
      <c r="H11" s="1393" t="n">
        <f>4*'ARP Timing'!G12*VLOOKUP(H$1,'ARP Score'!$A$5:$M20,$A11)</f>
        <v>0</v>
      </c>
      <c r="I11" s="1393" t="n">
        <f>4*'ARP Timing'!H12*VLOOKUP(I$1,'ARP Score'!$A$5:$M20,$A11)</f>
        <v>0</v>
      </c>
      <c r="J11" s="1393" t="n">
        <f>4*'ARP Timing'!I12*VLOOKUP(J$1,'ARP Score'!$A$5:$M20,$A11)</f>
        <v>0</v>
      </c>
      <c r="K11" s="1393" t="n">
        <f>4*'ARP Timing'!J12*VLOOKUP(K$1,'ARP Score'!$A$5:$M20,$A11)</f>
        <v>0</v>
      </c>
      <c r="L11" s="1393" t="n">
        <f>4*'ARP Timing'!K12*VLOOKUP(L$1,'ARP Score'!$A$5:$M20,$A11)</f>
        <v>0</v>
      </c>
      <c r="M11" s="1393" t="n">
        <f>4*'ARP Timing'!L12*VLOOKUP(M$1,'ARP Score'!$A$5:$M20,$A11)</f>
        <v>0</v>
      </c>
      <c r="N11" s="1393" t="n">
        <f>4*'ARP Timing'!M12*VLOOKUP(N$1,'ARP Score'!$A$5:$M20,$A11)</f>
        <v>0</v>
      </c>
      <c r="O11" s="1393" t="n">
        <f>4*'ARP Timing'!N12*VLOOKUP(O$1,'ARP Score'!$A$5:$M20,$A11)</f>
        <v>0</v>
      </c>
      <c r="P11" s="1393" t="n">
        <f>4*'ARP Timing'!O12*VLOOKUP(P$1,'ARP Score'!$A$5:$M20,$A11)</f>
        <v>0</v>
      </c>
      <c r="Q11" s="1393" t="n">
        <f>4*'ARP Timing'!P12*VLOOKUP(Q$1,'ARP Score'!$A$5:$M20,$A11)</f>
        <v>0</v>
      </c>
      <c r="R11" s="1393" t="n">
        <f>4*'ARP Timing'!Q12*VLOOKUP(R$1,'ARP Score'!$A$5:$M20,$A11)</f>
        <v>0</v>
      </c>
      <c r="S11" s="1393" t="n">
        <f>4*'ARP Timing'!R12*VLOOKUP(S$1,'ARP Score'!$A$5:$M20,$A11)</f>
        <v>0</v>
      </c>
      <c r="T11" s="1393" t="n">
        <f>4*'ARP Timing'!S12*VLOOKUP(T$1,'ARP Score'!$A$5:$M20,$A11)</f>
        <v>0</v>
      </c>
      <c r="U11" s="1393" t="n">
        <f>4*'ARP Timing'!T12*VLOOKUP(U$1,'ARP Score'!$A$5:$M20,$A11)</f>
        <v>0</v>
      </c>
      <c r="V11" s="1393" t="n">
        <f>4*'ARP Timing'!U12*VLOOKUP(V$1,'ARP Score'!$A$5:$M20,$A11)</f>
        <v>0</v>
      </c>
      <c r="W11" s="1393" t="n">
        <f t="shared" si="0"/>
        <v>25.75</v>
      </c>
    </row>
    <row r="12">
      <c r="A12" s="920" t="n">
        <v>13</v>
      </c>
      <c r="B12" s="71" t="s">
        <v>81</v>
      </c>
      <c r="C12" s="1393" t="n">
        <f>4*'ARP Timing'!B13*VLOOKUP(C$1,'ARP Score'!$A$5:$M21,$A12)</f>
        <v>0</v>
      </c>
      <c r="D12" s="1393" t="n">
        <f>4*'ARP Timing'!C13*VLOOKUP(D$1,'ARP Score'!$A$5:$M21,$A12)</f>
        <v>51.102400000000003</v>
      </c>
      <c r="E12" s="1393" t="n">
        <f>4*'ARP Timing'!D13*VLOOKUP(E$1,'ARP Score'!$A$5:$M21,$A12)</f>
        <v>76.653599999999997</v>
      </c>
      <c r="F12" s="1393" t="n">
        <f>4*'ARP Timing'!E13*VLOOKUP(F$1,'ARP Score'!$A$5:$M21,$A12)</f>
        <v>90.260800000000003</v>
      </c>
      <c r="G12" s="1393" t="n">
        <f>4*'ARP Timing'!F13*VLOOKUP(G$1,'ARP Score'!$A$5:$M21,$A12)</f>
        <v>67.695599999999999</v>
      </c>
      <c r="H12" s="1393" t="n">
        <f>4*'ARP Timing'!G13*VLOOKUP(H$1,'ARP Score'!$A$5:$M21,$A12)</f>
        <v>45.130400000000002</v>
      </c>
      <c r="I12" s="1393" t="n">
        <f>4*'ARP Timing'!H13*VLOOKUP(I$1,'ARP Score'!$A$5:$M21,$A12)</f>
        <v>22.565200000000001</v>
      </c>
      <c r="J12" s="1393" t="n">
        <f>4*'ARP Timing'!I13*VLOOKUP(J$1,'ARP Score'!$A$5:$M21,$A12)</f>
        <v>15.652999999999999</v>
      </c>
      <c r="K12" s="1393" t="n">
        <f>4*'ARP Timing'!J13*VLOOKUP(K$1,'ARP Score'!$A$5:$M21,$A12)</f>
        <v>15.652999999999999</v>
      </c>
      <c r="L12" s="1393" t="n">
        <f>4*'ARP Timing'!K13*VLOOKUP(L$1,'ARP Score'!$A$5:$M21,$A12)</f>
        <v>15.652999999999999</v>
      </c>
      <c r="M12" s="1393" t="n">
        <f>4*'ARP Timing'!L13*VLOOKUP(M$1,'ARP Score'!$A$5:$M21,$A12)</f>
        <v>15.652999999999999</v>
      </c>
      <c r="N12" s="1393" t="n">
        <f>4*'ARP Timing'!M13*VLOOKUP(N$1,'ARP Score'!$A$5:$M21,$A12)</f>
        <v>3.9320000000000004</v>
      </c>
      <c r="O12" s="1393" t="n">
        <f>4*'ARP Timing'!N13*VLOOKUP(O$1,'ARP Score'!$A$5:$M21,$A12)</f>
        <v>3.9320000000000004</v>
      </c>
      <c r="P12" s="1393" t="n">
        <f>4*'ARP Timing'!O13*VLOOKUP(P$1,'ARP Score'!$A$5:$M21,$A12)</f>
        <v>3.9320000000000004</v>
      </c>
      <c r="Q12" s="1393" t="n">
        <f>4*'ARP Timing'!P13*VLOOKUP(Q$1,'ARP Score'!$A$5:$M21,$A12)</f>
        <v>3.9320000000000004</v>
      </c>
      <c r="R12" s="1393" t="n">
        <f>4*'ARP Timing'!Q13*VLOOKUP(R$1,'ARP Score'!$A$5:$M21,$A12)</f>
        <v>-0.74299999999999988</v>
      </c>
      <c r="S12" s="1393" t="n">
        <f>4*'ARP Timing'!R13*VLOOKUP(S$1,'ARP Score'!$A$5:$M21,$A12)</f>
        <v>-0.74299999999999988</v>
      </c>
      <c r="T12" s="1393" t="n">
        <f>4*'ARP Timing'!S13*VLOOKUP(T$1,'ARP Score'!$A$5:$M21,$A12)</f>
        <v>-0.74299999999999988</v>
      </c>
      <c r="U12" s="1393" t="n">
        <f>4*'ARP Timing'!T13*VLOOKUP(U$1,'ARP Score'!$A$5:$M21,$A12)</f>
        <v>-0.74299999999999988</v>
      </c>
      <c r="V12" s="1393" t="n">
        <f>4*'ARP Timing'!U13*VLOOKUP(V$1,'ARP Score'!$A$5:$M21,$A12)</f>
        <v>-21.606000000000002</v>
      </c>
      <c r="W12" s="1393" t="n">
        <f t="shared" si="0"/>
        <v>107.19400000000005</v>
      </c>
    </row>
    <row r="13">
      <c r="A13" s="920" t="n">
        <v>15</v>
      </c>
      <c r="B13" s="920" t="s">
        <v>679</v>
      </c>
      <c r="C13" s="1393" t="n">
        <f>0.3*'ARP Score'!$N5*4*'ARP Timing'!B6</f>
        <v>0</v>
      </c>
      <c r="D13" s="1393" t="n">
        <f>0.3*'ARP Score'!$N5*4*'ARP Timing'!C6</f>
        <v>1.7544</v>
      </c>
      <c r="E13" s="1393" t="n">
        <f>0.3*'ARP Score'!$N5*4*'ARP Timing'!D6</f>
        <v>2.3255999999999997</v>
      </c>
      <c r="F13" s="1393" t="n">
        <f>0.3*'ARP Score'!$N6*4*'ARP Timing'!E6</f>
        <v>1.5299999999999998</v>
      </c>
      <c r="G13" s="1393" t="n">
        <f>0.3*'ARP Score'!$N6*4*'ARP Timing'!F6</f>
        <v>1.5299999999999998</v>
      </c>
      <c r="H13" s="1393" t="n">
        <f>0.3*'ARP Score'!$N6*4*'ARP Timing'!G6</f>
        <v>1.5299999999999998</v>
      </c>
      <c r="I13" s="1393" t="n">
        <f>0.3*'ARP Score'!$N6*4*'ARP Timing'!H6</f>
        <v>1.5299999999999998</v>
      </c>
      <c r="J13" s="1393" t="n">
        <f>0.3*'ARP Score'!$N7*4*'ARP Timing'!I6</f>
        <v>0</v>
      </c>
      <c r="K13" s="1393" t="n">
        <f>0.3*'ARP Score'!$N7*4*'ARP Timing'!J6</f>
        <v>0</v>
      </c>
      <c r="L13" s="1393" t="n">
        <f>0.3*'ARP Score'!$N7*4*'ARP Timing'!K6</f>
        <v>0</v>
      </c>
      <c r="M13" s="1393" t="n">
        <f>0.3*'ARP Score'!$N7*4*'ARP Timing'!L6</f>
        <v>0</v>
      </c>
      <c r="N13" s="1393" t="n">
        <f>0.3*'ARP Score'!$N7*4*'ARP Timing'!M6</f>
        <v>0</v>
      </c>
      <c r="O13" s="1393" t="n">
        <f>0.3*'ARP Score'!$N7*4*'ARP Timing'!N6</f>
        <v>0</v>
      </c>
      <c r="P13" s="1393" t="n">
        <f>0.3*'ARP Score'!$N7*4*'ARP Timing'!O6</f>
        <v>0</v>
      </c>
      <c r="Q13" s="1393" t="n">
        <f>0.3*'ARP Score'!$N7*4*'ARP Timing'!P6</f>
        <v>0</v>
      </c>
      <c r="R13" s="1393" t="n">
        <f>0.3*'ARP Score'!$N7*4*'ARP Timing'!Q6</f>
        <v>0</v>
      </c>
      <c r="S13" s="1393" t="n">
        <f>0.3*'ARP Score'!$N7*4*'ARP Timing'!R6</f>
        <v>0</v>
      </c>
      <c r="T13" s="1393" t="n">
        <f>0.3*'ARP Score'!$N7*4*'ARP Timing'!S6</f>
        <v>0</v>
      </c>
      <c r="U13" s="1393" t="n">
        <f>0.3*'ARP Score'!$N7*4*'ARP Timing'!T6</f>
        <v>0</v>
      </c>
      <c r="V13" s="1393" t="n">
        <f>0.3*'ARP Score'!$N7*4*'ARP Timing'!U6</f>
        <v>0</v>
      </c>
      <c r="W13" s="1393" t="n">
        <f t="shared" si="0"/>
        <v>2.5499999999999994</v>
      </c>
    </row>
    <row r="14">
      <c r="A14" s="920" t="n">
        <v>14</v>
      </c>
      <c r="B14" s="920" t="s">
        <v>680</v>
      </c>
      <c r="C14" s="1393" t="n">
        <f>C13/0.3*0.2</f>
        <v>0</v>
      </c>
      <c r="D14" s="1393" t="n">
        <f t="shared" ref="D14:F14" si="1">D13/0.3*0.2</f>
        <v>1.1696</v>
      </c>
      <c r="E14" s="1393" t="n">
        <f t="shared" si="1"/>
        <v>1.5503999999999998</v>
      </c>
      <c r="F14" s="1393" t="n">
        <f t="shared" si="1"/>
        <v>1.02</v>
      </c>
      <c r="G14" s="1393" t="n">
        <f t="shared" ref="G14" si="2">G13/0.3*0.2</f>
        <v>1.02</v>
      </c>
      <c r="H14" s="1393" t="n">
        <f t="shared" ref="H14" si="3">H13/0.3*0.2</f>
        <v>1.02</v>
      </c>
      <c r="I14" s="1393" t="n">
        <f t="shared" ref="I14" si="4">I13/0.3*0.2</f>
        <v>1.02</v>
      </c>
      <c r="J14" s="1393" t="n">
        <f t="shared" ref="J14" si="5">J13/0.3*0.2</f>
        <v>0</v>
      </c>
      <c r="K14" s="1393" t="n">
        <f t="shared" ref="K14" si="6">K13/0.3*0.2</f>
        <v>0</v>
      </c>
      <c r="L14" s="1393" t="n">
        <f t="shared" ref="L14" si="7">L13/0.3*0.2</f>
        <v>0</v>
      </c>
      <c r="M14" s="1393" t="n">
        <f t="shared" ref="M14" si="8">M13/0.3*0.2</f>
        <v>0</v>
      </c>
      <c r="N14" s="1393" t="n">
        <f t="shared" ref="N14" si="9">N13/0.3*0.2</f>
        <v>0</v>
      </c>
      <c r="O14" s="1393" t="n">
        <f t="shared" ref="O14" si="10">O13/0.3*0.2</f>
        <v>0</v>
      </c>
      <c r="P14" s="1393" t="n">
        <f t="shared" ref="P14" si="11">P13/0.3*0.2</f>
        <v>0</v>
      </c>
      <c r="Q14" s="1393" t="n">
        <f t="shared" ref="Q14" si="12">Q13/0.3*0.2</f>
        <v>0</v>
      </c>
      <c r="R14" s="1393" t="n">
        <f t="shared" ref="R14" si="13">R13/0.3*0.2</f>
        <v>0</v>
      </c>
      <c r="S14" s="1393" t="n">
        <f t="shared" ref="S14" si="14">S13/0.3*0.2</f>
        <v>0</v>
      </c>
      <c r="T14" s="1393" t="n">
        <f t="shared" ref="T14" si="15">T13/0.3*0.2</f>
        <v>0</v>
      </c>
      <c r="U14" s="1393" t="n">
        <f t="shared" ref="U14" si="16">U13/0.3*0.2</f>
        <v>0</v>
      </c>
      <c r="V14" s="1393" t="n">
        <f t="shared" ref="V14" si="17">V13/0.3*0.2</f>
        <v>0</v>
      </c>
      <c r="W14" s="1393" t="n">
        <f t="shared" si="0"/>
        <v>1.6999999999999997</v>
      </c>
    </row>
    <row r="15">
      <c r="A15" s="920" t="n">
        <v>14</v>
      </c>
      <c r="B15" s="920" t="s">
        <v>381</v>
      </c>
      <c r="C15" s="1393" t="n">
        <f>C14/0.2*0.5</f>
        <v>0</v>
      </c>
      <c r="D15" s="1393" t="n">
        <f t="shared" ref="D15:F15" si="18">D14/0.2*0.5</f>
        <v>2.9239999999999999</v>
      </c>
      <c r="E15" s="1393" t="n">
        <f t="shared" si="18"/>
        <v>3.8759999999999994</v>
      </c>
      <c r="F15" s="1393" t="n">
        <f t="shared" si="18"/>
        <v>2.5499999999999998</v>
      </c>
      <c r="G15" s="1393" t="n">
        <f t="shared" ref="G15" si="19">G14/0.2*0.5</f>
        <v>2.5499999999999998</v>
      </c>
      <c r="H15" s="1393" t="n">
        <f t="shared" ref="H15" si="20">H14/0.2*0.5</f>
        <v>2.5499999999999998</v>
      </c>
      <c r="I15" s="1393" t="n">
        <f t="shared" ref="I15" si="21">I14/0.2*0.5</f>
        <v>2.5499999999999998</v>
      </c>
      <c r="J15" s="1393" t="n">
        <f t="shared" ref="J15" si="22">J14/0.2*0.5</f>
        <v>0</v>
      </c>
      <c r="K15" s="1393" t="n">
        <f t="shared" ref="K15" si="23">K14/0.2*0.5</f>
        <v>0</v>
      </c>
      <c r="L15" s="1393" t="n">
        <f t="shared" ref="L15" si="24">L14/0.2*0.5</f>
        <v>0</v>
      </c>
      <c r="M15" s="1393" t="n">
        <f t="shared" ref="M15" si="25">M14/0.2*0.5</f>
        <v>0</v>
      </c>
      <c r="N15" s="1393" t="n">
        <f t="shared" ref="N15" si="26">N14/0.2*0.5</f>
        <v>0</v>
      </c>
      <c r="O15" s="1393" t="n">
        <f t="shared" ref="O15" si="27">O14/0.2*0.5</f>
        <v>0</v>
      </c>
      <c r="P15" s="1393" t="n">
        <f t="shared" ref="P15" si="28">P14/0.2*0.5</f>
        <v>0</v>
      </c>
      <c r="Q15" s="1393" t="n">
        <f t="shared" ref="Q15" si="29">Q14/0.2*0.5</f>
        <v>0</v>
      </c>
      <c r="R15" s="1393" t="n">
        <f t="shared" ref="R15" si="30">R14/0.2*0.5</f>
        <v>0</v>
      </c>
      <c r="S15" s="1393" t="n">
        <f t="shared" ref="S15" si="31">S14/0.2*0.5</f>
        <v>0</v>
      </c>
      <c r="T15" s="1393" t="n">
        <f t="shared" ref="T15" si="32">T14/0.2*0.5</f>
        <v>0</v>
      </c>
      <c r="U15" s="1393" t="n">
        <f t="shared" ref="U15" si="33">U14/0.2*0.5</f>
        <v>0</v>
      </c>
      <c r="V15" s="1393" t="n">
        <f t="shared" ref="V15" si="34">V14/0.2*0.5</f>
        <v>0</v>
      </c>
      <c r="W15" s="1393" t="n">
        <f t="shared" si="0"/>
        <v>4.25</v>
      </c>
    </row>
    <row r="16">
      <c r="C16" s="1393"/>
      <c r="D16" s="1393"/>
      <c r="E16" s="1393"/>
      <c r="F16" s="1393"/>
      <c r="G16" s="1393"/>
      <c r="H16" s="1393"/>
      <c r="I16" s="1393"/>
      <c r="J16" s="1393"/>
      <c r="K16" s="1393"/>
      <c r="L16" s="1393"/>
      <c r="M16" s="1393"/>
      <c r="N16" s="1393"/>
      <c r="O16" s="1393"/>
      <c r="P16" s="1393"/>
      <c r="Q16" s="1393"/>
      <c r="R16" s="1393"/>
      <c r="S16" s="1393"/>
      <c r="T16" s="1393"/>
      <c r="U16" s="1393"/>
      <c r="V16" s="1393"/>
      <c r="W16" s="1393"/>
    </row>
    <row r="17">
      <c r="A17" s="920" t="s">
        <v>681</v>
      </c>
      <c r="C17" s="1393"/>
      <c r="D17" s="1393"/>
      <c r="E17" s="1393"/>
      <c r="F17" s="1393"/>
      <c r="G17" s="1393"/>
      <c r="H17" s="1393"/>
      <c r="I17" s="1393"/>
      <c r="J17" s="1393"/>
      <c r="K17" s="1393"/>
      <c r="L17" s="1393"/>
      <c r="M17" s="1393"/>
      <c r="N17" s="1393"/>
      <c r="O17" s="1393"/>
      <c r="P17" s="1393"/>
      <c r="Q17" s="1393"/>
      <c r="R17" s="1393"/>
      <c r="S17" s="1393"/>
      <c r="T17" s="1393"/>
      <c r="U17" s="1393"/>
      <c r="V17" s="1393"/>
      <c r="W17" s="1393"/>
    </row>
    <row r="18">
      <c r="B18" s="686" t="s">
        <v>97</v>
      </c>
      <c r="C18" s="1393" t="n">
        <f>'ARP Score'!$BG5/'ARP Score'!$G5*C6</f>
        <v>0</v>
      </c>
      <c r="D18" s="1393" t="n">
        <f>'ARP Score'!$BG5/'ARP Score'!$G5*D6</f>
        <v>2.2132800000000001</v>
      </c>
      <c r="E18" s="1393" t="n">
        <f>'ARP Score'!$BG5/'ARP Score'!$G5*E6</f>
        <v>10.082720000000002</v>
      </c>
      <c r="F18" s="1393" t="n">
        <f>'ARP Score'!$BG6/'ARP Score'!$G6*F6</f>
        <v>7.1439999999999992</v>
      </c>
      <c r="G18" s="1393" t="n">
        <f>'ARP Score'!$BG6/'ARP Score'!$G6*G6</f>
        <v>7.1439999999999992</v>
      </c>
      <c r="H18" s="1393" t="n">
        <f>'ARP Score'!$BG6/'ARP Score'!$G6*H6</f>
        <v>7.1439999999999992</v>
      </c>
      <c r="I18" s="1393" t="n">
        <f>'ARP Score'!$BG6/'ARP Score'!$G6*I6</f>
        <v>7.1439999999999992</v>
      </c>
      <c r="J18" s="1393" t="n">
        <f>'ARP Score'!$BG7/'ARP Score'!$G7*J6</f>
        <v>0</v>
      </c>
      <c r="K18" s="1393" t="n">
        <f>'ARP Score'!$BG7/'ARP Score'!$G7*K6</f>
        <v>0</v>
      </c>
      <c r="L18" s="1393" t="n">
        <f>'ARP Score'!$BG7/'ARP Score'!$G7*L6</f>
        <v>0</v>
      </c>
      <c r="M18" s="1393" t="n">
        <f>'ARP Score'!$BG7/'ARP Score'!$G7*M6</f>
        <v>0</v>
      </c>
      <c r="N18" s="1393"/>
      <c r="O18" s="1393"/>
      <c r="P18" s="1393"/>
      <c r="Q18" s="1393"/>
      <c r="R18" s="1393"/>
      <c r="S18" s="1393"/>
      <c r="T18" s="1393"/>
      <c r="U18" s="1393"/>
      <c r="V18" s="1393"/>
      <c r="W18" s="1393"/>
    </row>
    <row r="19">
      <c r="B19" s="686" t="s">
        <v>682</v>
      </c>
      <c r="C19" s="1393" t="n">
        <f>'ARP Score'!$BI5/'ARP Score'!$G5*C6</f>
        <v>0</v>
      </c>
      <c r="D19" s="1393" t="n">
        <f>'ARP Score'!$BI5/'ARP Score'!$G5*D6</f>
        <v>15.128640000000001</v>
      </c>
      <c r="E19" s="1393" t="n">
        <f>'ARP Score'!$BI5/'ARP Score'!$G5*E6</f>
        <v>68.919360000000012</v>
      </c>
      <c r="F19" s="1393" t="n">
        <f>'ARP Score'!$BI6/'ARP Score'!$G6*F6</f>
        <v>5.6120000000000001</v>
      </c>
      <c r="G19" s="1393" t="n">
        <f>'ARP Score'!$BI6/'ARP Score'!$G6*G6</f>
        <v>5.6120000000000001</v>
      </c>
      <c r="H19" s="1393" t="n">
        <f>'ARP Score'!$BI6/'ARP Score'!$G6*H6</f>
        <v>5.6120000000000001</v>
      </c>
      <c r="I19" s="1393" t="n">
        <f>'ARP Score'!$BI6/'ARP Score'!$G6*I6</f>
        <v>5.6120000000000001</v>
      </c>
      <c r="J19" s="1393" t="n">
        <f>'ARP Score'!$B7/'ARP Score'!$G7*J6</f>
        <v>0.48599999999999993</v>
      </c>
      <c r="K19" s="1393" t="n">
        <f>'ARP Score'!$B7/'ARP Score'!$G7*K6</f>
        <v>0.48599999999999993</v>
      </c>
      <c r="L19" s="1393" t="n">
        <f>'ARP Score'!$B7/'ARP Score'!$G7*L6</f>
        <v>0.48599999999999993</v>
      </c>
      <c r="M19" s="1393" t="n">
        <f>'ARP Score'!$B7/'ARP Score'!$G7*M6</f>
        <v>0.48599999999999993</v>
      </c>
      <c r="N19" s="1393" t="n">
        <f>'ARP Score'!$B8/'ARP Score'!$G8*N6</f>
        <v>0</v>
      </c>
      <c r="O19" s="1393"/>
      <c r="P19" s="1393"/>
      <c r="Q19" s="1393"/>
      <c r="R19" s="1393"/>
      <c r="S19" s="1393"/>
      <c r="T19" s="1393"/>
      <c r="U19" s="1393"/>
      <c r="V19" s="1393"/>
      <c r="W19" s="1393"/>
    </row>
    <row r="20">
      <c r="B20" s="686" t="s">
        <v>100</v>
      </c>
      <c r="C20" s="1393" t="n">
        <f>'ARP Score'!$BF5/'ARP Score'!$G5*C6</f>
        <v>0</v>
      </c>
      <c r="D20" s="1393" t="n">
        <f>'ARP Score'!$BF5/'ARP Score'!$G5*D6</f>
        <v>3.2479199999999997</v>
      </c>
      <c r="E20" s="1393" t="n">
        <f>'ARP Score'!$BF5/'ARP Score'!$G5*E6</f>
        <v>14.796080000000002</v>
      </c>
      <c r="F20" s="1393" t="n">
        <f>'ARP Score'!$BF6/'ARP Score'!$G6*F6</f>
        <v>1.7329999999999999</v>
      </c>
      <c r="G20" s="1393" t="n">
        <f>'ARP Score'!$BF6/'ARP Score'!$G6*G6</f>
        <v>1.7329999999999999</v>
      </c>
      <c r="H20" s="1393" t="n">
        <f>'ARP Score'!$BF6/'ARP Score'!$G6*H6</f>
        <v>1.7329999999999999</v>
      </c>
      <c r="I20" s="1393" t="n">
        <f>'ARP Score'!$BF6/'ARP Score'!$G6*I6</f>
        <v>1.7329999999999999</v>
      </c>
      <c r="J20" s="1393" t="n">
        <f>'ARP Score'!$BF7/'ARP Score'!$G7*J6</f>
        <v>0</v>
      </c>
      <c r="K20" s="1393" t="n">
        <f>'ARP Score'!$BF7/'ARP Score'!$G7*K6</f>
        <v>0</v>
      </c>
      <c r="L20" s="1393" t="n">
        <f>'ARP Score'!$BF7/'ARP Score'!$G7*L6</f>
        <v>0</v>
      </c>
      <c r="M20" s="1393" t="n">
        <f>'ARP Score'!$BF7/'ARP Score'!$G7*M6</f>
        <v>0</v>
      </c>
      <c r="N20" s="1393"/>
      <c r="O20" s="1393"/>
      <c r="P20" s="1393"/>
      <c r="Q20" s="1393"/>
      <c r="R20" s="1393"/>
      <c r="S20" s="1393"/>
      <c r="T20" s="1393"/>
      <c r="U20" s="1393"/>
      <c r="V20" s="1393"/>
      <c r="W20" s="1393"/>
    </row>
    <row r="21">
      <c r="B21" s="1399" t="s">
        <v>324</v>
      </c>
      <c r="C21" s="1393" t="n">
        <f>15/40*(C6*'ARP Score'!$BD5/'ARP Score'!$G5)</f>
        <v>0</v>
      </c>
      <c r="D21" s="1393" t="n">
        <f>15/40*(D6*('ARP Score'!$BD5+'ARP Score'!$BE5)/'ARP Score'!$G5)</f>
        <v>13.2921</v>
      </c>
      <c r="E21" s="1393" t="n">
        <f>15/40*(E6*('ARP Score'!$BD5+'ARP Score'!$BE5)/'ARP Score'!$G5)</f>
        <v>60.552900000000008</v>
      </c>
      <c r="F21" s="1393" t="n">
        <f>15/40*(F6*('ARP Score'!$BD6+'ARP Score'!$BE6)/'ARP Score'!$G6)</f>
        <v>1.0687500000000001</v>
      </c>
      <c r="G21" s="1393" t="n">
        <f>15/40*(G6*('ARP Score'!$BD6+'ARP Score'!$BE6)/'ARP Score'!$G6)</f>
        <v>1.0687500000000001</v>
      </c>
      <c r="H21" s="1393" t="n">
        <f>15/40*(H6*('ARP Score'!$BD6+'ARP Score'!$BE6)/'ARP Score'!$G6)</f>
        <v>1.0687500000000001</v>
      </c>
      <c r="I21" s="1393" t="n">
        <f>15/40*(I6*('ARP Score'!$BD6+'ARP Score'!$BE6)/'ARP Score'!$G6)</f>
        <v>1.0687500000000001</v>
      </c>
      <c r="J21" s="1393" t="n">
        <f>15/40*(J6*('ARP Score'!$BD7+'ARP Score'!$BE7)/'ARP Score'!$G7)</f>
        <v>0.78750000000000009</v>
      </c>
      <c r="K21" s="1393" t="n">
        <f>15/40*(K6*('ARP Score'!$BD7+'ARP Score'!$BE7)/'ARP Score'!$G7)</f>
        <v>0.78750000000000009</v>
      </c>
      <c r="L21" s="1393" t="n">
        <f>15/40*(L6*('ARP Score'!$BD7+'ARP Score'!$BE7)/'ARP Score'!$G7)</f>
        <v>0.78750000000000009</v>
      </c>
      <c r="M21" s="1393" t="n">
        <f>15/40*(M6*('ARP Score'!$BD7+'ARP Score'!$BE7)/'ARP Score'!$G7)</f>
        <v>0.78750000000000009</v>
      </c>
      <c r="N21" s="1393"/>
      <c r="O21" s="1393"/>
      <c r="P21" s="1393"/>
      <c r="Q21" s="1393"/>
      <c r="R21" s="1393"/>
      <c r="S21" s="1393"/>
      <c r="T21" s="1393"/>
      <c r="U21" s="1393"/>
      <c r="V21" s="1393"/>
      <c r="W21" s="1393"/>
    </row>
    <row r="22">
      <c r="B22" s="1399" t="s">
        <v>683</v>
      </c>
      <c r="C22" s="1393"/>
      <c r="D22" s="1393" t="n">
        <f>D21/15*25</f>
        <v>22.153499999999998</v>
      </c>
      <c r="E22" s="1393" t="n">
        <f>E21/15*25</f>
        <v>100.92150000000002</v>
      </c>
      <c r="F22" s="1393" t="n">
        <f>F21/15*25</f>
        <v>1.7812500000000002</v>
      </c>
      <c r="G22" s="1393" t="n">
        <f>G21/15*25</f>
        <v>1.7812500000000002</v>
      </c>
      <c r="H22" s="1393" t="n">
        <f t="shared" ref="H22:J22" si="35">H21/15*25</f>
        <v>1.7812500000000002</v>
      </c>
      <c r="I22" s="1393" t="n">
        <f t="shared" si="35"/>
        <v>1.7812500000000002</v>
      </c>
      <c r="J22" s="1393" t="n">
        <f t="shared" si="35"/>
        <v>1.3125000000000002</v>
      </c>
      <c r="K22" s="1393" t="n">
        <f t="shared" ref="K22" si="36">K21/15*25</f>
        <v>1.3125000000000002</v>
      </c>
      <c r="L22" s="1393" t="n">
        <f t="shared" ref="L22" si="37">L21/15*25</f>
        <v>1.3125000000000002</v>
      </c>
      <c r="M22" s="1393" t="n">
        <f t="shared" ref="M22" si="38">M21/15*25</f>
        <v>1.3125000000000002</v>
      </c>
      <c r="N22" s="1393"/>
      <c r="O22" s="1393"/>
      <c r="P22" s="1393"/>
      <c r="Q22" s="1393"/>
      <c r="R22" s="1393"/>
      <c r="S22" s="1393"/>
      <c r="T22" s="1393"/>
      <c r="U22" s="1393"/>
      <c r="V22" s="1393"/>
      <c r="W22" s="1393"/>
    </row>
    <row r="23">
      <c r="B23" s="686" t="s">
        <v>336</v>
      </c>
      <c r="C23" s="1393" t="n">
        <f>'ARP Score'!$BB5/'ARP Score'!$G5*C6</f>
        <v>0</v>
      </c>
      <c r="D23" s="1393" t="n">
        <f>'ARP Score'!$BB5/'ARP Score'!$G5*D6</f>
        <v>2.9519999999999995</v>
      </c>
      <c r="E23" s="1393" t="n">
        <f>'ARP Score'!$BB5/'ARP Score'!$G5*E6</f>
        <v>13.448</v>
      </c>
      <c r="F23" s="1393" t="n">
        <f>'ARP Score'!$BB6/'ARP Score'!$G6*F6</f>
        <v>11.3</v>
      </c>
      <c r="G23" s="1393" t="n">
        <f>'ARP Score'!$BB6/'ARP Score'!$G6*G6</f>
        <v>11.3</v>
      </c>
      <c r="H23" s="1393" t="n">
        <f>'ARP Score'!$BB6/'ARP Score'!$G6*H6</f>
        <v>11.3</v>
      </c>
      <c r="I23" s="1393" t="n">
        <f>'ARP Score'!$BB6/'ARP Score'!$G6*I6</f>
        <v>11.3</v>
      </c>
      <c r="J23" s="1393" t="n">
        <f>'ARP Score'!$BB7/'ARP Score'!$G7*J6</f>
        <v>8.4</v>
      </c>
      <c r="K23" s="1393" t="n">
        <f>'ARP Score'!$BB7/'ARP Score'!$G7*K6</f>
        <v>8.4</v>
      </c>
      <c r="L23" s="1393" t="n">
        <f>'ARP Score'!$BB7/'ARP Score'!$G7*L6</f>
        <v>8.4</v>
      </c>
      <c r="M23" s="1393" t="n">
        <f>'ARP Score'!$BB7/'ARP Score'!$G7*M6</f>
        <v>8.4</v>
      </c>
      <c r="N23" s="1393" t="n">
        <f>'ARP Score'!$BB8/'ARP Score'!$G8*N6</f>
        <v>0.2</v>
      </c>
      <c r="O23" s="1393" t="n">
        <f>'ARP Score'!$BB8/'ARP Score'!$G8*O6</f>
        <v>0.2</v>
      </c>
      <c r="P23" s="1393" t="n">
        <f>'ARP Score'!$BB8/'ARP Score'!$G8*P6</f>
        <v>0.2</v>
      </c>
      <c r="Q23" s="1393" t="n">
        <f>'ARP Score'!$BB8/'ARP Score'!$G8*Q6</f>
        <v>0.2</v>
      </c>
      <c r="R23" s="1393"/>
      <c r="S23" s="1393"/>
      <c r="T23" s="1393"/>
      <c r="U23" s="1393"/>
      <c r="V23" s="1393"/>
      <c r="W23" s="1393"/>
    </row>
    <row r="24">
      <c r="B24" s="686" t="s">
        <v>337</v>
      </c>
      <c r="C24" s="1393" t="n">
        <f>'ARP Score'!$BH5/'ARP Score'!$G5*C6</f>
        <v>0</v>
      </c>
      <c r="D24" s="1393" t="n">
        <f>'ARP Score'!$BH5/'ARP Score'!$G5*D6</f>
        <v>-0.20447999999999997</v>
      </c>
      <c r="E24" s="1393" t="n">
        <f>'ARP Score'!$BH5/'ARP Score'!$G5*E6</f>
        <v>-0.93152000000000001</v>
      </c>
      <c r="F24" s="1393" t="n">
        <f>'ARP Score'!$BH6/'ARP Score'!$G6*F6</f>
        <v>81.608999999999995</v>
      </c>
      <c r="G24" s="1393" t="n">
        <f>'ARP Score'!$BH6/'ARP Score'!$G6*G6</f>
        <v>81.608999999999995</v>
      </c>
      <c r="H24" s="1393" t="n">
        <f>'ARP Score'!$BH6/'ARP Score'!$G6*H6</f>
        <v>81.608999999999995</v>
      </c>
      <c r="I24" s="1393" t="n">
        <f>'ARP Score'!$BH6/'ARP Score'!$G6*I6</f>
        <v>81.608999999999995</v>
      </c>
      <c r="J24" s="1393" t="n">
        <f>'ARP Score'!$BH7/'ARP Score'!$G7*J6</f>
        <v>1.3759999999999999</v>
      </c>
      <c r="K24" s="1393" t="n">
        <f>'ARP Score'!$BH7/'ARP Score'!$G7*K6</f>
        <v>1.3759999999999999</v>
      </c>
      <c r="L24" s="1393" t="n">
        <f>'ARP Score'!$BH7/'ARP Score'!$G7*L6</f>
        <v>1.3759999999999999</v>
      </c>
      <c r="M24" s="1393" t="n">
        <f>'ARP Score'!$BH7/'ARP Score'!$G7*M6</f>
        <v>1.3759999999999999</v>
      </c>
      <c r="N24" s="1393" t="n">
        <f>'ARP Score'!$BH8/'ARP Score'!$G8*N6</f>
        <v>-0.87500000000000011</v>
      </c>
      <c r="O24" s="1393" t="n">
        <f>'ARP Score'!$BH8/'ARP Score'!$G8*O6</f>
        <v>-0.87500000000000011</v>
      </c>
      <c r="P24" s="1393" t="n">
        <f>'ARP Score'!$BH8/'ARP Score'!$G8*P6</f>
        <v>-0.87500000000000011</v>
      </c>
      <c r="Q24" s="1393" t="n">
        <f>'ARP Score'!$BH8/'ARP Score'!$G8*Q6</f>
        <v>-0.87500000000000011</v>
      </c>
      <c r="R24" s="1393"/>
      <c r="S24" s="1393"/>
      <c r="T24" s="1393"/>
      <c r="U24" s="1393"/>
      <c r="V24" s="1393"/>
      <c r="W24" s="1393"/>
    </row>
    <row r="25">
      <c r="B25" s="686" t="s">
        <v>223</v>
      </c>
      <c r="C25" s="1393" t="n">
        <f>SUM(C18:C24)</f>
        <v>0</v>
      </c>
      <c r="D25" s="1393" t="n">
        <f t="shared" ref="D25:Q25" si="39">SUM(D18:D24)</f>
        <v>58.782959999999996</v>
      </c>
      <c r="E25" s="1393" t="n">
        <f t="shared" si="39"/>
        <v>267.78904000000006</v>
      </c>
      <c r="F25" s="1393" t="n">
        <f t="shared" si="39"/>
        <v>110.24799999999999</v>
      </c>
      <c r="G25" s="1393" t="n">
        <f t="shared" si="39"/>
        <v>110.24799999999999</v>
      </c>
      <c r="H25" s="1393" t="n">
        <f t="shared" si="39"/>
        <v>110.24799999999999</v>
      </c>
      <c r="I25" s="1393" t="n">
        <f t="shared" si="39"/>
        <v>110.24799999999999</v>
      </c>
      <c r="J25" s="1393" t="n">
        <f t="shared" si="39"/>
        <v>12.362</v>
      </c>
      <c r="K25" s="1393" t="n">
        <f t="shared" si="39"/>
        <v>12.362</v>
      </c>
      <c r="L25" s="1393" t="n">
        <f t="shared" si="39"/>
        <v>12.362</v>
      </c>
      <c r="M25" s="1393" t="n">
        <f t="shared" si="39"/>
        <v>12.362</v>
      </c>
      <c r="N25" s="1393" t="n">
        <f t="shared" si="39"/>
        <v>-0.67500000000000004</v>
      </c>
      <c r="O25" s="1393" t="n">
        <f t="shared" si="39"/>
        <v>-0.67500000000000004</v>
      </c>
      <c r="P25" s="1393" t="n">
        <f t="shared" si="39"/>
        <v>-0.67500000000000004</v>
      </c>
      <c r="Q25" s="1393" t="n">
        <f t="shared" si="39"/>
        <v>-0.67500000000000004</v>
      </c>
      <c r="R25" s="1393"/>
      <c r="S25" s="1393"/>
      <c r="T25" s="1393"/>
      <c r="U25" s="1393"/>
      <c r="V25" s="1393"/>
      <c r="W25" s="1393"/>
    </row>
    <row r="26">
      <c r="D26" s="1391" t="n">
        <f>D6-D25</f>
        <v>0</v>
      </c>
      <c r="E26" s="1391" t="n">
        <f t="shared" ref="E26:M26" si="40">E6-E25</f>
        <v>0</v>
      </c>
      <c r="F26" s="1391" t="n">
        <f t="shared" si="40"/>
        <v>0</v>
      </c>
      <c r="G26" s="1391" t="n">
        <f t="shared" si="40"/>
        <v>0</v>
      </c>
      <c r="H26" s="1391" t="n">
        <f t="shared" si="40"/>
        <v>0</v>
      </c>
      <c r="I26" s="1391" t="n">
        <f t="shared" si="40"/>
        <v>0</v>
      </c>
      <c r="J26" s="1391" t="n">
        <f t="shared" si="40"/>
        <v>0.36400000000000077</v>
      </c>
      <c r="K26" s="1391" t="n">
        <f t="shared" si="40"/>
        <v>0.36400000000000077</v>
      </c>
      <c r="L26" s="1391" t="n">
        <f t="shared" si="40"/>
        <v>0.36400000000000077</v>
      </c>
      <c r="M26" s="1391" t="n">
        <f t="shared" si="40"/>
        <v>0.36400000000000077</v>
      </c>
    </row>
    <row r="27">
      <c r="B27" s="920" t="s">
        <v>684</v>
      </c>
      <c r="D27" s="809" t="s">
        <v>183</v>
      </c>
      <c r="E27" s="809" t="s">
        <v>113</v>
      </c>
      <c r="F27" s="809" t="s">
        <v>114</v>
      </c>
      <c r="G27" s="809" t="s">
        <v>115</v>
      </c>
      <c r="H27" s="809" t="s">
        <v>116</v>
      </c>
      <c r="I27" s="809" t="s">
        <v>117</v>
      </c>
      <c r="J27" s="809" t="s">
        <v>118</v>
      </c>
      <c r="K27" s="809" t="s">
        <v>119</v>
      </c>
      <c r="L27" s="809" t="s">
        <v>120</v>
      </c>
      <c r="M27" s="809" t="s">
        <v>121</v>
      </c>
      <c r="N27" s="809" t="s">
        <v>122</v>
      </c>
      <c r="O27" s="809" t="s">
        <v>123</v>
      </c>
      <c r="P27" s="809" t="s">
        <v>124</v>
      </c>
      <c r="Q27" s="809" t="s">
        <v>108</v>
      </c>
      <c r="R27" s="809" t="s">
        <v>109</v>
      </c>
      <c r="S27" s="809" t="s">
        <v>110</v>
      </c>
      <c r="T27" s="809" t="s">
        <v>675</v>
      </c>
      <c r="U27" s="809" t="s">
        <v>676</v>
      </c>
      <c r="V27" s="809" t="s">
        <v>677</v>
      </c>
    </row>
    <row r="28">
      <c r="B28" s="71"/>
      <c r="C28" s="1391" t="s">
        <v>223</v>
      </c>
      <c r="D28" s="1395" t="n">
        <f>SUM(D29:D43)</f>
        <v>5.8765000000000009</v>
      </c>
      <c r="E28" s="1395" t="n">
        <f t="shared" ref="E28:V28" si="41">SUM(E29:E43)</f>
        <v>11.753000000000002</v>
      </c>
      <c r="F28" s="1395" t="n">
        <f t="shared" si="41"/>
        <v>15.762320000000003</v>
      </c>
      <c r="G28" s="1395" t="n">
        <f t="shared" si="41"/>
        <v>19.771640000000005</v>
      </c>
      <c r="H28" s="1395" t="n">
        <f t="shared" si="41"/>
        <v>23.812229000000006</v>
      </c>
      <c r="I28" s="1395" t="n">
        <f t="shared" si="41"/>
        <v>27.852818000000006</v>
      </c>
      <c r="J28" s="1395" t="n">
        <f t="shared" si="41"/>
        <v>30.517977000000005</v>
      </c>
      <c r="K28" s="1395" t="n">
        <f t="shared" si="41"/>
        <v>33.183136000000005</v>
      </c>
      <c r="L28" s="1395" t="n">
        <f t="shared" si="41"/>
        <v>36.260924000000003</v>
      </c>
      <c r="M28" s="1395" t="n">
        <f t="shared" si="41"/>
        <v>39.338711999999994</v>
      </c>
      <c r="N28" s="1395" t="n">
        <f t="shared" si="41"/>
        <v>40.928439999999995</v>
      </c>
      <c r="O28" s="1395" t="n">
        <f t="shared" si="41"/>
        <v>42.518167999999996</v>
      </c>
      <c r="P28" s="1395" t="n">
        <f t="shared" si="41"/>
        <v>44.428388999999996</v>
      </c>
      <c r="Q28" s="1395" t="n">
        <f t="shared" si="41"/>
        <v>46.338610000000003</v>
      </c>
      <c r="R28" s="1395" t="n">
        <f t="shared" si="41"/>
        <v>47.279744500000007</v>
      </c>
      <c r="S28" s="1395" t="n">
        <f t="shared" si="41"/>
        <v>46.283419000000009</v>
      </c>
      <c r="T28" s="1395" t="n">
        <f t="shared" si="41"/>
        <v>45.578489500000011</v>
      </c>
      <c r="U28" s="1395" t="n">
        <f t="shared" si="41"/>
        <v>45.454798000000011</v>
      </c>
      <c r="V28" s="1395" t="n">
        <f t="shared" si="41"/>
        <v>45.360580000000013</v>
      </c>
    </row>
    <row r="29">
      <c r="A29" s="920" t="n">
        <v>2021</v>
      </c>
      <c r="B29" s="71" t="s">
        <v>685</v>
      </c>
      <c r="C29" s="1391"/>
      <c r="D29" s="920" t="n">
        <f>($D$9+$D$10)*'ARP Timing'!B$16</f>
        <v>5.8765000000000009</v>
      </c>
      <c r="E29" s="920" t="n">
        <f>($D$9+$D$10)*'ARP Timing'!C$16</f>
        <v>5.8765000000000009</v>
      </c>
      <c r="F29" s="920" t="n">
        <f>($D$9+$D$10)*'ARP Timing'!D$16</f>
        <v>4.11355</v>
      </c>
      <c r="G29" s="920" t="n">
        <f>($D$9+$D$10)*'ARP Timing'!E$16</f>
        <v>4.11355</v>
      </c>
      <c r="H29" s="920" t="n">
        <f>($D$9+$D$10)*'ARP Timing'!F$16</f>
        <v>4.11355</v>
      </c>
      <c r="I29" s="920" t="n">
        <f>($D$9+$D$10)*'ARP Timing'!G$16</f>
        <v>4.11355</v>
      </c>
      <c r="J29" s="920" t="n">
        <f>($D$9+$D$10)*'ARP Timing'!H$16</f>
        <v>4.11355</v>
      </c>
      <c r="K29" s="920" t="n">
        <f>($D$9+$D$10)*'ARP Timing'!I$16</f>
        <v>4.11355</v>
      </c>
      <c r="L29" s="920" t="n">
        <f>($D$9+$D$10)*'ARP Timing'!J$16</f>
        <v>4.11355</v>
      </c>
      <c r="M29" s="920" t="n">
        <f>($D$9+$D$10)*'ARP Timing'!K$16</f>
        <v>4.11355</v>
      </c>
      <c r="N29" s="920" t="n">
        <f>($D$9+$D$10)*'ARP Timing'!L$16</f>
        <v>4.11355</v>
      </c>
      <c r="O29" s="920" t="n">
        <f>($D$9+$D$10)*'ARP Timing'!M$16</f>
        <v>4.11355</v>
      </c>
      <c r="P29" s="920" t="n">
        <f>($D$9+$D$10)*'ARP Timing'!N$16</f>
        <v>3.987625</v>
      </c>
      <c r="Q29" s="920" t="n">
        <f>($D$9+$D$10)*'ARP Timing'!O$16</f>
        <v>3.987625</v>
      </c>
      <c r="R29" s="920" t="n">
        <f>($D$9+$D$10)*'ARP Timing'!P$16</f>
        <v>3.987625</v>
      </c>
      <c r="S29" s="920" t="n">
        <f>($D$9+$D$10)*'ARP Timing'!Q$16</f>
        <v>3.987625</v>
      </c>
      <c r="T29" s="920" t="n">
        <f>($D$9+$D$10)*'ARP Timing'!R$16</f>
        <v>3.987625</v>
      </c>
      <c r="U29" s="920" t="n">
        <f>($D$9+$D$10)*'ARP Timing'!S$16</f>
        <v>3.987625</v>
      </c>
      <c r="V29" s="920" t="n">
        <f>($D$9+$D$10)*'ARP Timing'!T$16</f>
        <v>3.987625</v>
      </c>
    </row>
    <row r="30">
      <c r="B30" s="71" t="s">
        <v>242</v>
      </c>
      <c r="C30" s="1391"/>
      <c r="E30" s="920" t="n">
        <f>($E$9+$E$10)*'ARP Timing'!B$16</f>
        <v>5.8765000000000009</v>
      </c>
      <c r="F30" s="920" t="n">
        <f>($E$9+$E$10)*'ARP Timing'!C$16</f>
        <v>5.8765000000000009</v>
      </c>
      <c r="G30" s="920" t="n">
        <f>($E$9+$E$10)*'ARP Timing'!D$16</f>
        <v>4.11355</v>
      </c>
      <c r="H30" s="920" t="n">
        <f>($E$9+$E$10)*'ARP Timing'!E$16</f>
        <v>4.11355</v>
      </c>
      <c r="I30" s="920" t="n">
        <f>($E$9+$E$10)*'ARP Timing'!F$16</f>
        <v>4.11355</v>
      </c>
      <c r="J30" s="920" t="n">
        <f>($E$9+$E$10)*'ARP Timing'!G$16</f>
        <v>4.11355</v>
      </c>
      <c r="K30" s="920" t="n">
        <f>($E$9+$E$10)*'ARP Timing'!H$16</f>
        <v>4.11355</v>
      </c>
      <c r="L30" s="920" t="n">
        <f>($E$9+$E$10)*'ARP Timing'!I$16</f>
        <v>4.11355</v>
      </c>
      <c r="M30" s="920" t="n">
        <f>($E$9+$E$10)*'ARP Timing'!J$16</f>
        <v>4.11355</v>
      </c>
      <c r="N30" s="920" t="n">
        <f>($E$9+$E$10)*'ARP Timing'!K$16</f>
        <v>4.11355</v>
      </c>
      <c r="O30" s="920" t="n">
        <f>($E$9+$E$10)*'ARP Timing'!L$16</f>
        <v>4.11355</v>
      </c>
      <c r="P30" s="920" t="n">
        <f>($E$9+$E$10)*'ARP Timing'!M$16</f>
        <v>4.11355</v>
      </c>
      <c r="Q30" s="920" t="n">
        <f>($E$9+$E$10)*'ARP Timing'!N$16</f>
        <v>3.987625</v>
      </c>
      <c r="R30" s="920" t="n">
        <f>($E$9+$E$10)*'ARP Timing'!O$16</f>
        <v>3.987625</v>
      </c>
      <c r="S30" s="920" t="n">
        <f>($E$9+$E$10)*'ARP Timing'!P$16</f>
        <v>3.987625</v>
      </c>
      <c r="T30" s="920" t="n">
        <f>($E$9+$E$10)*'ARP Timing'!Q$16</f>
        <v>3.987625</v>
      </c>
      <c r="U30" s="920" t="n">
        <f>($E$9+$E$10)*'ARP Timing'!R$16</f>
        <v>3.987625</v>
      </c>
      <c r="V30" s="920" t="n">
        <f>($E$9+$E$10)*'ARP Timing'!S$16</f>
        <v>3.987625</v>
      </c>
    </row>
    <row r="31">
      <c r="B31" s="71" t="s">
        <v>686</v>
      </c>
      <c r="C31" s="1391"/>
      <c r="F31" s="920" t="n">
        <f>($F$9+$F$10)*'ARP Timing'!B$16</f>
        <v>5.7722700000000016</v>
      </c>
      <c r="G31" s="920" t="n">
        <f>($F$9+$F$10)*'ARP Timing'!C$16</f>
        <v>5.7722700000000016</v>
      </c>
      <c r="H31" s="920" t="n">
        <f>($F$9+$F$10)*'ARP Timing'!D$16</f>
        <v>4.0405890000000007</v>
      </c>
      <c r="I31" s="920" t="n">
        <f>($F$9+$F$10)*'ARP Timing'!E$16</f>
        <v>4.0405890000000007</v>
      </c>
      <c r="J31" s="920" t="n">
        <f>($F$9+$F$10)*'ARP Timing'!F$16</f>
        <v>4.0405890000000007</v>
      </c>
      <c r="K31" s="920" t="n">
        <f>($F$9+$F$10)*'ARP Timing'!G$16</f>
        <v>4.0405890000000007</v>
      </c>
      <c r="L31" s="920" t="n">
        <f>($F$9+$F$10)*'ARP Timing'!H$16</f>
        <v>4.0405890000000007</v>
      </c>
      <c r="M31" s="920" t="n">
        <f>($F$9+$F$10)*'ARP Timing'!I$16</f>
        <v>4.0405890000000007</v>
      </c>
      <c r="N31" s="920" t="n">
        <f>($F$9+$F$10)*'ARP Timing'!J$16</f>
        <v>4.0405890000000007</v>
      </c>
      <c r="O31" s="920" t="n">
        <f>($F$9+$F$10)*'ARP Timing'!K$16</f>
        <v>4.0405890000000007</v>
      </c>
      <c r="P31" s="920" t="n">
        <f>($F$9+$F$10)*'ARP Timing'!L$16</f>
        <v>4.0405890000000007</v>
      </c>
      <c r="Q31" s="920" t="n">
        <f>($F$9+$F$10)*'ARP Timing'!M$16</f>
        <v>4.0405890000000007</v>
      </c>
      <c r="R31" s="920" t="n">
        <f>($F$9+$F$10)*'ARP Timing'!N$16</f>
        <v>3.9168975000000006</v>
      </c>
      <c r="S31" s="920" t="n">
        <f>($F$9+$F$10)*'ARP Timing'!O$16</f>
        <v>3.9168975000000006</v>
      </c>
      <c r="T31" s="920" t="n">
        <f>($F$9+$F$10)*'ARP Timing'!P$16</f>
        <v>3.9168975000000006</v>
      </c>
      <c r="U31" s="920" t="n">
        <f>($F$9+$F$10)*'ARP Timing'!Q$16</f>
        <v>3.9168975000000006</v>
      </c>
      <c r="V31" s="920" t="n">
        <f>($F$9+$F$10)*'ARP Timing'!R$16</f>
        <v>3.9168975000000006</v>
      </c>
    </row>
    <row r="32">
      <c r="A32" s="920" t="n">
        <v>2022</v>
      </c>
      <c r="B32" s="71" t="s">
        <v>173</v>
      </c>
      <c r="C32" s="1391"/>
      <c r="G32" s="920" t="n">
        <f>($G$9+$G$10)*'ARP Timing'!B$16</f>
        <v>5.7722700000000016</v>
      </c>
      <c r="H32" s="920" t="n">
        <f>($G$9+$G$10)*'ARP Timing'!C$16</f>
        <v>5.7722700000000016</v>
      </c>
      <c r="I32" s="920" t="n">
        <f>($G$9+$G$10)*'ARP Timing'!D$16</f>
        <v>4.0405890000000007</v>
      </c>
      <c r="J32" s="920" t="n">
        <f>($G$9+$G$10)*'ARP Timing'!E$16</f>
        <v>4.0405890000000007</v>
      </c>
      <c r="K32" s="920" t="n">
        <f>($G$9+$G$10)*'ARP Timing'!F$16</f>
        <v>4.0405890000000007</v>
      </c>
      <c r="L32" s="920" t="n">
        <f>($G$9+$G$10)*'ARP Timing'!G$16</f>
        <v>4.0405890000000007</v>
      </c>
      <c r="M32" s="920" t="n">
        <f>($G$9+$G$10)*'ARP Timing'!H$16</f>
        <v>4.0405890000000007</v>
      </c>
      <c r="N32" s="920" t="n">
        <f>($G$9+$G$10)*'ARP Timing'!I$16</f>
        <v>4.0405890000000007</v>
      </c>
      <c r="O32" s="920" t="n">
        <f>($G$9+$G$10)*'ARP Timing'!J$16</f>
        <v>4.0405890000000007</v>
      </c>
      <c r="P32" s="920" t="n">
        <f>($G$9+$G$10)*'ARP Timing'!K$16</f>
        <v>4.0405890000000007</v>
      </c>
      <c r="Q32" s="920" t="n">
        <f>($G$9+$G$10)*'ARP Timing'!L$16</f>
        <v>4.0405890000000007</v>
      </c>
      <c r="R32" s="920" t="n">
        <f>($G$9+$G$10)*'ARP Timing'!M$16</f>
        <v>4.0405890000000007</v>
      </c>
      <c r="S32" s="920" t="n">
        <f>($G$9+$G$10)*'ARP Timing'!N$16</f>
        <v>3.9168975000000006</v>
      </c>
      <c r="T32" s="920" t="n">
        <f>($G$9+$G$10)*'ARP Timing'!O$16</f>
        <v>3.9168975000000006</v>
      </c>
      <c r="U32" s="920" t="n">
        <f>($G$9+$G$10)*'ARP Timing'!P$16</f>
        <v>3.9168975000000006</v>
      </c>
      <c r="V32" s="920" t="n">
        <f>($G$9+$G$10)*'ARP Timing'!Q$16</f>
        <v>3.9168975000000006</v>
      </c>
    </row>
    <row r="33">
      <c r="B33" s="71" t="s">
        <v>174</v>
      </c>
      <c r="C33" s="1391"/>
      <c r="H33" s="920" t="n">
        <f>($H$9+$H$10)*'ARP Timing'!B$16</f>
        <v>5.7722700000000016</v>
      </c>
      <c r="I33" s="920" t="n">
        <f>($H$9+$H$10)*'ARP Timing'!C$16</f>
        <v>5.7722700000000016</v>
      </c>
      <c r="J33" s="920" t="n">
        <f>($H$9+$H$10)*'ARP Timing'!D$16</f>
        <v>4.0405890000000007</v>
      </c>
      <c r="K33" s="920" t="n">
        <f>($H$9+$H$10)*'ARP Timing'!E$16</f>
        <v>4.0405890000000007</v>
      </c>
      <c r="L33" s="920" t="n">
        <f>($H$9+$H$10)*'ARP Timing'!F$16</f>
        <v>4.0405890000000007</v>
      </c>
      <c r="M33" s="920" t="n">
        <f>($H$9+$H$10)*'ARP Timing'!G$16</f>
        <v>4.0405890000000007</v>
      </c>
      <c r="N33" s="920" t="n">
        <f>($H$9+$H$10)*'ARP Timing'!H$16</f>
        <v>4.0405890000000007</v>
      </c>
      <c r="O33" s="920" t="n">
        <f>($H$9+$H$10)*'ARP Timing'!I$16</f>
        <v>4.0405890000000007</v>
      </c>
      <c r="P33" s="920" t="n">
        <f>($H$9+$H$10)*'ARP Timing'!J$16</f>
        <v>4.0405890000000007</v>
      </c>
      <c r="Q33" s="920" t="n">
        <f>($H$9+$H$10)*'ARP Timing'!K$16</f>
        <v>4.0405890000000007</v>
      </c>
      <c r="R33" s="920" t="n">
        <f>($H$9+$H$10)*'ARP Timing'!L$16</f>
        <v>4.0405890000000007</v>
      </c>
      <c r="S33" s="920" t="n">
        <f>($H$9+$H$10)*'ARP Timing'!M$16</f>
        <v>4.0405890000000007</v>
      </c>
      <c r="T33" s="920" t="n">
        <f>($H$9+$H$10)*'ARP Timing'!N$16</f>
        <v>3.9168975000000006</v>
      </c>
      <c r="U33" s="920" t="n">
        <f>($H$9+$H$10)*'ARP Timing'!O$16</f>
        <v>3.9168975000000006</v>
      </c>
      <c r="V33" s="920" t="n">
        <f>($H$9+$H$10)*'ARP Timing'!P$16</f>
        <v>3.9168975000000006</v>
      </c>
    </row>
    <row r="34">
      <c r="B34" s="71" t="s">
        <v>242</v>
      </c>
      <c r="C34" s="1391"/>
      <c r="H34" s="1391"/>
      <c r="I34" s="920" t="n">
        <f>($I$9+$I10)*'ARP Timing'!B$16</f>
        <v>5.7722700000000016</v>
      </c>
      <c r="J34" s="920" t="n">
        <f>($I$9+$I10)*'ARP Timing'!C$16</f>
        <v>5.7722700000000016</v>
      </c>
      <c r="K34" s="920" t="n">
        <f>($I$9+$I10)*'ARP Timing'!D$16</f>
        <v>4.0405890000000007</v>
      </c>
      <c r="L34" s="920" t="n">
        <f>($I$9+$I10)*'ARP Timing'!E$16</f>
        <v>4.0405890000000007</v>
      </c>
      <c r="M34" s="920" t="n">
        <f>($I$9+$I10)*'ARP Timing'!F$16</f>
        <v>4.0405890000000007</v>
      </c>
      <c r="N34" s="920" t="n">
        <f>($I$9+$I10)*'ARP Timing'!G$16</f>
        <v>4.0405890000000007</v>
      </c>
      <c r="O34" s="920" t="n">
        <f>($I$9+$I10)*'ARP Timing'!H$16</f>
        <v>4.0405890000000007</v>
      </c>
      <c r="P34" s="920" t="n">
        <f>($I$9+$I10)*'ARP Timing'!I$16</f>
        <v>4.0405890000000007</v>
      </c>
      <c r="Q34" s="920" t="n">
        <f>($I$9+$I10)*'ARP Timing'!J$16</f>
        <v>4.0405890000000007</v>
      </c>
      <c r="R34" s="920" t="n">
        <f>($I$9+$I10)*'ARP Timing'!K$16</f>
        <v>4.0405890000000007</v>
      </c>
      <c r="S34" s="920" t="n">
        <f>($I$9+$I10)*'ARP Timing'!L$16</f>
        <v>4.0405890000000007</v>
      </c>
      <c r="T34" s="920" t="n">
        <f>($I$9+$I10)*'ARP Timing'!M$16</f>
        <v>4.0405890000000007</v>
      </c>
      <c r="U34" s="920" t="n">
        <f>($I$9+$I10)*'ARP Timing'!N$16</f>
        <v>3.9168975000000006</v>
      </c>
      <c r="V34" s="920" t="n">
        <f>($I$9+$I10)*'ARP Timing'!O$16</f>
        <v>3.9168975000000006</v>
      </c>
    </row>
    <row r="35">
      <c r="B35" s="71" t="s">
        <v>686</v>
      </c>
      <c r="C35" s="1391"/>
      <c r="H35" s="1391"/>
      <c r="J35" s="920" t="n">
        <f>($J$9+$J$10)*'ARP Timing'!B$16</f>
        <v>4.3968400000000001</v>
      </c>
      <c r="K35" s="920" t="n">
        <f>($J$9+$J$10)*'ARP Timing'!C$16</f>
        <v>4.3968400000000001</v>
      </c>
      <c r="L35" s="920" t="n">
        <f>($J$9+$J$10)*'ARP Timing'!D$16</f>
        <v>3.077788</v>
      </c>
      <c r="M35" s="920" t="n">
        <f>($J$9+$J$10)*'ARP Timing'!E$16</f>
        <v>3.077788</v>
      </c>
      <c r="N35" s="920" t="n">
        <f>($J$9+$J$10)*'ARP Timing'!F$16</f>
        <v>3.077788</v>
      </c>
      <c r="O35" s="920" t="n">
        <f>($J$9+$J$10)*'ARP Timing'!G$16</f>
        <v>3.077788</v>
      </c>
      <c r="P35" s="920" t="n">
        <f>($J$9+$J$10)*'ARP Timing'!H$16</f>
        <v>3.077788</v>
      </c>
      <c r="Q35" s="920" t="n">
        <f>($J$9+$J$10)*'ARP Timing'!I$16</f>
        <v>3.077788</v>
      </c>
      <c r="R35" s="920" t="n">
        <f>($J$9+$J$10)*'ARP Timing'!J$16</f>
        <v>3.077788</v>
      </c>
      <c r="S35" s="920" t="n">
        <f>($J$9+$J$10)*'ARP Timing'!K$16</f>
        <v>3.077788</v>
      </c>
      <c r="T35" s="920" t="n">
        <f>($J$9+$J$10)*'ARP Timing'!L$16</f>
        <v>3.077788</v>
      </c>
      <c r="U35" s="920" t="n">
        <f>($J$9+$J$10)*'ARP Timing'!M$16</f>
        <v>3.077788</v>
      </c>
      <c r="V35" s="920" t="n">
        <f>($J$9+$J$10)*'ARP Timing'!N$16</f>
        <v>2.9835699999999998</v>
      </c>
    </row>
    <row r="36">
      <c r="A36" s="920" t="n">
        <v>2023</v>
      </c>
      <c r="B36" s="71" t="s">
        <v>173</v>
      </c>
      <c r="C36" s="1391"/>
      <c r="H36" s="1391"/>
      <c r="K36" s="920" t="n">
        <f>($K$9+$K$10)*'ARP Timing'!B$16</f>
        <v>4.3968400000000001</v>
      </c>
      <c r="L36" s="920" t="n">
        <f>($K$9+$K$10)*'ARP Timing'!C$16</f>
        <v>4.3968400000000001</v>
      </c>
      <c r="M36" s="920" t="n">
        <f>($K$9+$K$10)*'ARP Timing'!D$16</f>
        <v>3.077788</v>
      </c>
      <c r="N36" s="920" t="n">
        <f>($K$9+$K$10)*'ARP Timing'!E$16</f>
        <v>3.077788</v>
      </c>
      <c r="O36" s="920" t="n">
        <f>($K$9+$K$10)*'ARP Timing'!F$16</f>
        <v>3.077788</v>
      </c>
      <c r="P36" s="920" t="n">
        <f>($K$9+$K$10)*'ARP Timing'!G$16</f>
        <v>3.077788</v>
      </c>
      <c r="Q36" s="920" t="n">
        <f>($K$9+$K$10)*'ARP Timing'!H$16</f>
        <v>3.077788</v>
      </c>
      <c r="R36" s="920" t="n">
        <f>($K$9+$K$10)*'ARP Timing'!I$16</f>
        <v>3.077788</v>
      </c>
      <c r="S36" s="920" t="n">
        <f>($K$9+$K$10)*'ARP Timing'!J$16</f>
        <v>3.077788</v>
      </c>
      <c r="T36" s="920" t="n">
        <f>($K$9+$K$10)*'ARP Timing'!K$16</f>
        <v>3.077788</v>
      </c>
      <c r="U36" s="920" t="n">
        <f>($K$9+$K$10)*'ARP Timing'!L$16</f>
        <v>3.077788</v>
      </c>
      <c r="V36" s="920" t="n">
        <f>($K$9+$K$10)*'ARP Timing'!M$16</f>
        <v>3.077788</v>
      </c>
    </row>
    <row r="37">
      <c r="B37" s="71" t="s">
        <v>174</v>
      </c>
      <c r="C37" s="1391"/>
      <c r="H37" s="1391"/>
      <c r="L37" s="920" t="n">
        <f>($L$9+$L$10)*'ARP Timing'!B$16</f>
        <v>4.3968400000000001</v>
      </c>
      <c r="M37" s="920" t="n">
        <f>($L$9+$L$10)*'ARP Timing'!C$16</f>
        <v>4.3968400000000001</v>
      </c>
      <c r="N37" s="920" t="n">
        <f>($L$9+$L$10)*'ARP Timing'!D$16</f>
        <v>3.077788</v>
      </c>
      <c r="O37" s="920" t="n">
        <f>($L$9+$L$10)*'ARP Timing'!E$16</f>
        <v>3.077788</v>
      </c>
      <c r="P37" s="920" t="n">
        <f>($L$9+$L$10)*'ARP Timing'!F$16</f>
        <v>3.077788</v>
      </c>
      <c r="Q37" s="920" t="n">
        <f>($L$9+$L$10)*'ARP Timing'!G$16</f>
        <v>3.077788</v>
      </c>
      <c r="R37" s="920" t="n">
        <f>($L$9+$L$10)*'ARP Timing'!H$16</f>
        <v>3.077788</v>
      </c>
      <c r="S37" s="920" t="n">
        <f>($L$9+$L$10)*'ARP Timing'!I$16</f>
        <v>3.077788</v>
      </c>
      <c r="T37" s="920" t="n">
        <f>($L$9+$L$10)*'ARP Timing'!J$16</f>
        <v>3.077788</v>
      </c>
      <c r="U37" s="920" t="n">
        <f>($L$9+$L$10)*'ARP Timing'!K$16</f>
        <v>3.077788</v>
      </c>
      <c r="V37" s="920" t="n">
        <f>($L$9+$L$10)*'ARP Timing'!L$16</f>
        <v>3.077788</v>
      </c>
    </row>
    <row r="38">
      <c r="B38" s="71" t="s">
        <v>242</v>
      </c>
      <c r="C38" s="1391"/>
      <c r="H38" s="1391"/>
      <c r="M38" s="920" t="n">
        <f>($M$9+$M$10)*'ARP Timing'!B$16</f>
        <v>4.3968400000000001</v>
      </c>
      <c r="N38" s="920" t="n">
        <f>($M$9+$M$10)*'ARP Timing'!C$16</f>
        <v>4.3968400000000001</v>
      </c>
      <c r="O38" s="920" t="n">
        <f>($M$9+$M$10)*'ARP Timing'!D$16</f>
        <v>3.077788</v>
      </c>
      <c r="P38" s="920" t="n">
        <f>($M$9+$M$10)*'ARP Timing'!E$16</f>
        <v>3.077788</v>
      </c>
      <c r="Q38" s="920" t="n">
        <f>($M$9+$M$10)*'ARP Timing'!F$16</f>
        <v>3.077788</v>
      </c>
      <c r="R38" s="920" t="n">
        <f>($M$9+$M$10)*'ARP Timing'!G$16</f>
        <v>3.077788</v>
      </c>
      <c r="S38" s="920" t="n">
        <f>($M$9+$M$10)*'ARP Timing'!H$16</f>
        <v>3.077788</v>
      </c>
      <c r="T38" s="920" t="n">
        <f>($M$9+$M$10)*'ARP Timing'!I$16</f>
        <v>3.077788</v>
      </c>
      <c r="U38" s="920" t="n">
        <f>($M$9+$M$10)*'ARP Timing'!J$16</f>
        <v>3.077788</v>
      </c>
      <c r="V38" s="920" t="n">
        <f>($M$9+$M$10)*'ARP Timing'!K$16</f>
        <v>3.077788</v>
      </c>
    </row>
    <row r="39">
      <c r="B39" s="71" t="s">
        <v>686</v>
      </c>
      <c r="C39" s="1391"/>
      <c r="H39" s="1391"/>
      <c r="N39" s="920" t="n">
        <f>($N$9+$N$10)*'ARP Timing'!B$16</f>
        <v>2.9087800000000006</v>
      </c>
      <c r="O39" s="920" t="n">
        <f>($N$9+$N$10)*'ARP Timing'!C$16</f>
        <v>2.9087800000000006</v>
      </c>
      <c r="P39" s="920" t="n">
        <f>($N$9+$N$10)*'ARP Timing'!D$16</f>
        <v>2.036146</v>
      </c>
      <c r="Q39" s="920" t="n">
        <f>($N$9+$N$10)*'ARP Timing'!E$16</f>
        <v>2.036146</v>
      </c>
      <c r="R39" s="920" t="n">
        <f>($N$9+$N$10)*'ARP Timing'!F$16</f>
        <v>2.036146</v>
      </c>
      <c r="S39" s="920" t="n">
        <f>($N$9+$N$10)*'ARP Timing'!G$16</f>
        <v>2.036146</v>
      </c>
      <c r="T39" s="920" t="n">
        <f>($N$9+$N$10)*'ARP Timing'!H$16</f>
        <v>2.036146</v>
      </c>
      <c r="U39" s="920" t="n">
        <f>($N$9+$N$10)*'ARP Timing'!I$16</f>
        <v>2.036146</v>
      </c>
      <c r="V39" s="920" t="n">
        <f>($N$9+$N$10)*'ARP Timing'!J$16</f>
        <v>2.036146</v>
      </c>
    </row>
    <row r="40">
      <c r="A40" s="920" t="n">
        <v>2024</v>
      </c>
      <c r="B40" s="71" t="s">
        <v>173</v>
      </c>
      <c r="C40" s="1391"/>
      <c r="H40" s="1391"/>
      <c r="O40" s="920" t="n">
        <f>($O$9+$O$10)*'ARP Timing'!B$16</f>
        <v>2.9087800000000006</v>
      </c>
      <c r="P40" s="920" t="n">
        <f>($O$9+$O$10)*'ARP Timing'!C$16</f>
        <v>2.9087800000000006</v>
      </c>
      <c r="Q40" s="920" t="n">
        <f>($O$9+$O$10)*'ARP Timing'!D$16</f>
        <v>2.036146</v>
      </c>
      <c r="R40" s="920" t="n">
        <f>($O$9+$O$10)*'ARP Timing'!E$16</f>
        <v>2.036146</v>
      </c>
      <c r="S40" s="920" t="n">
        <f>($O$9+$O$10)*'ARP Timing'!F$16</f>
        <v>2.036146</v>
      </c>
      <c r="T40" s="920" t="n">
        <f>($O$9+$O$10)*'ARP Timing'!G$16</f>
        <v>2.036146</v>
      </c>
      <c r="U40" s="920" t="n">
        <f>($O$9+$O$10)*'ARP Timing'!H$16</f>
        <v>2.036146</v>
      </c>
      <c r="V40" s="920" t="n">
        <f>($O$9+$O$10)*'ARP Timing'!I$16</f>
        <v>2.036146</v>
      </c>
    </row>
    <row r="41">
      <c r="B41" s="71" t="s">
        <v>174</v>
      </c>
      <c r="C41" s="1391"/>
      <c r="H41" s="1391"/>
      <c r="P41" s="920" t="n">
        <f>($P$9+$P$10)*'ARP Timing'!B$16</f>
        <v>2.9087800000000006</v>
      </c>
      <c r="Q41" s="920" t="n">
        <f>($P$9+$P$10)*'ARP Timing'!C$16</f>
        <v>2.9087800000000006</v>
      </c>
      <c r="R41" s="920" t="n">
        <f>($P$9+$P$10)*'ARP Timing'!D$16</f>
        <v>2.036146</v>
      </c>
      <c r="S41" s="920" t="n">
        <f>($P$9+$P$10)*'ARP Timing'!E$16</f>
        <v>2.036146</v>
      </c>
      <c r="T41" s="920" t="n">
        <f>($P$9+$P$10)*'ARP Timing'!F$16</f>
        <v>2.036146</v>
      </c>
      <c r="U41" s="920" t="n">
        <f>($P$9+$P$10)*'ARP Timing'!G$16</f>
        <v>2.036146</v>
      </c>
      <c r="V41" s="920" t="n">
        <f>($P$9+$P$10)*'ARP Timing'!H$16</f>
        <v>2.036146</v>
      </c>
    </row>
    <row r="42">
      <c r="B42" s="71" t="s">
        <v>242</v>
      </c>
      <c r="C42" s="1391"/>
      <c r="H42" s="1391"/>
      <c r="Q42" s="920" t="n">
        <f>($Q$9+$Q$10)*'ARP Timing'!B$16</f>
        <v>2.9087800000000006</v>
      </c>
      <c r="R42" s="920" t="n">
        <f>($Q$9+$Q$10)*'ARP Timing'!C$16</f>
        <v>2.9087800000000006</v>
      </c>
      <c r="S42" s="920" t="n">
        <f>($Q$9+$Q$10)*'ARP Timing'!D$16</f>
        <v>2.036146</v>
      </c>
      <c r="T42" s="920" t="n">
        <f>($Q$9+$Q$10)*'ARP Timing'!E$16</f>
        <v>2.036146</v>
      </c>
      <c r="U42" s="920" t="n">
        <f>($Q$9+$Q$10)*'ARP Timing'!F$16</f>
        <v>2.036146</v>
      </c>
      <c r="V42" s="920" t="n">
        <f>($Q$9+$Q$10)*'ARP Timing'!G$16</f>
        <v>2.036146</v>
      </c>
    </row>
    <row r="43">
      <c r="B43" s="71" t="s">
        <v>686</v>
      </c>
      <c r="C43" s="1391"/>
      <c r="H43" s="1391"/>
      <c r="R43" s="920" t="n">
        <f>($R$9+$R$10)*'ARP Timing'!B$16</f>
        <v>1.9374600000000002</v>
      </c>
      <c r="S43" s="920" t="n">
        <f>($R$9+$R$10)*'ARP Timing'!C$16</f>
        <v>1.9374600000000002</v>
      </c>
      <c r="T43" s="920" t="n">
        <f>($R$9+$R$10)*'ARP Timing'!D$16</f>
        <v>1.356222</v>
      </c>
      <c r="U43" s="920" t="n">
        <f>($R$9+$R$10)*'ARP Timing'!E$16</f>
        <v>1.356222</v>
      </c>
      <c r="V43" s="920" t="n">
        <f>($R$9+$R$10)*'ARP Timing'!F$16</f>
        <v>1.356222</v>
      </c>
    </row>
    <row r="44">
      <c r="S44" s="920" t="n">
        <f>($S$9+$S$10)*'ARP Timing'!B$16</f>
        <v>1.9374600000000002</v>
      </c>
      <c r="T44" s="920" t="n">
        <f>($S$9+$S$10)*'ARP Timing'!C$16</f>
        <v>1.9374600000000002</v>
      </c>
      <c r="U44" s="920" t="n">
        <f>($S$9+$S$10)*'ARP Timing'!D$16</f>
        <v>1.356222</v>
      </c>
      <c r="V44" s="920" t="n">
        <f>($S$9+$S$10)*'ARP Timing'!E$16</f>
        <v>1.356222</v>
      </c>
    </row>
    <row r="46">
      <c r="B46" s="920" t="s">
        <v>687</v>
      </c>
      <c r="D46" s="809" t="s">
        <v>183</v>
      </c>
      <c r="E46" s="809" t="s">
        <v>113</v>
      </c>
      <c r="F46" s="809" t="s">
        <v>114</v>
      </c>
      <c r="G46" s="809" t="s">
        <v>115</v>
      </c>
      <c r="H46" s="809" t="s">
        <v>116</v>
      </c>
      <c r="I46" s="809" t="s">
        <v>117</v>
      </c>
      <c r="J46" s="809" t="s">
        <v>118</v>
      </c>
      <c r="K46" s="809" t="s">
        <v>119</v>
      </c>
      <c r="L46" s="809" t="s">
        <v>120</v>
      </c>
      <c r="M46" s="809" t="s">
        <v>121</v>
      </c>
      <c r="N46" s="809" t="s">
        <v>122</v>
      </c>
      <c r="O46" s="809" t="s">
        <v>123</v>
      </c>
      <c r="P46" s="809" t="s">
        <v>124</v>
      </c>
      <c r="Q46" s="809" t="s">
        <v>108</v>
      </c>
      <c r="R46" s="809" t="s">
        <v>109</v>
      </c>
      <c r="S46" s="809" t="s">
        <v>110</v>
      </c>
      <c r="T46" s="809" t="s">
        <v>675</v>
      </c>
      <c r="U46" s="809" t="s">
        <v>676</v>
      </c>
      <c r="V46" s="809" t="s">
        <v>677</v>
      </c>
    </row>
    <row r="47">
      <c r="B47" s="71"/>
      <c r="C47" s="1391" t="s">
        <v>223</v>
      </c>
      <c r="D47" s="1395" t="n">
        <f t="shared" ref="D47:U47" si="42">SUM(D48:D66)</f>
        <v>0</v>
      </c>
      <c r="E47" s="1395" t="n">
        <f t="shared" si="42"/>
        <v>0</v>
      </c>
      <c r="F47" s="1395" t="n">
        <f t="shared" si="42"/>
        <v>34.620851999999999</v>
      </c>
      <c r="G47" s="1395" t="n">
        <f t="shared" si="42"/>
        <v>50.996274799999995</v>
      </c>
      <c r="H47" s="1395" t="n">
        <f t="shared" si="42"/>
        <v>69.350031999999999</v>
      </c>
      <c r="I47" s="1395" t="n">
        <f t="shared" si="42"/>
        <v>79.295867999999999</v>
      </c>
      <c r="J47" s="1395" t="n">
        <f t="shared" si="42"/>
        <v>80.538927999999999</v>
      </c>
      <c r="K47" s="1395" t="n">
        <f t="shared" si="42"/>
        <v>80.122543199999996</v>
      </c>
      <c r="L47" s="1395" t="n">
        <f t="shared" si="42"/>
        <v>88.916719999999998</v>
      </c>
      <c r="M47" s="1395" t="n">
        <f t="shared" si="42"/>
        <v>92.213943999999998</v>
      </c>
      <c r="N47" s="1395" t="n">
        <f t="shared" si="42"/>
        <v>92.213943999999998</v>
      </c>
      <c r="O47" s="1395" t="n">
        <f t="shared" si="42"/>
        <v>94.213943999999998</v>
      </c>
      <c r="P47" s="1395" t="n">
        <f t="shared" si="42"/>
        <v>98.916719999999998</v>
      </c>
      <c r="Q47" s="1395" t="n">
        <f t="shared" si="42"/>
        <v>98.916719999999998</v>
      </c>
      <c r="R47" s="1395" t="n">
        <f t="shared" si="42"/>
        <v>99.081581199999988</v>
      </c>
      <c r="S47" s="1395" t="n">
        <f t="shared" si="42"/>
        <v>93.146578000000005</v>
      </c>
      <c r="T47" s="1395" t="n">
        <f t="shared" si="42"/>
        <v>86.552129999999991</v>
      </c>
      <c r="U47" s="1395" t="n">
        <f t="shared" si="42"/>
        <v>86.552129999999991</v>
      </c>
      <c r="V47" s="1395" t="n">
        <f>SUM(V48:V66)</f>
        <v>82.265738799999994</v>
      </c>
      <c r="W47" s="920" t="n">
        <f>SUM(G47:V47)/4</f>
        <v>343.32344900000004</v>
      </c>
    </row>
    <row r="48">
      <c r="A48" s="920" t="n">
        <v>2021</v>
      </c>
      <c r="B48" s="71" t="s">
        <v>685</v>
      </c>
      <c r="C48" s="1391"/>
      <c r="D48" s="920" t="n">
        <f>($D$8)*'ARP Timing'!B17</f>
        <v>0</v>
      </c>
      <c r="E48" s="920" t="n">
        <f>($D$8)*'ARP Timing'!C17</f>
        <v>0</v>
      </c>
      <c r="F48" s="920" t="n">
        <f>($D$8)*'ARP Timing'!D17</f>
        <v>34.620851999999999</v>
      </c>
      <c r="G48" s="920" t="n">
        <f>($D$8)*'ARP Timing'!E17</f>
        <v>45.996274799999995</v>
      </c>
      <c r="H48" s="920" t="n">
        <f>($D$8)*'ARP Timing'!F17</f>
        <v>59.350031999999992</v>
      </c>
      <c r="I48" s="920" t="n">
        <f>($D$8)*'ARP Timing'!G17</f>
        <v>64.295867999999999</v>
      </c>
      <c r="J48" s="920" t="n">
        <f>($D$8)*'ARP Timing'!H17</f>
        <v>49.458359999999999</v>
      </c>
      <c r="K48" s="920" t="n">
        <f>($D$8)*'ARP Timing'!I17</f>
        <v>49.458359999999999</v>
      </c>
      <c r="L48" s="920" t="n">
        <f>($D$8)*'ARP Timing'!J17</f>
        <v>59.350031999999992</v>
      </c>
      <c r="M48" s="920" t="n">
        <f>($D$8)*'ARP Timing'!K17</f>
        <v>59.350031999999992</v>
      </c>
      <c r="N48" s="920" t="n">
        <f>($D$8)*'ARP Timing'!L17</f>
        <v>69.241703999999999</v>
      </c>
      <c r="O48" s="920" t="n">
        <f>($D$8)*'ARP Timing'!M17</f>
        <v>69.241703999999999</v>
      </c>
      <c r="P48" s="920" t="n">
        <f>($D$8)*'ARP Timing'!N17</f>
        <v>59.350031999999992</v>
      </c>
      <c r="Q48" s="920" t="n">
        <f>($D$8)*'ARP Timing'!O17</f>
        <v>59.350031999999992</v>
      </c>
      <c r="R48" s="920" t="n">
        <f>($D$8)*'ARP Timing'!P17</f>
        <v>52.920445199999989</v>
      </c>
      <c r="S48" s="920" t="n">
        <f>($D$8)*'ARP Timing'!Q17</f>
        <v>46.985441999999992</v>
      </c>
      <c r="T48" s="920" t="n">
        <f>($D$8)*'ARP Timing'!R17</f>
        <v>46.985441999999992</v>
      </c>
      <c r="U48" s="920" t="n">
        <f>($D$8)*'ARP Timing'!S17</f>
        <v>46.985441999999992</v>
      </c>
      <c r="V48" s="920" t="n">
        <f>($D$8)*'ARP Timing'!T17</f>
        <v>46.985441999999992</v>
      </c>
    </row>
    <row r="49">
      <c r="B49" s="71" t="s">
        <v>242</v>
      </c>
      <c r="C49" s="1391"/>
      <c r="E49" s="920" t="n">
        <f>($E$8)*'ARP Timing'!B$17</f>
        <v>0</v>
      </c>
      <c r="F49" s="920" t="n">
        <f>($E$8)*'ARP Timing'!C$16</f>
        <v>0</v>
      </c>
      <c r="G49" s="920" t="n">
        <f>($E$8)*'ARP Timing'!D$16</f>
        <v>0</v>
      </c>
      <c r="H49" s="920" t="n">
        <f>($E$8)*'ARP Timing'!E$16</f>
        <v>0</v>
      </c>
      <c r="I49" s="920" t="n">
        <f>($E$8)*'ARP Timing'!F$16</f>
        <v>0</v>
      </c>
      <c r="J49" s="920" t="n">
        <f>($E$8)*'ARP Timing'!G$16</f>
        <v>0</v>
      </c>
      <c r="K49" s="920" t="n">
        <f>($E$8)*'ARP Timing'!H$16</f>
        <v>0</v>
      </c>
      <c r="L49" s="920" t="n">
        <f>($E$8)*'ARP Timing'!I$16</f>
        <v>0</v>
      </c>
      <c r="M49" s="920" t="n">
        <f>($E$8)*'ARP Timing'!J$16</f>
        <v>0</v>
      </c>
      <c r="N49" s="920" t="n">
        <f>($E$8)*'ARP Timing'!K$16</f>
        <v>0</v>
      </c>
      <c r="O49" s="920" t="n">
        <f>($E$8)*'ARP Timing'!L$16</f>
        <v>0</v>
      </c>
      <c r="P49" s="920" t="n">
        <f>($E$8)*'ARP Timing'!M$16</f>
        <v>0</v>
      </c>
      <c r="Q49" s="920" t="n">
        <f>($E$8)*'ARP Timing'!N$16</f>
        <v>0</v>
      </c>
      <c r="R49" s="920" t="n">
        <f>($E$8)*'ARP Timing'!O$16</f>
        <v>0</v>
      </c>
      <c r="S49" s="920" t="n">
        <f>($E$8)*'ARP Timing'!P$16</f>
        <v>0</v>
      </c>
      <c r="T49" s="920" t="n">
        <f>($E$8)*'ARP Timing'!Q$16</f>
        <v>0</v>
      </c>
      <c r="U49" s="920" t="n">
        <f>($E$8)*'ARP Timing'!R$16</f>
        <v>0</v>
      </c>
      <c r="V49" s="920" t="n">
        <f>($E$8)*'ARP Timing'!S$16</f>
        <v>0</v>
      </c>
    </row>
    <row r="50">
      <c r="B50" s="71" t="s">
        <v>686</v>
      </c>
      <c r="C50" s="1391"/>
      <c r="F50" s="920" t="n">
        <f>($F$8)*'ARP Timing'!C$17</f>
        <v>0</v>
      </c>
      <c r="G50" s="920" t="n">
        <f>($F$8)*'ARP Timing'!D$17</f>
        <v>0</v>
      </c>
      <c r="H50" s="920" t="n">
        <f>($F$8)*'ARP Timing'!E$17</f>
        <v>0</v>
      </c>
      <c r="I50" s="920" t="n">
        <f>($F$8)*'ARP Timing'!F$17</f>
        <v>0</v>
      </c>
      <c r="J50" s="920" t="n">
        <f>($F$8)*'ARP Timing'!G$17</f>
        <v>0</v>
      </c>
      <c r="K50" s="920" t="n">
        <f>($F$8)*'ARP Timing'!H$17</f>
        <v>0</v>
      </c>
      <c r="L50" s="920" t="n">
        <f>($F$8)*'ARP Timing'!I$17</f>
        <v>0</v>
      </c>
      <c r="M50" s="920" t="n">
        <f>($F$8)*'ARP Timing'!J$17</f>
        <v>0</v>
      </c>
      <c r="N50" s="920" t="n">
        <f>($F$8)*'ARP Timing'!K$17</f>
        <v>0</v>
      </c>
      <c r="O50" s="920" t="n">
        <f>($F$8)*'ARP Timing'!L$17</f>
        <v>0</v>
      </c>
      <c r="P50" s="920" t="n">
        <f>($F$8)*'ARP Timing'!M$17</f>
        <v>0</v>
      </c>
      <c r="Q50" s="920" t="n">
        <f>($F$8)*'ARP Timing'!N$17</f>
        <v>0</v>
      </c>
      <c r="R50" s="920" t="n">
        <f>($F$8)*'ARP Timing'!O$17</f>
        <v>0</v>
      </c>
      <c r="S50" s="920" t="n">
        <f>($F$8)*'ARP Timing'!P$17</f>
        <v>0</v>
      </c>
      <c r="T50" s="920" t="n">
        <f>($F$8)*'ARP Timing'!Q$17</f>
        <v>0</v>
      </c>
      <c r="U50" s="920" t="n">
        <f>($F$8)*'ARP Timing'!R$17</f>
        <v>0</v>
      </c>
      <c r="V50" s="920" t="n">
        <f>($F$8)*'ARP Timing'!S$17</f>
        <v>0</v>
      </c>
    </row>
    <row r="51">
      <c r="A51" s="920" t="n">
        <v>2022</v>
      </c>
      <c r="B51" s="71" t="s">
        <v>173</v>
      </c>
      <c r="C51" s="1391"/>
      <c r="G51" s="920" t="n">
        <f>($G$8)*'ARP Timing'!D$17</f>
        <v>0</v>
      </c>
      <c r="H51" s="920" t="n">
        <f>($G$8)*'ARP Timing'!E$17</f>
        <v>0</v>
      </c>
      <c r="I51" s="920" t="n">
        <f>($G$8)*'ARP Timing'!F$17</f>
        <v>0</v>
      </c>
      <c r="J51" s="920" t="n">
        <f>($G$8)*'ARP Timing'!G$17</f>
        <v>0</v>
      </c>
      <c r="K51" s="920" t="n">
        <f>($G$8)*'ARP Timing'!H$17</f>
        <v>0</v>
      </c>
      <c r="L51" s="920" t="n">
        <f>($G$8)*'ARP Timing'!I$17</f>
        <v>0</v>
      </c>
      <c r="M51" s="920" t="n">
        <f>($G$8)*'ARP Timing'!J$17</f>
        <v>0</v>
      </c>
      <c r="N51" s="920" t="n">
        <f>($G$8)*'ARP Timing'!K$17</f>
        <v>0</v>
      </c>
      <c r="O51" s="920" t="n">
        <f>($G$8)*'ARP Timing'!L$17</f>
        <v>0</v>
      </c>
      <c r="P51" s="920" t="n">
        <f>($G$8)*'ARP Timing'!M$17</f>
        <v>0</v>
      </c>
      <c r="Q51" s="920" t="n">
        <f>($G$8)*'ARP Timing'!N$17</f>
        <v>0</v>
      </c>
      <c r="R51" s="920" t="n">
        <f>($G$8)*'ARP Timing'!O$17</f>
        <v>0</v>
      </c>
      <c r="S51" s="920" t="n">
        <f>($G$8)*'ARP Timing'!P$17</f>
        <v>0</v>
      </c>
      <c r="T51" s="920" t="n">
        <f>($G$8)*'ARP Timing'!Q$17</f>
        <v>0</v>
      </c>
      <c r="U51" s="920" t="n">
        <f>($G$8)*'ARP Timing'!R$17</f>
        <v>0</v>
      </c>
      <c r="V51" s="920" t="n">
        <f>($G$8)*'ARP Timing'!S$17</f>
        <v>0</v>
      </c>
    </row>
    <row r="52">
      <c r="B52" s="71" t="s">
        <v>174</v>
      </c>
      <c r="C52" s="1391"/>
      <c r="H52" s="920" t="n">
        <f>($H$8)*'ARP Timing'!B$17</f>
        <v>0</v>
      </c>
      <c r="I52" s="920" t="n">
        <f>($H$8)*'ARP Timing'!C$17</f>
        <v>0</v>
      </c>
      <c r="J52" s="920" t="n">
        <f>($H$8)*'ARP Timing'!D$17</f>
        <v>23.080568000000003</v>
      </c>
      <c r="K52" s="920" t="n">
        <f>($H$8)*'ARP Timing'!E$17</f>
        <v>30.6641832</v>
      </c>
      <c r="L52" s="920" t="n">
        <f>($H$8)*'ARP Timing'!F$17</f>
        <v>39.566687999999999</v>
      </c>
      <c r="M52" s="920" t="n">
        <f>($H$8)*'ARP Timing'!G$17</f>
        <v>42.863911999999999</v>
      </c>
      <c r="N52" s="920" t="n">
        <f>($H$8)*'ARP Timing'!H$17</f>
        <v>32.972239999999999</v>
      </c>
      <c r="O52" s="920" t="n">
        <f>($H$8)*'ARP Timing'!I$17</f>
        <v>32.972239999999999</v>
      </c>
      <c r="P52" s="920" t="n">
        <f>($H$8)*'ARP Timing'!J$17</f>
        <v>39.566687999999999</v>
      </c>
      <c r="Q52" s="920" t="n">
        <f>($H$8)*'ARP Timing'!K$17</f>
        <v>39.566687999999999</v>
      </c>
      <c r="R52" s="920" t="n">
        <f>($H$8)*'ARP Timing'!L$17</f>
        <v>46.161136000000006</v>
      </c>
      <c r="S52" s="920" t="n">
        <f>($H$8)*'ARP Timing'!M$17</f>
        <v>46.161136000000006</v>
      </c>
      <c r="T52" s="920" t="n">
        <f>($H$8)*'ARP Timing'!N$17</f>
        <v>39.566687999999999</v>
      </c>
      <c r="U52" s="920" t="n">
        <f>($H$8)*'ARP Timing'!O$17</f>
        <v>39.566687999999999</v>
      </c>
      <c r="V52" s="920" t="n">
        <f>($H$8)*'ARP Timing'!P$17</f>
        <v>35.280296800000002</v>
      </c>
    </row>
    <row r="53">
      <c r="B53" s="71" t="s">
        <v>242</v>
      </c>
      <c r="C53" s="1391"/>
      <c r="H53" s="1391"/>
      <c r="I53" s="920" t="n">
        <f>($I$8)*'ARP Timing'!B$17</f>
        <v>0</v>
      </c>
      <c r="J53" s="920" t="n">
        <f>($I$8)*'ARP Timing'!C$17</f>
        <v>0</v>
      </c>
      <c r="K53" s="920" t="n">
        <f>($I$8)*'ARP Timing'!D$17</f>
        <v>0</v>
      </c>
      <c r="L53" s="920" t="n">
        <f>($I$8)*'ARP Timing'!E$17</f>
        <v>0</v>
      </c>
      <c r="M53" s="920" t="n">
        <f>($I$8)*'ARP Timing'!F$17</f>
        <v>0</v>
      </c>
      <c r="N53" s="920" t="n">
        <f>($I$8)*'ARP Timing'!G$17</f>
        <v>0</v>
      </c>
      <c r="O53" s="920" t="n">
        <f>($I$8)*'ARP Timing'!H$17</f>
        <v>0</v>
      </c>
      <c r="P53" s="920" t="n">
        <f>($I$8)*'ARP Timing'!I$17</f>
        <v>0</v>
      </c>
      <c r="Q53" s="920" t="n">
        <f>($I$8)*'ARP Timing'!J$17</f>
        <v>0</v>
      </c>
      <c r="R53" s="920" t="n">
        <f>($I$8)*'ARP Timing'!K$17</f>
        <v>0</v>
      </c>
      <c r="S53" s="920" t="n">
        <f>($I$8)*'ARP Timing'!L$17</f>
        <v>0</v>
      </c>
      <c r="T53" s="920" t="n">
        <f>($I$8)*'ARP Timing'!M$17</f>
        <v>0</v>
      </c>
      <c r="U53" s="920" t="n">
        <f>($I$8)*'ARP Timing'!N$17</f>
        <v>0</v>
      </c>
      <c r="V53" s="920" t="n">
        <f>($I$8)*'ARP Timing'!O$17</f>
        <v>0</v>
      </c>
    </row>
    <row r="54">
      <c r="B54" s="71" t="s">
        <v>686</v>
      </c>
      <c r="C54" s="1391"/>
      <c r="H54" s="1391"/>
    </row>
    <row r="55">
      <c r="A55" s="920" t="n">
        <v>2023</v>
      </c>
      <c r="B55" s="71" t="s">
        <v>173</v>
      </c>
      <c r="C55" s="1391"/>
      <c r="H55" s="1391"/>
    </row>
    <row r="56">
      <c r="B56" s="71" t="s">
        <v>174</v>
      </c>
      <c r="C56" s="1391"/>
      <c r="H56" s="1391"/>
    </row>
    <row r="57">
      <c r="B57" s="71" t="s">
        <v>242</v>
      </c>
      <c r="C57" s="1391"/>
      <c r="H57" s="1391"/>
    </row>
    <row r="58">
      <c r="B58" s="71" t="s">
        <v>686</v>
      </c>
      <c r="C58" s="1391"/>
      <c r="H58" s="1391"/>
    </row>
    <row r="59">
      <c r="A59" s="920" t="n">
        <v>2024</v>
      </c>
      <c r="B59" s="71" t="s">
        <v>173</v>
      </c>
      <c r="C59" s="1391"/>
      <c r="H59" s="1391"/>
    </row>
    <row r="60">
      <c r="B60" s="71" t="s">
        <v>174</v>
      </c>
      <c r="C60" s="1391"/>
      <c r="H60" s="1391"/>
    </row>
    <row r="61">
      <c r="B61" s="71" t="s">
        <v>242</v>
      </c>
      <c r="C61" s="1391"/>
      <c r="H61" s="1391"/>
    </row>
    <row r="62">
      <c r="B62" s="71" t="s">
        <v>686</v>
      </c>
      <c r="C62" s="1391"/>
      <c r="H62" s="1391"/>
    </row>
    <row r="63">
      <c r="A63" t="s">
        <v>795</v>
      </c>
      <c r="B63" s="71"/>
      <c r="C63" s="1391"/>
      <c r="G63" t="n">
        <v>5</v>
      </c>
      <c r="H63" s="1391" t="n">
        <v>10</v>
      </c>
      <c r="I63" t="n">
        <v>15</v>
      </c>
      <c r="J63" t="n">
        <v>8</v>
      </c>
      <c r="K63" t="n">
        <v>0</v>
      </c>
      <c r="L63" t="n">
        <v>-10</v>
      </c>
      <c r="M63" t="n">
        <v>-10</v>
      </c>
      <c r="N63" t="n">
        <v>-10</v>
      </c>
      <c r="O63" t="n">
        <v>-8</v>
      </c>
    </row>
    <row r="64">
      <c r="B64" s="71"/>
      <c r="C64" s="1391"/>
      <c r="H64" s="1391"/>
    </row>
    <row r="65">
      <c r="B65" s="71"/>
      <c r="C65" s="1391"/>
      <c r="H65" s="1391"/>
    </row>
    <row r="66">
      <c r="B66" s="71"/>
      <c r="C66" s="1391"/>
      <c r="H66" s="1391"/>
    </row>
    <row r="67">
      <c r="B67" s="71"/>
      <c r="C67" s="1391"/>
      <c r="H67" s="1391"/>
    </row>
    <row r="68">
      <c r="B68" s="71"/>
      <c r="C68" s="1391"/>
      <c r="H68" s="1391"/>
    </row>
    <row r="69">
      <c r="B69" s="71"/>
      <c r="C69" s="1391"/>
      <c r="H69" s="1391"/>
    </row>
    <row r="70">
      <c r="B70" s="71"/>
      <c r="C70" s="1391"/>
      <c r="H70" s="1391"/>
    </row>
    <row r="71">
      <c r="B71" s="71"/>
      <c r="C71" s="1391"/>
      <c r="H71" s="1391"/>
    </row>
    <row r="72">
      <c r="B72" s="71"/>
      <c r="C72" s="1391"/>
      <c r="H72" s="1391"/>
    </row>
    <row r="73">
      <c r="B73" s="71" t="s">
        <v>688</v>
      </c>
      <c r="C73" s="1392" t="n">
        <v>2021</v>
      </c>
      <c r="D73" s="1392" t="n">
        <v>2022</v>
      </c>
      <c r="E73" s="1392" t="n">
        <v>2023</v>
      </c>
      <c r="F73" s="1392" t="n">
        <v>2024</v>
      </c>
      <c r="G73" s="1392" t="n">
        <v>2025</v>
      </c>
      <c r="H73" s="1391"/>
    </row>
    <row r="74">
      <c r="B74" s="71" t="s">
        <v>585</v>
      </c>
      <c r="C74" s="1396" t="n">
        <f t="shared" ref="C74:C85" si="43">SUM(C4:E4)/4</f>
        <v>0.77600000000001046</v>
      </c>
      <c r="D74" s="1396" t="n">
        <f t="shared" ref="D74:D85" si="44">SUM(F4:I4)/4</f>
        <v>19.719000000000005</v>
      </c>
      <c r="E74" s="1396" t="n">
        <f t="shared" ref="E74:E85" si="45">SUM(J4:M4)/4</f>
        <v>1.4159999999999999</v>
      </c>
      <c r="F74" s="1396" t="n">
        <f t="shared" ref="F74:F85" si="46">SUM(N4:Q4)/4</f>
        <v>1.4790000000000001</v>
      </c>
      <c r="G74" s="1396" t="n">
        <f t="shared" ref="G74:G85" si="47">SUM(R4:U4)/4</f>
        <v>1.63</v>
      </c>
    </row>
    <row r="75">
      <c r="B75" s="71" t="s">
        <v>586</v>
      </c>
      <c r="C75" s="1396" t="n">
        <f t="shared" si="43"/>
        <v>19.722000000000016</v>
      </c>
      <c r="D75" s="1396" t="n">
        <f t="shared" si="44"/>
        <v>52.756999999999998</v>
      </c>
      <c r="E75" s="1396" t="n">
        <f t="shared" si="45"/>
        <v>12</v>
      </c>
      <c r="F75" s="1396" t="n">
        <f t="shared" si="46"/>
        <v>4.2219999999999995</v>
      </c>
      <c r="G75" s="1396" t="n">
        <f t="shared" si="47"/>
        <v>2.3719999999999999</v>
      </c>
      <c r="H75" s="1391"/>
    </row>
    <row r="76">
      <c r="B76" s="71" t="s">
        <v>43</v>
      </c>
      <c r="C76" s="1396" t="n">
        <f t="shared" si="43"/>
        <v>81.643000000000001</v>
      </c>
      <c r="D76" s="1396" t="n">
        <f t="shared" si="44"/>
        <v>110.24799999999999</v>
      </c>
      <c r="E76" s="1396" t="n">
        <f t="shared" si="45"/>
        <v>12.726000000000001</v>
      </c>
      <c r="F76" s="1396" t="n">
        <f t="shared" si="46"/>
        <v>1.365</v>
      </c>
      <c r="G76" s="1396" t="n">
        <f t="shared" si="47"/>
        <v>-0.90100000000000025</v>
      </c>
      <c r="H76" s="1391"/>
      <c r="O76" s="71"/>
      <c r="P76" s="71"/>
      <c r="Q76" s="71"/>
      <c r="R76" s="71"/>
      <c r="S76" s="1397"/>
      <c r="T76" s="1397"/>
      <c r="U76" s="1397"/>
      <c r="V76" s="45"/>
      <c r="W76" s="71"/>
      <c r="X76" s="71"/>
    </row>
    <row r="77">
      <c r="B77" s="71" t="s">
        <v>90</v>
      </c>
      <c r="C77" s="1396" t="n">
        <f t="shared" si="43"/>
        <v>7.798</v>
      </c>
      <c r="D77" s="1396" t="n">
        <f t="shared" si="44"/>
        <v>7.9489999999999998</v>
      </c>
      <c r="E77" s="1396" t="n">
        <f t="shared" si="45"/>
        <v>4.7519999999999998</v>
      </c>
      <c r="F77" s="1396" t="n">
        <f t="shared" si="46"/>
        <v>4.637999999999999</v>
      </c>
      <c r="G77" s="1396" t="n">
        <f t="shared" si="47"/>
        <v>1.8800000000000001</v>
      </c>
      <c r="H77" s="1391"/>
    </row>
    <row r="78">
      <c r="B78" s="1394" t="s">
        <v>259</v>
      </c>
      <c r="C78" s="1396" t="n">
        <f t="shared" si="43"/>
        <v>247.29179999999997</v>
      </c>
      <c r="D78" s="1396" t="n">
        <f t="shared" si="44"/>
        <v>164.8612</v>
      </c>
      <c r="E78" s="1396" t="n">
        <f t="shared" si="45"/>
        <v>0</v>
      </c>
      <c r="F78" s="1396" t="n">
        <f t="shared" si="46"/>
        <v>0</v>
      </c>
      <c r="G78" s="1396" t="n">
        <f t="shared" si="47"/>
        <v>0</v>
      </c>
      <c r="H78" s="1391"/>
      <c r="R78" s="1358"/>
      <c r="S78" s="1358"/>
    </row>
    <row r="79">
      <c r="B79" s="1394" t="s">
        <v>102</v>
      </c>
      <c r="C79" s="1396" t="n">
        <f t="shared" si="43"/>
        <v>12.347</v>
      </c>
      <c r="D79" s="1396" t="n">
        <f t="shared" si="44"/>
        <v>46.79</v>
      </c>
      <c r="E79" s="1396" t="n">
        <f t="shared" si="45"/>
        <v>38.595999999999997</v>
      </c>
      <c r="F79" s="1396" t="n">
        <f t="shared" si="46"/>
        <v>31.911000000000001</v>
      </c>
      <c r="G79" s="1396" t="n">
        <f t="shared" si="47"/>
        <v>23.099</v>
      </c>
      <c r="H79" s="1391"/>
      <c r="R79" s="1358"/>
      <c r="S79" s="1358"/>
    </row>
    <row r="80">
      <c r="B80" s="1394" t="s">
        <v>275</v>
      </c>
      <c r="C80" s="1396" t="n">
        <f t="shared" si="43"/>
        <v>29.628</v>
      </c>
      <c r="D80" s="1396" t="n">
        <f t="shared" si="44"/>
        <v>35.671000000000006</v>
      </c>
      <c r="E80" s="1396" t="n">
        <f t="shared" si="45"/>
        <v>24.216000000000001</v>
      </c>
      <c r="F80" s="1396" t="n">
        <f t="shared" si="46"/>
        <v>9.6430000000000007</v>
      </c>
      <c r="G80" s="1396" t="n">
        <f t="shared" si="47"/>
        <v>4.5789999999999997</v>
      </c>
      <c r="H80" s="1391"/>
      <c r="R80" s="1358"/>
      <c r="S80" s="1358"/>
    </row>
    <row r="81">
      <c r="B81" s="45" t="s">
        <v>105</v>
      </c>
      <c r="C81" s="1396" t="n">
        <f t="shared" si="43"/>
        <v>25.75</v>
      </c>
      <c r="D81" s="1396" t="n">
        <f t="shared" si="44"/>
        <v>0</v>
      </c>
      <c r="E81" s="1396" t="n">
        <f t="shared" si="45"/>
        <v>0</v>
      </c>
      <c r="F81" s="1396" t="n">
        <f t="shared" si="46"/>
        <v>0</v>
      </c>
      <c r="G81" s="1396" t="n">
        <f t="shared" si="47"/>
        <v>0</v>
      </c>
      <c r="H81" s="1391"/>
      <c r="R81" s="1358"/>
      <c r="S81" s="1358"/>
    </row>
    <row r="82">
      <c r="B82" s="71" t="s">
        <v>81</v>
      </c>
      <c r="C82" s="1396" t="n">
        <f t="shared" si="43"/>
        <v>31.939</v>
      </c>
      <c r="D82" s="1396" t="n">
        <f t="shared" si="44"/>
        <v>56.413000000000004</v>
      </c>
      <c r="E82" s="1396" t="n">
        <f t="shared" si="45"/>
        <v>15.652999999999999</v>
      </c>
      <c r="F82" s="1396" t="n">
        <f t="shared" si="46"/>
        <v>3.9320000000000004</v>
      </c>
      <c r="G82" s="1396" t="n">
        <f t="shared" si="47"/>
        <v>-0.74299999999999988</v>
      </c>
      <c r="R82" s="1358"/>
      <c r="S82" s="1358"/>
    </row>
    <row r="83">
      <c r="B83" s="920" t="s">
        <v>679</v>
      </c>
      <c r="C83" s="1396" t="n">
        <f t="shared" si="43"/>
        <v>1.02</v>
      </c>
      <c r="D83" s="1396" t="n">
        <f t="shared" si="44"/>
        <v>1.5299999999999998</v>
      </c>
      <c r="E83" s="1396" t="n">
        <f t="shared" si="45"/>
        <v>0</v>
      </c>
      <c r="F83" s="1396" t="n">
        <f t="shared" si="46"/>
        <v>0</v>
      </c>
      <c r="G83" s="1396" t="n">
        <f t="shared" si="47"/>
        <v>0</v>
      </c>
      <c r="R83" s="1358"/>
      <c r="S83" s="1358"/>
    </row>
    <row r="84">
      <c r="B84" s="920" t="s">
        <v>680</v>
      </c>
      <c r="C84" s="1396" t="n">
        <f t="shared" si="43"/>
        <v>0.67999999999999994</v>
      </c>
      <c r="D84" s="1396" t="n">
        <f t="shared" si="44"/>
        <v>1.02</v>
      </c>
      <c r="E84" s="1396" t="n">
        <f t="shared" si="45"/>
        <v>0</v>
      </c>
      <c r="F84" s="1396" t="n">
        <f t="shared" si="46"/>
        <v>0</v>
      </c>
      <c r="G84" s="1396" t="n">
        <f t="shared" si="47"/>
        <v>0</v>
      </c>
      <c r="R84" s="1358"/>
      <c r="S84" s="1358"/>
    </row>
    <row r="85">
      <c r="B85" s="920" t="s">
        <v>381</v>
      </c>
      <c r="C85" s="1396" t="n">
        <f t="shared" si="43"/>
        <v>1.6999999999999997</v>
      </c>
      <c r="D85" s="1396" t="n">
        <f t="shared" si="44"/>
        <v>2.5499999999999998</v>
      </c>
      <c r="E85" s="1396" t="n">
        <f t="shared" si="45"/>
        <v>0</v>
      </c>
      <c r="F85" s="1396" t="n">
        <f t="shared" si="46"/>
        <v>0</v>
      </c>
      <c r="G85" s="1396" t="n">
        <f t="shared" si="47"/>
        <v>0</v>
      </c>
      <c r="R85" s="1358"/>
      <c r="S85" s="1358"/>
    </row>
    <row r="86">
      <c r="C86" s="1392" t="n">
        <v>2021</v>
      </c>
      <c r="D86" s="1392" t="n">
        <v>2022</v>
      </c>
      <c r="E86" s="1392" t="n">
        <v>2023</v>
      </c>
      <c r="F86" s="1392" t="n">
        <v>2024</v>
      </c>
      <c r="G86" s="1392" t="n">
        <v>2025</v>
      </c>
      <c r="R86" s="1358"/>
      <c r="S86" s="1358"/>
    </row>
    <row r="87">
      <c r="B87" s="920" t="s">
        <v>689</v>
      </c>
      <c r="C87" s="1395" t="n">
        <f>SUM(C83:C85)</f>
        <v>3.3999999999999995</v>
      </c>
      <c r="D87" s="1395" t="n">
        <f t="shared" ref="D87:G87" si="48">SUM(D83:D85)</f>
        <v>5.0999999999999996</v>
      </c>
      <c r="E87" s="1395" t="n">
        <f t="shared" si="48"/>
        <v>0</v>
      </c>
      <c r="F87" s="1395" t="n">
        <f t="shared" si="48"/>
        <v>0</v>
      </c>
      <c r="G87" s="1395" t="n">
        <f t="shared" si="48"/>
        <v>0</v>
      </c>
      <c r="R87" s="1358"/>
      <c r="S87" s="1358"/>
    </row>
    <row r="90">
      <c r="B90" s="920" t="s">
        <v>585</v>
      </c>
      <c r="C90" s="1396" t="n">
        <v>26.636000000000024</v>
      </c>
      <c r="D90" s="1396" t="n">
        <v>98.978999999999999</v>
      </c>
      <c r="E90" s="1396" t="n">
        <v>2.1159999999999997</v>
      </c>
      <c r="F90" s="1396" t="n">
        <v>2.1789999999999998</v>
      </c>
      <c r="G90" s="1396" t="n">
        <v>2.33</v>
      </c>
      <c r="H90" s="1396"/>
      <c r="I90" s="1396"/>
      <c r="J90" s="1396"/>
      <c r="K90" s="1396"/>
      <c r="L90" s="1396"/>
      <c r="M90" s="1396"/>
    </row>
    <row r="91">
      <c r="B91" s="920" t="s">
        <v>586</v>
      </c>
      <c r="C91" s="1396" t="n">
        <v>47.722000000000016</v>
      </c>
      <c r="D91" s="1396" t="n">
        <v>52.756999999999998</v>
      </c>
      <c r="E91" s="1396" t="n">
        <v>12</v>
      </c>
      <c r="F91" s="1396" t="n">
        <v>4.2219999999999995</v>
      </c>
      <c r="G91" s="1396" t="n">
        <v>2.3719999999999999</v>
      </c>
      <c r="H91" s="1396"/>
      <c r="I91" s="1396"/>
      <c r="J91" s="1396"/>
      <c r="K91" s="1396"/>
      <c r="L91" s="1396"/>
      <c r="M91" s="1396"/>
    </row>
    <row r="92">
      <c r="B92" s="920" t="s">
        <v>43</v>
      </c>
      <c r="C92" s="1396" t="n">
        <v>81.842999999999989</v>
      </c>
      <c r="D92" s="1396" t="n">
        <v>110.24799999999999</v>
      </c>
      <c r="E92" s="1396" t="n">
        <v>12.726000000000001</v>
      </c>
      <c r="F92" s="1396" t="n">
        <v>1.365</v>
      </c>
      <c r="G92" s="1396" t="n">
        <v>-0.90100000000000025</v>
      </c>
      <c r="H92" s="1396"/>
      <c r="I92" s="1396"/>
      <c r="J92" s="1396"/>
      <c r="K92" s="1396"/>
      <c r="L92" s="1396"/>
      <c r="M92" s="1396"/>
    </row>
    <row r="93">
      <c r="B93" s="920" t="s">
        <v>90</v>
      </c>
      <c r="C93" s="1396" t="n">
        <v>7.798</v>
      </c>
      <c r="D93" s="1396" t="n">
        <v>7.9489999999999998</v>
      </c>
      <c r="E93" s="1396" t="n">
        <v>4.7519999999999998</v>
      </c>
      <c r="F93" s="1396" t="n">
        <v>4.637999999999999</v>
      </c>
      <c r="G93" s="1396" t="n">
        <v>1.8800000000000001</v>
      </c>
      <c r="H93" s="1396"/>
      <c r="I93" s="1396"/>
      <c r="J93" s="1396"/>
      <c r="K93" s="1396"/>
      <c r="L93" s="1396"/>
      <c r="M93" s="1396"/>
    </row>
    <row r="94">
      <c r="B94" s="920" t="s">
        <v>259</v>
      </c>
      <c r="C94" s="1396" t="n">
        <v>283.95749999999998</v>
      </c>
      <c r="D94" s="1396" t="n">
        <v>77.092500000000001</v>
      </c>
      <c r="E94" s="1396" t="n">
        <v>1</v>
      </c>
      <c r="F94" s="1396" t="n">
        <v>0</v>
      </c>
      <c r="G94" s="1396" t="n">
        <v>0</v>
      </c>
      <c r="H94" s="1396"/>
      <c r="I94" s="1396"/>
      <c r="J94" s="1396"/>
      <c r="K94" s="1396"/>
      <c r="L94" s="1396"/>
      <c r="M94" s="1396"/>
    </row>
    <row r="95">
      <c r="B95" s="920" t="s">
        <v>102</v>
      </c>
      <c r="C95" s="1396" t="n">
        <v>12.347</v>
      </c>
      <c r="D95" s="1396" t="n">
        <v>46.79</v>
      </c>
      <c r="E95" s="1396" t="n">
        <v>38.595999999999997</v>
      </c>
      <c r="F95" s="1396" t="n">
        <v>31.911000000000001</v>
      </c>
      <c r="G95" s="1396" t="n">
        <v>23.099</v>
      </c>
      <c r="H95" s="1396"/>
      <c r="I95" s="1396"/>
      <c r="J95" s="1396"/>
      <c r="K95" s="1396"/>
      <c r="L95" s="1396"/>
      <c r="M95" s="1396"/>
    </row>
    <row r="96">
      <c r="B96" s="920" t="s">
        <v>275</v>
      </c>
      <c r="C96" s="1396" t="n">
        <v>2.286</v>
      </c>
      <c r="D96" s="1396" t="n">
        <v>4.6049999999999995</v>
      </c>
      <c r="E96" s="1396" t="n">
        <v>1.349</v>
      </c>
      <c r="F96" s="1396" t="n">
        <v>0.441</v>
      </c>
      <c r="G96" s="1396" t="n">
        <v>0.313</v>
      </c>
      <c r="H96" s="1396"/>
      <c r="I96" s="1396"/>
      <c r="J96" s="1396"/>
      <c r="K96" s="1396"/>
      <c r="L96" s="1396"/>
      <c r="M96" s="1396"/>
    </row>
    <row r="97">
      <c r="B97" s="920" t="s">
        <v>105</v>
      </c>
      <c r="C97" s="1396" t="n">
        <v>25.75</v>
      </c>
      <c r="D97" s="1396" t="n">
        <v>0</v>
      </c>
      <c r="E97" s="1396" t="n">
        <v>0</v>
      </c>
      <c r="F97" s="1396" t="n">
        <v>0</v>
      </c>
      <c r="G97" s="1396" t="n">
        <v>0</v>
      </c>
      <c r="H97" s="1396"/>
      <c r="I97" s="1396"/>
      <c r="J97" s="1396"/>
      <c r="K97" s="1396"/>
      <c r="L97" s="1396"/>
      <c r="M97" s="1396"/>
    </row>
    <row r="98">
      <c r="B98" s="920" t="s">
        <v>81</v>
      </c>
      <c r="C98" s="1396" t="n">
        <v>60.441000000000003</v>
      </c>
      <c r="D98" s="1396" t="n">
        <v>91.678999999999988</v>
      </c>
      <c r="E98" s="1396" t="n">
        <v>41.220000000000006</v>
      </c>
      <c r="F98" s="1396" t="n">
        <v>14.004000000000003</v>
      </c>
      <c r="G98" s="1396" t="n">
        <v>3.8530000000000006</v>
      </c>
      <c r="H98" s="1396"/>
      <c r="I98" s="1396"/>
      <c r="J98" s="1396"/>
      <c r="K98" s="1396"/>
      <c r="L98" s="1396"/>
      <c r="M98" s="1396"/>
    </row>
    <row r="99">
      <c r="C99" s="1392" t="n">
        <v>3.4</v>
      </c>
      <c r="D99" s="1392" t="n">
        <v>5.0999999999999996</v>
      </c>
      <c r="E99" s="1392" t="n">
        <v>0</v>
      </c>
      <c r="F99" s="1392" t="n">
        <v>0</v>
      </c>
    </row>
  </sheetData>
  <pageMargins left="0.7" right="0.7" top="0.75" bottom="0.75" header="0.3" footer="0.3"/>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86" t="s">
        <v>1334</v>
      </c>
      <c r="B1" s="86" t="s">
        <v>1335</v>
      </c>
      <c r="C1" s="86" t="s">
        <v>1336</v>
      </c>
      <c r="D1" s="86" t="s">
        <v>1337</v>
      </c>
      <c r="E1" s="86" t="s">
        <v>1338</v>
      </c>
      <c r="F1" s="86" t="s">
        <v>1339</v>
      </c>
      <c r="G1" s="86" t="s">
        <v>825</v>
      </c>
      <c r="H1" s="86" t="s">
        <v>826</v>
      </c>
      <c r="I1" s="86" t="s">
        <v>827</v>
      </c>
      <c r="J1" s="86" t="s">
        <v>828</v>
      </c>
      <c r="K1" s="86" t="s">
        <v>829</v>
      </c>
      <c r="L1" s="86" t="s">
        <v>830</v>
      </c>
    </row>
    <row r="2">
      <c r="A2" t="n">
        <v>4.5079018442711401E-2</v>
      </c>
      <c r="B2" t="n">
        <v>5.3878515900577198E-2</v>
      </c>
      <c r="C2" t="n">
        <v>8.2063006909154398E-2</v>
      </c>
      <c r="D2" t="n">
        <v>0.104421067414309</v>
      </c>
      <c r="E2" t="s">
        <v>1340</v>
      </c>
      <c r="F2" t="s">
        <v>1341</v>
      </c>
      <c r="G2" t="n">
        <v>13.106999999999999</v>
      </c>
      <c r="H2" t="n">
        <v>1.9913023575188999E-2</v>
      </c>
      <c r="I2" t="n">
        <v>16.824999999999999</v>
      </c>
      <c r="J2" t="n">
        <v>2.51411589895989E-2</v>
      </c>
      <c r="K2" t="s">
        <v>831</v>
      </c>
      <c r="L2" t="s">
        <v>832</v>
      </c>
    </row>
    <row r="3">
      <c r="A3" t="n">
        <v>4.5079018442711401E-2</v>
      </c>
      <c r="B3" t="n">
        <v>5.3878515900577198E-2</v>
      </c>
      <c r="C3" t="n">
        <v>8.2063006909154398E-2</v>
      </c>
      <c r="D3" t="n">
        <v>0.104421067414309</v>
      </c>
      <c r="E3" t="s">
        <v>1342</v>
      </c>
      <c r="F3" t="s">
        <v>1341</v>
      </c>
      <c r="G3" t="n">
        <v>13.368</v>
      </c>
      <c r="H3" t="n">
        <v>1.9913023575188999E-2</v>
      </c>
      <c r="I3" t="n">
        <v>17.248000000000001</v>
      </c>
      <c r="J3" t="n">
        <v>2.51411589895989E-2</v>
      </c>
      <c r="K3" t="s">
        <v>833</v>
      </c>
      <c r="L3" t="s">
        <v>832</v>
      </c>
    </row>
    <row r="4">
      <c r="A4" t="n">
        <v>3.9419555818651898E-2</v>
      </c>
      <c r="B4" t="n">
        <v>6.9938689583740596E-2</v>
      </c>
      <c r="C4" t="n">
        <v>7.2508506661211405E-2</v>
      </c>
      <c r="D4" t="n">
        <v>7.9737360467493398E-2</v>
      </c>
      <c r="E4" t="s">
        <v>1343</v>
      </c>
      <c r="F4" t="s">
        <v>1341</v>
      </c>
      <c r="G4" t="n">
        <v>13.603999999999999</v>
      </c>
      <c r="H4" t="n">
        <v>1.7654099341711402E-2</v>
      </c>
      <c r="I4" t="n">
        <v>17.582000000000001</v>
      </c>
      <c r="J4" t="n">
        <v>1.9364564007421099E-2</v>
      </c>
      <c r="K4" t="s">
        <v>834</v>
      </c>
      <c r="L4" t="s">
        <v>832</v>
      </c>
    </row>
    <row r="5">
      <c r="A5" t="n">
        <v>5.2824828770235303E-2</v>
      </c>
      <c r="B5" t="n">
        <v>5.1823422551402501E-2</v>
      </c>
      <c r="C5" t="n">
        <v>6.9052453854286294E-2</v>
      </c>
      <c r="D5" t="n">
        <v>0.10539397910227</v>
      </c>
      <c r="E5" t="s">
        <v>1344</v>
      </c>
      <c r="F5" t="s">
        <v>1341</v>
      </c>
      <c r="G5" t="n">
        <v>13.833</v>
      </c>
      <c r="H5" t="n">
        <v>1.6833284328138898E-2</v>
      </c>
      <c r="I5" t="n">
        <v>18.027999999999999</v>
      </c>
      <c r="J5" t="n">
        <v>2.5366852462745899E-2</v>
      </c>
      <c r="K5" t="s">
        <v>835</v>
      </c>
      <c r="L5" t="s">
        <v>832</v>
      </c>
    </row>
    <row r="6">
      <c r="A6" t="n">
        <v>3.85286878692137E-2</v>
      </c>
      <c r="B6" t="n">
        <v>0.132788480581229</v>
      </c>
      <c r="C6" t="n">
        <v>0.10231116414477499</v>
      </c>
      <c r="D6" t="n">
        <v>6.9175988166702701E-2</v>
      </c>
      <c r="E6" t="s">
        <v>1345</v>
      </c>
      <c r="F6" t="s">
        <v>1341</v>
      </c>
      <c r="G6" t="n">
        <v>14.173999999999999</v>
      </c>
      <c r="H6" t="n">
        <v>2.4651196414371399E-2</v>
      </c>
      <c r="I6" t="n">
        <v>18.332000000000001</v>
      </c>
      <c r="J6" t="n">
        <v>1.6862658087419598E-2</v>
      </c>
      <c r="K6" t="s">
        <v>836</v>
      </c>
      <c r="L6" t="s">
        <v>832</v>
      </c>
    </row>
    <row r="7">
      <c r="A7" t="n">
        <v>4.6230845754161802E-2</v>
      </c>
      <c r="B7" t="n">
        <v>7.6806429060699302E-2</v>
      </c>
      <c r="C7" t="n">
        <v>7.6908368677740299E-2</v>
      </c>
      <c r="D7" t="n">
        <v>6.5481053360561203E-2</v>
      </c>
      <c r="E7" t="s">
        <v>1346</v>
      </c>
      <c r="F7" t="s">
        <v>1341</v>
      </c>
      <c r="G7" t="n">
        <v>14.439</v>
      </c>
      <c r="H7" t="n">
        <v>1.8696204317764999E-2</v>
      </c>
      <c r="I7" t="n">
        <v>18.625</v>
      </c>
      <c r="J7" t="n">
        <v>1.59829805804057E-2</v>
      </c>
      <c r="K7" t="s">
        <v>837</v>
      </c>
      <c r="L7" t="s">
        <v>832</v>
      </c>
    </row>
    <row r="8">
      <c r="A8" t="n">
        <v>4.0000704948734103E-2</v>
      </c>
      <c r="B8" t="n">
        <v>5.9184461037305798E-2</v>
      </c>
      <c r="C8" t="n">
        <v>6.1773509542664397E-2</v>
      </c>
      <c r="D8" t="n">
        <v>4.4315280925248897E-2</v>
      </c>
      <c r="E8" t="s">
        <v>1347</v>
      </c>
      <c r="F8" t="s">
        <v>1341</v>
      </c>
      <c r="G8" t="n">
        <v>14.657</v>
      </c>
      <c r="H8" t="n">
        <v>1.5097998476348899E-2</v>
      </c>
      <c r="I8" t="n">
        <v>18.827999999999999</v>
      </c>
      <c r="J8" t="n">
        <v>1.0899328859060401E-2</v>
      </c>
      <c r="K8" t="s">
        <v>838</v>
      </c>
      <c r="L8" t="s">
        <v>832</v>
      </c>
    </row>
    <row r="9">
      <c r="A9" t="n">
        <v>2.5035607973723999E-2</v>
      </c>
      <c r="B9" t="n">
        <v>8.3819893360376693E-2</v>
      </c>
      <c r="C9" t="n">
        <v>3.6793688078589702E-2</v>
      </c>
      <c r="D9" t="n">
        <v>7.0854524877743894E-2</v>
      </c>
      <c r="E9" t="s">
        <v>1348</v>
      </c>
      <c r="F9" t="s">
        <v>1341</v>
      </c>
      <c r="G9" t="n">
        <v>14.79</v>
      </c>
      <c r="H9" t="n">
        <v>9.0741625162038507E-3</v>
      </c>
      <c r="I9" t="n">
        <v>19.152999999999999</v>
      </c>
      <c r="J9" t="n">
        <v>1.7261525387720401E-2</v>
      </c>
      <c r="K9" t="s">
        <v>839</v>
      </c>
      <c r="L9" t="s">
        <v>832</v>
      </c>
    </row>
    <row r="10">
      <c r="A10" t="n">
        <v>4.2906681103859E-2</v>
      </c>
      <c r="B10" t="n">
        <v>0.175097239288524</v>
      </c>
      <c r="C10" t="n">
        <v>0.10446834522691199</v>
      </c>
      <c r="D10" t="n">
        <v>5.2157088254066501E-2</v>
      </c>
      <c r="E10" t="s">
        <v>1349</v>
      </c>
      <c r="F10" t="s">
        <v>1341</v>
      </c>
      <c r="G10" t="n">
        <v>15.162000000000001</v>
      </c>
      <c r="H10" t="n">
        <v>2.5152129817444399E-2</v>
      </c>
      <c r="I10" t="n">
        <v>19.398</v>
      </c>
      <c r="J10" t="n">
        <v>1.27917297551299E-2</v>
      </c>
      <c r="K10" t="s">
        <v>840</v>
      </c>
      <c r="L10" t="s">
        <v>832</v>
      </c>
    </row>
    <row r="11">
      <c r="A11" t="n">
        <v>2.3157030840978501E-2</v>
      </c>
      <c r="B11" t="n">
        <v>4.0963848741786497E-2</v>
      </c>
      <c r="C11" t="n">
        <v>5.35423244430666E-2</v>
      </c>
      <c r="D11" t="n">
        <v>2.83404365976123E-2</v>
      </c>
      <c r="E11" t="s">
        <v>1350</v>
      </c>
      <c r="F11" t="s">
        <v>1341</v>
      </c>
      <c r="G11" t="n">
        <v>15.361000000000001</v>
      </c>
      <c r="H11" t="n">
        <v>1.3124917557050499E-2</v>
      </c>
      <c r="I11" t="n">
        <v>19.533999999999999</v>
      </c>
      <c r="J11" t="n">
        <v>7.0110320651612899E-3</v>
      </c>
      <c r="K11" t="s">
        <v>841</v>
      </c>
      <c r="L11" t="s">
        <v>832</v>
      </c>
    </row>
    <row r="12">
      <c r="A12" t="n">
        <v>3.55986781186481E-2</v>
      </c>
      <c r="B12" t="n">
        <v>3.3186191278740597E-2</v>
      </c>
      <c r="C12" t="n">
        <v>6.3703129067968198E-2</v>
      </c>
      <c r="D12" t="n">
        <v>5.6658506033298299E-2</v>
      </c>
      <c r="E12" t="s">
        <v>1351</v>
      </c>
      <c r="F12" t="s">
        <v>1341</v>
      </c>
      <c r="G12" t="n">
        <v>15.6</v>
      </c>
      <c r="H12" t="n">
        <v>1.5558882885228701E-2</v>
      </c>
      <c r="I12" t="n">
        <v>19.805</v>
      </c>
      <c r="J12" t="n">
        <v>1.38732466468721E-2</v>
      </c>
      <c r="K12" t="s">
        <v>842</v>
      </c>
      <c r="L12" t="s">
        <v>832</v>
      </c>
    </row>
    <row r="13">
      <c r="A13" t="n">
        <v>3.3109052200751603E-2</v>
      </c>
      <c r="B13" t="n">
        <v>8.9944620716435594E-2</v>
      </c>
      <c r="C13" t="n">
        <v>5.0679215853917103E-2</v>
      </c>
      <c r="D13" t="n">
        <v>7.6848944278385095E-2</v>
      </c>
      <c r="E13" t="s">
        <v>1352</v>
      </c>
      <c r="F13" t="s">
        <v>1341</v>
      </c>
      <c r="G13" t="n">
        <v>15.794</v>
      </c>
      <c r="H13" t="n">
        <v>1.2435897435897601E-2</v>
      </c>
      <c r="I13" t="n">
        <v>20.175000000000001</v>
      </c>
      <c r="J13" t="n">
        <v>1.8682150971976799E-2</v>
      </c>
      <c r="K13" t="s">
        <v>843</v>
      </c>
      <c r="L13" t="s">
        <v>832</v>
      </c>
    </row>
    <row r="14">
      <c r="A14" t="n">
        <v>4.91014015888558E-2</v>
      </c>
      <c r="B14" t="n">
        <v>6.5908483031781095E-2</v>
      </c>
      <c r="C14" t="n">
        <v>8.1389738888574495E-2</v>
      </c>
      <c r="D14" t="n">
        <v>7.93845743471608E-2</v>
      </c>
      <c r="E14" t="s">
        <v>1353</v>
      </c>
      <c r="F14" t="s">
        <v>1341</v>
      </c>
      <c r="G14" t="n">
        <v>16.106000000000002</v>
      </c>
      <c r="H14" t="n">
        <v>1.9754337090034199E-2</v>
      </c>
      <c r="I14" t="n">
        <v>20.564</v>
      </c>
      <c r="J14" t="n">
        <v>1.9281288723668001E-2</v>
      </c>
      <c r="K14" t="s">
        <v>844</v>
      </c>
      <c r="L14" t="s">
        <v>832</v>
      </c>
    </row>
    <row r="15">
      <c r="A15" t="n">
        <v>7.9177652454341899E-2</v>
      </c>
      <c r="B15" t="n">
        <v>7.1493559288280994E-2</v>
      </c>
      <c r="C15" t="n">
        <v>6.9283063617710403E-2</v>
      </c>
      <c r="D15" t="n">
        <v>8.6922582910256702E-2</v>
      </c>
      <c r="E15" t="s">
        <v>1354</v>
      </c>
      <c r="F15" t="s">
        <v>1341</v>
      </c>
      <c r="G15" t="n">
        <v>16.378</v>
      </c>
      <c r="H15" t="n">
        <v>1.68881162299763E-2</v>
      </c>
      <c r="I15" t="n">
        <v>20.997</v>
      </c>
      <c r="J15" t="n">
        <v>2.1056214744213299E-2</v>
      </c>
      <c r="K15" t="s">
        <v>845</v>
      </c>
      <c r="L15" t="s">
        <v>832</v>
      </c>
    </row>
    <row r="16">
      <c r="A16" t="n">
        <v>7.4767520593947104E-2</v>
      </c>
      <c r="B16" t="n">
        <v>8.5362600720222198E-2</v>
      </c>
      <c r="C16" t="n">
        <v>4.7217464684975501E-2</v>
      </c>
      <c r="D16" t="n">
        <v>8.4062519785650797E-2</v>
      </c>
      <c r="E16" t="s">
        <v>1355</v>
      </c>
      <c r="F16" t="s">
        <v>1341</v>
      </c>
      <c r="G16" t="n">
        <v>16.568000000000001</v>
      </c>
      <c r="H16" t="n">
        <v>1.1600928074246E-2</v>
      </c>
      <c r="I16" t="n">
        <v>21.425000000000001</v>
      </c>
      <c r="J16" t="n">
        <v>2.03838643615755E-2</v>
      </c>
      <c r="K16" t="s">
        <v>846</v>
      </c>
      <c r="L16" t="s">
        <v>832</v>
      </c>
    </row>
    <row r="17">
      <c r="A17" t="n">
        <v>8.4354048501589896E-2</v>
      </c>
      <c r="B17" t="n">
        <v>8.8313277531109999E-2</v>
      </c>
      <c r="C17" t="n">
        <v>6.8825586736247696E-2</v>
      </c>
      <c r="D17" t="n">
        <v>0.111750672708145</v>
      </c>
      <c r="E17" t="s">
        <v>1356</v>
      </c>
      <c r="F17" t="s">
        <v>1341</v>
      </c>
      <c r="G17" t="n">
        <v>16.846</v>
      </c>
      <c r="H17" t="n">
        <v>1.6779333655238898E-2</v>
      </c>
      <c r="I17" t="n">
        <v>22</v>
      </c>
      <c r="J17" t="n">
        <v>2.68378063010501E-2</v>
      </c>
      <c r="K17" t="s">
        <v>847</v>
      </c>
      <c r="L17" t="s">
        <v>832</v>
      </c>
    </row>
    <row r="18">
      <c r="A18" t="n">
        <v>0.124536540877934</v>
      </c>
      <c r="B18" t="n">
        <v>4.1616768277239702E-2</v>
      </c>
      <c r="C18" t="n">
        <v>0.100709384145876</v>
      </c>
      <c r="D18" t="n">
        <v>0.19875533747763099</v>
      </c>
      <c r="E18" t="s">
        <v>1357</v>
      </c>
      <c r="F18" t="s">
        <v>1341</v>
      </c>
      <c r="G18" t="n">
        <v>17.254999999999999</v>
      </c>
      <c r="H18" t="n">
        <v>2.42787605366259E-2</v>
      </c>
      <c r="I18" t="n">
        <v>23.02</v>
      </c>
      <c r="J18" t="n">
        <v>4.6363636363636399E-2</v>
      </c>
      <c r="K18" t="s">
        <v>848</v>
      </c>
      <c r="L18" t="s">
        <v>832</v>
      </c>
    </row>
    <row r="19">
      <c r="A19" t="n">
        <v>0.118186339709689</v>
      </c>
      <c r="B19" t="n">
        <v>7.4336480554695494E-2</v>
      </c>
      <c r="C19" t="n">
        <v>0.111980004946894</v>
      </c>
      <c r="D19" t="n">
        <v>0.27614966476000502</v>
      </c>
      <c r="E19" t="s">
        <v>1358</v>
      </c>
      <c r="F19" t="s">
        <v>1341</v>
      </c>
      <c r="G19" t="n">
        <v>17.719000000000001</v>
      </c>
      <c r="H19" t="n">
        <v>2.68907563025211E-2</v>
      </c>
      <c r="I19" t="n">
        <v>24.466999999999999</v>
      </c>
      <c r="J19" t="n">
        <v>6.2858384013900995E-2</v>
      </c>
      <c r="K19" t="s">
        <v>849</v>
      </c>
      <c r="L19" t="s">
        <v>832</v>
      </c>
    </row>
    <row r="20">
      <c r="A20" t="n">
        <v>0.112285409166716</v>
      </c>
      <c r="B20" t="n">
        <v>0.121923532437656</v>
      </c>
      <c r="C20" t="n">
        <v>0.119951580753957</v>
      </c>
      <c r="D20" t="n">
        <v>0.28126959643585903</v>
      </c>
      <c r="E20" t="s">
        <v>1359</v>
      </c>
      <c r="F20" t="s">
        <v>1341</v>
      </c>
      <c r="G20" t="n">
        <v>18.228000000000002</v>
      </c>
      <c r="H20" t="n">
        <v>2.8726226084993398E-2</v>
      </c>
      <c r="I20" t="n">
        <v>26.030999999999999</v>
      </c>
      <c r="J20" t="n">
        <v>6.3922834838762405E-2</v>
      </c>
      <c r="K20" t="s">
        <v>850</v>
      </c>
      <c r="L20" t="s">
        <v>832</v>
      </c>
    </row>
    <row r="21">
      <c r="A21" t="n">
        <v>0.10564888426900799</v>
      </c>
      <c r="B21" t="n">
        <v>0.139689749601554</v>
      </c>
      <c r="C21" t="n">
        <v>0.10861792322335199</v>
      </c>
      <c r="D21" t="n">
        <v>0.17691984955710299</v>
      </c>
      <c r="E21" t="s">
        <v>1360</v>
      </c>
      <c r="F21" t="s">
        <v>1341</v>
      </c>
      <c r="G21" t="n">
        <v>18.704000000000001</v>
      </c>
      <c r="H21" t="n">
        <v>2.6113671274961399E-2</v>
      </c>
      <c r="I21" t="n">
        <v>27.113</v>
      </c>
      <c r="J21" t="n">
        <v>4.15658253620683E-2</v>
      </c>
      <c r="K21" t="s">
        <v>851</v>
      </c>
      <c r="L21" t="s">
        <v>832</v>
      </c>
    </row>
    <row r="22">
      <c r="A22" t="n">
        <v>7.7418031911128199E-2</v>
      </c>
      <c r="B22" t="n">
        <v>7.47377264200315E-2</v>
      </c>
      <c r="C22" t="n">
        <v>8.2414004288707196E-2</v>
      </c>
      <c r="D22" t="n">
        <v>8.77241949354641E-2</v>
      </c>
      <c r="E22" t="s">
        <v>1361</v>
      </c>
      <c r="F22" t="s">
        <v>1341</v>
      </c>
      <c r="G22" t="n">
        <v>19.077999999999999</v>
      </c>
      <c r="H22" t="n">
        <v>1.99957228400343E-2</v>
      </c>
      <c r="I22" t="n">
        <v>27.689</v>
      </c>
      <c r="J22" t="n">
        <v>2.1244421495223698E-2</v>
      </c>
      <c r="K22" t="s">
        <v>852</v>
      </c>
      <c r="L22" t="s">
        <v>832</v>
      </c>
    </row>
    <row r="23">
      <c r="A23" t="n">
        <v>5.00188837807687E-2</v>
      </c>
      <c r="B23" t="n">
        <v>5.9076854521070303E-2</v>
      </c>
      <c r="C23" t="n">
        <v>9.99907756879512E-2</v>
      </c>
      <c r="D23" t="n">
        <v>1.9938623083631101E-2</v>
      </c>
      <c r="E23" t="s">
        <v>1362</v>
      </c>
      <c r="F23" t="s">
        <v>1341</v>
      </c>
      <c r="G23" t="n">
        <v>19.538</v>
      </c>
      <c r="H23" t="n">
        <v>2.4111542090365898E-2</v>
      </c>
      <c r="I23" t="n">
        <v>27.826000000000001</v>
      </c>
      <c r="J23" t="n">
        <v>4.9478132110223304E-3</v>
      </c>
      <c r="K23" t="s">
        <v>853</v>
      </c>
      <c r="L23" t="s">
        <v>832</v>
      </c>
    </row>
    <row r="24">
      <c r="A24" t="n">
        <v>7.6956317974106001E-2</v>
      </c>
      <c r="B24" t="n">
        <v>5.5091330920863602E-2</v>
      </c>
      <c r="C24" t="n">
        <v>6.2847909413525901E-2</v>
      </c>
      <c r="D24" t="n">
        <v>1.2710174962932599E-2</v>
      </c>
      <c r="E24" t="s">
        <v>1363</v>
      </c>
      <c r="F24" t="s">
        <v>1341</v>
      </c>
      <c r="G24" t="n">
        <v>19.838000000000001</v>
      </c>
      <c r="H24" t="n">
        <v>1.5354693417954699E-2</v>
      </c>
      <c r="I24" t="n">
        <v>27.914000000000001</v>
      </c>
      <c r="J24" t="n">
        <v>3.16250988284339E-3</v>
      </c>
      <c r="K24" t="s">
        <v>854</v>
      </c>
      <c r="L24" t="s">
        <v>832</v>
      </c>
    </row>
    <row r="25">
      <c r="A25" t="n">
        <v>6.8882772668885706E-2</v>
      </c>
      <c r="B25" t="n">
        <v>9.5097426388938394E-2</v>
      </c>
      <c r="C25" t="n">
        <v>5.9557775023163499E-2</v>
      </c>
      <c r="D25" t="n">
        <v>2.4583979224767301E-2</v>
      </c>
      <c r="E25" t="s">
        <v>1364</v>
      </c>
      <c r="F25" t="s">
        <v>1341</v>
      </c>
      <c r="G25" t="n">
        <v>20.126999999999999</v>
      </c>
      <c r="H25" t="n">
        <v>1.45680008065328E-2</v>
      </c>
      <c r="I25" t="n">
        <v>28.084</v>
      </c>
      <c r="J25" t="n">
        <v>6.0901339829475499E-3</v>
      </c>
      <c r="K25" t="s">
        <v>855</v>
      </c>
      <c r="L25" t="s">
        <v>832</v>
      </c>
    </row>
    <row r="26">
      <c r="A26" t="n">
        <v>4.46796784787249E-2</v>
      </c>
      <c r="B26" t="n">
        <v>5.9702158874865199E-2</v>
      </c>
      <c r="C26" t="n">
        <v>5.3094918319799497E-2</v>
      </c>
      <c r="D26" t="n">
        <v>1.9800669277978002E-2</v>
      </c>
      <c r="E26" t="s">
        <v>1365</v>
      </c>
      <c r="F26" t="s">
        <v>1341</v>
      </c>
      <c r="G26" t="n">
        <v>20.388999999999999</v>
      </c>
      <c r="H26" t="n">
        <v>1.30173398916877E-2</v>
      </c>
      <c r="I26" t="n">
        <v>28.222000000000001</v>
      </c>
      <c r="J26" t="n">
        <v>4.91382993875522E-3</v>
      </c>
      <c r="K26" t="s">
        <v>856</v>
      </c>
      <c r="L26" t="s">
        <v>832</v>
      </c>
    </row>
    <row r="27">
      <c r="A27" t="n">
        <v>3.3979822161052303E-2</v>
      </c>
      <c r="B27" t="n">
        <v>3.3961135638896502E-2</v>
      </c>
      <c r="C27" t="n">
        <v>5.3215140717762302E-2</v>
      </c>
      <c r="D27" t="n">
        <v>3.4743180507705002E-2</v>
      </c>
      <c r="E27" t="s">
        <v>1366</v>
      </c>
      <c r="F27" t="s">
        <v>1341</v>
      </c>
      <c r="G27" t="n">
        <v>20.655000000000001</v>
      </c>
      <c r="H27" t="n">
        <v>1.3046250429153101E-2</v>
      </c>
      <c r="I27" t="n">
        <v>28.463999999999999</v>
      </c>
      <c r="J27" t="n">
        <v>8.5748706682728902E-3</v>
      </c>
      <c r="K27" t="s">
        <v>857</v>
      </c>
      <c r="L27" t="s">
        <v>832</v>
      </c>
    </row>
    <row r="28">
      <c r="A28" t="n">
        <v>6.2157602764701697E-2</v>
      </c>
      <c r="B28" t="n">
        <v>4.6572413553721298E-2</v>
      </c>
      <c r="C28" t="n">
        <v>3.5515485276211803E-2</v>
      </c>
      <c r="D28" t="n">
        <v>8.7412684077270396E-3</v>
      </c>
      <c r="E28" t="s">
        <v>1367</v>
      </c>
      <c r="F28" t="s">
        <v>1341</v>
      </c>
      <c r="G28" t="n">
        <v>20.835999999999999</v>
      </c>
      <c r="H28" t="n">
        <v>8.7630113773904394E-3</v>
      </c>
      <c r="I28" t="n">
        <v>28.526</v>
      </c>
      <c r="J28" t="n">
        <v>2.17818999437891E-3</v>
      </c>
      <c r="K28" t="s">
        <v>858</v>
      </c>
      <c r="L28" t="s">
        <v>832</v>
      </c>
    </row>
    <row r="29">
      <c r="A29" t="n">
        <v>6.4679796349943294E-2</v>
      </c>
      <c r="B29" t="n">
        <v>0.11140543202132699</v>
      </c>
      <c r="C29" t="n">
        <v>5.3847641567893498E-2</v>
      </c>
      <c r="D29" t="n">
        <v>2.7482019859727602E-2</v>
      </c>
      <c r="E29" t="s">
        <v>1368</v>
      </c>
      <c r="F29" t="s">
        <v>1341</v>
      </c>
      <c r="G29" t="n">
        <v>21.111000000000001</v>
      </c>
      <c r="H29" t="n">
        <v>1.31983106162412E-2</v>
      </c>
      <c r="I29" t="n">
        <v>28.72</v>
      </c>
      <c r="J29" t="n">
        <v>6.8008132931360902E-3</v>
      </c>
      <c r="K29" t="s">
        <v>859</v>
      </c>
      <c r="L29" t="s">
        <v>832</v>
      </c>
    </row>
    <row r="30">
      <c r="A30" t="n">
        <v>7.4088172350420103E-2</v>
      </c>
      <c r="B30" t="n">
        <v>5.7739458159661701E-2</v>
      </c>
      <c r="C30" t="n">
        <v>8.3796072481744796E-2</v>
      </c>
      <c r="D30" t="n">
        <v>5.2825931688943499E-2</v>
      </c>
      <c r="E30" t="s">
        <v>1369</v>
      </c>
      <c r="F30" t="s">
        <v>1341</v>
      </c>
      <c r="G30" t="n">
        <v>21.54</v>
      </c>
      <c r="H30" t="n">
        <v>2.0321159585050302E-2</v>
      </c>
      <c r="I30" t="n">
        <v>29.091999999999999</v>
      </c>
      <c r="J30" t="n">
        <v>1.2952646239554401E-2</v>
      </c>
      <c r="K30" t="s">
        <v>860</v>
      </c>
      <c r="L30" t="s">
        <v>832</v>
      </c>
    </row>
    <row r="31">
      <c r="A31" t="n">
        <v>7.0308632461715301E-2</v>
      </c>
      <c r="B31" t="n">
        <v>4.6296846180206901E-2</v>
      </c>
      <c r="C31" t="n">
        <v>8.1880476726010801E-2</v>
      </c>
      <c r="D31" t="n">
        <v>4.0048809702137603E-2</v>
      </c>
      <c r="E31" t="s">
        <v>1370</v>
      </c>
      <c r="F31" t="s">
        <v>1341</v>
      </c>
      <c r="G31" t="n">
        <v>21.968</v>
      </c>
      <c r="H31" t="n">
        <v>1.9870009285051001E-2</v>
      </c>
      <c r="I31" t="n">
        <v>29.379000000000001</v>
      </c>
      <c r="J31" t="n">
        <v>9.8652550529356696E-3</v>
      </c>
      <c r="K31" t="s">
        <v>861</v>
      </c>
      <c r="L31" t="s">
        <v>832</v>
      </c>
    </row>
    <row r="32">
      <c r="A32" t="n">
        <v>6.1553542794543503E-2</v>
      </c>
      <c r="B32" t="n">
        <v>1.98663105662467E-2</v>
      </c>
      <c r="C32" t="n">
        <v>7.3501873886998997E-2</v>
      </c>
      <c r="D32" t="n">
        <v>5.4874269706492597E-2</v>
      </c>
      <c r="E32" t="s">
        <v>1371</v>
      </c>
      <c r="F32" t="s">
        <v>1341</v>
      </c>
      <c r="G32" t="n">
        <v>22.361000000000001</v>
      </c>
      <c r="H32" t="n">
        <v>1.7889657683903801E-2</v>
      </c>
      <c r="I32" t="n">
        <v>29.774000000000001</v>
      </c>
      <c r="J32" t="n">
        <v>1.3444977705163501E-2</v>
      </c>
      <c r="K32" t="s">
        <v>862</v>
      </c>
      <c r="L32" t="s">
        <v>832</v>
      </c>
    </row>
    <row r="33">
      <c r="A33" t="n">
        <v>5.8025197908700303E-2</v>
      </c>
      <c r="B33" t="n">
        <v>0.12112082718011299</v>
      </c>
      <c r="C33" t="n">
        <v>7.5383891455237398E-2</v>
      </c>
      <c r="D33" t="n">
        <v>4.34111575180351E-2</v>
      </c>
      <c r="E33" t="s">
        <v>1372</v>
      </c>
      <c r="F33" t="s">
        <v>1341</v>
      </c>
      <c r="G33" t="n">
        <v>22.771000000000001</v>
      </c>
      <c r="H33" t="n">
        <v>1.83354948347569E-2</v>
      </c>
      <c r="I33" t="n">
        <v>30.091999999999999</v>
      </c>
      <c r="J33" t="n">
        <v>1.0680459461274799E-2</v>
      </c>
      <c r="K33" t="s">
        <v>863</v>
      </c>
      <c r="L33" t="s">
        <v>832</v>
      </c>
    </row>
    <row r="34">
      <c r="A34" t="n">
        <v>6.7326294927223501E-2</v>
      </c>
      <c r="B34" t="n">
        <v>4.65097292728067E-2</v>
      </c>
      <c r="C34" t="n">
        <v>5.9424238450433299E-2</v>
      </c>
      <c r="D34" t="n">
        <v>5.0510789433123801E-2</v>
      </c>
      <c r="E34" t="s">
        <v>1373</v>
      </c>
      <c r="F34" t="s">
        <v>1341</v>
      </c>
      <c r="G34" t="n">
        <v>23.102</v>
      </c>
      <c r="H34" t="n">
        <v>1.4536032673137E-2</v>
      </c>
      <c r="I34" t="n">
        <v>30.465</v>
      </c>
      <c r="J34" t="n">
        <v>1.23953210155523E-2</v>
      </c>
      <c r="K34" t="s">
        <v>864</v>
      </c>
      <c r="L34" t="s">
        <v>832</v>
      </c>
    </row>
    <row r="35">
      <c r="A35" t="n">
        <v>8.4675701203493298E-2</v>
      </c>
      <c r="B35" t="n">
        <v>8.09066486989478E-2</v>
      </c>
      <c r="C35" t="n">
        <v>6.5619276167123694E-2</v>
      </c>
      <c r="D35" t="n">
        <v>8.0997725857898203E-2</v>
      </c>
      <c r="E35" t="s">
        <v>1374</v>
      </c>
      <c r="F35" t="s">
        <v>1341</v>
      </c>
      <c r="G35" t="n">
        <v>23.472000000000001</v>
      </c>
      <c r="H35" t="n">
        <v>1.6015929356765699E-2</v>
      </c>
      <c r="I35" t="n">
        <v>31.064</v>
      </c>
      <c r="J35" t="n">
        <v>1.9661907106515601E-2</v>
      </c>
      <c r="K35" t="s">
        <v>865</v>
      </c>
      <c r="L35" t="s">
        <v>832</v>
      </c>
    </row>
    <row r="36">
      <c r="A36" t="n">
        <v>7.2050406034996906E-2</v>
      </c>
      <c r="B36" t="n">
        <v>6.8549166168664605E-2</v>
      </c>
      <c r="C36" t="n">
        <v>5.8500992246239197E-2</v>
      </c>
      <c r="D36" t="n">
        <v>7.8709215306017405E-2</v>
      </c>
      <c r="E36" t="s">
        <v>1375</v>
      </c>
      <c r="F36" t="s">
        <v>1341</v>
      </c>
      <c r="G36" t="n">
        <v>23.808</v>
      </c>
      <c r="H36" t="n">
        <v>1.4314928425357899E-2</v>
      </c>
      <c r="I36" t="n">
        <v>31.658000000000001</v>
      </c>
      <c r="J36" t="n">
        <v>1.9121813031161401E-2</v>
      </c>
      <c r="K36" t="s">
        <v>866</v>
      </c>
      <c r="L36" t="s">
        <v>832</v>
      </c>
    </row>
    <row r="37">
      <c r="A37" t="n">
        <v>7.7759817693589403E-2</v>
      </c>
      <c r="B37" t="n">
        <v>7.0826828171957498E-2</v>
      </c>
      <c r="C37" t="n">
        <v>5.4682260590980698E-2</v>
      </c>
      <c r="D37" t="n">
        <v>7.3455131593814296E-2</v>
      </c>
      <c r="E37" t="s">
        <v>1376</v>
      </c>
      <c r="F37" t="s">
        <v>1341</v>
      </c>
      <c r="G37" t="n">
        <v>24.126999999999999</v>
      </c>
      <c r="H37" t="n">
        <v>1.33988575268817E-2</v>
      </c>
      <c r="I37" t="n">
        <v>32.223999999999997</v>
      </c>
      <c r="J37" t="n">
        <v>1.78785772948384E-2</v>
      </c>
      <c r="K37" t="s">
        <v>867</v>
      </c>
      <c r="L37" t="s">
        <v>832</v>
      </c>
    </row>
    <row r="38">
      <c r="A38" t="n">
        <v>7.7602845525897898E-2</v>
      </c>
      <c r="B38" t="n">
        <v>7.5755853629737399E-2</v>
      </c>
      <c r="C38" t="n">
        <v>0.101819091447914</v>
      </c>
      <c r="D38" t="n">
        <v>8.5137769356933707E-2</v>
      </c>
      <c r="E38" t="s">
        <v>1377</v>
      </c>
      <c r="F38" t="s">
        <v>1341</v>
      </c>
      <c r="G38" t="n">
        <v>24.719000000000001</v>
      </c>
      <c r="H38" t="n">
        <v>2.4536825962614601E-2</v>
      </c>
      <c r="I38" t="n">
        <v>32.889000000000003</v>
      </c>
      <c r="J38" t="n">
        <v>2.0636792452830299E-2</v>
      </c>
      <c r="K38" t="s">
        <v>868</v>
      </c>
      <c r="L38" t="s">
        <v>832</v>
      </c>
    </row>
    <row r="39">
      <c r="A39" t="n">
        <v>0.113838252689951</v>
      </c>
      <c r="B39" t="n">
        <v>6.1815502695247999E-2</v>
      </c>
      <c r="C39" t="n">
        <v>9.0287471336475605E-2</v>
      </c>
      <c r="D39" t="n">
        <v>0.11311171886032199</v>
      </c>
      <c r="E39" t="s">
        <v>1378</v>
      </c>
      <c r="F39" t="s">
        <v>1341</v>
      </c>
      <c r="G39" t="n">
        <v>25.259</v>
      </c>
      <c r="H39" t="n">
        <v>2.18455439135887E-2</v>
      </c>
      <c r="I39" t="n">
        <v>33.781999999999996</v>
      </c>
      <c r="J39" t="n">
        <v>2.7151935297515601E-2</v>
      </c>
      <c r="K39" t="s">
        <v>869</v>
      </c>
      <c r="L39" t="s">
        <v>832</v>
      </c>
    </row>
    <row r="40">
      <c r="A40" t="n">
        <v>0.10293672514128201</v>
      </c>
      <c r="B40" t="n">
        <v>9.6664179784869297E-2</v>
      </c>
      <c r="C40" t="n">
        <v>0.148038402658868</v>
      </c>
      <c r="D40" t="n">
        <v>0.121960082107911</v>
      </c>
      <c r="E40" t="s">
        <v>1379</v>
      </c>
      <c r="F40" t="s">
        <v>1341</v>
      </c>
      <c r="G40" t="n">
        <v>26.146000000000001</v>
      </c>
      <c r="H40" t="n">
        <v>3.5116196207292602E-2</v>
      </c>
      <c r="I40" t="n">
        <v>34.768000000000001</v>
      </c>
      <c r="J40" t="n">
        <v>2.9187141081049101E-2</v>
      </c>
      <c r="K40" t="s">
        <v>870</v>
      </c>
      <c r="L40" t="s">
        <v>832</v>
      </c>
    </row>
    <row r="41">
      <c r="A41" t="n">
        <v>0.100470180706661</v>
      </c>
      <c r="B41" t="n">
        <v>9.1027084037313494E-2</v>
      </c>
      <c r="C41" t="n">
        <v>7.0641984000731503E-2</v>
      </c>
      <c r="D41" t="n">
        <v>0.118355060703055</v>
      </c>
      <c r="E41" t="s">
        <v>1380</v>
      </c>
      <c r="F41" t="s">
        <v>1341</v>
      </c>
      <c r="G41" t="n">
        <v>26.596</v>
      </c>
      <c r="H41" t="n">
        <v>1.7211045666641198E-2</v>
      </c>
      <c r="I41" t="n">
        <v>35.753999999999998</v>
      </c>
      <c r="J41" t="n">
        <v>2.83594109526E-2</v>
      </c>
      <c r="K41" t="s">
        <v>871</v>
      </c>
      <c r="L41" t="s">
        <v>832</v>
      </c>
    </row>
    <row r="42">
      <c r="A42" t="n">
        <v>0.12552467874009099</v>
      </c>
      <c r="B42" t="n">
        <v>8.1451601423466094E-2</v>
      </c>
      <c r="C42" t="n">
        <v>0.106909632651843</v>
      </c>
      <c r="D42" t="n">
        <v>0.113864763230328</v>
      </c>
      <c r="E42" t="s">
        <v>1381</v>
      </c>
      <c r="F42" t="s">
        <v>1341</v>
      </c>
      <c r="G42" t="n">
        <v>27.28</v>
      </c>
      <c r="H42" t="n">
        <v>2.5718153105730199E-2</v>
      </c>
      <c r="I42" t="n">
        <v>36.731000000000002</v>
      </c>
      <c r="J42" t="n">
        <v>2.7325613917324101E-2</v>
      </c>
      <c r="K42" t="s">
        <v>872</v>
      </c>
      <c r="L42" t="s">
        <v>832</v>
      </c>
    </row>
    <row r="43">
      <c r="A43" t="n">
        <v>0.101539889707692</v>
      </c>
      <c r="B43" t="n">
        <v>0.163874229132176</v>
      </c>
      <c r="C43" t="n">
        <v>0.11299973225785501</v>
      </c>
      <c r="D43" t="n">
        <v>0.119816075191493</v>
      </c>
      <c r="E43" t="s">
        <v>1382</v>
      </c>
      <c r="F43" t="s">
        <v>1341</v>
      </c>
      <c r="G43" t="n">
        <v>28.02</v>
      </c>
      <c r="H43" t="n">
        <v>2.7126099706744799E-2</v>
      </c>
      <c r="I43" t="n">
        <v>37.784999999999997</v>
      </c>
      <c r="J43" t="n">
        <v>2.8695107674715899E-2</v>
      </c>
      <c r="K43" t="s">
        <v>873</v>
      </c>
      <c r="L43" t="s">
        <v>832</v>
      </c>
    </row>
    <row r="44">
      <c r="A44" t="n">
        <v>9.6919062654431398E-2</v>
      </c>
      <c r="B44" t="n">
        <v>4.1150587007602997E-2</v>
      </c>
      <c r="C44" t="n">
        <v>0.115930396885483</v>
      </c>
      <c r="D44" t="n">
        <v>0.138106666956619</v>
      </c>
      <c r="E44" t="s">
        <v>1383</v>
      </c>
      <c r="F44" t="s">
        <v>1341</v>
      </c>
      <c r="G44" t="n">
        <v>28.798999999999999</v>
      </c>
      <c r="H44" t="n">
        <v>2.7801570306923699E-2</v>
      </c>
      <c r="I44" t="n">
        <v>39.027000000000001</v>
      </c>
      <c r="J44" t="n">
        <v>3.2870186581977198E-2</v>
      </c>
      <c r="K44" t="s">
        <v>874</v>
      </c>
      <c r="L44" t="s">
        <v>832</v>
      </c>
    </row>
    <row r="45">
      <c r="A45" t="n">
        <v>0.102667735598145</v>
      </c>
      <c r="B45" t="n">
        <v>0.12591483160208999</v>
      </c>
      <c r="C45" t="n">
        <v>0.11071312036879399</v>
      </c>
      <c r="D45" t="n">
        <v>0.12373918134004901</v>
      </c>
      <c r="E45" t="s">
        <v>1384</v>
      </c>
      <c r="F45" t="s">
        <v>1341</v>
      </c>
      <c r="G45" t="n">
        <v>29.565000000000001</v>
      </c>
      <c r="H45" t="n">
        <v>2.65981457689504E-2</v>
      </c>
      <c r="I45" t="n">
        <v>40.182000000000002</v>
      </c>
      <c r="J45" t="n">
        <v>2.9594895841340601E-2</v>
      </c>
      <c r="K45" t="s">
        <v>875</v>
      </c>
      <c r="L45" t="s">
        <v>832</v>
      </c>
    </row>
    <row r="46">
      <c r="A46" t="n">
        <v>0.107873886984393</v>
      </c>
      <c r="B46" t="n">
        <v>8.2350511297398302E-2</v>
      </c>
      <c r="C46" t="n">
        <v>0.14097064786198199</v>
      </c>
      <c r="D46" t="n">
        <v>0.118188584098933</v>
      </c>
      <c r="E46" t="s">
        <v>1385</v>
      </c>
      <c r="F46" t="s">
        <v>1341</v>
      </c>
      <c r="G46" t="n">
        <v>30.556000000000001</v>
      </c>
      <c r="H46" t="n">
        <v>3.3519364112971399E-2</v>
      </c>
      <c r="I46" t="n">
        <v>41.32</v>
      </c>
      <c r="J46" t="n">
        <v>2.8321138818376401E-2</v>
      </c>
      <c r="K46" t="s">
        <v>876</v>
      </c>
      <c r="L46" t="s">
        <v>832</v>
      </c>
    </row>
    <row r="47">
      <c r="A47" t="n">
        <v>6.8864078536554199E-2</v>
      </c>
      <c r="B47" t="n">
        <v>9.6264819656522296E-2</v>
      </c>
      <c r="C47" t="n">
        <v>8.6310442735713797E-2</v>
      </c>
      <c r="D47" t="n">
        <v>9.9129163647753094E-2</v>
      </c>
      <c r="E47" t="s">
        <v>1386</v>
      </c>
      <c r="F47" t="s">
        <v>1341</v>
      </c>
      <c r="G47" t="n">
        <v>31.195</v>
      </c>
      <c r="H47" t="n">
        <v>2.0912423092027701E-2</v>
      </c>
      <c r="I47" t="n">
        <v>42.308</v>
      </c>
      <c r="J47" t="n">
        <v>2.39109390125847E-2</v>
      </c>
      <c r="K47" t="s">
        <v>877</v>
      </c>
      <c r="L47" t="s">
        <v>832</v>
      </c>
    </row>
    <row r="48">
      <c r="A48" t="n">
        <v>6.7510216956085903E-2</v>
      </c>
      <c r="B48" t="n">
        <v>9.0754628296435505E-2</v>
      </c>
      <c r="C48" t="n">
        <v>4.8692861535788202E-2</v>
      </c>
      <c r="D48" t="n">
        <v>8.4524586959714404E-2</v>
      </c>
      <c r="E48" t="s">
        <v>1387</v>
      </c>
      <c r="F48" t="s">
        <v>1341</v>
      </c>
      <c r="G48" t="n">
        <v>31.568000000000001</v>
      </c>
      <c r="H48" t="n">
        <v>1.1957044398140699E-2</v>
      </c>
      <c r="I48" t="n">
        <v>43.174999999999997</v>
      </c>
      <c r="J48" t="n">
        <v>2.0492578235794499E-2</v>
      </c>
      <c r="K48" t="s">
        <v>878</v>
      </c>
      <c r="L48" t="s">
        <v>832</v>
      </c>
    </row>
    <row r="49">
      <c r="A49" t="n">
        <v>6.2684205945477106E-2</v>
      </c>
      <c r="B49" t="n">
        <v>7.8781408158281802E-2</v>
      </c>
      <c r="C49" t="n">
        <v>6.2752816594642893E-2</v>
      </c>
      <c r="D49" t="n">
        <v>7.3171075998094998E-2</v>
      </c>
      <c r="E49" t="s">
        <v>1388</v>
      </c>
      <c r="F49" t="s">
        <v>1341</v>
      </c>
      <c r="G49" t="n">
        <v>32.052</v>
      </c>
      <c r="H49" t="n">
        <v>1.53319817536746E-2</v>
      </c>
      <c r="I49" t="n">
        <v>43.944000000000003</v>
      </c>
      <c r="J49" t="n">
        <v>1.7811233352634799E-2</v>
      </c>
      <c r="K49" t="s">
        <v>879</v>
      </c>
      <c r="L49" t="s">
        <v>832</v>
      </c>
    </row>
    <row r="50">
      <c r="A50" t="n">
        <v>5.1825632418063497E-2</v>
      </c>
      <c r="B50" t="n">
        <v>6.5520529029189395E-2</v>
      </c>
      <c r="C50" t="n">
        <v>7.2002334651775995E-2</v>
      </c>
      <c r="D50" t="n">
        <v>5.7261419360111997E-2</v>
      </c>
      <c r="E50" t="s">
        <v>1389</v>
      </c>
      <c r="F50" t="s">
        <v>1341</v>
      </c>
      <c r="G50" t="n">
        <v>32.613999999999997</v>
      </c>
      <c r="H50" t="n">
        <v>1.7534007238237701E-2</v>
      </c>
      <c r="I50" t="n">
        <v>44.56</v>
      </c>
      <c r="J50" t="n">
        <v>1.40178408884035E-2</v>
      </c>
      <c r="K50" t="s">
        <v>880</v>
      </c>
      <c r="L50" t="s">
        <v>832</v>
      </c>
    </row>
    <row r="51">
      <c r="A51" t="n">
        <v>3.9076838958162399E-2</v>
      </c>
      <c r="B51" t="n">
        <v>8.1541548822787496E-2</v>
      </c>
      <c r="C51" t="n">
        <v>6.5317850608274997E-2</v>
      </c>
      <c r="D51" t="n">
        <v>6.8572049720328196E-2</v>
      </c>
      <c r="E51" t="s">
        <v>1390</v>
      </c>
      <c r="F51" t="s">
        <v>1341</v>
      </c>
      <c r="G51" t="n">
        <v>33.134</v>
      </c>
      <c r="H51" t="n">
        <v>1.5944073097442901E-2</v>
      </c>
      <c r="I51" t="n">
        <v>45.305</v>
      </c>
      <c r="J51" t="n">
        <v>1.6719030520646199E-2</v>
      </c>
      <c r="K51" t="s">
        <v>881</v>
      </c>
      <c r="L51" t="s">
        <v>832</v>
      </c>
    </row>
    <row r="52">
      <c r="A52" t="n">
        <v>6.4698202701339205E-2</v>
      </c>
      <c r="B52" t="n">
        <v>3.4072636599968002E-2</v>
      </c>
      <c r="C52" t="n">
        <v>6.8068638365729198E-2</v>
      </c>
      <c r="D52" t="n">
        <v>4.8078704643683703E-2</v>
      </c>
      <c r="E52" t="s">
        <v>1391</v>
      </c>
      <c r="F52" t="s">
        <v>1341</v>
      </c>
      <c r="G52" t="n">
        <v>33.683999999999997</v>
      </c>
      <c r="H52" t="n">
        <v>1.65992635963059E-2</v>
      </c>
      <c r="I52" t="n">
        <v>45.84</v>
      </c>
      <c r="J52" t="n">
        <v>1.1808851120185501E-2</v>
      </c>
      <c r="K52" t="s">
        <v>882</v>
      </c>
      <c r="L52" t="s">
        <v>832</v>
      </c>
    </row>
    <row r="53">
      <c r="A53" t="n">
        <v>4.4829664945906803E-2</v>
      </c>
      <c r="B53" t="n">
        <v>4.8009313734526098E-2</v>
      </c>
      <c r="C53" t="n">
        <v>6.1455443169872802E-2</v>
      </c>
      <c r="D53" t="n">
        <v>1.01606507354322E-2</v>
      </c>
      <c r="E53" t="s">
        <v>1392</v>
      </c>
      <c r="F53" t="s">
        <v>1341</v>
      </c>
      <c r="G53" t="n">
        <v>34.19</v>
      </c>
      <c r="H53" t="n">
        <v>1.5021968887305399E-2</v>
      </c>
      <c r="I53" t="n">
        <v>45.956000000000003</v>
      </c>
      <c r="J53" t="n">
        <v>2.5305410122164998E-3</v>
      </c>
      <c r="K53" t="s">
        <v>883</v>
      </c>
      <c r="L53" t="s">
        <v>832</v>
      </c>
    </row>
    <row r="54">
      <c r="A54" t="n">
        <v>3.3496613159939903E-2</v>
      </c>
      <c r="B54" t="n">
        <v>7.5539459294806698E-3</v>
      </c>
      <c r="C54" t="n">
        <v>3.4722196261408399E-2</v>
      </c>
      <c r="D54" t="n">
        <v>3.7479666516224701E-3</v>
      </c>
      <c r="E54" t="s">
        <v>1393</v>
      </c>
      <c r="F54" t="s">
        <v>1341</v>
      </c>
      <c r="G54" t="n">
        <v>34.482999999999997</v>
      </c>
      <c r="H54" t="n">
        <v>8.5697572389587008E-3</v>
      </c>
      <c r="I54" t="n">
        <v>45.999000000000002</v>
      </c>
      <c r="J54" t="n">
        <v>9.3567760466539696E-4</v>
      </c>
      <c r="K54" t="s">
        <v>884</v>
      </c>
      <c r="L54" t="s">
        <v>832</v>
      </c>
    </row>
    <row r="55">
      <c r="A55" t="n">
        <v>3.7100673423204902E-2</v>
      </c>
      <c r="B55" t="n">
        <v>3.1269437697415199E-2</v>
      </c>
      <c r="C55" t="n">
        <v>5.5765239502398901E-2</v>
      </c>
      <c r="D55" t="n">
        <v>-5.3805310591299397E-3</v>
      </c>
      <c r="E55" t="s">
        <v>1394</v>
      </c>
      <c r="F55" t="s">
        <v>1341</v>
      </c>
      <c r="G55" t="n">
        <v>34.954000000000001</v>
      </c>
      <c r="H55" t="n">
        <v>1.36589043876694E-2</v>
      </c>
      <c r="I55" t="n">
        <v>45.936999999999998</v>
      </c>
      <c r="J55" t="n">
        <v>-1.3478553881607299E-3</v>
      </c>
      <c r="K55" t="s">
        <v>885</v>
      </c>
      <c r="L55" t="s">
        <v>832</v>
      </c>
    </row>
    <row r="56">
      <c r="A56" t="n">
        <v>5.3607020035561601E-2</v>
      </c>
      <c r="B56" t="n">
        <v>4.5007889346835098E-2</v>
      </c>
      <c r="C56" t="n">
        <v>4.7632291898301399E-2</v>
      </c>
      <c r="D56" t="n">
        <v>2.2658930308778699E-3</v>
      </c>
      <c r="E56" t="s">
        <v>1395</v>
      </c>
      <c r="F56" t="s">
        <v>1341</v>
      </c>
      <c r="G56" t="n">
        <v>35.363</v>
      </c>
      <c r="H56" t="n">
        <v>1.17010928649082E-2</v>
      </c>
      <c r="I56" t="n">
        <v>45.963000000000001</v>
      </c>
      <c r="J56" t="n">
        <v>5.6599255502098899E-4</v>
      </c>
      <c r="K56" t="s">
        <v>886</v>
      </c>
      <c r="L56" t="s">
        <v>832</v>
      </c>
    </row>
    <row r="57">
      <c r="A57" t="n">
        <v>2.6644627827705498E-2</v>
      </c>
      <c r="B57" t="n">
        <v>2.64126969592136E-2</v>
      </c>
      <c r="C57" t="n">
        <v>3.7969215238040602E-2</v>
      </c>
      <c r="D57" t="n">
        <v>-1.13086488994096E-3</v>
      </c>
      <c r="E57" t="s">
        <v>1396</v>
      </c>
      <c r="F57" t="s">
        <v>1341</v>
      </c>
      <c r="G57" t="n">
        <v>35.694000000000003</v>
      </c>
      <c r="H57" t="n">
        <v>9.3600656052936805E-3</v>
      </c>
      <c r="I57" t="n">
        <v>45.95</v>
      </c>
      <c r="J57" t="n">
        <v>-2.82836194330227E-4</v>
      </c>
      <c r="K57" t="s">
        <v>887</v>
      </c>
      <c r="L57" t="s">
        <v>832</v>
      </c>
    </row>
    <row r="58">
      <c r="A58" t="n">
        <v>4.3935723897537297E-2</v>
      </c>
      <c r="B58" t="n">
        <v>5.28225710519643E-2</v>
      </c>
      <c r="C58" t="n">
        <v>7.2018998740306803E-2</v>
      </c>
      <c r="D58" t="n">
        <v>4.3596665649268101E-3</v>
      </c>
      <c r="E58" t="s">
        <v>1397</v>
      </c>
      <c r="F58" t="s">
        <v>1341</v>
      </c>
      <c r="G58" t="n">
        <v>36.32</v>
      </c>
      <c r="H58" t="n">
        <v>1.7537961562167099E-2</v>
      </c>
      <c r="I58" t="n">
        <v>46</v>
      </c>
      <c r="J58" t="n">
        <v>1.0881392818280499E-3</v>
      </c>
      <c r="K58" t="s">
        <v>888</v>
      </c>
      <c r="L58" t="s">
        <v>832</v>
      </c>
    </row>
    <row r="59">
      <c r="A59" t="n">
        <v>3.93022623248813E-2</v>
      </c>
      <c r="B59" t="n">
        <v>4.0487191821635002E-2</v>
      </c>
      <c r="C59" t="n">
        <v>4.4330796852368702E-2</v>
      </c>
      <c r="D59" t="n">
        <v>1.4249428601276599E-2</v>
      </c>
      <c r="E59" t="s">
        <v>1398</v>
      </c>
      <c r="F59" t="s">
        <v>1341</v>
      </c>
      <c r="G59" t="n">
        <v>36.716000000000001</v>
      </c>
      <c r="H59" t="n">
        <v>1.09030837004405E-2</v>
      </c>
      <c r="I59" t="n">
        <v>46.162999999999997</v>
      </c>
      <c r="J59" t="n">
        <v>3.5434782608694299E-3</v>
      </c>
      <c r="K59" t="s">
        <v>889</v>
      </c>
      <c r="L59" t="s">
        <v>832</v>
      </c>
    </row>
    <row r="60">
      <c r="A60" t="n">
        <v>3.1206818640470101E-2</v>
      </c>
      <c r="B60" t="n">
        <v>6.08178890509075E-2</v>
      </c>
      <c r="C60" t="n">
        <v>4.3619950255883798E-2</v>
      </c>
      <c r="D60" t="n">
        <v>1.29734153291148E-2</v>
      </c>
      <c r="E60" t="s">
        <v>1399</v>
      </c>
      <c r="F60" t="s">
        <v>1341</v>
      </c>
      <c r="G60" t="n">
        <v>37.11</v>
      </c>
      <c r="H60" t="n">
        <v>1.07310164505936E-2</v>
      </c>
      <c r="I60" t="n">
        <v>46.311999999999998</v>
      </c>
      <c r="J60" t="n">
        <v>3.22769317418703E-3</v>
      </c>
      <c r="K60" t="s">
        <v>890</v>
      </c>
      <c r="L60" t="s">
        <v>832</v>
      </c>
    </row>
    <row r="61">
      <c r="A61" t="n">
        <v>2.4937045869749999E-2</v>
      </c>
      <c r="B61" t="n">
        <v>5.0188195911601098E-2</v>
      </c>
      <c r="C61" t="n">
        <v>4.8053419713626901E-2</v>
      </c>
      <c r="D61" t="n">
        <v>8.1435979249952998E-3</v>
      </c>
      <c r="E61" t="s">
        <v>1400</v>
      </c>
      <c r="F61" t="s">
        <v>1341</v>
      </c>
      <c r="G61" t="n">
        <v>37.548000000000002</v>
      </c>
      <c r="H61" t="n">
        <v>1.1802748585286999E-2</v>
      </c>
      <c r="I61" t="n">
        <v>46.405999999999999</v>
      </c>
      <c r="J61" t="n">
        <v>2.0297115218517198E-3</v>
      </c>
      <c r="K61" t="s">
        <v>891</v>
      </c>
      <c r="L61" t="s">
        <v>832</v>
      </c>
    </row>
    <row r="62">
      <c r="A62" t="n">
        <v>4.8021891562025902E-2</v>
      </c>
      <c r="B62" t="n">
        <v>-1.5869949670850401E-2</v>
      </c>
      <c r="C62" t="n">
        <v>5.3895269710959599E-2</v>
      </c>
      <c r="D62" t="n">
        <v>2.2424648618448499E-2</v>
      </c>
      <c r="E62" t="s">
        <v>1401</v>
      </c>
      <c r="F62" t="s">
        <v>1341</v>
      </c>
      <c r="G62" t="n">
        <v>38.043999999999997</v>
      </c>
      <c r="H62" t="n">
        <v>1.3209758176201E-2</v>
      </c>
      <c r="I62" t="n">
        <v>46.664000000000001</v>
      </c>
      <c r="J62" t="n">
        <v>5.5596259104426799E-3</v>
      </c>
      <c r="K62" t="s">
        <v>892</v>
      </c>
      <c r="L62" t="s">
        <v>832</v>
      </c>
    </row>
    <row r="63">
      <c r="A63" t="n">
        <v>3.2831975950411901E-2</v>
      </c>
      <c r="B63" t="n">
        <v>9.4485381047573203E-3</v>
      </c>
      <c r="C63" t="n">
        <v>4.6526948089148097E-2</v>
      </c>
      <c r="D63" t="n">
        <v>1.2400816449865701E-2</v>
      </c>
      <c r="E63" t="s">
        <v>1402</v>
      </c>
      <c r="F63" t="s">
        <v>1341</v>
      </c>
      <c r="G63" t="n">
        <v>38.478999999999999</v>
      </c>
      <c r="H63" t="n">
        <v>1.1434128903375E-2</v>
      </c>
      <c r="I63" t="n">
        <v>46.808</v>
      </c>
      <c r="J63" t="n">
        <v>3.0858906223212301E-3</v>
      </c>
      <c r="K63" t="s">
        <v>893</v>
      </c>
      <c r="L63" t="s">
        <v>832</v>
      </c>
    </row>
    <row r="64">
      <c r="A64" t="n">
        <v>3.1711964087017402E-2</v>
      </c>
      <c r="B64" t="n">
        <v>2.1519541922931699E-2</v>
      </c>
      <c r="C64" t="n">
        <v>3.7630817464174598E-2</v>
      </c>
      <c r="D64" t="n">
        <v>1.6508679737656601E-2</v>
      </c>
      <c r="E64" t="s">
        <v>1403</v>
      </c>
      <c r="F64" t="s">
        <v>1341</v>
      </c>
      <c r="G64" t="n">
        <v>38.835999999999999</v>
      </c>
      <c r="H64" t="n">
        <v>9.2777878843004497E-3</v>
      </c>
      <c r="I64" t="n">
        <v>47</v>
      </c>
      <c r="J64" t="n">
        <v>4.1018629294138397E-3</v>
      </c>
      <c r="K64" t="s">
        <v>894</v>
      </c>
      <c r="L64" t="s">
        <v>832</v>
      </c>
    </row>
    <row r="65">
      <c r="A65" t="n">
        <v>2.8237310351865798E-2</v>
      </c>
      <c r="B65" t="n">
        <v>2.6513418939119401E-2</v>
      </c>
      <c r="C65" t="n">
        <v>4.0884190168569902E-2</v>
      </c>
      <c r="D65" t="n">
        <v>2.40435812756121E-2</v>
      </c>
      <c r="E65" t="s">
        <v>1404</v>
      </c>
      <c r="F65" t="s">
        <v>1341</v>
      </c>
      <c r="G65" t="n">
        <v>39.226999999999997</v>
      </c>
      <c r="H65" t="n">
        <v>1.0067978164589601E-2</v>
      </c>
      <c r="I65" t="n">
        <v>47.28</v>
      </c>
      <c r="J65" t="n">
        <v>5.9574468085106204E-3</v>
      </c>
      <c r="K65" t="s">
        <v>895</v>
      </c>
      <c r="L65" t="s">
        <v>832</v>
      </c>
    </row>
    <row r="66">
      <c r="A66" t="n">
        <v>2.86487834236928E-2</v>
      </c>
      <c r="B66" t="n">
        <v>-1.00878062845416E-2</v>
      </c>
      <c r="C66" t="n">
        <v>1.47648166353573E-2</v>
      </c>
      <c r="D66" t="n">
        <v>2.5106061305751201E-2</v>
      </c>
      <c r="E66" t="s">
        <v>1405</v>
      </c>
      <c r="F66" t="s">
        <v>1341</v>
      </c>
      <c r="G66" t="n">
        <v>39.371000000000002</v>
      </c>
      <c r="H66" t="n">
        <v>3.6709409335409201E-3</v>
      </c>
      <c r="I66" t="n">
        <v>47.573999999999998</v>
      </c>
      <c r="J66" t="n">
        <v>6.2182741116749698E-3</v>
      </c>
      <c r="K66" t="s">
        <v>896</v>
      </c>
      <c r="L66" t="s">
        <v>832</v>
      </c>
    </row>
    <row r="67">
      <c r="A67" t="n">
        <v>-4.2153079272678803E-3</v>
      </c>
      <c r="B67" t="n">
        <v>-9.8843189037382002E-3</v>
      </c>
      <c r="C67" t="n">
        <v>1.2042523964300099E-2</v>
      </c>
      <c r="D67" t="n">
        <v>4.1753162692227598E-2</v>
      </c>
      <c r="E67" t="s">
        <v>1406</v>
      </c>
      <c r="F67" t="s">
        <v>1341</v>
      </c>
      <c r="G67" t="n">
        <v>39.488999999999997</v>
      </c>
      <c r="H67" t="n">
        <v>2.9971298671609401E-3</v>
      </c>
      <c r="I67" t="n">
        <v>48.063000000000002</v>
      </c>
      <c r="J67" t="n">
        <v>1.02787236725943E-2</v>
      </c>
      <c r="K67" t="s">
        <v>897</v>
      </c>
      <c r="L67" t="s">
        <v>832</v>
      </c>
    </row>
    <row r="68">
      <c r="A68" t="n">
        <v>2.1224970793817698E-2</v>
      </c>
      <c r="B68" t="n">
        <v>5.6401548408471199E-3</v>
      </c>
      <c r="C68" t="n">
        <v>3.4679470629119601E-2</v>
      </c>
      <c r="D68" t="n">
        <v>3.6953475595025202E-2</v>
      </c>
      <c r="E68" t="s">
        <v>1407</v>
      </c>
      <c r="F68" t="s">
        <v>1341</v>
      </c>
      <c r="G68" t="n">
        <v>39.826999999999998</v>
      </c>
      <c r="H68" t="n">
        <v>8.5593456405581598E-3</v>
      </c>
      <c r="I68" t="n">
        <v>48.500999999999998</v>
      </c>
      <c r="J68" t="n">
        <v>9.1130391361338194E-3</v>
      </c>
      <c r="K68" t="s">
        <v>898</v>
      </c>
      <c r="L68" t="s">
        <v>832</v>
      </c>
    </row>
    <row r="69">
      <c r="A69" t="n">
        <v>2.4413629868112598E-2</v>
      </c>
      <c r="B69" t="n">
        <v>4.55022354216461E-3</v>
      </c>
      <c r="C69" t="n">
        <v>5.3779833992726497E-2</v>
      </c>
      <c r="D69" t="n">
        <v>4.4006184582173501E-2</v>
      </c>
      <c r="E69" t="s">
        <v>1408</v>
      </c>
      <c r="F69" t="s">
        <v>1341</v>
      </c>
      <c r="G69" t="n">
        <v>40.351999999999997</v>
      </c>
      <c r="H69" t="n">
        <v>1.3182012202777E-2</v>
      </c>
      <c r="I69" t="n">
        <v>49.026000000000003</v>
      </c>
      <c r="J69" t="n">
        <v>1.08245190820808E-2</v>
      </c>
      <c r="K69" t="s">
        <v>899</v>
      </c>
      <c r="L69" t="s">
        <v>832</v>
      </c>
    </row>
    <row r="70">
      <c r="A70" t="n">
        <v>3.8220568833408297E-2</v>
      </c>
      <c r="B70" t="n">
        <v>-6.8268953681047701E-3</v>
      </c>
      <c r="C70" t="n">
        <v>6.6318650583382599E-2</v>
      </c>
      <c r="D70" t="n">
        <v>2.5866237951436302E-2</v>
      </c>
      <c r="E70" t="s">
        <v>1409</v>
      </c>
      <c r="F70" t="s">
        <v>1341</v>
      </c>
      <c r="G70" t="n">
        <v>41.005000000000003</v>
      </c>
      <c r="H70" t="n">
        <v>1.61825931800159E-2</v>
      </c>
      <c r="I70" t="n">
        <v>49.34</v>
      </c>
      <c r="J70" t="n">
        <v>6.4047648186675897E-3</v>
      </c>
      <c r="K70" t="s">
        <v>900</v>
      </c>
      <c r="L70" t="s">
        <v>832</v>
      </c>
    </row>
    <row r="71">
      <c r="A71" t="n">
        <v>3.9129087464599803E-2</v>
      </c>
      <c r="B71" t="n">
        <v>1.9164012541417402E-2</v>
      </c>
      <c r="C71" t="n">
        <v>5.3726223643289599E-2</v>
      </c>
      <c r="D71" t="n">
        <v>3.4070959420577702E-2</v>
      </c>
      <c r="E71" t="s">
        <v>1410</v>
      </c>
      <c r="F71" t="s">
        <v>1341</v>
      </c>
      <c r="G71" t="n">
        <v>41.545000000000002</v>
      </c>
      <c r="H71" t="n">
        <v>1.3169125716376E-2</v>
      </c>
      <c r="I71" t="n">
        <v>49.755000000000003</v>
      </c>
      <c r="J71" t="n">
        <v>8.4110255370895004E-3</v>
      </c>
      <c r="K71" t="s">
        <v>901</v>
      </c>
      <c r="L71" t="s">
        <v>832</v>
      </c>
    </row>
    <row r="72">
      <c r="A72" t="n">
        <v>3.8454021368670203E-2</v>
      </c>
      <c r="B72" t="n">
        <v>2.9219770282175001E-2</v>
      </c>
      <c r="C72" t="n">
        <v>5.1713813262120399E-2</v>
      </c>
      <c r="D72" t="n">
        <v>3.6092988240003197E-2</v>
      </c>
      <c r="E72" t="s">
        <v>1411</v>
      </c>
      <c r="F72" t="s">
        <v>1341</v>
      </c>
      <c r="G72" t="n">
        <v>42.072000000000003</v>
      </c>
      <c r="H72" t="n">
        <v>1.2685040317727899E-2</v>
      </c>
      <c r="I72" t="n">
        <v>50.198</v>
      </c>
      <c r="J72" t="n">
        <v>8.9036277761027592E-3</v>
      </c>
      <c r="K72" t="s">
        <v>902</v>
      </c>
      <c r="L72" t="s">
        <v>832</v>
      </c>
    </row>
    <row r="73">
      <c r="A73" t="n">
        <v>3.5013174112648898E-2</v>
      </c>
      <c r="B73" t="n">
        <v>8.3996255435596599E-3</v>
      </c>
      <c r="C73" t="n">
        <v>2.4659104438458999E-2</v>
      </c>
      <c r="D73" t="n">
        <v>2.13651369698558E-2</v>
      </c>
      <c r="E73" t="s">
        <v>1412</v>
      </c>
      <c r="F73" t="s">
        <v>1341</v>
      </c>
      <c r="G73" t="n">
        <v>42.329000000000001</v>
      </c>
      <c r="H73" t="n">
        <v>6.1085757748620103E-3</v>
      </c>
      <c r="I73" t="n">
        <v>50.463999999999999</v>
      </c>
      <c r="J73" t="n">
        <v>5.29901589704762E-3</v>
      </c>
      <c r="K73" t="s">
        <v>903</v>
      </c>
      <c r="L73" t="s">
        <v>832</v>
      </c>
    </row>
    <row r="74">
      <c r="A74" t="n">
        <v>3.19577361885768E-2</v>
      </c>
      <c r="B74" t="n">
        <v>5.5666299963321703E-2</v>
      </c>
      <c r="C74" t="n">
        <v>1.7884305064996799E-2</v>
      </c>
      <c r="D74" t="n">
        <v>3.2571809116936898E-2</v>
      </c>
      <c r="E74" t="s">
        <v>1413</v>
      </c>
      <c r="F74" t="s">
        <v>1341</v>
      </c>
      <c r="G74" t="n">
        <v>42.517000000000003</v>
      </c>
      <c r="H74" t="n">
        <v>4.4413995133361101E-3</v>
      </c>
      <c r="I74" t="n">
        <v>50.87</v>
      </c>
      <c r="J74" t="n">
        <v>8.0453392517438899E-3</v>
      </c>
      <c r="K74" t="s">
        <v>904</v>
      </c>
      <c r="L74" t="s">
        <v>832</v>
      </c>
    </row>
    <row r="75">
      <c r="A75" t="n">
        <v>4.4899260052234199E-2</v>
      </c>
      <c r="B75" t="n">
        <v>3.99278081765242E-2</v>
      </c>
      <c r="C75" t="n">
        <v>4.3789897152202203E-2</v>
      </c>
      <c r="D75" t="n">
        <v>2.2279292577718199E-2</v>
      </c>
      <c r="E75" t="s">
        <v>1414</v>
      </c>
      <c r="F75" t="s">
        <v>1341</v>
      </c>
      <c r="G75" t="n">
        <v>42.975000000000001</v>
      </c>
      <c r="H75" t="n">
        <v>1.0772161723545901E-2</v>
      </c>
      <c r="I75" t="n">
        <v>51.151000000000003</v>
      </c>
      <c r="J75" t="n">
        <v>5.5238844112444098E-3</v>
      </c>
      <c r="K75" t="s">
        <v>905</v>
      </c>
      <c r="L75" t="s">
        <v>832</v>
      </c>
    </row>
    <row r="76">
      <c r="A76" t="n">
        <v>5.0215068802573502E-2</v>
      </c>
      <c r="B76" t="n">
        <v>2.3053377277420399E-2</v>
      </c>
      <c r="C76" t="n">
        <v>3.6032445200426998E-2</v>
      </c>
      <c r="D76" t="n">
        <v>2.6056753006691701E-2</v>
      </c>
      <c r="E76" t="s">
        <v>1415</v>
      </c>
      <c r="F76" t="s">
        <v>1341</v>
      </c>
      <c r="G76" t="n">
        <v>43.356999999999999</v>
      </c>
      <c r="H76" t="n">
        <v>8.8888888888889496E-3</v>
      </c>
      <c r="I76" t="n">
        <v>51.481000000000002</v>
      </c>
      <c r="J76" t="n">
        <v>6.45148677445206E-3</v>
      </c>
      <c r="K76" t="s">
        <v>906</v>
      </c>
      <c r="L76" t="s">
        <v>832</v>
      </c>
    </row>
    <row r="77">
      <c r="A77" t="n">
        <v>4.1025346631292002E-2</v>
      </c>
      <c r="B77" t="n">
        <v>3.2561998713341901E-2</v>
      </c>
      <c r="C77" t="n">
        <v>5.2865449677459202E-2</v>
      </c>
      <c r="D77" t="n">
        <v>2.13020937510979E-2</v>
      </c>
      <c r="E77" t="s">
        <v>1416</v>
      </c>
      <c r="F77" t="s">
        <v>1341</v>
      </c>
      <c r="G77" t="n">
        <v>43.918999999999997</v>
      </c>
      <c r="H77" t="n">
        <v>1.29621514403671E-2</v>
      </c>
      <c r="I77" t="n">
        <v>51.753</v>
      </c>
      <c r="J77" t="n">
        <v>5.2835026514637101E-3</v>
      </c>
      <c r="K77" t="s">
        <v>907</v>
      </c>
      <c r="L77" t="s">
        <v>832</v>
      </c>
    </row>
    <row r="78">
      <c r="A78" t="n">
        <v>4.6770164599538401E-2</v>
      </c>
      <c r="B78" t="n">
        <v>3.00519488200592E-2</v>
      </c>
      <c r="C78" t="n">
        <v>6.2050852369377699E-2</v>
      </c>
      <c r="D78" t="n">
        <v>1.9463013158635498E-2</v>
      </c>
      <c r="E78" t="s">
        <v>1417</v>
      </c>
      <c r="F78" t="s">
        <v>1341</v>
      </c>
      <c r="G78" t="n">
        <v>44.585000000000001</v>
      </c>
      <c r="H78" t="n">
        <v>1.5164279696714401E-2</v>
      </c>
      <c r="I78" t="n">
        <v>52.003</v>
      </c>
      <c r="J78" t="n">
        <v>4.8306378374200999E-3</v>
      </c>
      <c r="K78" t="s">
        <v>908</v>
      </c>
      <c r="L78" t="s">
        <v>832</v>
      </c>
    </row>
    <row r="79">
      <c r="A79" t="n">
        <v>5.4994617531312101E-2</v>
      </c>
      <c r="B79" t="n">
        <v>2.9679316947533299E-2</v>
      </c>
      <c r="C79" t="n">
        <v>6.0821876360983101E-2</v>
      </c>
      <c r="D79" t="n">
        <v>3.2856918868300999E-2</v>
      </c>
      <c r="E79" t="s">
        <v>1418</v>
      </c>
      <c r="F79" t="s">
        <v>1341</v>
      </c>
      <c r="G79" t="n">
        <v>45.247999999999998</v>
      </c>
      <c r="H79" t="n">
        <v>1.48704721318829E-2</v>
      </c>
      <c r="I79" t="n">
        <v>52.424999999999997</v>
      </c>
      <c r="J79" t="n">
        <v>8.1149164471279196E-3</v>
      </c>
      <c r="K79" t="s">
        <v>909</v>
      </c>
      <c r="L79" t="s">
        <v>832</v>
      </c>
    </row>
    <row r="80">
      <c r="A80" t="n">
        <v>2.3822978628153201E-2</v>
      </c>
      <c r="B80" t="n">
        <v>2.0057150963272801E-2</v>
      </c>
      <c r="C80" t="n">
        <v>3.9922896172757301E-2</v>
      </c>
      <c r="D80" t="n">
        <v>3.0012482573731999E-2</v>
      </c>
      <c r="E80" t="s">
        <v>1419</v>
      </c>
      <c r="F80" t="s">
        <v>1341</v>
      </c>
      <c r="G80" t="n">
        <v>45.692999999999998</v>
      </c>
      <c r="H80" t="n">
        <v>9.8346888260254506E-3</v>
      </c>
      <c r="I80" t="n">
        <v>52.814</v>
      </c>
      <c r="J80" t="n">
        <v>7.4201239866476002E-3</v>
      </c>
      <c r="K80" t="s">
        <v>910</v>
      </c>
      <c r="L80" t="s">
        <v>832</v>
      </c>
    </row>
    <row r="81">
      <c r="A81" t="n">
        <v>3.1803231650019199E-2</v>
      </c>
      <c r="B81" t="n">
        <v>1.4432124176051201E-2</v>
      </c>
      <c r="C81" t="n">
        <v>6.0046453160524503E-2</v>
      </c>
      <c r="D81" t="n">
        <v>2.2222434897181301E-2</v>
      </c>
      <c r="E81" t="s">
        <v>1420</v>
      </c>
      <c r="F81" t="s">
        <v>1341</v>
      </c>
      <c r="G81" t="n">
        <v>46.363999999999997</v>
      </c>
      <c r="H81" t="n">
        <v>1.46849626857506E-2</v>
      </c>
      <c r="I81" t="n">
        <v>53.104999999999997</v>
      </c>
      <c r="J81" t="n">
        <v>5.5099026773204303E-3</v>
      </c>
      <c r="K81" t="s">
        <v>911</v>
      </c>
      <c r="L81" t="s">
        <v>832</v>
      </c>
    </row>
    <row r="82">
      <c r="A82" t="n">
        <v>5.92740793130948E-2</v>
      </c>
      <c r="B82" t="n">
        <v>2.8330647899498702E-2</v>
      </c>
      <c r="C82" t="n">
        <v>6.4935137330784501E-2</v>
      </c>
      <c r="D82" t="n">
        <v>2.9085137772108E-2</v>
      </c>
      <c r="E82" t="s">
        <v>1421</v>
      </c>
      <c r="F82" t="s">
        <v>1341</v>
      </c>
      <c r="G82" t="n">
        <v>47.098999999999997</v>
      </c>
      <c r="H82" t="n">
        <v>1.5852816840652199E-2</v>
      </c>
      <c r="I82" t="n">
        <v>53.487000000000002</v>
      </c>
      <c r="J82" t="n">
        <v>7.1932962997835999E-3</v>
      </c>
      <c r="K82" t="s">
        <v>912</v>
      </c>
      <c r="L82" t="s">
        <v>832</v>
      </c>
    </row>
    <row r="83">
      <c r="A83" t="n">
        <v>3.6833081072387398E-2</v>
      </c>
      <c r="B83" t="n">
        <v>7.0464261662823505E-2</v>
      </c>
      <c r="C83" t="n">
        <v>4.34077415784246E-2</v>
      </c>
      <c r="D83" t="n">
        <v>3.5768290293157798E-2</v>
      </c>
      <c r="E83" t="s">
        <v>1422</v>
      </c>
      <c r="F83" t="s">
        <v>1341</v>
      </c>
      <c r="G83" t="n">
        <v>47.601999999999997</v>
      </c>
      <c r="H83" t="n">
        <v>1.0679632263954599E-2</v>
      </c>
      <c r="I83" t="n">
        <v>53.959000000000003</v>
      </c>
      <c r="J83" t="n">
        <v>8.8245741955990092E-3</v>
      </c>
      <c r="K83" t="s">
        <v>913</v>
      </c>
      <c r="L83" t="s">
        <v>832</v>
      </c>
    </row>
    <row r="84">
      <c r="A84" t="n">
        <v>5.1769155239957503E-2</v>
      </c>
      <c r="B84" t="n">
        <v>5.3870047588526803E-3</v>
      </c>
      <c r="C84" t="n">
        <v>5.9429132401131797E-2</v>
      </c>
      <c r="D84" t="n">
        <v>3.9413809912278698E-2</v>
      </c>
      <c r="E84" t="s">
        <v>1423</v>
      </c>
      <c r="F84" t="s">
        <v>1341</v>
      </c>
      <c r="G84" t="n">
        <v>48.293999999999997</v>
      </c>
      <c r="H84" t="n">
        <v>1.4537204319146299E-2</v>
      </c>
      <c r="I84" t="n">
        <v>54.482999999999997</v>
      </c>
      <c r="J84" t="n">
        <v>9.7110769287791499E-3</v>
      </c>
      <c r="K84" t="s">
        <v>914</v>
      </c>
      <c r="L84" t="s">
        <v>832</v>
      </c>
    </row>
    <row r="85">
      <c r="A85" t="n">
        <v>5.3985249536158401E-2</v>
      </c>
      <c r="B85" t="n">
        <v>4.8480456964960797E-2</v>
      </c>
      <c r="C85" t="n">
        <v>7.7879333039596599E-2</v>
      </c>
      <c r="D85" t="n">
        <v>1.0688095589023601E-2</v>
      </c>
      <c r="E85" t="s">
        <v>1424</v>
      </c>
      <c r="F85" t="s">
        <v>1341</v>
      </c>
      <c r="G85" t="n">
        <v>49.207999999999998</v>
      </c>
      <c r="H85" t="n">
        <v>1.8925746469540702E-2</v>
      </c>
      <c r="I85" t="n">
        <v>54.628</v>
      </c>
      <c r="J85" t="n">
        <v>2.66138061413668E-3</v>
      </c>
      <c r="K85" t="s">
        <v>915</v>
      </c>
      <c r="L85" t="s">
        <v>832</v>
      </c>
    </row>
    <row r="86">
      <c r="A86" t="n">
        <v>2.1158982786186002E-2</v>
      </c>
      <c r="B86" t="n">
        <v>3.6386290478485302E-2</v>
      </c>
      <c r="C86" t="n">
        <v>1.91574066493869E-2</v>
      </c>
      <c r="D86" t="n">
        <v>7.9315148019272197E-3</v>
      </c>
      <c r="E86" t="s">
        <v>1425</v>
      </c>
      <c r="F86" t="s">
        <v>1341</v>
      </c>
      <c r="G86" t="n">
        <v>49.442</v>
      </c>
      <c r="H86" t="n">
        <v>4.7553243375060301E-3</v>
      </c>
      <c r="I86" t="n">
        <v>54.735999999999997</v>
      </c>
      <c r="J86" t="n">
        <v>1.9770081276999601E-3</v>
      </c>
      <c r="K86" t="s">
        <v>916</v>
      </c>
      <c r="L86" t="s">
        <v>832</v>
      </c>
    </row>
    <row r="87">
      <c r="A87" t="n">
        <v>2.2052154501282398E-2</v>
      </c>
      <c r="B87" t="n">
        <v>1.9883287825612099E-2</v>
      </c>
      <c r="C87" t="n">
        <v>2.5316754451185201E-2</v>
      </c>
      <c r="D87" t="n">
        <v>2.0767815828135701E-2</v>
      </c>
      <c r="E87" t="s">
        <v>1426</v>
      </c>
      <c r="F87" t="s">
        <v>1341</v>
      </c>
      <c r="G87" t="n">
        <v>49.752000000000002</v>
      </c>
      <c r="H87" t="n">
        <v>6.2699728975366097E-3</v>
      </c>
      <c r="I87" t="n">
        <v>55.018000000000001</v>
      </c>
      <c r="J87" t="n">
        <v>5.1520023384976597E-3</v>
      </c>
      <c r="K87" t="s">
        <v>917</v>
      </c>
      <c r="L87" t="s">
        <v>832</v>
      </c>
    </row>
    <row r="88">
      <c r="A88" t="n">
        <v>2.7438615126695699E-2</v>
      </c>
      <c r="B88" t="n">
        <v>5.2374465161812503E-2</v>
      </c>
      <c r="C88" t="n">
        <v>3.8739820782161899E-2</v>
      </c>
      <c r="D88" t="n">
        <v>1.0657034721188501E-2</v>
      </c>
      <c r="E88" t="s">
        <v>1427</v>
      </c>
      <c r="F88" t="s">
        <v>1341</v>
      </c>
      <c r="G88" t="n">
        <v>50.226999999999997</v>
      </c>
      <c r="H88" t="n">
        <v>9.5473548802056402E-3</v>
      </c>
      <c r="I88" t="n">
        <v>55.164000000000001</v>
      </c>
      <c r="J88" t="n">
        <v>2.6536769784435399E-3</v>
      </c>
      <c r="K88" t="s">
        <v>918</v>
      </c>
      <c r="L88" t="s">
        <v>832</v>
      </c>
    </row>
    <row r="89">
      <c r="A89" t="n">
        <v>2.9370792816648401E-2</v>
      </c>
      <c r="B89" t="n">
        <v>4.1076934031538899E-2</v>
      </c>
      <c r="C89" t="n">
        <v>4.6254885206873202E-2</v>
      </c>
      <c r="D89" t="n">
        <v>-9.9690396175571294E-3</v>
      </c>
      <c r="E89" t="s">
        <v>1428</v>
      </c>
      <c r="F89" t="s">
        <v>1341</v>
      </c>
      <c r="G89" t="n">
        <v>50.798000000000002</v>
      </c>
      <c r="H89" t="n">
        <v>1.13683875206563E-2</v>
      </c>
      <c r="I89" t="n">
        <v>55.026000000000003</v>
      </c>
      <c r="J89" t="n">
        <v>-2.5016314988035599E-3</v>
      </c>
      <c r="K89" t="s">
        <v>919</v>
      </c>
      <c r="L89" t="s">
        <v>832</v>
      </c>
    </row>
    <row r="90">
      <c r="A90" t="n">
        <v>2.5261592124571599E-2</v>
      </c>
      <c r="B90" t="n">
        <v>5.8581566563336001E-3</v>
      </c>
      <c r="C90" t="n">
        <v>3.8335869645315497E-2</v>
      </c>
      <c r="D90" t="n">
        <v>-1.04267601108922E-2</v>
      </c>
      <c r="E90" t="s">
        <v>1429</v>
      </c>
      <c r="F90" t="s">
        <v>1341</v>
      </c>
      <c r="G90" t="n">
        <v>51.277999999999999</v>
      </c>
      <c r="H90" t="n">
        <v>9.4491909130280903E-3</v>
      </c>
      <c r="I90" t="n">
        <v>54.881999999999998</v>
      </c>
      <c r="J90" t="n">
        <v>-2.61694471704299E-3</v>
      </c>
      <c r="K90" t="s">
        <v>920</v>
      </c>
      <c r="L90" t="s">
        <v>832</v>
      </c>
    </row>
    <row r="91">
      <c r="A91" t="n">
        <v>2.6883329197386899E-2</v>
      </c>
      <c r="B91" t="n">
        <v>1.4672046081608801E-2</v>
      </c>
      <c r="C91" t="n">
        <v>5.5488923116520997E-2</v>
      </c>
      <c r="D91" t="n">
        <v>1.90848323659343E-2</v>
      </c>
      <c r="E91" t="s">
        <v>1430</v>
      </c>
      <c r="F91" t="s">
        <v>1341</v>
      </c>
      <c r="G91" t="n">
        <v>51.975000000000001</v>
      </c>
      <c r="H91" t="n">
        <v>1.35925738133313E-2</v>
      </c>
      <c r="I91" t="n">
        <v>55.142000000000003</v>
      </c>
      <c r="J91" t="n">
        <v>4.7374366823367299E-3</v>
      </c>
      <c r="K91" t="s">
        <v>921</v>
      </c>
      <c r="L91" t="s">
        <v>832</v>
      </c>
    </row>
    <row r="92">
      <c r="A92" t="n">
        <v>2.57889573012124E-2</v>
      </c>
      <c r="B92" t="n">
        <v>3.5352763805176303E-2</v>
      </c>
      <c r="C92" t="n">
        <v>3.4689577494526398E-2</v>
      </c>
      <c r="D92" t="n">
        <v>8.1492648352745594E-3</v>
      </c>
      <c r="E92" t="s">
        <v>1431</v>
      </c>
      <c r="F92" t="s">
        <v>1341</v>
      </c>
      <c r="G92" t="n">
        <v>52.42</v>
      </c>
      <c r="H92" t="n">
        <v>8.5618085618086592E-3</v>
      </c>
      <c r="I92" t="n">
        <v>55.253999999999998</v>
      </c>
      <c r="J92" t="n">
        <v>2.03111965470959E-3</v>
      </c>
      <c r="K92" t="s">
        <v>922</v>
      </c>
      <c r="L92" t="s">
        <v>832</v>
      </c>
    </row>
    <row r="93">
      <c r="A93" t="n">
        <v>2.8170464275272301E-2</v>
      </c>
      <c r="B93" t="n">
        <v>2.5395981622951001E-2</v>
      </c>
      <c r="C93" t="n">
        <v>2.9547347848341E-2</v>
      </c>
      <c r="D93" t="n">
        <v>1.8368205985927599E-2</v>
      </c>
      <c r="E93" t="s">
        <v>1432</v>
      </c>
      <c r="F93" t="s">
        <v>1341</v>
      </c>
      <c r="G93" t="n">
        <v>52.802999999999997</v>
      </c>
      <c r="H93" t="n">
        <v>7.3063716138877001E-3</v>
      </c>
      <c r="I93" t="n">
        <v>55.506</v>
      </c>
      <c r="J93" t="n">
        <v>4.5607557823867896E-3</v>
      </c>
      <c r="K93" t="s">
        <v>923</v>
      </c>
      <c r="L93" t="s">
        <v>832</v>
      </c>
    </row>
    <row r="94">
      <c r="A94" t="n">
        <v>2.40619409805858E-2</v>
      </c>
      <c r="B94" t="n">
        <v>9.9983702538513092E-3</v>
      </c>
      <c r="C94" t="n">
        <v>2.2073085991106502E-2</v>
      </c>
      <c r="D94" t="n">
        <v>3.0096377482488099E-2</v>
      </c>
      <c r="E94" t="s">
        <v>1433</v>
      </c>
      <c r="F94" t="s">
        <v>1341</v>
      </c>
      <c r="G94" t="n">
        <v>53.091999999999999</v>
      </c>
      <c r="H94" t="n">
        <v>5.4731738726967504E-3</v>
      </c>
      <c r="I94" t="n">
        <v>55.918999999999997</v>
      </c>
      <c r="J94" t="n">
        <v>7.4406370482469298E-3</v>
      </c>
      <c r="K94" t="s">
        <v>924</v>
      </c>
      <c r="L94" t="s">
        <v>832</v>
      </c>
    </row>
    <row r="95">
      <c r="A95" t="n">
        <v>2.70873737268695E-2</v>
      </c>
      <c r="B95" t="n">
        <v>1.7716185249098602E-2</v>
      </c>
      <c r="C95" t="n">
        <v>2.3867747826854101E-2</v>
      </c>
      <c r="D95" t="n">
        <v>2.3524161594785199E-2</v>
      </c>
      <c r="E95" t="s">
        <v>1434</v>
      </c>
      <c r="F95" t="s">
        <v>1341</v>
      </c>
      <c r="G95" t="n">
        <v>53.405999999999999</v>
      </c>
      <c r="H95" t="n">
        <v>5.91426203571155E-3</v>
      </c>
      <c r="I95" t="n">
        <v>56.244999999999997</v>
      </c>
      <c r="J95" t="n">
        <v>5.8298610490172802E-3</v>
      </c>
      <c r="K95" t="s">
        <v>925</v>
      </c>
      <c r="L95" t="s">
        <v>832</v>
      </c>
    </row>
    <row r="96">
      <c r="A96" t="n">
        <v>1.7542540867755401E-2</v>
      </c>
      <c r="B96" t="n">
        <v>2.9283418694515902E-2</v>
      </c>
      <c r="C96" t="n">
        <v>1.3096071782226999E-2</v>
      </c>
      <c r="D96" t="n">
        <v>4.0598599880798903E-3</v>
      </c>
      <c r="E96" t="s">
        <v>1435</v>
      </c>
      <c r="F96" t="s">
        <v>1341</v>
      </c>
      <c r="G96" t="n">
        <v>53.58</v>
      </c>
      <c r="H96" t="n">
        <v>3.2580608920345102E-3</v>
      </c>
      <c r="I96" t="n">
        <v>56.302</v>
      </c>
      <c r="J96" t="n">
        <v>1.01342341541466E-3</v>
      </c>
      <c r="K96" t="s">
        <v>926</v>
      </c>
      <c r="L96" t="s">
        <v>832</v>
      </c>
    </row>
    <row r="97">
      <c r="A97" t="n">
        <v>2.3240038949048102E-2</v>
      </c>
      <c r="B97" t="n">
        <v>3.6370296177081797E-2</v>
      </c>
      <c r="C97" t="n">
        <v>2.0612838101556001E-2</v>
      </c>
      <c r="D97" t="n">
        <v>1.8816279960193898E-2</v>
      </c>
      <c r="E97" t="s">
        <v>1436</v>
      </c>
      <c r="F97" t="s">
        <v>1341</v>
      </c>
      <c r="G97" t="n">
        <v>53.853999999999999</v>
      </c>
      <c r="H97" t="n">
        <v>5.1138484509145599E-3</v>
      </c>
      <c r="I97" t="n">
        <v>56.564999999999998</v>
      </c>
      <c r="J97" t="n">
        <v>4.6712372562254202E-3</v>
      </c>
      <c r="K97" t="s">
        <v>927</v>
      </c>
      <c r="L97" t="s">
        <v>832</v>
      </c>
    </row>
    <row r="98">
      <c r="A98" t="n">
        <v>1.4387423449919501E-2</v>
      </c>
      <c r="B98" t="n">
        <v>1.8449816517922799E-2</v>
      </c>
      <c r="C98" t="n">
        <v>3.3921123111567301E-2</v>
      </c>
      <c r="D98" t="n">
        <v>2.9526755688726598E-2</v>
      </c>
      <c r="E98" t="s">
        <v>1437</v>
      </c>
      <c r="F98" t="s">
        <v>1341</v>
      </c>
      <c r="G98" t="n">
        <v>54.305</v>
      </c>
      <c r="H98" t="n">
        <v>8.3744940023024999E-3</v>
      </c>
      <c r="I98" t="n">
        <v>56.978000000000002</v>
      </c>
      <c r="J98" t="n">
        <v>7.3013347476356101E-3</v>
      </c>
      <c r="K98" t="s">
        <v>928</v>
      </c>
      <c r="L98" t="s">
        <v>832</v>
      </c>
    </row>
    <row r="99">
      <c r="A99" t="n">
        <v>2.2496438657089599E-2</v>
      </c>
      <c r="B99" t="n">
        <v>3.3991498444716703E-2</v>
      </c>
      <c r="C99" t="n">
        <v>2.3479894269272002E-2</v>
      </c>
      <c r="D99" t="n">
        <v>1.7453105874537699E-2</v>
      </c>
      <c r="E99" t="s">
        <v>1438</v>
      </c>
      <c r="F99" t="s">
        <v>1341</v>
      </c>
      <c r="G99" t="n">
        <v>54.621000000000002</v>
      </c>
      <c r="H99" t="n">
        <v>5.8189853604639899E-3</v>
      </c>
      <c r="I99" t="n">
        <v>57.225000000000001</v>
      </c>
      <c r="J99" t="n">
        <v>4.3350064937344203E-3</v>
      </c>
      <c r="K99" t="s">
        <v>929</v>
      </c>
      <c r="L99" t="s">
        <v>832</v>
      </c>
    </row>
    <row r="100">
      <c r="A100" t="n">
        <v>2.90726218207682E-2</v>
      </c>
      <c r="B100" t="n">
        <v>2.3185974053502999E-2</v>
      </c>
      <c r="C100" t="n">
        <v>3.5391871305663798E-2</v>
      </c>
      <c r="D100" t="n">
        <v>3.5482240520336501E-2</v>
      </c>
      <c r="E100" t="s">
        <v>1439</v>
      </c>
      <c r="F100" t="s">
        <v>1341</v>
      </c>
      <c r="G100" t="n">
        <v>55.097999999999999</v>
      </c>
      <c r="H100" t="n">
        <v>8.7329049266764401E-3</v>
      </c>
      <c r="I100" t="n">
        <v>57.725999999999999</v>
      </c>
      <c r="J100" t="n">
        <v>8.7549148099605994E-3</v>
      </c>
      <c r="K100" t="s">
        <v>930</v>
      </c>
      <c r="L100" t="s">
        <v>832</v>
      </c>
    </row>
    <row r="101">
      <c r="A101" t="n">
        <v>1.88663260541506E-2</v>
      </c>
      <c r="B101" t="n">
        <v>3.3254108726641599E-2</v>
      </c>
      <c r="C101" t="n">
        <v>3.4634574022881899E-2</v>
      </c>
      <c r="D101" t="n">
        <v>3.3748767658719397E-2</v>
      </c>
      <c r="E101" t="s">
        <v>1440</v>
      </c>
      <c r="F101" t="s">
        <v>1341</v>
      </c>
      <c r="G101" t="n">
        <v>55.569000000000003</v>
      </c>
      <c r="H101" t="n">
        <v>8.5484046607862095E-3</v>
      </c>
      <c r="I101" t="n">
        <v>58.207000000000001</v>
      </c>
      <c r="J101" t="n">
        <v>8.3324671725046907E-3</v>
      </c>
      <c r="K101" t="s">
        <v>931</v>
      </c>
      <c r="L101" t="s">
        <v>832</v>
      </c>
    </row>
    <row r="102">
      <c r="A102" t="n">
        <v>1.9752209109685798E-2</v>
      </c>
      <c r="B102" t="n">
        <v>3.4122786590531799E-2</v>
      </c>
      <c r="C102" t="n">
        <v>1.8555272424330301E-2</v>
      </c>
      <c r="D102" t="n">
        <v>4.0528253340275301E-2</v>
      </c>
      <c r="E102" t="s">
        <v>1441</v>
      </c>
      <c r="F102" t="s">
        <v>1341</v>
      </c>
      <c r="G102" t="n">
        <v>55.825000000000003</v>
      </c>
      <c r="H102" t="n">
        <v>4.6068851337977001E-3</v>
      </c>
      <c r="I102" t="n">
        <v>58.787999999999997</v>
      </c>
      <c r="J102" t="n">
        <v>9.9816173312487991E-3</v>
      </c>
      <c r="K102" t="s">
        <v>932</v>
      </c>
      <c r="L102" t="s">
        <v>832</v>
      </c>
    </row>
    <row r="103">
      <c r="A103" t="n">
        <v>2.3426148348960799E-2</v>
      </c>
      <c r="B103" t="n">
        <v>2.6924495262994098E-2</v>
      </c>
      <c r="C103" t="n">
        <v>3.10950653969519E-2</v>
      </c>
      <c r="D103" t="n">
        <v>2.8884969324625399E-2</v>
      </c>
      <c r="E103" t="s">
        <v>1442</v>
      </c>
      <c r="F103" t="s">
        <v>1341</v>
      </c>
      <c r="G103" t="n">
        <v>56.253999999999998</v>
      </c>
      <c r="H103" t="n">
        <v>7.6847290640393896E-3</v>
      </c>
      <c r="I103" t="n">
        <v>59.207999999999998</v>
      </c>
      <c r="J103" t="n">
        <v>7.1443151663605998E-3</v>
      </c>
      <c r="K103" t="s">
        <v>933</v>
      </c>
      <c r="L103" t="s">
        <v>832</v>
      </c>
    </row>
    <row r="104">
      <c r="A104" t="n">
        <v>1.6481276503132601E-2</v>
      </c>
      <c r="B104" t="n">
        <v>2.0844963333619401E-2</v>
      </c>
      <c r="C104" t="n">
        <v>1.5303746558651399E-2</v>
      </c>
      <c r="D104" t="n">
        <v>2.2275298720186399E-2</v>
      </c>
      <c r="E104" t="s">
        <v>1443</v>
      </c>
      <c r="F104" t="s">
        <v>1341</v>
      </c>
      <c r="G104" t="n">
        <v>56.468000000000004</v>
      </c>
      <c r="H104" t="n">
        <v>3.8041739254097702E-3</v>
      </c>
      <c r="I104" t="n">
        <v>59.534999999999997</v>
      </c>
      <c r="J104" t="n">
        <v>5.5229023104985701E-3</v>
      </c>
      <c r="K104" t="s">
        <v>934</v>
      </c>
      <c r="L104" t="s">
        <v>832</v>
      </c>
    </row>
    <row r="105">
      <c r="A105" t="n">
        <v>1.77105887350755E-2</v>
      </c>
      <c r="B105" t="n">
        <v>5.6392491810183902E-2</v>
      </c>
      <c r="C105" t="n">
        <v>1.3670147091618101E-2</v>
      </c>
      <c r="D105" t="n">
        <v>2.3245190160411201E-2</v>
      </c>
      <c r="E105" t="s">
        <v>1444</v>
      </c>
      <c r="F105" t="s">
        <v>1341</v>
      </c>
      <c r="G105" t="n">
        <v>56.66</v>
      </c>
      <c r="H105" t="n">
        <v>3.4001558404759299E-3</v>
      </c>
      <c r="I105" t="n">
        <v>59.878</v>
      </c>
      <c r="J105" t="n">
        <v>5.7613168724279804E-3</v>
      </c>
      <c r="K105" t="s">
        <v>935</v>
      </c>
      <c r="L105" t="s">
        <v>832</v>
      </c>
    </row>
    <row r="106">
      <c r="A106" t="n">
        <v>2.24149830534284E-2</v>
      </c>
      <c r="B106" t="n">
        <v>9.43340099661172E-3</v>
      </c>
      <c r="C106" t="n">
        <v>4.4785324127958097E-2</v>
      </c>
      <c r="D106" t="n">
        <v>2.1616654614663E-2</v>
      </c>
      <c r="E106" t="s">
        <v>1445</v>
      </c>
      <c r="F106" t="s">
        <v>1341</v>
      </c>
      <c r="G106" t="n">
        <v>57.283999999999999</v>
      </c>
      <c r="H106" t="n">
        <v>1.1013060360042499E-2</v>
      </c>
      <c r="I106" t="n">
        <v>60.198999999999998</v>
      </c>
      <c r="J106" t="n">
        <v>5.3609004976786804E-3</v>
      </c>
      <c r="K106" t="s">
        <v>936</v>
      </c>
      <c r="L106" t="s">
        <v>832</v>
      </c>
    </row>
    <row r="107">
      <c r="A107" t="n">
        <v>2.7006131410312901E-2</v>
      </c>
      <c r="B107" t="n">
        <v>-2.1272525988481301E-2</v>
      </c>
      <c r="C107" t="n">
        <v>5.7381634098421204E-3</v>
      </c>
      <c r="D107" t="n">
        <v>4.4593389946305803E-3</v>
      </c>
      <c r="E107" t="s">
        <v>1446</v>
      </c>
      <c r="F107" t="s">
        <v>1341</v>
      </c>
      <c r="G107" t="n">
        <v>57.366</v>
      </c>
      <c r="H107" t="n">
        <v>1.4314642832204999E-3</v>
      </c>
      <c r="I107" t="n">
        <v>60.265999999999998</v>
      </c>
      <c r="J107" t="n">
        <v>1.1129752985929999E-3</v>
      </c>
      <c r="K107" t="s">
        <v>937</v>
      </c>
      <c r="L107" t="s">
        <v>832</v>
      </c>
    </row>
    <row r="108">
      <c r="A108" t="n">
        <v>1.7195373350960198E-2</v>
      </c>
      <c r="B108" t="n">
        <v>2.3444846886997699E-2</v>
      </c>
      <c r="C108" t="n">
        <v>2.6760970425558899E-2</v>
      </c>
      <c r="D108" t="n">
        <v>1.9993530620905801E-2</v>
      </c>
      <c r="E108" t="s">
        <v>1447</v>
      </c>
      <c r="F108" t="s">
        <v>1341</v>
      </c>
      <c r="G108" t="n">
        <v>57.746000000000002</v>
      </c>
      <c r="H108" t="n">
        <v>6.62413276156615E-3</v>
      </c>
      <c r="I108" t="n">
        <v>60.564999999999998</v>
      </c>
      <c r="J108" t="n">
        <v>4.9613380678989998E-3</v>
      </c>
      <c r="K108" t="s">
        <v>938</v>
      </c>
      <c r="L108" t="s">
        <v>832</v>
      </c>
    </row>
    <row r="109">
      <c r="A109" t="n">
        <v>2.7544322225657499E-2</v>
      </c>
      <c r="B109" t="n">
        <v>1.3803868113502E-2</v>
      </c>
      <c r="C109" t="n">
        <v>3.2814056779429501E-2</v>
      </c>
      <c r="D109" t="n">
        <v>1.3007743413415899E-2</v>
      </c>
      <c r="E109" t="s">
        <v>1448</v>
      </c>
      <c r="F109" t="s">
        <v>1341</v>
      </c>
      <c r="G109" t="n">
        <v>58.213999999999999</v>
      </c>
      <c r="H109" t="n">
        <v>8.1044574515982699E-3</v>
      </c>
      <c r="I109" t="n">
        <v>60.761000000000003</v>
      </c>
      <c r="J109" t="n">
        <v>3.2361925204327201E-3</v>
      </c>
      <c r="K109" t="s">
        <v>939</v>
      </c>
      <c r="L109" t="s">
        <v>832</v>
      </c>
    </row>
    <row r="110">
      <c r="A110" t="n">
        <v>1.7773223680601899E-2</v>
      </c>
      <c r="B110" t="n">
        <v>1.36962800731413E-2</v>
      </c>
      <c r="C110" t="n">
        <v>2.76992412803541E-2</v>
      </c>
      <c r="D110" t="n">
        <v>2.2772194889475902E-2</v>
      </c>
      <c r="E110" t="s">
        <v>1449</v>
      </c>
      <c r="F110" t="s">
        <v>1341</v>
      </c>
      <c r="G110" t="n">
        <v>58.613</v>
      </c>
      <c r="H110" t="n">
        <v>6.8540213694301402E-3</v>
      </c>
      <c r="I110" t="n">
        <v>61.103999999999999</v>
      </c>
      <c r="J110" t="n">
        <v>5.6450683826796402E-3</v>
      </c>
      <c r="K110" t="s">
        <v>940</v>
      </c>
      <c r="L110" t="s">
        <v>832</v>
      </c>
    </row>
    <row r="111">
      <c r="A111" t="n">
        <v>1.0067171002752701E-2</v>
      </c>
      <c r="B111" t="n">
        <v>2.65913479501769E-2</v>
      </c>
      <c r="C111" t="n">
        <v>9.5884799897107999E-3</v>
      </c>
      <c r="D111" t="n">
        <v>2.7578432526699701E-2</v>
      </c>
      <c r="E111" t="s">
        <v>1450</v>
      </c>
      <c r="F111" t="s">
        <v>1341</v>
      </c>
      <c r="G111" t="n">
        <v>58.753</v>
      </c>
      <c r="H111" t="n">
        <v>2.3885486154948698E-3</v>
      </c>
      <c r="I111" t="n">
        <v>61.521000000000001</v>
      </c>
      <c r="J111" t="n">
        <v>6.8244304791831301E-3</v>
      </c>
      <c r="K111" t="s">
        <v>941</v>
      </c>
      <c r="L111" t="s">
        <v>832</v>
      </c>
    </row>
    <row r="112">
      <c r="A112" t="n">
        <v>1.05839184448571E-2</v>
      </c>
      <c r="B112" t="n">
        <v>9.2223862003817398E-3</v>
      </c>
      <c r="C112" t="n">
        <v>1.9268623425193102E-2</v>
      </c>
      <c r="D112" t="n">
        <v>1.0181522541022199E-2</v>
      </c>
      <c r="E112" t="s">
        <v>1451</v>
      </c>
      <c r="F112" t="s">
        <v>1341</v>
      </c>
      <c r="G112" t="n">
        <v>59.033999999999999</v>
      </c>
      <c r="H112" t="n">
        <v>4.7827344986639498E-3</v>
      </c>
      <c r="I112" t="n">
        <v>61.677</v>
      </c>
      <c r="J112" t="n">
        <v>2.5357195104109801E-3</v>
      </c>
      <c r="K112" t="s">
        <v>942</v>
      </c>
      <c r="L112" t="s">
        <v>832</v>
      </c>
    </row>
    <row r="113">
      <c r="A113" t="n">
        <v>1.26121897911931E-2</v>
      </c>
      <c r="B113" t="n">
        <v>2.8333969394931401E-2</v>
      </c>
      <c r="C113" t="n">
        <v>3.3061309623051399E-2</v>
      </c>
      <c r="D113" t="n">
        <v>2.5996696664996499E-2</v>
      </c>
      <c r="E113" t="s">
        <v>1452</v>
      </c>
      <c r="F113" t="s">
        <v>1341</v>
      </c>
      <c r="G113" t="n">
        <v>59.515999999999998</v>
      </c>
      <c r="H113" t="n">
        <v>8.1647863942813093E-3</v>
      </c>
      <c r="I113" t="n">
        <v>62.073999999999998</v>
      </c>
      <c r="J113" t="n">
        <v>6.4367592457479396E-3</v>
      </c>
      <c r="K113" t="s">
        <v>943</v>
      </c>
      <c r="L113" t="s">
        <v>832</v>
      </c>
    </row>
    <row r="114">
      <c r="A114" t="n">
        <v>3.2090280398078302E-4</v>
      </c>
      <c r="B114" t="n">
        <v>-1.66473304304918E-2</v>
      </c>
      <c r="C114" t="n">
        <v>6.3326118015940604E-3</v>
      </c>
      <c r="D114" t="n">
        <v>1.3539104320199301E-3</v>
      </c>
      <c r="E114" t="s">
        <v>1453</v>
      </c>
      <c r="F114" t="s">
        <v>1341</v>
      </c>
      <c r="G114" t="n">
        <v>59.61</v>
      </c>
      <c r="H114" t="n">
        <v>1.57940721822714E-3</v>
      </c>
      <c r="I114" t="n">
        <v>62.094999999999999</v>
      </c>
      <c r="J114" t="n">
        <v>3.3830589296646201E-4</v>
      </c>
      <c r="K114" t="s">
        <v>944</v>
      </c>
      <c r="L114" t="s">
        <v>832</v>
      </c>
    </row>
    <row r="115">
      <c r="A115" t="n">
        <v>7.2384308298694099E-3</v>
      </c>
      <c r="B115" t="n">
        <v>2.5981704959145799E-2</v>
      </c>
      <c r="C115" t="n">
        <v>2.14418814289523E-2</v>
      </c>
      <c r="D115" t="n">
        <v>2.5146473935451202E-3</v>
      </c>
      <c r="E115" t="s">
        <v>1454</v>
      </c>
      <c r="F115" t="s">
        <v>1341</v>
      </c>
      <c r="G115" t="n">
        <v>59.927</v>
      </c>
      <c r="H115" t="n">
        <v>5.3178996812615099E-3</v>
      </c>
      <c r="I115" t="n">
        <v>62.134</v>
      </c>
      <c r="J115" t="n">
        <v>6.2806989290598004E-4</v>
      </c>
      <c r="K115" t="s">
        <v>945</v>
      </c>
      <c r="L115" t="s">
        <v>832</v>
      </c>
    </row>
    <row r="116">
      <c r="A116" t="n">
        <v>1.2387156771827E-2</v>
      </c>
      <c r="B116" t="n">
        <v>2.6407820145390601E-2</v>
      </c>
      <c r="C116" t="n">
        <v>3.1605845001569703E-2</v>
      </c>
      <c r="D116" t="n">
        <v>2.4885302644445099E-2</v>
      </c>
      <c r="E116" t="s">
        <v>1455</v>
      </c>
      <c r="F116" t="s">
        <v>1341</v>
      </c>
      <c r="G116" t="n">
        <v>60.395000000000003</v>
      </c>
      <c r="H116" t="n">
        <v>7.8095015602317498E-3</v>
      </c>
      <c r="I116" t="n">
        <v>62.517000000000003</v>
      </c>
      <c r="J116" t="n">
        <v>6.1640969517495802E-3</v>
      </c>
      <c r="K116" t="s">
        <v>946</v>
      </c>
      <c r="L116" t="s">
        <v>832</v>
      </c>
    </row>
    <row r="117">
      <c r="A117" t="n">
        <v>1.0631455336088899E-2</v>
      </c>
      <c r="B117" t="n">
        <v>1.29075602616771E-2</v>
      </c>
      <c r="C117" t="n">
        <v>3.6519198475668799E-2</v>
      </c>
      <c r="D117" t="n">
        <v>2.2777873103542599E-2</v>
      </c>
      <c r="E117" t="s">
        <v>1456</v>
      </c>
      <c r="F117" t="s">
        <v>1341</v>
      </c>
      <c r="G117" t="n">
        <v>60.939</v>
      </c>
      <c r="H117" t="n">
        <v>9.0073681596158899E-3</v>
      </c>
      <c r="I117" t="n">
        <v>62.87</v>
      </c>
      <c r="J117" t="n">
        <v>5.6464641617479704E-3</v>
      </c>
      <c r="K117" t="s">
        <v>947</v>
      </c>
      <c r="L117" t="s">
        <v>832</v>
      </c>
    </row>
    <row r="118">
      <c r="A118" t="n">
        <v>7.8778546175835001E-3</v>
      </c>
      <c r="B118" t="n">
        <v>1.19346323256166E-2</v>
      </c>
      <c r="C118" t="n">
        <v>3.4639204699016303E-2</v>
      </c>
      <c r="D118" t="n">
        <v>1.61297394114919E-2</v>
      </c>
      <c r="E118" t="s">
        <v>1457</v>
      </c>
      <c r="F118" t="s">
        <v>1341</v>
      </c>
      <c r="G118" t="n">
        <v>61.46</v>
      </c>
      <c r="H118" t="n">
        <v>8.5495331396971998E-3</v>
      </c>
      <c r="I118" t="n">
        <v>63.122</v>
      </c>
      <c r="J118" t="n">
        <v>4.0082710354700799E-3</v>
      </c>
      <c r="K118" t="s">
        <v>948</v>
      </c>
      <c r="L118" t="s">
        <v>832</v>
      </c>
    </row>
    <row r="119">
      <c r="A119" t="n">
        <v>2.2971603454798002E-2</v>
      </c>
      <c r="B119" t="n">
        <v>3.4068264295770097E-2</v>
      </c>
      <c r="C119" t="n">
        <v>6.1370356227924201E-2</v>
      </c>
      <c r="D119" t="n">
        <v>2.99883116478201E-2</v>
      </c>
      <c r="E119" t="s">
        <v>1458</v>
      </c>
      <c r="F119" t="s">
        <v>1341</v>
      </c>
      <c r="G119" t="n">
        <v>62.381999999999998</v>
      </c>
      <c r="H119" t="n">
        <v>1.5001627074519901E-2</v>
      </c>
      <c r="I119" t="n">
        <v>63.59</v>
      </c>
      <c r="J119" t="n">
        <v>7.4142137448116596E-3</v>
      </c>
      <c r="K119" t="s">
        <v>949</v>
      </c>
      <c r="L119" t="s">
        <v>832</v>
      </c>
    </row>
    <row r="120">
      <c r="A120" t="n">
        <v>2.21977740334749E-2</v>
      </c>
      <c r="B120" t="n">
        <v>3.6824162588046098E-2</v>
      </c>
      <c r="C120" t="n">
        <v>5.6562220210462498E-2</v>
      </c>
      <c r="D120" t="n">
        <v>1.6964868305367399E-2</v>
      </c>
      <c r="E120" t="s">
        <v>1459</v>
      </c>
      <c r="F120" t="s">
        <v>1341</v>
      </c>
      <c r="G120" t="n">
        <v>63.246000000000002</v>
      </c>
      <c r="H120" t="n">
        <v>1.3850149081466E-2</v>
      </c>
      <c r="I120" t="n">
        <v>63.857999999999997</v>
      </c>
      <c r="J120" t="n">
        <v>4.2144991350840898E-3</v>
      </c>
      <c r="K120" t="s">
        <v>950</v>
      </c>
      <c r="L120" t="s">
        <v>832</v>
      </c>
    </row>
    <row r="121">
      <c r="A121" t="n">
        <v>2.4473399596212499E-2</v>
      </c>
      <c r="B121" t="n">
        <v>5.00811045761866E-2</v>
      </c>
      <c r="C121" t="n">
        <v>4.9726482376824199E-2</v>
      </c>
      <c r="D121" t="n">
        <v>3.4513513517111301E-2</v>
      </c>
      <c r="E121" t="s">
        <v>1460</v>
      </c>
      <c r="F121" t="s">
        <v>1341</v>
      </c>
      <c r="G121" t="n">
        <v>64.018000000000001</v>
      </c>
      <c r="H121" t="n">
        <v>1.2206305537109099E-2</v>
      </c>
      <c r="I121" t="n">
        <v>64.402000000000001</v>
      </c>
      <c r="J121" t="n">
        <v>8.5189013122866104E-3</v>
      </c>
      <c r="K121" t="s">
        <v>951</v>
      </c>
      <c r="L121" t="s">
        <v>832</v>
      </c>
    </row>
    <row r="122">
      <c r="A122" t="n">
        <v>3.2886107964122897E-2</v>
      </c>
      <c r="B122" t="n">
        <v>3.9540884737924602E-2</v>
      </c>
      <c r="C122" t="n">
        <v>5.7040318663066601E-2</v>
      </c>
      <c r="D122" t="n">
        <v>3.2054289459933799E-2</v>
      </c>
      <c r="E122" t="s">
        <v>1461</v>
      </c>
      <c r="F122" t="s">
        <v>1341</v>
      </c>
      <c r="G122" t="n">
        <v>64.912000000000006</v>
      </c>
      <c r="H122" t="n">
        <v>1.3964822393701899E-2</v>
      </c>
      <c r="I122" t="n">
        <v>64.912000000000006</v>
      </c>
      <c r="J122" t="n">
        <v>7.9190087264371396E-3</v>
      </c>
      <c r="K122" t="s">
        <v>952</v>
      </c>
      <c r="L122" t="s">
        <v>832</v>
      </c>
    </row>
    <row r="123">
      <c r="A123" t="n">
        <v>1.9193585341739101E-2</v>
      </c>
      <c r="B123" t="n">
        <v>1.5459188057563401E-2</v>
      </c>
      <c r="C123" t="n">
        <v>4.2438786901308999E-2</v>
      </c>
      <c r="D123" t="n">
        <v>4.6322155050911397E-2</v>
      </c>
      <c r="E123" t="s">
        <v>1462</v>
      </c>
      <c r="F123" t="s">
        <v>1341</v>
      </c>
      <c r="G123" t="n">
        <v>65.59</v>
      </c>
      <c r="H123" t="n">
        <v>1.0444910032043399E-2</v>
      </c>
      <c r="I123" t="n">
        <v>65.650999999999996</v>
      </c>
      <c r="J123" t="n">
        <v>1.13846438254868E-2</v>
      </c>
      <c r="K123" t="s">
        <v>953</v>
      </c>
      <c r="L123" t="s">
        <v>832</v>
      </c>
    </row>
    <row r="124">
      <c r="A124" t="n">
        <v>2.6053548554263901E-2</v>
      </c>
      <c r="B124" t="n">
        <v>2.8949345820011199E-2</v>
      </c>
      <c r="C124" t="n">
        <v>4.7728620369875199E-2</v>
      </c>
      <c r="D124" t="n">
        <v>2.6457667912965801E-2</v>
      </c>
      <c r="E124" t="s">
        <v>1463</v>
      </c>
      <c r="F124" t="s">
        <v>1341</v>
      </c>
      <c r="G124" t="n">
        <v>66.358999999999995</v>
      </c>
      <c r="H124" t="n">
        <v>1.1724348223814501E-2</v>
      </c>
      <c r="I124" t="n">
        <v>66.081000000000003</v>
      </c>
      <c r="J124" t="n">
        <v>6.5497859895509202E-3</v>
      </c>
      <c r="K124" t="s">
        <v>954</v>
      </c>
      <c r="L124" t="s">
        <v>832</v>
      </c>
    </row>
    <row r="125">
      <c r="A125" t="n">
        <v>2.2816932316492001E-2</v>
      </c>
      <c r="B125" t="n">
        <v>1.82242710503548E-2</v>
      </c>
      <c r="C125" t="n">
        <v>5.7499642478727998E-2</v>
      </c>
      <c r="D125" t="n">
        <v>2.3755596803619598E-2</v>
      </c>
      <c r="E125" t="s">
        <v>1464</v>
      </c>
      <c r="F125" t="s">
        <v>1341</v>
      </c>
      <c r="G125" t="n">
        <v>67.293000000000006</v>
      </c>
      <c r="H125" t="n">
        <v>1.40749559215783E-2</v>
      </c>
      <c r="I125" t="n">
        <v>66.47</v>
      </c>
      <c r="J125" t="n">
        <v>5.8867147894250396E-3</v>
      </c>
      <c r="K125" t="s">
        <v>955</v>
      </c>
      <c r="L125" t="s">
        <v>832</v>
      </c>
    </row>
    <row r="126">
      <c r="A126" t="n">
        <v>2.9937016463394299E-2</v>
      </c>
      <c r="B126" t="n">
        <v>6.8223280329673397E-3</v>
      </c>
      <c r="C126" t="n">
        <v>5.4456520671492398E-2</v>
      </c>
      <c r="D126" t="n">
        <v>2.4902004743710501E-2</v>
      </c>
      <c r="E126" t="s">
        <v>1465</v>
      </c>
      <c r="F126" t="s">
        <v>1341</v>
      </c>
      <c r="G126" t="n">
        <v>68.191000000000003</v>
      </c>
      <c r="H126" t="n">
        <v>1.33446272272004E-2</v>
      </c>
      <c r="I126" t="n">
        <v>66.88</v>
      </c>
      <c r="J126" t="n">
        <v>6.16819617872721E-3</v>
      </c>
      <c r="K126" t="s">
        <v>956</v>
      </c>
      <c r="L126" t="s">
        <v>832</v>
      </c>
    </row>
    <row r="127">
      <c r="A127" t="n">
        <v>1.8884884410707199E-2</v>
      </c>
      <c r="B127" t="n">
        <v>2.1198789662036002E-2</v>
      </c>
      <c r="C127" t="n">
        <v>1.7060457300781501E-2</v>
      </c>
      <c r="D127" t="n">
        <v>1.0326833438175601E-2</v>
      </c>
      <c r="E127" t="s">
        <v>1466</v>
      </c>
      <c r="F127" t="s">
        <v>1341</v>
      </c>
      <c r="G127" t="n">
        <v>68.48</v>
      </c>
      <c r="H127" t="n">
        <v>4.2380959364138899E-3</v>
      </c>
      <c r="I127" t="n">
        <v>67.052000000000007</v>
      </c>
      <c r="J127" t="n">
        <v>2.5717703349283898E-3</v>
      </c>
      <c r="K127" t="s">
        <v>957</v>
      </c>
      <c r="L127" t="s">
        <v>832</v>
      </c>
    </row>
    <row r="128">
      <c r="A128" t="n">
        <v>2.0085104332627801E-3</v>
      </c>
      <c r="B128" t="n">
        <v>2.5873085754739799E-2</v>
      </c>
      <c r="C128" t="n">
        <v>1.0084643678167899E-2</v>
      </c>
      <c r="D128" t="n">
        <v>1.25865662000337E-2</v>
      </c>
      <c r="E128" t="s">
        <v>1467</v>
      </c>
      <c r="F128" t="s">
        <v>1341</v>
      </c>
      <c r="G128" t="n">
        <v>68.652000000000001</v>
      </c>
      <c r="H128" t="n">
        <v>2.5116822429906999E-3</v>
      </c>
      <c r="I128" t="n">
        <v>67.262</v>
      </c>
      <c r="J128" t="n">
        <v>3.1318976316887502E-3</v>
      </c>
      <c r="K128" t="s">
        <v>958</v>
      </c>
      <c r="L128" t="s">
        <v>832</v>
      </c>
    </row>
    <row r="129">
      <c r="A129" t="n">
        <v>1.65597149400032E-3</v>
      </c>
      <c r="B129" t="n">
        <v>2.61448943379867E-2</v>
      </c>
      <c r="C129" t="n">
        <v>4.4939487008062197E-3</v>
      </c>
      <c r="D129" t="n">
        <v>2.16417401943385E-2</v>
      </c>
      <c r="E129" t="s">
        <v>1468</v>
      </c>
      <c r="F129" t="s">
        <v>1341</v>
      </c>
      <c r="G129" t="n">
        <v>68.728999999999999</v>
      </c>
      <c r="H129" t="n">
        <v>1.1215987880905901E-3</v>
      </c>
      <c r="I129" t="n">
        <v>67.623000000000005</v>
      </c>
      <c r="J129" t="n">
        <v>5.3670720466236803E-3</v>
      </c>
      <c r="K129" t="s">
        <v>959</v>
      </c>
      <c r="L129" t="s">
        <v>832</v>
      </c>
    </row>
    <row r="130">
      <c r="A130" t="n">
        <v>8.0448095256371293E-3</v>
      </c>
      <c r="B130" t="n">
        <v>2.6192779718551499E-2</v>
      </c>
      <c r="C130" t="n">
        <v>2.6210777008154801E-2</v>
      </c>
      <c r="D130" t="n">
        <v>1.77439998941584E-2</v>
      </c>
      <c r="E130" t="s">
        <v>1469</v>
      </c>
      <c r="F130" t="s">
        <v>1341</v>
      </c>
      <c r="G130" t="n">
        <v>69.174999999999997</v>
      </c>
      <c r="H130" t="n">
        <v>6.4892548996784401E-3</v>
      </c>
      <c r="I130" t="n">
        <v>67.921000000000006</v>
      </c>
      <c r="J130" t="n">
        <v>4.4067846738535801E-3</v>
      </c>
      <c r="K130" t="s">
        <v>960</v>
      </c>
      <c r="L130" t="s">
        <v>832</v>
      </c>
    </row>
    <row r="131">
      <c r="A131" t="n">
        <v>2.9998743908273201E-2</v>
      </c>
      <c r="B131" t="n">
        <v>3.8349371649444103E-2</v>
      </c>
      <c r="C131" t="n">
        <v>3.99637104830428E-2</v>
      </c>
      <c r="D131" t="n">
        <v>2.19088618142655E-2</v>
      </c>
      <c r="E131" t="s">
        <v>1470</v>
      </c>
      <c r="F131" t="s">
        <v>1341</v>
      </c>
      <c r="G131" t="n">
        <v>69.855999999999995</v>
      </c>
      <c r="H131" t="n">
        <v>9.8445970365015293E-3</v>
      </c>
      <c r="I131" t="n">
        <v>68.290000000000006</v>
      </c>
      <c r="J131" t="n">
        <v>5.4327822028532599E-3</v>
      </c>
      <c r="K131" t="s">
        <v>961</v>
      </c>
      <c r="L131" t="s">
        <v>832</v>
      </c>
    </row>
    <row r="132">
      <c r="A132" t="n">
        <v>2.0869776308943801E-2</v>
      </c>
      <c r="B132" t="n">
        <v>3.4801584391165798E-2</v>
      </c>
      <c r="C132" t="n">
        <v>3.3157579483975103E-2</v>
      </c>
      <c r="D132" t="n">
        <v>1.23573378485025E-2</v>
      </c>
      <c r="E132" t="s">
        <v>1471</v>
      </c>
      <c r="F132" t="s">
        <v>1341</v>
      </c>
      <c r="G132" t="n">
        <v>70.427999999999997</v>
      </c>
      <c r="H132" t="n">
        <v>8.1882730187814393E-3</v>
      </c>
      <c r="I132" t="n">
        <v>68.5</v>
      </c>
      <c r="J132" t="n">
        <v>3.07512080831729E-3</v>
      </c>
      <c r="K132" t="s">
        <v>962</v>
      </c>
      <c r="L132" t="s">
        <v>832</v>
      </c>
    </row>
    <row r="133">
      <c r="A133" t="n">
        <v>1.8806157080279301E-2</v>
      </c>
      <c r="B133" t="n">
        <v>7.6203068975526894E-2</v>
      </c>
      <c r="C133" t="n">
        <v>4.04120889716926E-2</v>
      </c>
      <c r="D133" t="n">
        <v>6.9083360828583497E-3</v>
      </c>
      <c r="E133" t="s">
        <v>1472</v>
      </c>
      <c r="F133" t="s">
        <v>1341</v>
      </c>
      <c r="G133" t="n">
        <v>71.129000000000005</v>
      </c>
      <c r="H133" t="n">
        <v>9.9534276140171903E-3</v>
      </c>
      <c r="I133" t="n">
        <v>68.617999999999995</v>
      </c>
      <c r="J133" t="n">
        <v>1.7226277372262E-3</v>
      </c>
      <c r="K133" t="s">
        <v>963</v>
      </c>
      <c r="L133" t="s">
        <v>832</v>
      </c>
    </row>
    <row r="134">
      <c r="A134" t="n">
        <v>3.0939531110064901E-2</v>
      </c>
      <c r="B134" t="n">
        <v>4.5343406532494003E-2</v>
      </c>
      <c r="C134" t="n">
        <v>6.4192818314913899E-2</v>
      </c>
      <c r="D134" t="n">
        <v>3.35839967225895E-2</v>
      </c>
      <c r="E134" t="s">
        <v>1473</v>
      </c>
      <c r="F134" t="s">
        <v>1341</v>
      </c>
      <c r="G134" t="n">
        <v>72.244</v>
      </c>
      <c r="H134" t="n">
        <v>1.5675744070632099E-2</v>
      </c>
      <c r="I134" t="n">
        <v>69.186999999999998</v>
      </c>
      <c r="J134" t="n">
        <v>8.2922848232243104E-3</v>
      </c>
      <c r="K134" t="s">
        <v>964</v>
      </c>
      <c r="L134" t="s">
        <v>832</v>
      </c>
    </row>
    <row r="135">
      <c r="A135" t="n">
        <v>4.0077661469082298E-3</v>
      </c>
      <c r="B135" t="n">
        <v>2.8726975579467701E-2</v>
      </c>
      <c r="C135" t="n">
        <v>2.60483280529056E-3</v>
      </c>
      <c r="D135" t="n">
        <v>4.1691340309692997E-3</v>
      </c>
      <c r="E135" t="s">
        <v>1474</v>
      </c>
      <c r="F135" t="s">
        <v>1341</v>
      </c>
      <c r="G135" t="n">
        <v>72.290999999999997</v>
      </c>
      <c r="H135" t="n">
        <v>6.5057305797022703E-4</v>
      </c>
      <c r="I135" t="n">
        <v>69.259</v>
      </c>
      <c r="J135" t="n">
        <v>1.0406579270672001E-3</v>
      </c>
      <c r="K135" t="s">
        <v>965</v>
      </c>
      <c r="L135" t="s">
        <v>832</v>
      </c>
    </row>
    <row r="136">
      <c r="A136" t="n">
        <v>2.6637470683258401E-2</v>
      </c>
      <c r="B136" t="n">
        <v>3.6701160751028999E-2</v>
      </c>
      <c r="C136" t="n">
        <v>3.2537484109284899E-2</v>
      </c>
      <c r="D136" t="n">
        <v>5.0920666130191998E-3</v>
      </c>
      <c r="E136" t="s">
        <v>1475</v>
      </c>
      <c r="F136" t="s">
        <v>1341</v>
      </c>
      <c r="G136" t="n">
        <v>72.872</v>
      </c>
      <c r="H136" t="n">
        <v>8.0369617241426994E-3</v>
      </c>
      <c r="I136" t="n">
        <v>69.346999999999994</v>
      </c>
      <c r="J136" t="n">
        <v>1.2705929915244299E-3</v>
      </c>
      <c r="K136" t="s">
        <v>966</v>
      </c>
      <c r="L136" t="s">
        <v>832</v>
      </c>
    </row>
    <row r="137">
      <c r="A137" t="n">
        <v>1.9809591582912799E-2</v>
      </c>
      <c r="B137" t="n">
        <v>3.0297839189273201E-2</v>
      </c>
      <c r="C137" t="n">
        <v>3.6723057880070603E-2</v>
      </c>
      <c r="D137" t="n">
        <v>1.11208187291489E-2</v>
      </c>
      <c r="E137" t="s">
        <v>1476</v>
      </c>
      <c r="F137" t="s">
        <v>1341</v>
      </c>
      <c r="G137" t="n">
        <v>73.531999999999996</v>
      </c>
      <c r="H137" t="n">
        <v>9.0569766165331505E-3</v>
      </c>
      <c r="I137" t="n">
        <v>69.539000000000001</v>
      </c>
      <c r="J137" t="n">
        <v>2.7686850188184402E-3</v>
      </c>
      <c r="K137" t="s">
        <v>967</v>
      </c>
      <c r="L137" t="s">
        <v>832</v>
      </c>
    </row>
    <row r="138">
      <c r="A138" t="n">
        <v>3.1204615634115699E-2</v>
      </c>
      <c r="B138" t="n">
        <v>3.4471201135703997E-2</v>
      </c>
      <c r="C138" t="n">
        <v>5.7672124037001303E-2</v>
      </c>
      <c r="D138" t="n">
        <v>2.6313046913832801E-2</v>
      </c>
      <c r="E138" t="s">
        <v>1477</v>
      </c>
      <c r="F138" t="s">
        <v>1341</v>
      </c>
      <c r="G138" t="n">
        <v>74.569999999999993</v>
      </c>
      <c r="H138" t="n">
        <v>1.41163031061307E-2</v>
      </c>
      <c r="I138" t="n">
        <v>69.992000000000004</v>
      </c>
      <c r="J138" t="n">
        <v>6.5143300881520504E-3</v>
      </c>
      <c r="K138" t="s">
        <v>968</v>
      </c>
      <c r="L138" t="s">
        <v>832</v>
      </c>
    </row>
    <row r="139">
      <c r="A139" t="n">
        <v>2.7200294389546201E-2</v>
      </c>
      <c r="B139" t="n">
        <v>3.5181669062461299E-2</v>
      </c>
      <c r="C139" t="n">
        <v>5.42271951092188E-2</v>
      </c>
      <c r="D139" t="n">
        <v>7.5544557477534205E-2</v>
      </c>
      <c r="E139" t="s">
        <v>1478</v>
      </c>
      <c r="F139" t="s">
        <v>1341</v>
      </c>
      <c r="G139" t="n">
        <v>75.561000000000007</v>
      </c>
      <c r="H139" t="n">
        <v>1.3289526619284101E-2</v>
      </c>
      <c r="I139" t="n">
        <v>71.278000000000006</v>
      </c>
      <c r="J139" t="n">
        <v>1.8373528403245999E-2</v>
      </c>
      <c r="K139" t="s">
        <v>969</v>
      </c>
      <c r="L139" t="s">
        <v>832</v>
      </c>
    </row>
    <row r="140">
      <c r="A140" t="n">
        <v>1.9813936050087699E-2</v>
      </c>
      <c r="B140" t="n">
        <v>3.71188179062025E-2</v>
      </c>
      <c r="C140" t="n">
        <v>5.5705667373545202E-2</v>
      </c>
      <c r="D140" t="n">
        <v>0.112118604043563</v>
      </c>
      <c r="E140" t="s">
        <v>1479</v>
      </c>
      <c r="F140" t="s">
        <v>1341</v>
      </c>
      <c r="G140" t="n">
        <v>76.591999999999999</v>
      </c>
      <c r="H140" t="n">
        <v>1.3644605021108799E-2</v>
      </c>
      <c r="I140" t="n">
        <v>73.197000000000003</v>
      </c>
      <c r="J140" t="n">
        <v>2.6922753163668899E-2</v>
      </c>
      <c r="K140" t="s">
        <v>970</v>
      </c>
      <c r="L140" t="s">
        <v>832</v>
      </c>
    </row>
    <row r="141">
      <c r="A141" t="n">
        <v>3.4620969363609901E-2</v>
      </c>
      <c r="B141" t="n">
        <v>3.9499400752586601E-2</v>
      </c>
      <c r="C141" t="n">
        <v>6.4048552869122796E-2</v>
      </c>
      <c r="D141" t="n">
        <v>9.9586266592777403E-2</v>
      </c>
      <c r="E141" t="s">
        <v>1480</v>
      </c>
      <c r="F141" t="s">
        <v>1341</v>
      </c>
      <c r="G141" t="n">
        <v>77.790000000000006</v>
      </c>
      <c r="H141" t="n">
        <v>1.5641320242323099E-2</v>
      </c>
      <c r="I141" t="n">
        <v>74.954999999999998</v>
      </c>
      <c r="J141" t="n">
        <v>2.4017377761383699E-2</v>
      </c>
      <c r="K141" t="s">
        <v>971</v>
      </c>
      <c r="L141" t="s">
        <v>832</v>
      </c>
    </row>
    <row r="142">
      <c r="A142" t="n">
        <v>2.34535899973984E-2</v>
      </c>
      <c r="B142" t="n">
        <v>5.3706890981395999E-2</v>
      </c>
      <c r="C142" t="n">
        <v>3.69057460702173E-2</v>
      </c>
      <c r="D142" t="n">
        <v>3.4210597371460802E-2</v>
      </c>
      <c r="E142" t="s">
        <v>1481</v>
      </c>
      <c r="F142" t="s">
        <v>1341</v>
      </c>
      <c r="G142" t="n">
        <v>78.498000000000005</v>
      </c>
      <c r="H142" t="n">
        <v>9.1014269186271406E-3</v>
      </c>
      <c r="I142" t="n">
        <v>75.587999999999994</v>
      </c>
      <c r="J142" t="n">
        <v>8.4450670402240694E-3</v>
      </c>
      <c r="K142" t="s">
        <v>972</v>
      </c>
      <c r="L142" t="s">
        <v>832</v>
      </c>
    </row>
    <row r="143">
      <c r="A143" t="n">
        <v>2.5499802950129401E-2</v>
      </c>
      <c r="B143" t="n">
        <v>3.6566859174503898E-2</v>
      </c>
      <c r="C143" t="n">
        <v>4.6392177019789503E-2</v>
      </c>
      <c r="D143" t="n">
        <v>7.7400259900339399E-2</v>
      </c>
      <c r="E143" t="s">
        <v>1482</v>
      </c>
      <c r="F143" t="s">
        <v>1341</v>
      </c>
      <c r="G143" t="n">
        <v>79.393000000000001</v>
      </c>
      <c r="H143" t="n">
        <v>1.14015643710668E-2</v>
      </c>
      <c r="I143" t="n">
        <v>77.010000000000005</v>
      </c>
      <c r="J143" t="n">
        <v>1.8812509922210102E-2</v>
      </c>
      <c r="K143" t="s">
        <v>973</v>
      </c>
      <c r="L143" t="s">
        <v>832</v>
      </c>
    </row>
    <row r="144">
      <c r="A144" t="n">
        <v>4.3914132970667798E-2</v>
      </c>
      <c r="B144" t="n">
        <v>4.2425430776049898E-2</v>
      </c>
      <c r="C144" t="n">
        <v>5.93159029125543E-2</v>
      </c>
      <c r="D144" t="n">
        <v>9.2099438138909306E-2</v>
      </c>
      <c r="E144" t="s">
        <v>1483</v>
      </c>
      <c r="F144" t="s">
        <v>1341</v>
      </c>
      <c r="G144" t="n">
        <v>80.545000000000002</v>
      </c>
      <c r="H144" t="n">
        <v>1.45100953484565E-2</v>
      </c>
      <c r="I144" t="n">
        <v>78.724999999999994</v>
      </c>
      <c r="J144" t="n">
        <v>2.2269835086352399E-2</v>
      </c>
      <c r="K144" t="s">
        <v>974</v>
      </c>
      <c r="L144" t="s">
        <v>832</v>
      </c>
    </row>
    <row r="145">
      <c r="A145" t="n">
        <v>3.2225013743436802E-2</v>
      </c>
      <c r="B145" t="n">
        <v>2.9052051363888599E-2</v>
      </c>
      <c r="C145" t="n">
        <v>6.9322056053448003E-2</v>
      </c>
      <c r="D145" t="n">
        <v>5.6967190258747399E-2</v>
      </c>
      <c r="E145" t="s">
        <v>1484</v>
      </c>
      <c r="F145" t="s">
        <v>1341</v>
      </c>
      <c r="G145" t="n">
        <v>81.906000000000006</v>
      </c>
      <c r="H145" t="n">
        <v>1.68973865541002E-2</v>
      </c>
      <c r="I145" t="n">
        <v>79.822999999999993</v>
      </c>
      <c r="J145" t="n">
        <v>1.39472848523341E-2</v>
      </c>
      <c r="K145" t="s">
        <v>975</v>
      </c>
      <c r="L145" t="s">
        <v>832</v>
      </c>
    </row>
    <row r="146">
      <c r="A146" t="n">
        <v>2.0935342800184199E-2</v>
      </c>
      <c r="B146" t="n">
        <v>3.4093201961780999E-2</v>
      </c>
      <c r="C146" t="n">
        <v>2.9725271896635399E-2</v>
      </c>
      <c r="D146" t="n">
        <v>2.50876168066392E-2</v>
      </c>
      <c r="E146" t="s">
        <v>1485</v>
      </c>
      <c r="F146" t="s">
        <v>1341</v>
      </c>
      <c r="G146" t="n">
        <v>82.507999999999996</v>
      </c>
      <c r="H146" t="n">
        <v>7.3498888970282604E-3</v>
      </c>
      <c r="I146" t="n">
        <v>80.319000000000003</v>
      </c>
      <c r="J146" t="n">
        <v>6.2137479172670301E-3</v>
      </c>
      <c r="K146" t="s">
        <v>976</v>
      </c>
      <c r="L146" t="s">
        <v>832</v>
      </c>
    </row>
    <row r="147">
      <c r="A147" t="n">
        <v>3.5555363218846101E-2</v>
      </c>
      <c r="B147" t="n">
        <v>2.8135458399094499E-2</v>
      </c>
      <c r="C147" t="n">
        <v>5.61203132204302E-2</v>
      </c>
      <c r="D147" t="n">
        <v>9.1105361450751501E-2</v>
      </c>
      <c r="E147" t="s">
        <v>1486</v>
      </c>
      <c r="F147" t="s">
        <v>1341</v>
      </c>
      <c r="G147" t="n">
        <v>83.641999999999996</v>
      </c>
      <c r="H147" t="n">
        <v>1.37441217821301E-2</v>
      </c>
      <c r="I147" t="n">
        <v>82.088999999999999</v>
      </c>
      <c r="J147" t="n">
        <v>2.20371269562618E-2</v>
      </c>
      <c r="K147" t="s">
        <v>977</v>
      </c>
      <c r="L147" t="s">
        <v>832</v>
      </c>
    </row>
    <row r="148">
      <c r="A148" t="n">
        <v>2.9090990484891902E-2</v>
      </c>
      <c r="B148" t="n">
        <v>2.9966625510563099E-2</v>
      </c>
      <c r="C148" t="n">
        <v>3.6843754178801799E-2</v>
      </c>
      <c r="D148" t="n">
        <v>5.6869734933791702E-2</v>
      </c>
      <c r="E148" t="s">
        <v>1487</v>
      </c>
      <c r="F148" t="s">
        <v>1341</v>
      </c>
      <c r="G148" t="n">
        <v>84.402000000000001</v>
      </c>
      <c r="H148" t="n">
        <v>9.0863441811530592E-3</v>
      </c>
      <c r="I148" t="n">
        <v>83.231999999999999</v>
      </c>
      <c r="J148" t="n">
        <v>1.39239118517707E-2</v>
      </c>
      <c r="K148" t="s">
        <v>978</v>
      </c>
      <c r="L148" t="s">
        <v>832</v>
      </c>
    </row>
    <row r="149">
      <c r="A149" t="n">
        <v>-6.5707467210734897E-3</v>
      </c>
      <c r="B149" t="n">
        <v>2.09838687014814E-2</v>
      </c>
      <c r="C149" t="n">
        <v>3.0338463665483501E-2</v>
      </c>
      <c r="D149" t="n">
        <v>9.7213617262259494E-2</v>
      </c>
      <c r="E149" t="s">
        <v>1488</v>
      </c>
      <c r="F149" t="s">
        <v>1341</v>
      </c>
      <c r="G149" t="n">
        <v>85.034999999999997</v>
      </c>
      <c r="H149" t="n">
        <v>7.4998222790929603E-3</v>
      </c>
      <c r="I149" t="n">
        <v>85.185000000000002</v>
      </c>
      <c r="J149" t="n">
        <v>2.34645328719723E-2</v>
      </c>
      <c r="K149" t="s">
        <v>979</v>
      </c>
      <c r="L149" t="s">
        <v>832</v>
      </c>
    </row>
    <row r="150">
      <c r="A150" t="n">
        <v>3.7059917165470399E-2</v>
      </c>
      <c r="B150" t="n">
        <v>3.4651107406359301E-2</v>
      </c>
      <c r="C150" t="n">
        <v>7.2299496950969405E-2</v>
      </c>
      <c r="D150" t="n">
        <v>0.104792955269219</v>
      </c>
      <c r="E150" t="s">
        <v>1489</v>
      </c>
      <c r="F150" t="s">
        <v>1341</v>
      </c>
      <c r="G150" t="n">
        <v>86.531999999999996</v>
      </c>
      <c r="H150" t="n">
        <v>1.7604515787616799E-2</v>
      </c>
      <c r="I150" t="n">
        <v>87.334000000000003</v>
      </c>
      <c r="J150" t="n">
        <v>2.5227446146622E-2</v>
      </c>
      <c r="K150" t="s">
        <v>980</v>
      </c>
      <c r="L150" t="s">
        <v>832</v>
      </c>
    </row>
    <row r="151">
      <c r="A151" t="n">
        <v>3.4406916686266602E-2</v>
      </c>
      <c r="B151" t="n">
        <v>3.2361806516408201E-2</v>
      </c>
      <c r="C151" t="n">
        <v>4.4022069506022297E-2</v>
      </c>
      <c r="D151" t="n">
        <v>4.2476788274359099E-2</v>
      </c>
      <c r="E151" t="s">
        <v>1490</v>
      </c>
      <c r="F151" t="s">
        <v>1341</v>
      </c>
      <c r="G151" t="n">
        <v>87.468999999999994</v>
      </c>
      <c r="H151" t="n">
        <v>1.0828364073406401E-2</v>
      </c>
      <c r="I151" t="n">
        <v>88.247</v>
      </c>
      <c r="J151" t="n">
        <v>1.0454118670849799E-2</v>
      </c>
      <c r="K151" t="s">
        <v>981</v>
      </c>
      <c r="L151" t="s">
        <v>832</v>
      </c>
    </row>
    <row r="152">
      <c r="A152" t="n">
        <v>2.2795387185985401E-2</v>
      </c>
      <c r="B152" t="n">
        <v>2.78463672712683E-2</v>
      </c>
      <c r="C152" t="n">
        <v>4.5480126137950501E-2</v>
      </c>
      <c r="D152" t="n">
        <v>3.9088464000031499E-2</v>
      </c>
      <c r="E152" t="s">
        <v>1491</v>
      </c>
      <c r="F152" t="s">
        <v>1341</v>
      </c>
      <c r="G152" t="n">
        <v>88.447000000000003</v>
      </c>
      <c r="H152" t="n">
        <v>1.11811041626177E-2</v>
      </c>
      <c r="I152" t="n">
        <v>89.096999999999994</v>
      </c>
      <c r="J152" t="n">
        <v>9.6320554806394992E-3</v>
      </c>
      <c r="K152" t="s">
        <v>982</v>
      </c>
      <c r="L152" t="s">
        <v>832</v>
      </c>
    </row>
    <row r="153">
      <c r="A153" t="n">
        <v>4.1308326629664098E-2</v>
      </c>
      <c r="B153" t="n">
        <v>3.2459146974833902E-2</v>
      </c>
      <c r="C153" t="n">
        <v>6.2039731527971001E-2</v>
      </c>
      <c r="D153" t="n">
        <v>4.7886506250196997E-2</v>
      </c>
      <c r="E153" t="s">
        <v>1492</v>
      </c>
      <c r="F153" t="s">
        <v>1341</v>
      </c>
      <c r="G153" t="n">
        <v>89.787999999999997</v>
      </c>
      <c r="H153" t="n">
        <v>1.51616222144335E-2</v>
      </c>
      <c r="I153" t="n">
        <v>90.144999999999996</v>
      </c>
      <c r="J153" t="n">
        <v>1.1762461137861099E-2</v>
      </c>
      <c r="K153" t="s">
        <v>983</v>
      </c>
      <c r="L153" t="s">
        <v>832</v>
      </c>
    </row>
    <row r="154">
      <c r="A154" t="n">
        <v>3.2954987594988598E-2</v>
      </c>
      <c r="B154" t="n">
        <v>3.4144429632388298E-2</v>
      </c>
      <c r="C154" t="n">
        <v>7.23147883586404E-2</v>
      </c>
      <c r="D154" t="n">
        <v>3.8436409888859401E-2</v>
      </c>
      <c r="E154" t="s">
        <v>1493</v>
      </c>
      <c r="F154" t="s">
        <v>1341</v>
      </c>
      <c r="G154" t="n">
        <v>91.369</v>
      </c>
      <c r="H154" t="n">
        <v>1.7608143627210901E-2</v>
      </c>
      <c r="I154" t="n">
        <v>90.998999999999995</v>
      </c>
      <c r="J154" t="n">
        <v>9.4736258250596207E-3</v>
      </c>
      <c r="K154" t="s">
        <v>984</v>
      </c>
      <c r="L154" t="s">
        <v>832</v>
      </c>
    </row>
    <row r="155">
      <c r="A155" t="n">
        <v>3.9493950261418401E-2</v>
      </c>
      <c r="B155" t="n">
        <v>4.1602053152730099E-2</v>
      </c>
      <c r="C155" t="n">
        <v>6.3263019462217004E-2</v>
      </c>
      <c r="D155" t="n">
        <v>3.1126430511134499E-2</v>
      </c>
      <c r="E155" t="s">
        <v>1494</v>
      </c>
      <c r="F155" t="s">
        <v>1341</v>
      </c>
      <c r="G155" t="n">
        <v>92.781000000000006</v>
      </c>
      <c r="H155" t="n">
        <v>1.5453819129026301E-2</v>
      </c>
      <c r="I155" t="n">
        <v>91.698999999999998</v>
      </c>
      <c r="J155" t="n">
        <v>7.6923922240903497E-3</v>
      </c>
      <c r="K155" t="s">
        <v>985</v>
      </c>
      <c r="L155" t="s">
        <v>832</v>
      </c>
    </row>
    <row r="156">
      <c r="A156" t="n">
        <v>4.3386852489040402E-2</v>
      </c>
      <c r="B156" t="n">
        <v>3.03408157550791E-2</v>
      </c>
      <c r="C156" t="n">
        <v>5.52136316684275E-2</v>
      </c>
      <c r="D156" t="n">
        <v>5.2701497522020399E-2</v>
      </c>
      <c r="E156" t="s">
        <v>1495</v>
      </c>
      <c r="F156" t="s">
        <v>1341</v>
      </c>
      <c r="G156" t="n">
        <v>94.036000000000001</v>
      </c>
      <c r="H156" t="n">
        <v>1.35264763259719E-2</v>
      </c>
      <c r="I156" t="n">
        <v>92.884</v>
      </c>
      <c r="J156" t="n">
        <v>1.29227145334192E-2</v>
      </c>
      <c r="K156" t="s">
        <v>986</v>
      </c>
      <c r="L156" t="s">
        <v>832</v>
      </c>
    </row>
    <row r="157">
      <c r="A157" t="n">
        <v>-6.2360196436278902E-2</v>
      </c>
      <c r="B157" t="n">
        <v>-1.8917326805224201E-2</v>
      </c>
      <c r="C157" t="n">
        <v>-7.4155067193705196E-2</v>
      </c>
      <c r="D157" t="n">
        <v>7.5335045349203197E-2</v>
      </c>
      <c r="E157" t="s">
        <v>1496</v>
      </c>
      <c r="F157" t="s">
        <v>1341</v>
      </c>
      <c r="G157" t="n">
        <v>92.242000000000004</v>
      </c>
      <c r="H157" t="n">
        <v>-1.9077799991492599E-2</v>
      </c>
      <c r="I157" t="n">
        <v>94.585999999999999</v>
      </c>
      <c r="J157" t="n">
        <v>1.8323930924594199E-2</v>
      </c>
      <c r="K157" t="s">
        <v>987</v>
      </c>
      <c r="L157" t="s">
        <v>832</v>
      </c>
    </row>
    <row r="158">
      <c r="A158" t="n">
        <v>-2.6731212813050201E-2</v>
      </c>
      <c r="B158" t="n">
        <v>-3.3135327897025703E-2</v>
      </c>
      <c r="C158" t="n">
        <v>-6.8462037949067106E-2</v>
      </c>
      <c r="D158" t="n">
        <v>2.5185264843212301E-2</v>
      </c>
      <c r="E158" t="s">
        <v>1497</v>
      </c>
      <c r="F158" t="s">
        <v>1341</v>
      </c>
      <c r="G158" t="n">
        <v>90.620999999999995</v>
      </c>
      <c r="H158" t="n">
        <v>-1.7573339693415201E-2</v>
      </c>
      <c r="I158" t="n">
        <v>95.176000000000002</v>
      </c>
      <c r="J158" t="n">
        <v>6.2377095976149403E-3</v>
      </c>
      <c r="K158" t="s">
        <v>988</v>
      </c>
      <c r="L158" t="s">
        <v>832</v>
      </c>
    </row>
    <row r="159">
      <c r="A159" t="n">
        <v>1.6004255010514602E-2</v>
      </c>
      <c r="B159" t="n">
        <v>7.2471101838833497E-4</v>
      </c>
      <c r="C159" t="n">
        <v>1.9832196265286098E-2</v>
      </c>
      <c r="D159" t="n">
        <v>-3.4674689642026801E-2</v>
      </c>
      <c r="E159" t="s">
        <v>1498</v>
      </c>
      <c r="F159" t="s">
        <v>1341</v>
      </c>
      <c r="G159" t="n">
        <v>91.066999999999993</v>
      </c>
      <c r="H159" t="n">
        <v>4.9215965394333603E-3</v>
      </c>
      <c r="I159" t="n">
        <v>94.34</v>
      </c>
      <c r="J159" t="n">
        <v>-8.7837269899974108E-3</v>
      </c>
      <c r="K159" t="s">
        <v>989</v>
      </c>
      <c r="L159" t="s">
        <v>832</v>
      </c>
    </row>
    <row r="160">
      <c r="A160" t="n">
        <v>2.78350080421834E-2</v>
      </c>
      <c r="B160" t="n">
        <v>1.22854862155337E-2</v>
      </c>
      <c r="C160" t="n">
        <v>3.47933032481611E-2</v>
      </c>
      <c r="D160" t="n">
        <v>-3.55556982427905E-2</v>
      </c>
      <c r="E160" t="s">
        <v>1499</v>
      </c>
      <c r="F160" t="s">
        <v>1341</v>
      </c>
      <c r="G160" t="n">
        <v>91.849000000000004</v>
      </c>
      <c r="H160" t="n">
        <v>8.5870842346844594E-3</v>
      </c>
      <c r="I160" t="n">
        <v>93.49</v>
      </c>
      <c r="J160" t="n">
        <v>-9.0099639601441996E-3</v>
      </c>
      <c r="K160" t="s">
        <v>990</v>
      </c>
      <c r="L160" t="s">
        <v>832</v>
      </c>
    </row>
    <row r="161">
      <c r="A161" t="n">
        <v>3.1240948480233E-2</v>
      </c>
      <c r="B161" t="n">
        <v>3.11127095791379E-2</v>
      </c>
      <c r="C161" t="n">
        <v>3.76238534925952E-2</v>
      </c>
      <c r="D161" t="n">
        <v>-3.0769865450653898E-3</v>
      </c>
      <c r="E161" t="s">
        <v>1500</v>
      </c>
      <c r="F161" t="s">
        <v>1341</v>
      </c>
      <c r="G161" t="n">
        <v>92.700999999999993</v>
      </c>
      <c r="H161" t="n">
        <v>9.2760944593843798E-3</v>
      </c>
      <c r="I161" t="n">
        <v>93.418000000000006</v>
      </c>
      <c r="J161" t="n">
        <v>-7.7013584340557305E-4</v>
      </c>
      <c r="K161" t="s">
        <v>991</v>
      </c>
      <c r="L161" t="s">
        <v>832</v>
      </c>
    </row>
    <row r="162">
      <c r="A162" t="n">
        <v>1.5538458112328299E-2</v>
      </c>
      <c r="B162" t="n">
        <v>2.5706833981413501E-2</v>
      </c>
      <c r="C162" t="n">
        <v>4.6975487060338501E-2</v>
      </c>
      <c r="D162" t="n">
        <v>1.13952226394907E-2</v>
      </c>
      <c r="E162" t="s">
        <v>1501</v>
      </c>
      <c r="F162" t="s">
        <v>1341</v>
      </c>
      <c r="G162" t="n">
        <v>93.771000000000001</v>
      </c>
      <c r="H162" t="n">
        <v>1.15424860573241E-2</v>
      </c>
      <c r="I162" t="n">
        <v>93.683000000000007</v>
      </c>
      <c r="J162" t="n">
        <v>2.8367124108843499E-3</v>
      </c>
      <c r="K162" t="s">
        <v>992</v>
      </c>
      <c r="L162" t="s">
        <v>832</v>
      </c>
    </row>
    <row r="163">
      <c r="A163" t="n">
        <v>6.2204942357442202E-3</v>
      </c>
      <c r="B163" t="n">
        <v>3.1017939025557401E-2</v>
      </c>
      <c r="C163" t="n">
        <v>2.9062361366274402E-2</v>
      </c>
      <c r="D163" t="n">
        <v>1.7491325837778699E-2</v>
      </c>
      <c r="E163" t="s">
        <v>1502</v>
      </c>
      <c r="F163" t="s">
        <v>1341</v>
      </c>
      <c r="G163" t="n">
        <v>94.444999999999993</v>
      </c>
      <c r="H163" t="n">
        <v>7.18772328331774E-3</v>
      </c>
      <c r="I163" t="n">
        <v>94.09</v>
      </c>
      <c r="J163" t="n">
        <v>4.3444381584705196E-3</v>
      </c>
      <c r="K163" t="s">
        <v>993</v>
      </c>
      <c r="L163" t="s">
        <v>832</v>
      </c>
    </row>
    <row r="164">
      <c r="A164" t="n">
        <v>7.72594376628044E-3</v>
      </c>
      <c r="B164" t="n">
        <v>1.59750935835106E-2</v>
      </c>
      <c r="C164" t="n">
        <v>2.3067349052007899E-2</v>
      </c>
      <c r="D164" t="n">
        <v>1.2643202128826501E-2</v>
      </c>
      <c r="E164" t="s">
        <v>1503</v>
      </c>
      <c r="F164" t="s">
        <v>1341</v>
      </c>
      <c r="G164" t="n">
        <v>94.984999999999999</v>
      </c>
      <c r="H164" t="n">
        <v>5.7176134258034601E-3</v>
      </c>
      <c r="I164" t="n">
        <v>94.385999999999996</v>
      </c>
      <c r="J164" t="n">
        <v>3.1459241152087501E-3</v>
      </c>
      <c r="K164" t="s">
        <v>994</v>
      </c>
      <c r="L164" t="s">
        <v>832</v>
      </c>
    </row>
    <row r="165">
      <c r="A165" t="n">
        <v>2.5862689650447499E-2</v>
      </c>
      <c r="B165" t="n">
        <v>3.29452826155043E-2</v>
      </c>
      <c r="C165" t="n">
        <v>3.7879756208726099E-2</v>
      </c>
      <c r="D165" t="n">
        <v>1.8090208281751299E-2</v>
      </c>
      <c r="E165" t="s">
        <v>1504</v>
      </c>
      <c r="F165" t="s">
        <v>1341</v>
      </c>
      <c r="G165" t="n">
        <v>95.872</v>
      </c>
      <c r="H165" t="n">
        <v>9.3383165763014607E-3</v>
      </c>
      <c r="I165" t="n">
        <v>94.81</v>
      </c>
      <c r="J165" t="n">
        <v>4.4921916385904899E-3</v>
      </c>
      <c r="K165" t="s">
        <v>995</v>
      </c>
      <c r="L165" t="s">
        <v>832</v>
      </c>
    </row>
    <row r="166">
      <c r="A166" t="n">
        <v>3.4016266815046298E-2</v>
      </c>
      <c r="B166" t="n">
        <v>3.64259738306612E-2</v>
      </c>
      <c r="C166" t="n">
        <v>4.5137017344844002E-2</v>
      </c>
      <c r="D166" t="n">
        <v>2.4394704867924499E-2</v>
      </c>
      <c r="E166" t="s">
        <v>1505</v>
      </c>
      <c r="F166" t="s">
        <v>1341</v>
      </c>
      <c r="G166" t="n">
        <v>96.936000000000007</v>
      </c>
      <c r="H166" t="n">
        <v>1.10981308411215E-2</v>
      </c>
      <c r="I166" t="n">
        <v>95.382999999999996</v>
      </c>
      <c r="J166" t="n">
        <v>6.0436662799281402E-3</v>
      </c>
      <c r="K166" t="s">
        <v>996</v>
      </c>
      <c r="L166" t="s">
        <v>832</v>
      </c>
    </row>
    <row r="167">
      <c r="A167" t="n">
        <v>3.9906323464895102E-2</v>
      </c>
      <c r="B167" t="n">
        <v>3.6682670107609103E-2</v>
      </c>
      <c r="C167" t="n">
        <v>5.0829697512543702E-2</v>
      </c>
      <c r="D167" t="n">
        <v>4.1043493786856698E-2</v>
      </c>
      <c r="E167" t="s">
        <v>1506</v>
      </c>
      <c r="F167" t="s">
        <v>1341</v>
      </c>
      <c r="G167" t="n">
        <v>98.144999999999996</v>
      </c>
      <c r="H167" t="n">
        <v>1.24721465709332E-2</v>
      </c>
      <c r="I167" t="n">
        <v>96.346999999999994</v>
      </c>
      <c r="J167" t="n">
        <v>1.01066227734501E-2</v>
      </c>
      <c r="K167" t="s">
        <v>997</v>
      </c>
      <c r="L167" t="s">
        <v>832</v>
      </c>
    </row>
    <row r="168">
      <c r="A168" t="n">
        <v>1.8640626124373699E-2</v>
      </c>
      <c r="B168" t="n">
        <v>1.39908352832361E-2</v>
      </c>
      <c r="C168" t="n">
        <v>1.5247657751557699E-2</v>
      </c>
      <c r="D168" t="n">
        <v>4.5983903903995101E-2</v>
      </c>
      <c r="E168" t="s">
        <v>1507</v>
      </c>
      <c r="F168" t="s">
        <v>1341</v>
      </c>
      <c r="G168" t="n">
        <v>98.516999999999996</v>
      </c>
      <c r="H168" t="n">
        <v>3.7903102552345699E-3</v>
      </c>
      <c r="I168" t="n">
        <v>97.436000000000007</v>
      </c>
      <c r="J168" t="n">
        <v>1.13028947450362E-2</v>
      </c>
      <c r="K168" t="s">
        <v>998</v>
      </c>
      <c r="L168" t="s">
        <v>832</v>
      </c>
    </row>
    <row r="169">
      <c r="A169" t="n">
        <v>1.32561299755005E-2</v>
      </c>
      <c r="B169" t="n">
        <v>-5.33618345022691E-3</v>
      </c>
      <c r="C169" t="n">
        <v>-1.40950235359611E-2</v>
      </c>
      <c r="D169" t="n">
        <v>3.8137779822804398E-2</v>
      </c>
      <c r="E169" t="s">
        <v>1508</v>
      </c>
      <c r="F169" t="s">
        <v>1341</v>
      </c>
      <c r="G169" t="n">
        <v>98.168000000000006</v>
      </c>
      <c r="H169" t="n">
        <v>-3.54253580600294E-3</v>
      </c>
      <c r="I169" t="n">
        <v>98.352000000000004</v>
      </c>
      <c r="J169" t="n">
        <v>9.4010427357444897E-3</v>
      </c>
      <c r="K169" t="s">
        <v>999</v>
      </c>
      <c r="L169" t="s">
        <v>832</v>
      </c>
    </row>
    <row r="170">
      <c r="A170" t="n">
        <v>2.6761481120787502E-2</v>
      </c>
      <c r="B170" t="n">
        <v>1.39201532997375E-2</v>
      </c>
      <c r="C170" t="n">
        <v>5.4116713606157101E-2</v>
      </c>
      <c r="D170" t="n">
        <v>3.0312571909831599E-2</v>
      </c>
      <c r="E170" t="s">
        <v>1509</v>
      </c>
      <c r="F170" t="s">
        <v>1341</v>
      </c>
      <c r="G170" t="n">
        <v>99.47</v>
      </c>
      <c r="H170" t="n">
        <v>1.32629777524242E-2</v>
      </c>
      <c r="I170" t="n">
        <v>99.088999999999999</v>
      </c>
      <c r="J170" t="n">
        <v>7.4934927606962196E-3</v>
      </c>
      <c r="K170" t="s">
        <v>1000</v>
      </c>
      <c r="L170" t="s">
        <v>832</v>
      </c>
    </row>
    <row r="171">
      <c r="A171" t="n">
        <v>9.7203652064314899E-3</v>
      </c>
      <c r="B171" t="n">
        <v>8.8550245823753003E-3</v>
      </c>
      <c r="C171" t="n">
        <v>-6.9787462524018001E-3</v>
      </c>
      <c r="D171" t="n">
        <v>3.2273930792219303E-2</v>
      </c>
      <c r="E171" t="s">
        <v>1510</v>
      </c>
      <c r="F171" t="s">
        <v>1341</v>
      </c>
      <c r="G171" t="n">
        <v>99.296000000000006</v>
      </c>
      <c r="H171" t="n">
        <v>-1.7492711370261599E-3</v>
      </c>
      <c r="I171" t="n">
        <v>99.879000000000005</v>
      </c>
      <c r="J171" t="n">
        <v>7.9726306653615797E-3</v>
      </c>
      <c r="K171" t="s">
        <v>1001</v>
      </c>
      <c r="L171" t="s">
        <v>832</v>
      </c>
    </row>
    <row r="172">
      <c r="A172" t="n">
        <v>1.1676944984941699E-2</v>
      </c>
      <c r="B172" t="n">
        <v>7.7077122555302396E-3</v>
      </c>
      <c r="C172" t="n">
        <v>2.44311343320835E-2</v>
      </c>
      <c r="D172" t="n">
        <v>2.17207841742009E-2</v>
      </c>
      <c r="E172" t="s">
        <v>1511</v>
      </c>
      <c r="F172" t="s">
        <v>1341</v>
      </c>
      <c r="G172" t="n">
        <v>99.897000000000006</v>
      </c>
      <c r="H172" t="n">
        <v>6.0526103770543998E-3</v>
      </c>
      <c r="I172" t="n">
        <v>100.417</v>
      </c>
      <c r="J172" t="n">
        <v>5.3865176864005297E-3</v>
      </c>
      <c r="K172" t="s">
        <v>1002</v>
      </c>
      <c r="L172" t="s">
        <v>832</v>
      </c>
    </row>
    <row r="173">
      <c r="A173" t="n">
        <v>2.2614716677978E-2</v>
      </c>
      <c r="B173" t="n">
        <v>4.9632662336496196E-3</v>
      </c>
      <c r="C173" t="n">
        <v>5.8918140200379103E-2</v>
      </c>
      <c r="D173" t="n">
        <v>7.9104688711333394E-3</v>
      </c>
      <c r="E173" t="s">
        <v>1512</v>
      </c>
      <c r="F173" t="s">
        <v>1341</v>
      </c>
      <c r="G173" t="n">
        <v>101.337</v>
      </c>
      <c r="H173" t="n">
        <v>1.4414847292711501E-2</v>
      </c>
      <c r="I173" t="n">
        <v>100.61499999999999</v>
      </c>
      <c r="J173" t="n">
        <v>1.9717776870449301E-3</v>
      </c>
      <c r="K173" t="s">
        <v>1003</v>
      </c>
      <c r="L173" t="s">
        <v>832</v>
      </c>
    </row>
    <row r="174">
      <c r="A174" t="n">
        <v>1.45079389824292E-2</v>
      </c>
      <c r="B174" t="n">
        <v>-1.9949826125076301E-4</v>
      </c>
      <c r="C174" t="n">
        <v>5.3376513955371498E-2</v>
      </c>
      <c r="D174" t="n">
        <v>1.6319173615011201E-2</v>
      </c>
      <c r="E174" t="s">
        <v>1513</v>
      </c>
      <c r="F174" t="s">
        <v>1341</v>
      </c>
      <c r="G174" t="n">
        <v>102.663</v>
      </c>
      <c r="H174" t="n">
        <v>1.3085052843482501E-2</v>
      </c>
      <c r="I174" t="n">
        <v>101.023</v>
      </c>
      <c r="J174" t="n">
        <v>4.05506137255873E-3</v>
      </c>
      <c r="K174" t="s">
        <v>1004</v>
      </c>
      <c r="L174" t="s">
        <v>832</v>
      </c>
    </row>
    <row r="175">
      <c r="A175" t="n">
        <v>2.8548469670495202E-3</v>
      </c>
      <c r="B175" t="n">
        <v>7.9245575399269404E-3</v>
      </c>
      <c r="C175" t="n">
        <v>2.14833879994034E-2</v>
      </c>
      <c r="D175" t="n">
        <v>2.0547855013869399E-2</v>
      </c>
      <c r="E175" t="s">
        <v>1514</v>
      </c>
      <c r="F175" t="s">
        <v>1341</v>
      </c>
      <c r="G175" t="n">
        <v>103.21</v>
      </c>
      <c r="H175" t="n">
        <v>5.3281123676494103E-3</v>
      </c>
      <c r="I175" t="n">
        <v>101.538</v>
      </c>
      <c r="J175" t="n">
        <v>5.0978490046820202E-3</v>
      </c>
      <c r="K175" t="s">
        <v>1005</v>
      </c>
      <c r="L175" t="s">
        <v>832</v>
      </c>
    </row>
    <row r="176">
      <c r="A176" t="n">
        <v>1.6326843500240801E-2</v>
      </c>
      <c r="B176" t="n">
        <v>1.3006397529373E-2</v>
      </c>
      <c r="C176" t="n">
        <v>3.4225885044726997E-2</v>
      </c>
      <c r="D176" t="n">
        <v>2.1723337040250802E-2</v>
      </c>
      <c r="E176" t="s">
        <v>1515</v>
      </c>
      <c r="F176" t="s">
        <v>1341</v>
      </c>
      <c r="G176" t="n">
        <v>104.08199999999999</v>
      </c>
      <c r="H176" t="n">
        <v>8.4487937215385108E-3</v>
      </c>
      <c r="I176" t="n">
        <v>102.08499999999999</v>
      </c>
      <c r="J176" t="n">
        <v>5.3871456991470001E-3</v>
      </c>
      <c r="K176" t="s">
        <v>1006</v>
      </c>
      <c r="L176" t="s">
        <v>832</v>
      </c>
    </row>
    <row r="177">
      <c r="A177" t="n">
        <v>1.6859105016114002E-2</v>
      </c>
      <c r="B177" t="n">
        <v>6.2259222369993199E-2</v>
      </c>
      <c r="C177" t="n">
        <v>2.1461497744286601E-2</v>
      </c>
      <c r="D177" t="n">
        <v>3.0554089712781E-2</v>
      </c>
      <c r="E177" t="s">
        <v>1516</v>
      </c>
      <c r="F177" t="s">
        <v>1341</v>
      </c>
      <c r="G177" t="n">
        <v>104.636</v>
      </c>
      <c r="H177" t="n">
        <v>5.3227263119464104E-3</v>
      </c>
      <c r="I177" t="n">
        <v>102.85599999999999</v>
      </c>
      <c r="J177" t="n">
        <v>7.55252975461618E-3</v>
      </c>
      <c r="K177" t="s">
        <v>1007</v>
      </c>
      <c r="L177" t="s">
        <v>832</v>
      </c>
    </row>
    <row r="178">
      <c r="A178" t="n">
        <v>1.93744928521071E-2</v>
      </c>
      <c r="B178" t="n">
        <v>-1.02831916231174E-2</v>
      </c>
      <c r="C178" t="n">
        <v>3.4027993671362999E-2</v>
      </c>
      <c r="D178" t="n">
        <v>2.27077607090642E-2</v>
      </c>
      <c r="E178" t="s">
        <v>1517</v>
      </c>
      <c r="F178" t="s">
        <v>1341</v>
      </c>
      <c r="G178" t="n">
        <v>105.515</v>
      </c>
      <c r="H178" t="n">
        <v>8.4005504797584098E-3</v>
      </c>
      <c r="I178" t="n">
        <v>103.435</v>
      </c>
      <c r="J178" t="n">
        <v>5.6292292136579398E-3</v>
      </c>
      <c r="K178" t="s">
        <v>1008</v>
      </c>
      <c r="L178" t="s">
        <v>832</v>
      </c>
    </row>
    <row r="179">
      <c r="A179" t="n">
        <v>2.0192934056340501E-2</v>
      </c>
      <c r="B179" t="n">
        <v>1.7798477087045E-2</v>
      </c>
      <c r="C179" t="n">
        <v>1.2683683496116101E-2</v>
      </c>
      <c r="D179" t="n">
        <v>1.8378329285591199E-2</v>
      </c>
      <c r="E179" t="s">
        <v>1518</v>
      </c>
      <c r="F179" t="s">
        <v>1341</v>
      </c>
      <c r="G179" t="n">
        <v>105.848</v>
      </c>
      <c r="H179" t="n">
        <v>3.1559493910817702E-3</v>
      </c>
      <c r="I179" t="n">
        <v>103.907</v>
      </c>
      <c r="J179" t="n">
        <v>4.5632522840430801E-3</v>
      </c>
      <c r="K179" t="s">
        <v>1009</v>
      </c>
      <c r="L179" t="s">
        <v>832</v>
      </c>
    </row>
    <row r="180">
      <c r="A180" t="n">
        <v>1.13601398604235E-2</v>
      </c>
      <c r="B180" t="n">
        <v>1.8827452214838801E-2</v>
      </c>
      <c r="C180" t="n">
        <v>2.3098181930942801E-2</v>
      </c>
      <c r="D180" t="n">
        <v>1.94654703730235E-2</v>
      </c>
      <c r="E180" t="s">
        <v>1519</v>
      </c>
      <c r="F180" t="s">
        <v>1341</v>
      </c>
      <c r="G180" t="n">
        <v>106.45399999999999</v>
      </c>
      <c r="H180" t="n">
        <v>5.7251908396946903E-3</v>
      </c>
      <c r="I180" t="n">
        <v>104.40900000000001</v>
      </c>
      <c r="J180" t="n">
        <v>4.8312433233566E-3</v>
      </c>
      <c r="K180" t="s">
        <v>1010</v>
      </c>
      <c r="L180" t="s">
        <v>832</v>
      </c>
    </row>
    <row r="181">
      <c r="A181" t="n">
        <v>-4.6048768205230201E-3</v>
      </c>
      <c r="B181" t="n">
        <v>5.3720415632923001E-3</v>
      </c>
      <c r="C181" t="n">
        <v>-3.1150724387948299E-3</v>
      </c>
      <c r="D181" t="n">
        <v>7.0678568534106E-3</v>
      </c>
      <c r="E181" t="s">
        <v>1520</v>
      </c>
      <c r="F181" t="s">
        <v>1341</v>
      </c>
      <c r="G181" t="n">
        <v>106.371</v>
      </c>
      <c r="H181" t="n">
        <v>-7.7967948597512703E-4</v>
      </c>
      <c r="I181" t="n">
        <v>104.593</v>
      </c>
      <c r="J181" t="n">
        <v>1.76230018484991E-3</v>
      </c>
      <c r="K181" t="s">
        <v>1011</v>
      </c>
      <c r="L181" t="s">
        <v>832</v>
      </c>
    </row>
    <row r="182">
      <c r="A182" t="n">
        <v>-1.65067373701384E-2</v>
      </c>
      <c r="B182" t="n">
        <v>-6.4248737444822001E-3</v>
      </c>
      <c r="C182" t="n">
        <v>-3.9305105462135198E-2</v>
      </c>
      <c r="D182" t="n">
        <v>-1.18502082280647E-3</v>
      </c>
      <c r="E182" t="s">
        <v>1521</v>
      </c>
      <c r="F182" t="s">
        <v>1341</v>
      </c>
      <c r="G182" t="n">
        <v>105.31</v>
      </c>
      <c r="H182" t="n">
        <v>-9.9745231313045392E-3</v>
      </c>
      <c r="I182" t="n">
        <v>104.562</v>
      </c>
      <c r="J182" t="n">
        <v>-2.9638694750133698E-4</v>
      </c>
      <c r="K182" t="s">
        <v>1012</v>
      </c>
      <c r="L182" t="s">
        <v>832</v>
      </c>
    </row>
    <row r="183">
      <c r="A183" t="n">
        <v>1.9548766403745001E-2</v>
      </c>
      <c r="B183" t="n">
        <v>7.87290366046434E-3</v>
      </c>
      <c r="C183" t="n">
        <v>2.82887807392058E-2</v>
      </c>
      <c r="D183" t="n">
        <v>1.76749178700988E-2</v>
      </c>
      <c r="E183" t="s">
        <v>1522</v>
      </c>
      <c r="F183" t="s">
        <v>1341</v>
      </c>
      <c r="G183" t="n">
        <v>106.047</v>
      </c>
      <c r="H183" t="n">
        <v>6.9983857183553199E-3</v>
      </c>
      <c r="I183" t="n">
        <v>105.021</v>
      </c>
      <c r="J183" t="n">
        <v>4.3897400585299904E-3</v>
      </c>
      <c r="K183" t="s">
        <v>1013</v>
      </c>
      <c r="L183" t="s">
        <v>832</v>
      </c>
    </row>
    <row r="184">
      <c r="A184" t="n">
        <v>9.6917092109320997E-3</v>
      </c>
      <c r="B184" t="n">
        <v>6.1419866574232698E-3</v>
      </c>
      <c r="C184" t="n">
        <v>2.4162101667697402E-3</v>
      </c>
      <c r="D184" t="n">
        <v>1.1398511762960899E-2</v>
      </c>
      <c r="E184" t="s">
        <v>1523</v>
      </c>
      <c r="F184" t="s">
        <v>1341</v>
      </c>
      <c r="G184" t="n">
        <v>106.111</v>
      </c>
      <c r="H184" t="n">
        <v>6.0350599262592997E-4</v>
      </c>
      <c r="I184" t="n">
        <v>105.319</v>
      </c>
      <c r="J184" t="n">
        <v>2.8375277325487498E-3</v>
      </c>
      <c r="K184" t="s">
        <v>1014</v>
      </c>
      <c r="L184" t="s">
        <v>832</v>
      </c>
    </row>
    <row r="185">
      <c r="A185" t="n">
        <v>-3.9403871252573497E-3</v>
      </c>
      <c r="B185" t="n">
        <v>-3.1716537268759999E-3</v>
      </c>
      <c r="C185" t="n">
        <v>-1.5664221695060501E-2</v>
      </c>
      <c r="D185" t="n">
        <v>-2.2010123911118101E-3</v>
      </c>
      <c r="E185" t="s">
        <v>1524</v>
      </c>
      <c r="F185" t="s">
        <v>1341</v>
      </c>
      <c r="G185" t="n">
        <v>105.693</v>
      </c>
      <c r="H185" t="n">
        <v>-3.9392711405981098E-3</v>
      </c>
      <c r="I185" t="n">
        <v>105.261</v>
      </c>
      <c r="J185" t="n">
        <v>-5.5070784948596497E-4</v>
      </c>
      <c r="K185" t="s">
        <v>1015</v>
      </c>
      <c r="L185" t="s">
        <v>832</v>
      </c>
    </row>
    <row r="186">
      <c r="A186" t="n">
        <v>2.1316685833889801E-3</v>
      </c>
      <c r="B186" t="n">
        <v>-9.9615046560082004E-3</v>
      </c>
      <c r="C186" t="n">
        <v>-3.3665208430493802E-2</v>
      </c>
      <c r="D186" t="n">
        <v>-9.6550430027560995E-3</v>
      </c>
      <c r="E186" t="s">
        <v>1525</v>
      </c>
      <c r="F186" t="s">
        <v>1341</v>
      </c>
      <c r="G186" t="n">
        <v>104.792</v>
      </c>
      <c r="H186" t="n">
        <v>-8.5246894307096106E-3</v>
      </c>
      <c r="I186" t="n">
        <v>105.006</v>
      </c>
      <c r="J186" t="n">
        <v>-2.4225496622680702E-3</v>
      </c>
      <c r="K186" t="s">
        <v>1016</v>
      </c>
      <c r="L186" t="s">
        <v>832</v>
      </c>
    </row>
    <row r="187">
      <c r="A187" t="n">
        <v>2.5357857709627601E-2</v>
      </c>
      <c r="B187" t="n">
        <v>2.1698746196001199E-2</v>
      </c>
      <c r="C187" t="n">
        <v>3.0770998377488399E-2</v>
      </c>
      <c r="D187" t="n">
        <v>3.3008554152673703E-2</v>
      </c>
      <c r="E187" t="s">
        <v>1526</v>
      </c>
      <c r="F187" t="s">
        <v>1341</v>
      </c>
      <c r="G187" t="n">
        <v>105.589</v>
      </c>
      <c r="H187" t="n">
        <v>7.6055424078174099E-3</v>
      </c>
      <c r="I187" t="n">
        <v>105.86199999999999</v>
      </c>
      <c r="J187" t="n">
        <v>8.1519151286593202E-3</v>
      </c>
      <c r="K187" t="s">
        <v>1017</v>
      </c>
      <c r="L187" t="s">
        <v>832</v>
      </c>
    </row>
    <row r="188">
      <c r="A188" t="n">
        <v>1.5085753101185199E-2</v>
      </c>
      <c r="B188" t="n">
        <v>1.5625918949128799E-2</v>
      </c>
      <c r="C188" t="n">
        <v>1.5469326265677499E-2</v>
      </c>
      <c r="D188" t="n">
        <v>3.0262315011426702E-3</v>
      </c>
      <c r="E188" t="s">
        <v>1527</v>
      </c>
      <c r="F188" t="s">
        <v>1341</v>
      </c>
      <c r="G188" t="n">
        <v>105.995</v>
      </c>
      <c r="H188" t="n">
        <v>3.8450975006867299E-3</v>
      </c>
      <c r="I188" t="n">
        <v>105.94199999999999</v>
      </c>
      <c r="J188" t="n">
        <v>7.5570081804610101E-4</v>
      </c>
      <c r="K188" t="s">
        <v>1018</v>
      </c>
      <c r="L188" t="s">
        <v>832</v>
      </c>
    </row>
    <row r="189">
      <c r="A189" t="n">
        <v>1.9065277405527499E-2</v>
      </c>
      <c r="B189" t="n">
        <v>1.9426037707255001E-2</v>
      </c>
      <c r="C189" t="n">
        <v>1.98067429774604E-2</v>
      </c>
      <c r="D189" t="n">
        <v>1.9471921944120799E-2</v>
      </c>
      <c r="E189" t="s">
        <v>1528</v>
      </c>
      <c r="F189" t="s">
        <v>1341</v>
      </c>
      <c r="G189" t="n">
        <v>106.51600000000001</v>
      </c>
      <c r="H189" t="n">
        <v>4.9153261946317502E-3</v>
      </c>
      <c r="I189" t="n">
        <v>106.45399999999999</v>
      </c>
      <c r="J189" t="n">
        <v>4.8328330595985803E-3</v>
      </c>
      <c r="K189" t="s">
        <v>1019</v>
      </c>
      <c r="L189" t="s">
        <v>832</v>
      </c>
    </row>
    <row r="190">
      <c r="A190" t="n">
        <v>2.3896314746341098E-2</v>
      </c>
      <c r="B190" t="n">
        <v>1.9409885132803301E-2</v>
      </c>
      <c r="C190" t="n">
        <v>3.9514900887574103E-2</v>
      </c>
      <c r="D190" t="n">
        <v>2.7099611156277601E-2</v>
      </c>
      <c r="E190" t="s">
        <v>1529</v>
      </c>
      <c r="F190" t="s">
        <v>1341</v>
      </c>
      <c r="G190" t="n">
        <v>107.53400000000001</v>
      </c>
      <c r="H190" t="n">
        <v>9.5572496150813108E-3</v>
      </c>
      <c r="I190" t="n">
        <v>107.188</v>
      </c>
      <c r="J190" t="n">
        <v>6.8949969000695601E-3</v>
      </c>
      <c r="K190" t="s">
        <v>1020</v>
      </c>
      <c r="L190" t="s">
        <v>832</v>
      </c>
    </row>
    <row r="191">
      <c r="A191" t="n">
        <v>9.9328007831764892E-3</v>
      </c>
      <c r="B191" t="n">
        <v>1.3103273651826199E-2</v>
      </c>
      <c r="C191" t="n">
        <v>9.0306358829268501E-3</v>
      </c>
      <c r="D191" t="n">
        <v>2.1521193573355E-2</v>
      </c>
      <c r="E191" t="s">
        <v>1530</v>
      </c>
      <c r="F191" t="s">
        <v>1341</v>
      </c>
      <c r="G191" t="n">
        <v>107.80200000000001</v>
      </c>
      <c r="H191" t="n">
        <v>2.49223501404217E-3</v>
      </c>
      <c r="I191" t="n">
        <v>107.712</v>
      </c>
      <c r="J191" t="n">
        <v>4.8886069336120403E-3</v>
      </c>
      <c r="K191" t="s">
        <v>1021</v>
      </c>
      <c r="L191" t="s">
        <v>832</v>
      </c>
    </row>
    <row r="192">
      <c r="A192" t="n">
        <v>1.4603017582518699E-2</v>
      </c>
      <c r="B192" t="n">
        <v>1.7788818797953999E-2</v>
      </c>
      <c r="C192" t="n">
        <v>3.6635495652026999E-2</v>
      </c>
      <c r="D192" t="n">
        <v>3.6311211479282998E-2</v>
      </c>
      <c r="E192" t="s">
        <v>1531</v>
      </c>
      <c r="F192" t="s">
        <v>1341</v>
      </c>
      <c r="G192" t="n">
        <v>108.785</v>
      </c>
      <c r="H192" t="n">
        <v>9.1185692287711895E-3</v>
      </c>
      <c r="I192" t="n">
        <v>108.676</v>
      </c>
      <c r="J192" t="n">
        <v>8.94979203802726E-3</v>
      </c>
      <c r="K192" t="s">
        <v>1022</v>
      </c>
      <c r="L192" t="s">
        <v>832</v>
      </c>
    </row>
    <row r="193">
      <c r="A193" t="n">
        <v>2.5719713356744601E-2</v>
      </c>
      <c r="B193" t="n">
        <v>2.90667642529692E-2</v>
      </c>
      <c r="C193" t="n">
        <v>5.7042627848445E-2</v>
      </c>
      <c r="D193" t="n">
        <v>2.3197124388088401E-2</v>
      </c>
      <c r="E193" t="s">
        <v>1532</v>
      </c>
      <c r="F193" t="s">
        <v>1341</v>
      </c>
      <c r="G193" t="n">
        <v>110.252</v>
      </c>
      <c r="H193" t="n">
        <v>1.3485315071011699E-2</v>
      </c>
      <c r="I193" t="n">
        <v>109.285</v>
      </c>
      <c r="J193" t="n">
        <v>5.6038131694209304E-3</v>
      </c>
      <c r="K193" t="s">
        <v>1023</v>
      </c>
      <c r="L193" t="s">
        <v>832</v>
      </c>
    </row>
    <row r="194">
      <c r="A194" t="n">
        <v>2.9147369447939799E-2</v>
      </c>
      <c r="B194" t="n">
        <v>4.11537159385129E-2</v>
      </c>
      <c r="C194" t="n">
        <v>5.2316315130779299E-2</v>
      </c>
      <c r="D194" t="n">
        <v>3.8107075575473298E-2</v>
      </c>
      <c r="E194" t="s">
        <v>1533</v>
      </c>
      <c r="F194" t="s">
        <v>1341</v>
      </c>
      <c r="G194" t="n">
        <v>111.627</v>
      </c>
      <c r="H194" t="n">
        <v>1.24714290897217E-2</v>
      </c>
      <c r="I194" t="n">
        <v>110.291</v>
      </c>
      <c r="J194" t="n">
        <v>9.2052889234570702E-3</v>
      </c>
      <c r="K194" t="s">
        <v>1024</v>
      </c>
      <c r="L194" t="s">
        <v>832</v>
      </c>
    </row>
    <row r="195">
      <c r="A195" t="n">
        <v>2.1663179127611398E-2</v>
      </c>
      <c r="B195" t="n">
        <v>2.95524402709311E-2</v>
      </c>
      <c r="C195" t="n">
        <v>4.1414814571916599E-2</v>
      </c>
      <c r="D195" t="n">
        <v>5.71493007542314E-2</v>
      </c>
      <c r="E195" t="s">
        <v>1534</v>
      </c>
      <c r="F195" t="s">
        <v>1341</v>
      </c>
      <c r="G195" t="n">
        <v>112.81100000000001</v>
      </c>
      <c r="H195" t="n">
        <v>1.06067528465337E-2</v>
      </c>
      <c r="I195" t="n">
        <v>111.736</v>
      </c>
      <c r="J195" t="n">
        <v>1.3101703674824E-2</v>
      </c>
      <c r="K195" t="s">
        <v>1025</v>
      </c>
      <c r="L195" t="s">
        <v>832</v>
      </c>
    </row>
    <row r="196">
      <c r="A196" t="n">
        <v>1.4350946991545E-2</v>
      </c>
      <c r="B196" t="n">
        <v>2.3387558006987101E-2</v>
      </c>
      <c r="C196" t="n">
        <v>3.8836746328921902E-2</v>
      </c>
      <c r="D196" t="n">
        <v>2.9745006586506799E-2</v>
      </c>
      <c r="E196" t="s">
        <v>1535</v>
      </c>
      <c r="F196" t="s">
        <v>1341</v>
      </c>
      <c r="G196" t="n">
        <v>113.875</v>
      </c>
      <c r="H196" t="n">
        <v>9.4317043550717905E-3</v>
      </c>
      <c r="I196" t="n">
        <v>112.542</v>
      </c>
      <c r="J196" t="n">
        <v>7.2134316603422698E-3</v>
      </c>
      <c r="K196" t="s">
        <v>1026</v>
      </c>
      <c r="L196" t="s">
        <v>832</v>
      </c>
    </row>
    <row r="197">
      <c r="A197" t="n">
        <v>1.51565091171486E-2</v>
      </c>
      <c r="B197" t="n">
        <v>2.9652502701153601E-2</v>
      </c>
      <c r="C197" t="n">
        <v>1.6036274889288799E-2</v>
      </c>
      <c r="D197" t="n">
        <v>4.1912016313216102E-2</v>
      </c>
      <c r="E197" t="s">
        <v>1536</v>
      </c>
      <c r="F197" t="s">
        <v>1341</v>
      </c>
      <c r="G197" t="n">
        <v>114.43899999999999</v>
      </c>
      <c r="H197" t="n">
        <v>4.9527991218440998E-3</v>
      </c>
      <c r="I197" t="n">
        <v>113.715</v>
      </c>
      <c r="J197" t="n">
        <v>1.0422775497147801E-2</v>
      </c>
      <c r="K197" t="s">
        <v>1027</v>
      </c>
      <c r="L197" t="s">
        <v>832</v>
      </c>
    </row>
    <row r="198">
      <c r="A198" t="n">
        <v>8.3593342288621492E-3</v>
      </c>
      <c r="B198" t="n">
        <v>4.3357912415273203E-2</v>
      </c>
      <c r="C198" t="n">
        <v>-1.6750426853228501E-2</v>
      </c>
      <c r="D198" t="n">
        <v>1.5721372171975601E-2</v>
      </c>
      <c r="E198" t="s">
        <v>1537</v>
      </c>
      <c r="F198" t="s">
        <v>1341</v>
      </c>
      <c r="G198" t="n">
        <v>113.98</v>
      </c>
      <c r="H198" t="n">
        <v>-4.0108704200489996E-3</v>
      </c>
      <c r="I198" t="n">
        <v>114.175</v>
      </c>
      <c r="J198" t="n">
        <v>4.0452007211009304E-3</v>
      </c>
      <c r="K198" t="s">
        <v>1028</v>
      </c>
      <c r="L198" t="s">
        <v>832</v>
      </c>
    </row>
    <row r="199">
      <c r="A199" t="n">
        <v>2.4734353401226102E-2</v>
      </c>
      <c r="B199" t="n">
        <v>-2.6343933972632301E-2</v>
      </c>
      <c r="C199" t="n">
        <v>2.5813818283005E-2</v>
      </c>
      <c r="D199" t="n">
        <v>4.8037769815769002E-2</v>
      </c>
      <c r="E199" t="s">
        <v>1538</v>
      </c>
      <c r="F199" t="s">
        <v>1341</v>
      </c>
      <c r="G199" t="n">
        <v>114.758</v>
      </c>
      <c r="H199" t="n">
        <v>6.8257589050710896E-3</v>
      </c>
      <c r="I199" t="n">
        <v>115.41800000000001</v>
      </c>
      <c r="J199" t="n">
        <v>1.0886796584191E-2</v>
      </c>
      <c r="K199" t="s">
        <v>1029</v>
      </c>
      <c r="L199" t="s">
        <v>832</v>
      </c>
    </row>
    <row r="200">
      <c r="A200" t="n">
        <v>1.0490970472330399E-2</v>
      </c>
      <c r="B200" t="n">
        <v>1.0018821110834301E-2</v>
      </c>
      <c r="C200" t="n">
        <v>8.6124156242581903E-3</v>
      </c>
      <c r="D200" t="n">
        <v>1.9083730667159401E-2</v>
      </c>
      <c r="E200" t="s">
        <v>1539</v>
      </c>
      <c r="F200" t="s">
        <v>1341</v>
      </c>
      <c r="G200" t="n">
        <v>114.919</v>
      </c>
      <c r="H200" t="n">
        <v>1.40295229962173E-3</v>
      </c>
      <c r="I200" t="n">
        <v>115.982</v>
      </c>
      <c r="J200" t="n">
        <v>4.8865861477411796E-3</v>
      </c>
      <c r="K200" t="s">
        <v>1030</v>
      </c>
      <c r="L200" t="s">
        <v>832</v>
      </c>
    </row>
    <row r="201">
      <c r="A201" t="n">
        <v>1.45690487077856E-2</v>
      </c>
      <c r="B201" t="n">
        <v>1.6245763277308499E-2</v>
      </c>
      <c r="C201" t="n">
        <v>1.6996215944869601E-2</v>
      </c>
      <c r="D201" t="n">
        <v>5.8979339636946503E-3</v>
      </c>
      <c r="E201" t="s">
        <v>1540</v>
      </c>
      <c r="F201" t="s">
        <v>1341</v>
      </c>
      <c r="G201" t="n">
        <v>115.285</v>
      </c>
      <c r="H201" t="n">
        <v>3.1848519391919298E-3</v>
      </c>
      <c r="I201" t="n">
        <v>116.167</v>
      </c>
      <c r="J201" t="n">
        <v>1.59507509785994E-3</v>
      </c>
      <c r="K201" t="s">
        <v>1031</v>
      </c>
      <c r="L201" t="s">
        <v>832</v>
      </c>
    </row>
    <row r="202">
      <c r="A202" t="n">
        <v>1.46624987744557E-2</v>
      </c>
      <c r="B202" t="n">
        <v>1.3591255249432201E-2</v>
      </c>
      <c r="C202" t="n">
        <v>5.0660572456327199E-2</v>
      </c>
      <c r="D202" t="n">
        <v>1.0418465412080901E-2</v>
      </c>
      <c r="E202" t="s">
        <v>1541</v>
      </c>
      <c r="F202" t="s">
        <v>1341</v>
      </c>
      <c r="G202" t="n">
        <v>116.54600000000001</v>
      </c>
      <c r="H202" t="n">
        <v>1.09381099015484E-2</v>
      </c>
      <c r="I202" t="n">
        <v>116.5</v>
      </c>
      <c r="J202" t="n">
        <v>2.86656279322006E-3</v>
      </c>
      <c r="K202" t="s">
        <v>1032</v>
      </c>
      <c r="L202" t="s">
        <v>832</v>
      </c>
    </row>
    <row r="203">
      <c r="A203" t="n">
        <v>-1.7940859457881899E-2</v>
      </c>
      <c r="B203" t="n">
        <v>3.31045118831508E-3</v>
      </c>
      <c r="C203" t="n">
        <v>-1.06133933402519E-3</v>
      </c>
      <c r="D203" t="n">
        <v>-7.65559802497651E-3</v>
      </c>
      <c r="E203" t="s">
        <v>1542</v>
      </c>
      <c r="F203" t="s">
        <v>1341</v>
      </c>
      <c r="G203" t="n">
        <v>116.072</v>
      </c>
      <c r="H203" t="n">
        <v>-4.0670636486881398E-3</v>
      </c>
      <c r="I203" t="n">
        <v>116.19499999999999</v>
      </c>
      <c r="J203" t="n">
        <v>-2.61802575107306E-3</v>
      </c>
      <c r="K203" t="s">
        <v>1033</v>
      </c>
      <c r="L203" t="s">
        <v>832</v>
      </c>
    </row>
    <row r="204">
      <c r="A204" t="n">
        <v>3.3775526155126898E-2</v>
      </c>
      <c r="B204" t="n">
        <v>2.5959727144998501E-2</v>
      </c>
      <c r="C204" t="n">
        <v>3.4596703938155803E-2</v>
      </c>
      <c r="D204" t="n">
        <v>4.1355015452944698E-2</v>
      </c>
      <c r="E204" t="s">
        <v>1543</v>
      </c>
      <c r="F204" t="s">
        <v>1341</v>
      </c>
      <c r="G204" t="n">
        <v>116.51900000000001</v>
      </c>
      <c r="H204" t="n">
        <v>3.8510579640223001E-3</v>
      </c>
      <c r="I204" t="n">
        <v>117.285</v>
      </c>
      <c r="J204" t="n">
        <v>9.3807823056069103E-3</v>
      </c>
      <c r="K204" t="s">
        <v>1034</v>
      </c>
      <c r="L204" t="s">
        <v>832</v>
      </c>
    </row>
    <row r="205">
      <c r="A205" t="n">
        <v>1.6442937470855502E-2</v>
      </c>
      <c r="B205" t="n">
        <v>2.4447407360365301E-2</v>
      </c>
      <c r="C205" t="n">
        <v>5.1547958936444697E-2</v>
      </c>
      <c r="D205" t="n">
        <v>1.8415186976738801E-2</v>
      </c>
      <c r="E205" t="s">
        <v>1544</v>
      </c>
      <c r="F205" t="s">
        <v>1341</v>
      </c>
      <c r="G205" t="n">
        <v>117.593</v>
      </c>
      <c r="H205" t="n">
        <v>9.2173808563409398E-3</v>
      </c>
      <c r="I205" t="n">
        <v>117.706</v>
      </c>
      <c r="J205" t="n">
        <v>3.5895468303705999E-3</v>
      </c>
      <c r="K205" t="s">
        <v>1035</v>
      </c>
      <c r="L205" t="s">
        <v>832</v>
      </c>
    </row>
    <row r="206">
      <c r="A206" t="n">
        <v>4.5025943450948999E-2</v>
      </c>
      <c r="B206" t="n">
        <v>4.0827649049089101E-2</v>
      </c>
      <c r="C206" t="n">
        <v>9.2834286401326696E-2</v>
      </c>
      <c r="D206" t="n">
        <v>6.4160755006020101E-2</v>
      </c>
      <c r="E206" t="s">
        <v>1545</v>
      </c>
      <c r="F206" t="s">
        <v>1341</v>
      </c>
      <c r="G206" t="n">
        <v>119.419</v>
      </c>
      <c r="H206" t="n">
        <v>1.5528135178114201E-2</v>
      </c>
      <c r="I206" t="n">
        <v>119.416</v>
      </c>
      <c r="J206" t="n">
        <v>1.45277216114725E-2</v>
      </c>
      <c r="K206" t="s">
        <v>1036</v>
      </c>
      <c r="L206" t="s">
        <v>832</v>
      </c>
    </row>
    <row r="207">
      <c r="A207" t="n">
        <v>6.4441802743663304E-2</v>
      </c>
      <c r="B207" t="n">
        <v>4.1247362410053098E-2</v>
      </c>
      <c r="C207" t="n">
        <v>8.0575514620662397E-2</v>
      </c>
      <c r="D207" t="n">
        <v>0.104589902157439</v>
      </c>
      <c r="E207" t="s">
        <v>1546</v>
      </c>
      <c r="F207" t="s">
        <v>1341</v>
      </c>
      <c r="G207" t="n">
        <v>121.425</v>
      </c>
      <c r="H207" t="n">
        <v>1.6797996968656699E-2</v>
      </c>
      <c r="I207" t="n">
        <v>122.101</v>
      </c>
      <c r="J207" t="n">
        <v>2.24844241977624E-2</v>
      </c>
      <c r="K207" t="s">
        <v>1037</v>
      </c>
      <c r="L207" t="s">
        <v>832</v>
      </c>
    </row>
    <row r="208">
      <c r="A208" t="n">
        <v>5.5998846943190198E-2</v>
      </c>
      <c r="B208" t="n">
        <v>4.40178580952795E-2</v>
      </c>
      <c r="C208" t="n">
        <v>6.4680375979367696E-2</v>
      </c>
      <c r="D208" t="n">
        <v>9.3631239224950299E-2</v>
      </c>
      <c r="E208" t="s">
        <v>1547</v>
      </c>
      <c r="F208" t="s">
        <v>1341</v>
      </c>
      <c r="G208" t="n">
        <v>123.291</v>
      </c>
      <c r="H208" t="n">
        <v>1.53675108091413E-2</v>
      </c>
      <c r="I208" t="n">
        <v>124.71</v>
      </c>
      <c r="J208" t="n">
        <v>2.13675563672697E-2</v>
      </c>
      <c r="K208" t="s">
        <v>1038</v>
      </c>
      <c r="L208" t="s">
        <v>832</v>
      </c>
    </row>
    <row r="209">
      <c r="A209" t="n">
        <v>6.1859650545573498E-2</v>
      </c>
      <c r="B209" t="n">
        <v>4.34322998250962E-2</v>
      </c>
      <c r="C209" t="n">
        <v>8.4136934840178798E-2</v>
      </c>
      <c r="D209" t="n">
        <v>0.12124821634027599</v>
      </c>
      <c r="E209" t="s">
        <v>1548</v>
      </c>
      <c r="F209" t="s">
        <v>1341</v>
      </c>
      <c r="G209" t="n">
        <v>125.712</v>
      </c>
      <c r="H209" t="n">
        <v>1.96364698153151E-2</v>
      </c>
      <c r="I209" t="n">
        <v>128.44900000000001</v>
      </c>
      <c r="J209" t="n">
        <v>2.9981557212733798E-2</v>
      </c>
      <c r="K209" t="s">
        <v>1039</v>
      </c>
      <c r="L209" t="s">
        <v>832</v>
      </c>
    </row>
    <row r="210">
      <c r="A210" t="n">
        <v>7.4784916271317198E-2</v>
      </c>
      <c r="B210" t="n">
        <v>5.6798579453040801E-2</v>
      </c>
      <c r="C210" t="n">
        <v>0.10120576467409099</v>
      </c>
      <c r="D210" t="n">
        <v>0.12687792670398401</v>
      </c>
      <c r="E210" t="s">
        <v>1549</v>
      </c>
      <c r="F210" t="s">
        <v>1341</v>
      </c>
      <c r="G210" t="n">
        <v>129</v>
      </c>
      <c r="H210" t="n">
        <v>2.6155021000381799E-2</v>
      </c>
      <c r="I210" t="n">
        <v>132.33099999999999</v>
      </c>
      <c r="J210" t="n">
        <v>3.0222111499505398E-2</v>
      </c>
      <c r="K210" t="s">
        <v>1040</v>
      </c>
      <c r="L210" t="s">
        <v>832</v>
      </c>
    </row>
    <row r="211">
      <c r="A211" t="n">
        <v>7.2922192171477093E-2</v>
      </c>
      <c r="B211" t="n">
        <v>5.9959109255099501E-2</v>
      </c>
      <c r="C211" t="n">
        <v>0.15221841372862299</v>
      </c>
      <c r="D211" t="n">
        <v>0.13796693794697101</v>
      </c>
      <c r="E211" t="s">
        <v>1550</v>
      </c>
      <c r="F211" t="s">
        <v>1341</v>
      </c>
      <c r="G211" t="n">
        <v>133.62100000000001</v>
      </c>
      <c r="H211" t="n">
        <v>3.5821705426356799E-2</v>
      </c>
      <c r="I211" t="n">
        <v>136.69900000000001</v>
      </c>
      <c r="J211" t="n">
        <v>3.3008138682546297E-2</v>
      </c>
      <c r="K211" t="s">
        <v>1041</v>
      </c>
      <c r="L211" t="s">
        <v>832</v>
      </c>
    </row>
    <row r="212">
      <c r="A212" t="n">
        <v>4.1796200977757901E-2</v>
      </c>
      <c r="B212" t="n">
        <v>4.8377032065661102E-2</v>
      </c>
      <c r="C212" t="n">
        <v>8.9811228034972802E-3</v>
      </c>
      <c r="D212" t="n">
        <v>8.9581033951388098E-2</v>
      </c>
      <c r="E212" t="s">
        <v>1551</v>
      </c>
      <c r="F212" t="s">
        <v>1341</v>
      </c>
      <c r="H212" t="n">
        <v>1.10762503071244E-2</v>
      </c>
      <c r="J212" t="n">
        <v>1.10762503071244E-2</v>
      </c>
      <c r="K212" t="s">
        <v>1042</v>
      </c>
      <c r="L212" t="s">
        <v>1043</v>
      </c>
    </row>
    <row r="213">
      <c r="A213" t="n">
        <v>2.7447616796656402E-2</v>
      </c>
      <c r="B213" t="n">
        <v>2.3249618404576101E-2</v>
      </c>
      <c r="C213" t="n">
        <v>3.8298767461848897E-2</v>
      </c>
      <c r="D213" t="n">
        <v>3.8298767461848897E-2</v>
      </c>
      <c r="E213" t="s">
        <v>1552</v>
      </c>
      <c r="F213" t="s">
        <v>1553</v>
      </c>
      <c r="H213" t="n">
        <v>9.4401732935755992E-3</v>
      </c>
      <c r="J213" t="n">
        <v>9.4401732935755992E-3</v>
      </c>
      <c r="K213" t="s">
        <v>1044</v>
      </c>
      <c r="L213" t="s">
        <v>1043</v>
      </c>
    </row>
    <row r="214">
      <c r="A214" t="n">
        <v>2.49173870638888E-2</v>
      </c>
      <c r="B214" t="n">
        <v>2.1715756912072299E-2</v>
      </c>
      <c r="C214" t="n">
        <v>3.6085750781477598E-2</v>
      </c>
      <c r="D214" t="n">
        <v>3.6085750781477598E-2</v>
      </c>
      <c r="E214" t="s">
        <v>1554</v>
      </c>
      <c r="F214" t="s">
        <v>1553</v>
      </c>
      <c r="H214" t="n">
        <v>8.9018658885664497E-3</v>
      </c>
      <c r="J214" t="n">
        <v>8.9018658885664497E-3</v>
      </c>
      <c r="K214" t="s">
        <v>1045</v>
      </c>
      <c r="L214" t="s">
        <v>1043</v>
      </c>
    </row>
    <row r="215">
      <c r="A215" t="n">
        <v>2.33440010578361E-2</v>
      </c>
      <c r="B215" t="n">
        <v>2.1485909848918801E-2</v>
      </c>
      <c r="C215" t="n">
        <v>3.2005284910624002E-2</v>
      </c>
      <c r="D215" t="n">
        <v>3.2005284910624002E-2</v>
      </c>
      <c r="E215" t="s">
        <v>1555</v>
      </c>
      <c r="F215" t="s">
        <v>1553</v>
      </c>
      <c r="H215" t="n">
        <v>7.9070438771131606E-3</v>
      </c>
      <c r="J215" t="n">
        <v>7.9070438771131606E-3</v>
      </c>
      <c r="K215" t="s">
        <v>1046</v>
      </c>
      <c r="L215" t="s">
        <v>1043</v>
      </c>
    </row>
    <row r="216">
      <c r="A216" t="n">
        <v>2.2676579457354702E-2</v>
      </c>
      <c r="B216" t="n">
        <v>2.1729771469873E-2</v>
      </c>
      <c r="C216" t="n">
        <v>2.9538555790939999E-2</v>
      </c>
      <c r="D216" t="n">
        <v>2.9538555790939999E-2</v>
      </c>
      <c r="E216" t="s">
        <v>1556</v>
      </c>
      <c r="F216" t="s">
        <v>1553</v>
      </c>
      <c r="H216" t="n">
        <v>7.3042210756391101E-3</v>
      </c>
      <c r="J216" t="n">
        <v>7.3042210756391101E-3</v>
      </c>
      <c r="K216" t="s">
        <v>1047</v>
      </c>
      <c r="L216" t="s">
        <v>1043</v>
      </c>
    </row>
    <row r="217">
      <c r="A217" t="n">
        <v>2.2178287431426899E-2</v>
      </c>
      <c r="B217" t="n">
        <v>2.22727407121028E-2</v>
      </c>
      <c r="C217" t="n">
        <v>2.8512142036472E-2</v>
      </c>
      <c r="D217" t="n">
        <v>2.8512142036472E-2</v>
      </c>
      <c r="E217" t="s">
        <v>1557</v>
      </c>
      <c r="F217" t="s">
        <v>1553</v>
      </c>
      <c r="H217" t="n">
        <v>7.0530654325617901E-3</v>
      </c>
      <c r="J217" t="n">
        <v>7.0530654325617901E-3</v>
      </c>
      <c r="K217" t="s">
        <v>1048</v>
      </c>
      <c r="L217" t="s">
        <v>1043</v>
      </c>
    </row>
    <row r="218">
      <c r="A218" t="n">
        <v>2.1434276652948898E-2</v>
      </c>
      <c r="B218" t="n">
        <v>2.23623952750127E-2</v>
      </c>
      <c r="C218" t="n">
        <v>2.8283584176253401E-2</v>
      </c>
      <c r="D218" t="n">
        <v>2.8283584176253401E-2</v>
      </c>
      <c r="E218" t="s">
        <v>1558</v>
      </c>
      <c r="F218" t="s">
        <v>1553</v>
      </c>
      <c r="H218" t="n">
        <v>6.9971134735056202E-3</v>
      </c>
      <c r="J218" t="n">
        <v>6.9971134735056202E-3</v>
      </c>
      <c r="K218" t="s">
        <v>1049</v>
      </c>
      <c r="L218" t="s">
        <v>1043</v>
      </c>
    </row>
    <row r="219">
      <c r="A219" t="n">
        <v>2.10072065089228E-2</v>
      </c>
      <c r="B219" t="n">
        <v>2.2496789219665199E-2</v>
      </c>
      <c r="C219" t="n">
        <v>2.7654852328046001E-2</v>
      </c>
      <c r="D219" t="n">
        <v>2.7654852328046001E-2</v>
      </c>
      <c r="E219" t="s">
        <v>1559</v>
      </c>
      <c r="F219" t="s">
        <v>1553</v>
      </c>
      <c r="H219" t="n">
        <v>6.8431490448084302E-3</v>
      </c>
      <c r="J219" t="n">
        <v>6.8431490448084302E-3</v>
      </c>
      <c r="K219" t="s">
        <v>1050</v>
      </c>
      <c r="L219" t="s">
        <v>1043</v>
      </c>
    </row>
    <row r="220">
      <c r="A220" t="n">
        <v>2.0591622707038602E-2</v>
      </c>
      <c r="B220" t="n">
        <v>2.25123599902981E-2</v>
      </c>
      <c r="C220" t="n">
        <v>2.7753662335143502E-2</v>
      </c>
      <c r="D220" t="n">
        <v>2.7753662335143502E-2</v>
      </c>
      <c r="E220" t="s">
        <v>1560</v>
      </c>
      <c r="F220" t="s">
        <v>1553</v>
      </c>
      <c r="H220" t="n">
        <v>6.8673504076357502E-3</v>
      </c>
      <c r="J220" t="n">
        <v>6.8673504076357502E-3</v>
      </c>
      <c r="K220" t="s">
        <v>1051</v>
      </c>
      <c r="L220" t="s">
        <v>1043</v>
      </c>
    </row>
    <row r="221">
      <c r="A221" t="n">
        <v>2.0347186911993099E-2</v>
      </c>
      <c r="B221" t="n">
        <v>2.2891901714989799E-2</v>
      </c>
      <c r="C221" t="n">
        <v>2.8110399323646899E-2</v>
      </c>
      <c r="D221" t="n">
        <v>2.8110399323646899E-2</v>
      </c>
      <c r="E221" t="s">
        <v>1561</v>
      </c>
      <c r="F221" t="s">
        <v>1553</v>
      </c>
      <c r="H221" t="n">
        <v>6.9547108559351303E-3</v>
      </c>
      <c r="J221" t="n">
        <v>6.9547108559351303E-3</v>
      </c>
      <c r="K221" t="s">
        <v>1052</v>
      </c>
      <c r="L221" t="s">
        <v>1043</v>
      </c>
    </row>
    <row r="222">
      <c r="A222" t="n">
        <v>2.03844462174123E-2</v>
      </c>
      <c r="B222" t="n">
        <v>2.2688598137850801E-2</v>
      </c>
      <c r="C222" t="n">
        <v>2.89673943247446E-2</v>
      </c>
      <c r="D222" t="n">
        <v>2.89673943247446E-2</v>
      </c>
      <c r="E222" t="s">
        <v>1562</v>
      </c>
      <c r="F222" t="s">
        <v>1553</v>
      </c>
      <c r="H222" t="n">
        <v>7.1644853940870902E-3</v>
      </c>
      <c r="J222" t="n">
        <v>7.1644853940870902E-3</v>
      </c>
      <c r="K222" t="s">
        <v>1053</v>
      </c>
      <c r="L222" t="s">
        <v>1043</v>
      </c>
    </row>
    <row r="223">
      <c r="A223" t="n">
        <v>2.02121429685698E-2</v>
      </c>
      <c r="B223" t="n">
        <v>2.2861927422401802E-2</v>
      </c>
      <c r="C223" t="n">
        <v>2.97171972862664E-2</v>
      </c>
      <c r="D223" t="n">
        <v>2.97171972862664E-2</v>
      </c>
      <c r="E223" t="s">
        <v>1563</v>
      </c>
      <c r="F223" t="s">
        <v>1553</v>
      </c>
      <c r="H223" t="n">
        <v>7.3479141028771596E-3</v>
      </c>
      <c r="J223" t="n">
        <v>7.3479141028771596E-3</v>
      </c>
      <c r="K223" t="s">
        <v>1054</v>
      </c>
      <c r="L223" t="s">
        <v>1043</v>
      </c>
    </row>
    <row r="224">
      <c r="A224" t="n">
        <v>2.00951255413373E-2</v>
      </c>
      <c r="B224" t="n">
        <v>2.2789213164977801E-2</v>
      </c>
      <c r="C224" t="n">
        <v>2.9972823640437098E-2</v>
      </c>
      <c r="D224" t="n">
        <v>2.9972823640437098E-2</v>
      </c>
      <c r="E224" t="s">
        <v>1564</v>
      </c>
      <c r="F224" t="s">
        <v>1553</v>
      </c>
      <c r="H224" t="n">
        <v>7.4104265836887296E-3</v>
      </c>
      <c r="J224" t="n">
        <v>7.4104265836887296E-3</v>
      </c>
      <c r="K224" t="s">
        <v>1055</v>
      </c>
      <c r="L224" t="s">
        <v>1043</v>
      </c>
    </row>
    <row r="225">
      <c r="A225" t="n">
        <v>2.0005533751415599E-2</v>
      </c>
      <c r="B225" t="n">
        <v>2.30067515754304E-2</v>
      </c>
      <c r="C225" t="n">
        <v>3.0378543432117301E-2</v>
      </c>
      <c r="D225" t="n">
        <v>3.0378543432117301E-2</v>
      </c>
      <c r="E225" t="s">
        <v>1565</v>
      </c>
      <c r="F225" t="s">
        <v>1553</v>
      </c>
      <c r="H225" t="n">
        <v>7.5096199742570296E-3</v>
      </c>
      <c r="J225" t="n">
        <v>7.5096199742570296E-3</v>
      </c>
      <c r="K225" t="s">
        <v>1056</v>
      </c>
      <c r="L225" t="s">
        <v>1043</v>
      </c>
    </row>
    <row r="226">
      <c r="A226" t="n">
        <v>1.9992497685795502E-2</v>
      </c>
      <c r="B226" t="n">
        <v>2.28689196510703E-2</v>
      </c>
      <c r="C226" t="n">
        <v>3.0384347471833498E-2</v>
      </c>
      <c r="D226" t="n">
        <v>3.0384347471833498E-2</v>
      </c>
      <c r="E226" t="s">
        <v>1566</v>
      </c>
      <c r="F226" t="s">
        <v>1553</v>
      </c>
      <c r="H226" t="n">
        <v>7.5110387764860701E-3</v>
      </c>
      <c r="J226" t="n">
        <v>7.5110387764860701E-3</v>
      </c>
      <c r="K226" t="s">
        <v>1057</v>
      </c>
      <c r="L226" t="s">
        <v>1043</v>
      </c>
    </row>
    <row r="227">
      <c r="A227" t="n">
        <v>1.99491524210023E-2</v>
      </c>
      <c r="B227" t="n">
        <v>2.2952518060170599E-2</v>
      </c>
      <c r="C227" t="n">
        <v>3.0780667439755299E-2</v>
      </c>
      <c r="D227" t="n">
        <v>3.0780667439755299E-2</v>
      </c>
      <c r="E227" t="s">
        <v>1567</v>
      </c>
      <c r="F227" t="s">
        <v>1553</v>
      </c>
      <c r="H227" t="n">
        <v>7.6079053396602703E-3</v>
      </c>
      <c r="J227" t="n">
        <v>7.6079053396602703E-3</v>
      </c>
      <c r="K227" t="s">
        <v>1058</v>
      </c>
      <c r="L227" t="s">
        <v>1043</v>
      </c>
    </row>
    <row r="228">
      <c r="A228" t="n">
        <v>1.99785657506244E-2</v>
      </c>
      <c r="B228" t="n">
        <v>2.3092018308592099E-2</v>
      </c>
      <c r="C228" t="n">
        <v>3.09234356698747E-2</v>
      </c>
      <c r="D228" t="n">
        <v>3.09234356698747E-2</v>
      </c>
      <c r="E228" t="s">
        <v>1568</v>
      </c>
      <c r="F228" t="s">
        <v>1553</v>
      </c>
      <c r="H228" t="n">
        <v>7.6427931995954896E-3</v>
      </c>
      <c r="J228" t="n">
        <v>7.6427931995954896E-3</v>
      </c>
      <c r="K228" t="s">
        <v>1059</v>
      </c>
      <c r="L228" t="s">
        <v>1043</v>
      </c>
    </row>
    <row r="229">
      <c r="A229" t="n">
        <v>1.9973482507164499E-2</v>
      </c>
      <c r="B229" t="n">
        <v>2.29188557927167E-2</v>
      </c>
      <c r="C229" t="n">
        <v>3.0940126349132901E-2</v>
      </c>
      <c r="D229" t="n">
        <v>3.0940126349132901E-2</v>
      </c>
      <c r="E229" t="s">
        <v>1569</v>
      </c>
      <c r="F229" t="s">
        <v>1553</v>
      </c>
      <c r="H229" t="n">
        <v>7.6468716160857904E-3</v>
      </c>
      <c r="J229" t="n">
        <v>7.6468716160857904E-3</v>
      </c>
      <c r="K229" t="s">
        <v>1060</v>
      </c>
      <c r="L229" t="s">
        <v>1043</v>
      </c>
    </row>
    <row r="230">
      <c r="A230" t="n">
        <v>2.00262569988248E-2</v>
      </c>
      <c r="B230" t="n">
        <v>2.34219478386497E-2</v>
      </c>
      <c r="C230" t="n">
        <v>3.08963138434795E-2</v>
      </c>
      <c r="D230" t="n">
        <v>3.08963138434795E-2</v>
      </c>
      <c r="E230" t="s">
        <v>1570</v>
      </c>
      <c r="F230" t="s">
        <v>1553</v>
      </c>
      <c r="H230" t="n">
        <v>7.6361657960506398E-3</v>
      </c>
      <c r="J230" t="n">
        <v>7.6361657960506398E-3</v>
      </c>
      <c r="K230" t="s">
        <v>1061</v>
      </c>
      <c r="L230" t="s">
        <v>1043</v>
      </c>
    </row>
    <row r="231">
      <c r="A231" t="n">
        <v>2.0068184200822601E-2</v>
      </c>
      <c r="B231" t="n">
        <v>2.29559923804479E-2</v>
      </c>
      <c r="C231" t="n">
        <v>3.1171169586274899E-2</v>
      </c>
      <c r="D231" t="n">
        <v>3.1171169586274899E-2</v>
      </c>
      <c r="E231" t="s">
        <v>1571</v>
      </c>
      <c r="F231" t="s">
        <v>1553</v>
      </c>
      <c r="H231" t="n">
        <v>7.7033226228278E-3</v>
      </c>
      <c r="J231" t="n">
        <v>7.7033226228278E-3</v>
      </c>
      <c r="K231" t="s">
        <v>1062</v>
      </c>
      <c r="L231" t="s">
        <v>1043</v>
      </c>
    </row>
    <row r="232">
      <c r="A232" t="n">
        <v>2.00733299513789E-2</v>
      </c>
      <c r="B232" t="n">
        <v>2.3089907346120601E-2</v>
      </c>
      <c r="C232" t="n">
        <v>3.11290252355114E-2</v>
      </c>
      <c r="D232" t="n">
        <v>3.11290252355114E-2</v>
      </c>
      <c r="E232" t="s">
        <v>1572</v>
      </c>
      <c r="F232" t="s">
        <v>1553</v>
      </c>
      <c r="H232" t="n">
        <v>7.6930261622452098E-3</v>
      </c>
      <c r="J232" t="n">
        <v>7.6930261622452098E-3</v>
      </c>
      <c r="K232" t="s">
        <v>1063</v>
      </c>
      <c r="L232" t="s">
        <v>1043</v>
      </c>
    </row>
    <row r="233">
      <c r="A233" t="n">
        <v>2.00833471581769E-2</v>
      </c>
      <c r="B233" t="n">
        <v>2.2986135275529802E-2</v>
      </c>
      <c r="C233" t="n">
        <v>3.12799263503531E-2</v>
      </c>
      <c r="D233" t="n">
        <v>3.12799263503531E-2</v>
      </c>
      <c r="E233" t="s">
        <v>1573</v>
      </c>
      <c r="F233" t="s">
        <v>1553</v>
      </c>
      <c r="H233" t="n">
        <v>7.72989197946106E-3</v>
      </c>
      <c r="J233" t="n">
        <v>7.72989197946106E-3</v>
      </c>
      <c r="K233" t="s">
        <v>1064</v>
      </c>
      <c r="L233" t="s">
        <v>1043</v>
      </c>
    </row>
    <row r="234">
      <c r="A234" t="n">
        <v>2.0140093939852201E-2</v>
      </c>
      <c r="B234" t="n">
        <v>2.31414769468055E-2</v>
      </c>
      <c r="C234" t="n">
        <v>3.1432246791632999E-2</v>
      </c>
      <c r="D234" t="n">
        <v>3.1432246791632999E-2</v>
      </c>
      <c r="E234" t="s">
        <v>1574</v>
      </c>
      <c r="F234" t="s">
        <v>1553</v>
      </c>
      <c r="H234" t="n">
        <v>7.76710044167461E-3</v>
      </c>
      <c r="J234" t="n">
        <v>7.76710044167461E-3</v>
      </c>
      <c r="K234" t="s">
        <v>1065</v>
      </c>
      <c r="L234" t="s">
        <v>1043</v>
      </c>
    </row>
    <row r="235">
      <c r="A235" t="n">
        <v>2.02021592909249E-2</v>
      </c>
      <c r="B235" t="n">
        <v>2.2984714477401601E-2</v>
      </c>
      <c r="C235" t="n">
        <v>3.1205847095053599E-2</v>
      </c>
      <c r="D235" t="n">
        <v>3.1205847095053599E-2</v>
      </c>
      <c r="E235" t="s">
        <v>1575</v>
      </c>
      <c r="F235" t="s">
        <v>1553</v>
      </c>
      <c r="H235" t="n">
        <v>7.7117945916846996E-3</v>
      </c>
      <c r="J235" t="n">
        <v>7.7117945916846996E-3</v>
      </c>
      <c r="K235" t="s">
        <v>1066</v>
      </c>
      <c r="L235" t="s">
        <v>1043</v>
      </c>
    </row>
    <row r="236">
      <c r="A236" t="n">
        <v>2.0211898969260102E-2</v>
      </c>
      <c r="B236" t="n">
        <v>2.2913195171825301E-2</v>
      </c>
      <c r="C236" t="n">
        <v>3.14110402970686E-2</v>
      </c>
      <c r="D236" t="n">
        <v>3.14110402970686E-2</v>
      </c>
      <c r="E236" t="s">
        <v>1576</v>
      </c>
      <c r="F236" t="s">
        <v>1553</v>
      </c>
      <c r="H236" t="n">
        <v>7.7619204183672101E-3</v>
      </c>
      <c r="J236" t="n">
        <v>7.7619204183672101E-3</v>
      </c>
      <c r="K236" t="s">
        <v>1067</v>
      </c>
      <c r="L236" t="s">
        <v>1043</v>
      </c>
    </row>
    <row r="237">
      <c r="A237" t="n">
        <v>2.0290430669000999E-2</v>
      </c>
      <c r="B237" t="n">
        <v>2.29758501503456E-2</v>
      </c>
      <c r="C237" t="n">
        <v>3.1565029186180898E-2</v>
      </c>
      <c r="D237" t="n">
        <v>3.1565029186180898E-2</v>
      </c>
      <c r="E237" t="s">
        <v>1577</v>
      </c>
      <c r="F237" t="s">
        <v>1553</v>
      </c>
      <c r="H237" t="n">
        <v>7.7995328359632401E-3</v>
      </c>
      <c r="J237" t="n">
        <v>7.7995328359632401E-3</v>
      </c>
      <c r="K237" t="s">
        <v>1068</v>
      </c>
      <c r="L237" t="s">
        <v>1043</v>
      </c>
    </row>
    <row r="238">
      <c r="A238" t="n">
        <v>2.0308808571870299E-2</v>
      </c>
      <c r="B238" t="n">
        <v>2.2824531954790599E-2</v>
      </c>
      <c r="C238" t="n">
        <v>3.1531274423854297E-2</v>
      </c>
      <c r="D238" t="n">
        <v>3.1531274423854297E-2</v>
      </c>
      <c r="E238" t="s">
        <v>1578</v>
      </c>
      <c r="F238" t="s">
        <v>1553</v>
      </c>
      <c r="H238" t="n">
        <v>7.7912884572341997E-3</v>
      </c>
      <c r="J238" t="n">
        <v>7.7912884572341997E-3</v>
      </c>
      <c r="K238" t="s">
        <v>1069</v>
      </c>
      <c r="L238" t="s">
        <v>1043</v>
      </c>
    </row>
    <row r="239">
      <c r="A239" t="n">
        <v>2.03080060292413E-2</v>
      </c>
      <c r="B239" t="n">
        <v>2.2972481063801901E-2</v>
      </c>
      <c r="C239" t="n">
        <v>3.1542996473644003E-2</v>
      </c>
      <c r="D239" t="n">
        <v>3.1542996473644003E-2</v>
      </c>
      <c r="E239" t="s">
        <v>1579</v>
      </c>
      <c r="F239" t="s">
        <v>1553</v>
      </c>
      <c r="H239" t="n">
        <v>7.7941515137436301E-3</v>
      </c>
      <c r="J239" t="n">
        <v>7.7941515137436301E-3</v>
      </c>
      <c r="K239" t="s">
        <v>1070</v>
      </c>
      <c r="L239" t="s">
        <v>1043</v>
      </c>
    </row>
    <row r="240">
      <c r="A240" t="n">
        <v>2.0323983720006399E-2</v>
      </c>
      <c r="B240" t="n">
        <v>2.2824566637221998E-2</v>
      </c>
      <c r="C240" t="n">
        <v>3.1855243350590097E-2</v>
      </c>
      <c r="D240" t="n">
        <v>3.1855243350590097E-2</v>
      </c>
      <c r="E240" t="s">
        <v>1580</v>
      </c>
      <c r="F240" t="s">
        <v>1553</v>
      </c>
      <c r="H240" t="n">
        <v>7.8704073905595494E-3</v>
      </c>
      <c r="J240" t="n">
        <v>7.8704073905595494E-3</v>
      </c>
      <c r="K240" t="s">
        <v>1071</v>
      </c>
      <c r="L240" t="s">
        <v>1043</v>
      </c>
    </row>
    <row r="241">
      <c r="A241" t="n">
        <v>2.0325704902500501E-2</v>
      </c>
      <c r="B241" t="n">
        <v>2.2886555231629101E-2</v>
      </c>
      <c r="C241" t="n">
        <v>3.1708818720508798E-2</v>
      </c>
      <c r="D241" t="n">
        <v>3.1708818720508798E-2</v>
      </c>
      <c r="E241" t="s">
        <v>1581</v>
      </c>
      <c r="F241" t="s">
        <v>1553</v>
      </c>
      <c r="H241" t="n">
        <v>7.8346502176538397E-3</v>
      </c>
      <c r="J241" t="n">
        <v>7.8346502176538397E-3</v>
      </c>
      <c r="K241" t="s">
        <v>1072</v>
      </c>
      <c r="L241" t="s">
        <v>1043</v>
      </c>
    </row>
    <row r="242">
      <c r="A242" t="n">
        <v>2.0305041683886599E-2</v>
      </c>
      <c r="B242" t="n">
        <v>2.29465623765257E-2</v>
      </c>
      <c r="C242" t="n">
        <v>3.1893508731351002E-2</v>
      </c>
      <c r="D242" t="n">
        <v>3.1893508731351002E-2</v>
      </c>
      <c r="E242" t="s">
        <v>1582</v>
      </c>
      <c r="F242" t="s">
        <v>1553</v>
      </c>
      <c r="H242" t="n">
        <v>7.8797512420421007E-3</v>
      </c>
      <c r="J242" t="n">
        <v>7.8797512420421007E-3</v>
      </c>
      <c r="K242" t="s">
        <v>1073</v>
      </c>
      <c r="L242" t="s">
        <v>1043</v>
      </c>
    </row>
    <row r="243">
      <c r="A243" t="n">
        <v>2.0287096358251301E-2</v>
      </c>
      <c r="B243" t="n">
        <v>2.2798980065175601E-2</v>
      </c>
      <c r="C243" t="n">
        <v>3.1810408581062898E-2</v>
      </c>
      <c r="D243" t="n">
        <v>3.1810408581062898E-2</v>
      </c>
      <c r="E243" t="s">
        <v>1583</v>
      </c>
      <c r="F243" t="s">
        <v>1553</v>
      </c>
      <c r="H243" t="n">
        <v>7.8594590588953999E-3</v>
      </c>
      <c r="J243" t="n">
        <v>7.8594590588953999E-3</v>
      </c>
      <c r="K243" t="s">
        <v>1074</v>
      </c>
      <c r="L243" t="s">
        <v>1043</v>
      </c>
    </row>
    <row r="244">
      <c r="A244" t="n">
        <v>2.0271579331879098E-2</v>
      </c>
      <c r="B244" t="n">
        <v>2.2857567238674801E-2</v>
      </c>
      <c r="C244" t="n">
        <v>3.1611362599311098E-2</v>
      </c>
      <c r="D244" t="n">
        <v>3.1611362599311098E-2</v>
      </c>
      <c r="E244" t="s">
        <v>1584</v>
      </c>
      <c r="F244" t="s">
        <v>1553</v>
      </c>
      <c r="H244" t="n">
        <v>7.8108491379678098E-3</v>
      </c>
      <c r="J244" t="n">
        <v>7.8108491379678098E-3</v>
      </c>
      <c r="K244" t="s">
        <v>1075</v>
      </c>
      <c r="L244" t="s">
        <v>1043</v>
      </c>
    </row>
    <row r="245">
      <c r="A245" t="n">
        <v>2.0226750918557398E-2</v>
      </c>
      <c r="B245" t="n">
        <v>2.30078651102898E-2</v>
      </c>
      <c r="C245" t="n">
        <v>3.1895036638032601E-2</v>
      </c>
      <c r="D245" t="n">
        <v>3.1895036638032601E-2</v>
      </c>
      <c r="E245" t="s">
        <v>1585</v>
      </c>
      <c r="F245" t="s">
        <v>1553</v>
      </c>
      <c r="H245" t="n">
        <v>7.8801243293176206E-3</v>
      </c>
      <c r="J245" t="n">
        <v>7.8801243293176206E-3</v>
      </c>
      <c r="K245" t="s">
        <v>1076</v>
      </c>
      <c r="L245" t="s">
        <v>1043</v>
      </c>
    </row>
    <row r="246">
      <c r="A246" t="n">
        <v>2.0229639632362201E-2</v>
      </c>
      <c r="B246" t="n">
        <v>2.2755662461575201E-2</v>
      </c>
      <c r="C246" t="n">
        <v>3.1906732152356301E-2</v>
      </c>
      <c r="D246" t="n">
        <v>3.1906732152356301E-2</v>
      </c>
      <c r="E246" t="s">
        <v>1586</v>
      </c>
      <c r="F246" t="s">
        <v>1553</v>
      </c>
      <c r="H246" t="n">
        <v>7.88298014941358E-3</v>
      </c>
      <c r="J246" t="n">
        <v>7.88298014941358E-3</v>
      </c>
      <c r="K246" t="s">
        <v>1077</v>
      </c>
      <c r="L246" t="s">
        <v>1043</v>
      </c>
    </row>
    <row r="247">
      <c r="A247" t="n">
        <v>2.0196749252488402E-2</v>
      </c>
      <c r="B247" t="n">
        <v>2.2817811468051102E-2</v>
      </c>
      <c r="C247" t="n">
        <v>3.1666344390047098E-2</v>
      </c>
      <c r="D247" t="n">
        <v>3.1666344390047098E-2</v>
      </c>
      <c r="E247" t="s">
        <v>1587</v>
      </c>
      <c r="F247" t="s">
        <v>1553</v>
      </c>
      <c r="H247" t="n">
        <v>7.8242771932854893E-3</v>
      </c>
      <c r="J247" t="n">
        <v>7.8242771932854893E-3</v>
      </c>
      <c r="K247" t="s">
        <v>1078</v>
      </c>
      <c r="L247" t="s">
        <v>1043</v>
      </c>
    </row>
    <row r="248">
      <c r="A248" t="n">
        <v>2.0138226913895701E-2</v>
      </c>
      <c r="B248" t="n">
        <v>2.3174738681931199E-2</v>
      </c>
      <c r="C248" t="n">
        <v>3.1749922428638201E-2</v>
      </c>
      <c r="D248" t="n">
        <v>3.1749922428638201E-2</v>
      </c>
      <c r="E248" t="s">
        <v>1588</v>
      </c>
      <c r="F248" t="s">
        <v>1553</v>
      </c>
      <c r="H248" t="n">
        <v>7.8446882055194199E-3</v>
      </c>
      <c r="J248" t="n">
        <v>7.8446882055194199E-3</v>
      </c>
      <c r="K248" t="s">
        <v>1079</v>
      </c>
      <c r="L248" t="s">
        <v>1043</v>
      </c>
    </row>
    <row r="249">
      <c r="A249" t="n">
        <v>2.0129535533826501E-2</v>
      </c>
      <c r="B249" t="n">
        <v>2.27379267080541E-2</v>
      </c>
      <c r="C249" t="n">
        <v>3.1908648163189397E-2</v>
      </c>
      <c r="D249" t="n">
        <v>3.1908648163189397E-2</v>
      </c>
      <c r="E249" t="s">
        <v>1589</v>
      </c>
      <c r="F249" t="s">
        <v>1553</v>
      </c>
      <c r="H249" t="n">
        <v>7.8834480001659397E-3</v>
      </c>
      <c r="J249" t="n">
        <v>7.8834480001659397E-3</v>
      </c>
      <c r="K249" t="s">
        <v>1080</v>
      </c>
      <c r="L249" t="s">
        <v>1043</v>
      </c>
    </row>
    <row r="250">
      <c r="A250" t="n">
        <v>2.0106884793451098E-2</v>
      </c>
      <c r="B250" t="n">
        <v>2.3093327603912001E-2</v>
      </c>
      <c r="C250" t="n">
        <v>3.1692204125751702E-2</v>
      </c>
      <c r="D250" t="n">
        <v>3.1692204125751702E-2</v>
      </c>
      <c r="E250" t="s">
        <v>1590</v>
      </c>
      <c r="F250" t="s">
        <v>1553</v>
      </c>
      <c r="H250" t="n">
        <v>7.8305926616084598E-3</v>
      </c>
      <c r="J250" t="n">
        <v>7.8305926616084598E-3</v>
      </c>
      <c r="K250" t="s">
        <v>1081</v>
      </c>
      <c r="L250" t="s">
        <v>1043</v>
      </c>
    </row>
    <row r="251">
      <c r="A251" t="n">
        <v>2.0037252982960399E-2</v>
      </c>
      <c r="B251" t="n">
        <v>2.2853757020905099E-2</v>
      </c>
      <c r="C251" t="n">
        <v>3.1763978164364597E-2</v>
      </c>
      <c r="D251" t="n">
        <v>3.1763978164364597E-2</v>
      </c>
      <c r="E251" t="s">
        <v>1591</v>
      </c>
      <c r="F251" t="s">
        <v>1553</v>
      </c>
      <c r="H251" t="n">
        <v>7.8481207054677E-3</v>
      </c>
      <c r="J251" t="n">
        <v>7.8481207054677E-3</v>
      </c>
      <c r="K251" t="s">
        <v>1082</v>
      </c>
      <c r="L251" t="s">
        <v>1043</v>
      </c>
    </row>
    <row r="252">
      <c r="A252" t="n">
        <v>2.0056022895238401E-2</v>
      </c>
      <c r="B252" t="n">
        <v>2.2713969923905002E-2</v>
      </c>
      <c r="C252" t="n">
        <v>3.17278315390737E-2</v>
      </c>
      <c r="D252" t="n">
        <v>3.17278315390737E-2</v>
      </c>
      <c r="E252" t="s">
        <v>1592</v>
      </c>
      <c r="F252" t="s">
        <v>1553</v>
      </c>
      <c r="H252" t="n">
        <v>7.8392933990876195E-3</v>
      </c>
      <c r="J252" t="n">
        <v>7.8392933990876195E-3</v>
      </c>
      <c r="K252" t="s">
        <v>1083</v>
      </c>
      <c r="L252" t="s">
        <v>1043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2025-08-28T19:11:05Z</dcterms:modified>
  <cp:category/>
  <cp:contentStatus/>
</cp:coreProperties>
</file>